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5" yWindow="1560" windowWidth="12120" windowHeight="6585" tabRatio="869"/>
  </bookViews>
  <sheets>
    <sheet name="St of Net Assets - GA" sheetId="16" r:id="rId1"/>
    <sheet name="St of Activites - GA Rev" sheetId="15" r:id="rId2"/>
    <sheet name="St of Activities - GA Exp" sheetId="17" r:id="rId3"/>
    <sheet name="Gen Fd BS" sheetId="14" r:id="rId4"/>
    <sheet name="Gen Fd Rev" sheetId="1" r:id="rId5"/>
    <sheet name="Gen Fd Exp" sheetId="2" r:id="rId6"/>
    <sheet name="Gov Fd BS" sheetId="26" r:id="rId7"/>
    <sheet name="Gov Fd Rev" sheetId="22" r:id="rId8"/>
    <sheet name="Gov Fd Exp" sheetId="25" r:id="rId9"/>
    <sheet name="Long Term Liab - GA" sheetId="10" r:id="rId10"/>
  </sheets>
  <definedNames>
    <definedName name="_xlnm.Print_Area" localSheetId="3">'Gen Fd BS'!$A$1:$AD$630</definedName>
    <definedName name="_xlnm.Print_Area" localSheetId="5">'Gen Fd Exp'!$A$1:$BT$630</definedName>
    <definedName name="_xlnm.Print_Area" localSheetId="4">'Gen Fd Rev'!$A$1:$AK$630</definedName>
    <definedName name="_xlnm.Print_Area" localSheetId="6">'Gov Fd BS'!$A$1:$AD$630</definedName>
    <definedName name="_xlnm.Print_Area" localSheetId="8">'Gov Fd Exp'!$A$1:$BT$630</definedName>
    <definedName name="_xlnm.Print_Area" localSheetId="7">'Gov Fd Rev'!$A$1:$AO$630</definedName>
    <definedName name="_xlnm.Print_Area" localSheetId="9">'Long Term Liab - GA'!$A$1:$S$630</definedName>
    <definedName name="_xlnm.Print_Area" localSheetId="1">'St of Activites - GA Rev'!$A$1:$AG$633</definedName>
    <definedName name="_xlnm.Print_Area" localSheetId="2">'St of Activities - GA Exp'!$A$1:$BC$630</definedName>
    <definedName name="_xlnm.Print_Area" localSheetId="0">'St of Net Assets - GA'!$A$1:$Y$630</definedName>
    <definedName name="_xlnm.Print_Titles" localSheetId="3">'Gen Fd BS'!$1:$10</definedName>
    <definedName name="_xlnm.Print_Titles" localSheetId="5">'Gen Fd Exp'!$1:$10</definedName>
    <definedName name="_xlnm.Print_Titles" localSheetId="4">'Gen Fd Rev'!$1:$10</definedName>
    <definedName name="_xlnm.Print_Titles" localSheetId="6">'Gov Fd BS'!$1:$10</definedName>
    <definedName name="_xlnm.Print_Titles" localSheetId="8">'Gov Fd Exp'!$1:$10</definedName>
    <definedName name="_xlnm.Print_Titles" localSheetId="7">'Gov Fd Rev'!$1:$10</definedName>
    <definedName name="_xlnm.Print_Titles" localSheetId="9">'Long Term Liab - GA'!$1:$10</definedName>
    <definedName name="_xlnm.Print_Titles" localSheetId="1">'St of Activites - GA Rev'!$1:$10</definedName>
    <definedName name="_xlnm.Print_Titles" localSheetId="2">'St of Activities - GA Exp'!$1:$10</definedName>
    <definedName name="_xlnm.Print_Titles" localSheetId="0">'St of Net Assets - GA'!$1:$10</definedName>
  </definedNames>
  <calcPr calcId="145621"/>
</workbook>
</file>

<file path=xl/calcChain.xml><?xml version="1.0" encoding="utf-8"?>
<calcChain xmlns="http://schemas.openxmlformats.org/spreadsheetml/2006/main">
  <c r="K15" i="15" l="1"/>
  <c r="AE15" i="15"/>
  <c r="K16" i="15"/>
  <c r="AE16" i="15"/>
  <c r="AG16" i="15" s="1"/>
  <c r="K11" i="15"/>
  <c r="AE11" i="15"/>
  <c r="Q15" i="10"/>
  <c r="T15" i="10"/>
  <c r="Q16" i="10"/>
  <c r="T16" i="10"/>
  <c r="Q11" i="10"/>
  <c r="T11" i="10"/>
  <c r="AZ15" i="25"/>
  <c r="BJ15" i="25" s="1"/>
  <c r="AZ16" i="25"/>
  <c r="BJ16" i="25" s="1"/>
  <c r="AZ11" i="25"/>
  <c r="BJ11" i="25" s="1"/>
  <c r="W15" i="22"/>
  <c r="AM15" i="22"/>
  <c r="W16" i="22"/>
  <c r="AM16" i="22"/>
  <c r="W11" i="22"/>
  <c r="AM11" i="22"/>
  <c r="I15" i="26"/>
  <c r="M15" i="26"/>
  <c r="AC15" i="26"/>
  <c r="I16" i="26"/>
  <c r="M16" i="26"/>
  <c r="AC16" i="26"/>
  <c r="I11" i="26"/>
  <c r="AE11" i="26" s="1"/>
  <c r="M11" i="26"/>
  <c r="AC11" i="26"/>
  <c r="AZ15" i="2"/>
  <c r="BJ15" i="2" s="1"/>
  <c r="AZ16" i="2"/>
  <c r="BJ16" i="2" s="1"/>
  <c r="AZ11" i="2"/>
  <c r="BJ11" i="2" s="1"/>
  <c r="W15" i="1"/>
  <c r="AI15" i="1"/>
  <c r="W16" i="1"/>
  <c r="AI16" i="1"/>
  <c r="AK16" i="1" s="1"/>
  <c r="W11" i="1"/>
  <c r="AI11" i="1"/>
  <c r="I15" i="14"/>
  <c r="M15" i="14"/>
  <c r="AC15" i="14"/>
  <c r="AE15" i="14"/>
  <c r="I16" i="14"/>
  <c r="M16" i="14"/>
  <c r="AC16" i="14"/>
  <c r="I11" i="14"/>
  <c r="M11" i="14"/>
  <c r="AC11" i="14"/>
  <c r="AW15" i="17"/>
  <c r="AW16" i="17"/>
  <c r="AW11" i="17"/>
  <c r="K25" i="15"/>
  <c r="AE25" i="15"/>
  <c r="K23" i="15"/>
  <c r="AE23" i="15"/>
  <c r="K21" i="15"/>
  <c r="AE21" i="15"/>
  <c r="Q25" i="10"/>
  <c r="T25" i="10"/>
  <c r="Q23" i="10"/>
  <c r="T23" i="10"/>
  <c r="Q21" i="10"/>
  <c r="T21" i="10"/>
  <c r="AZ25" i="25"/>
  <c r="BJ25" i="25" s="1"/>
  <c r="AZ23" i="25"/>
  <c r="BJ23" i="25" s="1"/>
  <c r="AZ21" i="25"/>
  <c r="BJ21" i="25" s="1"/>
  <c r="W25" i="22"/>
  <c r="AM25" i="22"/>
  <c r="W23" i="22"/>
  <c r="AM23" i="22"/>
  <c r="W21" i="22"/>
  <c r="AM21" i="22"/>
  <c r="I25" i="26"/>
  <c r="M25" i="26"/>
  <c r="AC25" i="26"/>
  <c r="I23" i="26"/>
  <c r="M23" i="26"/>
  <c r="AC23" i="26"/>
  <c r="I21" i="26"/>
  <c r="AE21" i="26" s="1"/>
  <c r="M21" i="26"/>
  <c r="AC21" i="26"/>
  <c r="AZ25" i="2"/>
  <c r="BJ25" i="2" s="1"/>
  <c r="AZ23" i="2"/>
  <c r="BJ23" i="2" s="1"/>
  <c r="AZ21" i="2"/>
  <c r="BJ21" i="2" s="1"/>
  <c r="W25" i="1"/>
  <c r="AI25" i="1"/>
  <c r="W23" i="1"/>
  <c r="AI23" i="1"/>
  <c r="W21" i="1"/>
  <c r="AK21" i="1" s="1"/>
  <c r="I25" i="14"/>
  <c r="M25" i="14"/>
  <c r="AC25" i="14"/>
  <c r="I23" i="14"/>
  <c r="M23" i="14"/>
  <c r="AC23" i="14"/>
  <c r="I21" i="14"/>
  <c r="M21" i="14"/>
  <c r="AC21" i="14"/>
  <c r="AW25" i="17"/>
  <c r="AW23" i="17"/>
  <c r="AW21" i="17"/>
  <c r="AO11" i="22" l="1"/>
  <c r="BL11" i="25" s="1"/>
  <c r="BT11" i="25" s="1"/>
  <c r="BV11" i="25" s="1"/>
  <c r="AO15" i="22"/>
  <c r="BL15" i="25" s="1"/>
  <c r="BT15" i="25" s="1"/>
  <c r="AO16" i="22"/>
  <c r="BL16" i="25" s="1"/>
  <c r="BT16" i="25" s="1"/>
  <c r="BV16" i="25" s="1"/>
  <c r="AE16" i="26"/>
  <c r="BV15" i="25"/>
  <c r="AY16" i="17"/>
  <c r="BC16" i="17" s="1"/>
  <c r="BE16" i="17" s="1"/>
  <c r="AK23" i="1"/>
  <c r="AK11" i="1"/>
  <c r="AK15" i="1"/>
  <c r="AE25" i="14"/>
  <c r="AE11" i="14"/>
  <c r="AG15" i="15"/>
  <c r="AY15" i="17" s="1"/>
  <c r="BC15" i="17" s="1"/>
  <c r="BE15" i="17" s="1"/>
  <c r="BL21" i="2"/>
  <c r="BT21" i="2" s="1"/>
  <c r="BV21" i="2" s="1"/>
  <c r="BL11" i="2"/>
  <c r="BT11" i="2" s="1"/>
  <c r="BV11" i="2" s="1"/>
  <c r="BL15" i="2"/>
  <c r="BT15" i="2" s="1"/>
  <c r="BV15" i="2" s="1"/>
  <c r="BL16" i="2"/>
  <c r="BT16" i="2" s="1"/>
  <c r="BV16" i="2" s="1"/>
  <c r="AG23" i="15"/>
  <c r="AY23" i="17" s="1"/>
  <c r="BC23" i="17" s="1"/>
  <c r="BE23" i="17" s="1"/>
  <c r="AE16" i="14"/>
  <c r="AE15" i="26"/>
  <c r="AG11" i="15"/>
  <c r="AY11" i="17" s="1"/>
  <c r="BC11" i="17" s="1"/>
  <c r="BE11" i="17" s="1"/>
  <c r="AE23" i="26"/>
  <c r="BL23" i="2"/>
  <c r="BT23" i="2" s="1"/>
  <c r="BV23" i="2" s="1"/>
  <c r="AE23" i="14"/>
  <c r="AK25" i="1"/>
  <c r="BL25" i="2" s="1"/>
  <c r="BT25" i="2" s="1"/>
  <c r="BV25" i="2" s="1"/>
  <c r="AE25" i="26"/>
  <c r="AO23" i="22"/>
  <c r="BL23" i="25" s="1"/>
  <c r="BT23" i="25" s="1"/>
  <c r="BV23" i="25" s="1"/>
  <c r="AG21" i="15"/>
  <c r="AY21" i="17" s="1"/>
  <c r="BC21" i="17" s="1"/>
  <c r="BE21" i="17" s="1"/>
  <c r="AG25" i="15"/>
  <c r="AY25" i="17" s="1"/>
  <c r="BC25" i="17" s="1"/>
  <c r="BE25" i="17" s="1"/>
  <c r="AE21" i="14"/>
  <c r="AO21" i="22"/>
  <c r="BL21" i="25" s="1"/>
  <c r="BT21" i="25" s="1"/>
  <c r="BV21" i="25" s="1"/>
  <c r="AO25" i="22"/>
  <c r="BL25" i="25" s="1"/>
  <c r="BT25" i="25" s="1"/>
  <c r="BV25" i="25" s="1"/>
  <c r="M537" i="22" l="1"/>
  <c r="E537" i="26"/>
  <c r="E537" i="14"/>
  <c r="M537" i="15"/>
  <c r="G537" i="16"/>
  <c r="AP536" i="25"/>
  <c r="AI536" i="22"/>
  <c r="AC536" i="22"/>
  <c r="U536" i="22"/>
  <c r="M536" i="22"/>
  <c r="I536" i="22"/>
  <c r="AE536" i="1"/>
  <c r="U536" i="1"/>
  <c r="M536" i="1"/>
  <c r="Y536" i="26"/>
  <c r="U536" i="26"/>
  <c r="Y536" i="14"/>
  <c r="Y536" i="15"/>
  <c r="M536" i="15"/>
  <c r="E536" i="10"/>
  <c r="U535" i="25"/>
  <c r="M535" i="22"/>
  <c r="W535" i="22" s="1"/>
  <c r="AM535" i="22"/>
  <c r="U535" i="2"/>
  <c r="M535" i="1"/>
  <c r="E535" i="26"/>
  <c r="E535" i="14"/>
  <c r="U535" i="17"/>
  <c r="M535" i="15"/>
  <c r="G535" i="16"/>
  <c r="M534" i="22"/>
  <c r="M534" i="1"/>
  <c r="U534" i="26"/>
  <c r="S534" i="26"/>
  <c r="E534" i="26"/>
  <c r="S534" i="14"/>
  <c r="M534" i="15"/>
  <c r="G534" i="16"/>
  <c r="M531" i="22"/>
  <c r="M531" i="1"/>
  <c r="M531" i="15"/>
  <c r="G531" i="16"/>
  <c r="M530" i="22"/>
  <c r="M530" i="15"/>
  <c r="G530" i="16"/>
  <c r="M529" i="25"/>
  <c r="M529" i="22"/>
  <c r="M529" i="2"/>
  <c r="M529" i="1"/>
  <c r="AM529" i="17"/>
  <c r="M529" i="17"/>
  <c r="M529" i="15"/>
  <c r="G529" i="16"/>
  <c r="M527" i="22"/>
  <c r="I527" i="22"/>
  <c r="M527" i="1"/>
  <c r="I527" i="1"/>
  <c r="W527" i="26"/>
  <c r="Y527" i="26"/>
  <c r="U527" i="26"/>
  <c r="S527" i="26"/>
  <c r="Y527" i="14"/>
  <c r="W527" i="14"/>
  <c r="S527" i="14"/>
  <c r="M527" i="15"/>
  <c r="E527" i="10"/>
  <c r="AO535" i="22" l="1"/>
  <c r="M526" i="22"/>
  <c r="M526" i="1"/>
  <c r="Y526" i="26"/>
  <c r="U526" i="26"/>
  <c r="S526" i="26"/>
  <c r="G526" i="26"/>
  <c r="Y526" i="14"/>
  <c r="M526" i="15"/>
  <c r="G526" i="16"/>
  <c r="Q523" i="16"/>
  <c r="M523" i="22"/>
  <c r="M523" i="1"/>
  <c r="Q523" i="14"/>
  <c r="Q523" i="26"/>
  <c r="U523" i="26"/>
  <c r="S523" i="26"/>
  <c r="E523" i="26"/>
  <c r="S523" i="14"/>
  <c r="Y523" i="16"/>
  <c r="M523" i="15"/>
  <c r="G523" i="16"/>
  <c r="U522" i="25"/>
  <c r="M522" i="22"/>
  <c r="U522" i="2"/>
  <c r="U522" i="17"/>
  <c r="G522" i="16"/>
  <c r="M521" i="22"/>
  <c r="M521" i="1"/>
  <c r="E521" i="26"/>
  <c r="M521" i="15"/>
  <c r="G521" i="16"/>
  <c r="U520" i="22"/>
  <c r="M520" i="22"/>
  <c r="I520" i="22"/>
  <c r="U520" i="1"/>
  <c r="M520" i="1"/>
  <c r="I520" i="1"/>
  <c r="Y520" i="26"/>
  <c r="W520" i="26"/>
  <c r="U520" i="26"/>
  <c r="S520" i="26"/>
  <c r="Y520" i="14"/>
  <c r="M520" i="15"/>
  <c r="U519" i="22"/>
  <c r="M519" i="22"/>
  <c r="I519" i="22"/>
  <c r="U519" i="1"/>
  <c r="M519" i="1"/>
  <c r="I519" i="1"/>
  <c r="Y519" i="26"/>
  <c r="W519" i="26"/>
  <c r="U519" i="26"/>
  <c r="Y519" i="14"/>
  <c r="W519" i="14"/>
  <c r="M519" i="15"/>
  <c r="E519" i="10"/>
  <c r="M518" i="22"/>
  <c r="M518" i="1"/>
  <c r="E518" i="26"/>
  <c r="M518" i="15"/>
  <c r="G518" i="16"/>
  <c r="E518" i="10"/>
  <c r="M517" i="22"/>
  <c r="M517" i="1"/>
  <c r="G517" i="26"/>
  <c r="M517" i="15"/>
  <c r="G517" i="16"/>
  <c r="E517" i="10"/>
  <c r="I515" i="22"/>
  <c r="I515" i="1"/>
  <c r="M515" i="15"/>
  <c r="E515" i="10"/>
  <c r="U514" i="25"/>
  <c r="AC514" i="22"/>
  <c r="M514" i="22"/>
  <c r="U514" i="2"/>
  <c r="E514" i="26"/>
  <c r="U514" i="17"/>
  <c r="M514" i="15"/>
  <c r="G514" i="16"/>
  <c r="M510" i="22"/>
  <c r="M510" i="1"/>
  <c r="E510" i="26"/>
  <c r="M510" i="15"/>
  <c r="G510" i="16"/>
  <c r="E510" i="10"/>
  <c r="M512" i="22" l="1"/>
  <c r="M512" i="1"/>
  <c r="M512" i="15"/>
  <c r="G512" i="16"/>
  <c r="U509" i="22"/>
  <c r="M509" i="22"/>
  <c r="I509" i="22"/>
  <c r="U509" i="1"/>
  <c r="I509" i="1"/>
  <c r="U509" i="26"/>
  <c r="S509" i="26"/>
  <c r="M509" i="15"/>
  <c r="K509" i="10"/>
  <c r="E509" i="10"/>
  <c r="M508" i="22"/>
  <c r="M508" i="1"/>
  <c r="M508" i="15"/>
  <c r="G508" i="16"/>
  <c r="AC507" i="22"/>
  <c r="M507" i="22"/>
  <c r="E507" i="26"/>
  <c r="M507" i="15"/>
  <c r="G507" i="16"/>
  <c r="E507" i="10"/>
  <c r="M506" i="22"/>
  <c r="M506" i="1"/>
  <c r="M506" i="15"/>
  <c r="G506" i="16"/>
  <c r="M505" i="25"/>
  <c r="M505" i="22"/>
  <c r="M505" i="2"/>
  <c r="M505" i="1"/>
  <c r="E505" i="14"/>
  <c r="M505" i="17"/>
  <c r="M505" i="15"/>
  <c r="G505" i="16"/>
  <c r="M504" i="22"/>
  <c r="I504" i="22"/>
  <c r="M504" i="1"/>
  <c r="Y504" i="26"/>
  <c r="U504" i="26"/>
  <c r="Y504" i="14"/>
  <c r="M504" i="15"/>
  <c r="E504" i="10"/>
  <c r="M503" i="25"/>
  <c r="M503" i="22"/>
  <c r="M503" i="2"/>
  <c r="M503" i="1"/>
  <c r="E503" i="26"/>
  <c r="M503" i="17"/>
  <c r="M503" i="15"/>
  <c r="G503" i="16"/>
  <c r="E503" i="10"/>
  <c r="M502" i="22"/>
  <c r="M502" i="1"/>
  <c r="E502" i="26"/>
  <c r="E502" i="14"/>
  <c r="G502" i="16"/>
  <c r="M501" i="22"/>
  <c r="I501" i="22"/>
  <c r="M501" i="1"/>
  <c r="Y501" i="26"/>
  <c r="U501" i="26"/>
  <c r="S501" i="26"/>
  <c r="Y501" i="14"/>
  <c r="S501" i="14"/>
  <c r="M501" i="15"/>
  <c r="E501" i="10"/>
  <c r="M500" i="22"/>
  <c r="I500" i="22"/>
  <c r="M500" i="1"/>
  <c r="Y500" i="26"/>
  <c r="U500" i="26"/>
  <c r="S500" i="26"/>
  <c r="Y500" i="14"/>
  <c r="S500" i="14"/>
  <c r="M500" i="15"/>
  <c r="E500" i="10"/>
  <c r="M494" i="22"/>
  <c r="M494" i="1"/>
  <c r="U494" i="26"/>
  <c r="S494" i="26"/>
  <c r="E494" i="26"/>
  <c r="S494" i="14"/>
  <c r="E494" i="14"/>
  <c r="M494" i="15"/>
  <c r="G494" i="16"/>
  <c r="M493" i="22"/>
  <c r="I493" i="22"/>
  <c r="Y493" i="26"/>
  <c r="W493" i="26"/>
  <c r="U493" i="26"/>
  <c r="S493" i="26"/>
  <c r="M493" i="1"/>
  <c r="Y493" i="14"/>
  <c r="S493" i="14"/>
  <c r="M493" i="15"/>
  <c r="M492" i="22"/>
  <c r="M492" i="1"/>
  <c r="M492" i="15"/>
  <c r="G492" i="16"/>
  <c r="M491" i="22" l="1"/>
  <c r="M491" i="1"/>
  <c r="E491" i="26"/>
  <c r="M491" i="15"/>
  <c r="G491" i="16"/>
  <c r="M498" i="22"/>
  <c r="I498" i="22"/>
  <c r="Y498" i="26"/>
  <c r="U498" i="26"/>
  <c r="S498" i="26"/>
  <c r="E498" i="26"/>
  <c r="AZ490" i="25"/>
  <c r="BJ490" i="25" s="1"/>
  <c r="AZ489" i="25"/>
  <c r="BJ489" i="25" s="1"/>
  <c r="AM490" i="22"/>
  <c r="M490" i="22"/>
  <c r="I490" i="22"/>
  <c r="AM489" i="22"/>
  <c r="M489" i="22"/>
  <c r="W489" i="22" s="1"/>
  <c r="AO489" i="22" s="1"/>
  <c r="Y490" i="26"/>
  <c r="U490" i="26"/>
  <c r="S490" i="26"/>
  <c r="O490" i="26"/>
  <c r="M490" i="26" s="1"/>
  <c r="E490" i="26"/>
  <c r="I490" i="26" s="1"/>
  <c r="AC489" i="26"/>
  <c r="M489" i="26"/>
  <c r="I489" i="26"/>
  <c r="AZ490" i="2"/>
  <c r="BJ490" i="2" s="1"/>
  <c r="AZ489" i="2"/>
  <c r="BJ489" i="2" s="1"/>
  <c r="AI490" i="1"/>
  <c r="M490" i="1"/>
  <c r="I490" i="1"/>
  <c r="AI489" i="1"/>
  <c r="M489" i="1"/>
  <c r="W489" i="1" s="1"/>
  <c r="Y490" i="14"/>
  <c r="AC490" i="14" s="1"/>
  <c r="O490" i="14"/>
  <c r="M490" i="14"/>
  <c r="I490" i="14"/>
  <c r="AC489" i="14"/>
  <c r="M489" i="14"/>
  <c r="I489" i="14"/>
  <c r="AW490" i="17"/>
  <c r="AW489" i="17"/>
  <c r="M490" i="15"/>
  <c r="AE490" i="15" s="1"/>
  <c r="K490" i="15"/>
  <c r="M489" i="15"/>
  <c r="AE489" i="15" s="1"/>
  <c r="K489" i="15"/>
  <c r="U490" i="16"/>
  <c r="O490" i="16"/>
  <c r="K490" i="16"/>
  <c r="E490" i="16"/>
  <c r="U489" i="16"/>
  <c r="O489" i="16"/>
  <c r="K489" i="16"/>
  <c r="G489" i="16"/>
  <c r="E489" i="16" s="1"/>
  <c r="E490" i="10"/>
  <c r="Q490" i="10" s="1"/>
  <c r="Q489" i="10"/>
  <c r="BL489" i="25" l="1"/>
  <c r="BT489" i="25" s="1"/>
  <c r="AC490" i="26"/>
  <c r="AG490" i="15"/>
  <c r="AY490" i="17" s="1"/>
  <c r="BC490" i="17" s="1"/>
  <c r="W490" i="1"/>
  <c r="AK490" i="1" s="1"/>
  <c r="BL490" i="2" s="1"/>
  <c r="BT490" i="2" s="1"/>
  <c r="AG489" i="15"/>
  <c r="AY489" i="17" s="1"/>
  <c r="BC489" i="17" s="1"/>
  <c r="AK489" i="1"/>
  <c r="BL489" i="2" s="1"/>
  <c r="BT489" i="2" s="1"/>
  <c r="W490" i="22"/>
  <c r="AO490" i="22" s="1"/>
  <c r="BL490" i="25" s="1"/>
  <c r="BT490" i="25" s="1"/>
  <c r="M498" i="1" l="1"/>
  <c r="I498" i="1"/>
  <c r="Y498" i="14"/>
  <c r="S498" i="14"/>
  <c r="E498" i="14"/>
  <c r="M498" i="15"/>
  <c r="E498" i="10"/>
  <c r="AC497" i="22"/>
  <c r="M497" i="22"/>
  <c r="M497" i="1"/>
  <c r="M497" i="15"/>
  <c r="G497" i="16"/>
  <c r="M495" i="22"/>
  <c r="M495" i="1"/>
  <c r="M495" i="17"/>
  <c r="M495" i="15"/>
  <c r="G495" i="16"/>
  <c r="AP488" i="25" l="1"/>
  <c r="AC488" i="22"/>
  <c r="I488" i="22"/>
  <c r="M488" i="22"/>
  <c r="I488" i="1"/>
  <c r="M488" i="1"/>
  <c r="S488" i="1"/>
  <c r="Y488" i="26"/>
  <c r="W488" i="26"/>
  <c r="U488" i="26"/>
  <c r="S488" i="26"/>
  <c r="E488" i="26"/>
  <c r="Y488" i="14"/>
  <c r="Q488" i="15"/>
  <c r="M488" i="15"/>
  <c r="O488" i="16"/>
  <c r="E488" i="10"/>
  <c r="M487" i="22" l="1"/>
  <c r="E487" i="26"/>
  <c r="M487" i="15"/>
  <c r="G487" i="16"/>
  <c r="O487" i="16"/>
  <c r="M486" i="22"/>
  <c r="M486" i="1"/>
  <c r="G486" i="16"/>
  <c r="O486" i="16"/>
  <c r="AV485" i="25"/>
  <c r="AC485" i="22"/>
  <c r="M485" i="22"/>
  <c r="M485" i="1"/>
  <c r="E485" i="26"/>
  <c r="M485" i="15"/>
  <c r="G485" i="16"/>
  <c r="O485" i="16"/>
  <c r="E485" i="10"/>
  <c r="M484" i="25"/>
  <c r="M484" i="2"/>
  <c r="M484" i="22"/>
  <c r="M484" i="1"/>
  <c r="M484" i="17"/>
  <c r="M484" i="15"/>
  <c r="G484" i="16"/>
  <c r="O484" i="16"/>
  <c r="M483" i="22" l="1"/>
  <c r="M483" i="1"/>
  <c r="Y483" i="26"/>
  <c r="U483" i="26"/>
  <c r="S483" i="26"/>
  <c r="Y483" i="14"/>
  <c r="S483" i="14"/>
  <c r="G483" i="16"/>
  <c r="O483" i="16"/>
  <c r="I482" i="22"/>
  <c r="M482" i="22"/>
  <c r="I482" i="1"/>
  <c r="M482" i="1"/>
  <c r="Y482" i="26"/>
  <c r="W482" i="26"/>
  <c r="U482" i="26"/>
  <c r="S482" i="26"/>
  <c r="O482" i="26"/>
  <c r="Y482" i="14"/>
  <c r="S482" i="14"/>
  <c r="O482" i="14"/>
  <c r="M482" i="15"/>
  <c r="O482" i="16"/>
  <c r="E482" i="10"/>
  <c r="AC481" i="22"/>
  <c r="M481" i="22"/>
  <c r="M481" i="1"/>
  <c r="M481" i="15"/>
  <c r="G481" i="16"/>
  <c r="O481" i="16"/>
  <c r="I480" i="22"/>
  <c r="M480" i="22"/>
  <c r="M480" i="1"/>
  <c r="Y480" i="26"/>
  <c r="U480" i="26"/>
  <c r="O480" i="26"/>
  <c r="Y480" i="14"/>
  <c r="O480" i="14"/>
  <c r="M480" i="15"/>
  <c r="O480" i="16"/>
  <c r="E480" i="10"/>
  <c r="M479" i="22"/>
  <c r="M479" i="1"/>
  <c r="E479" i="26"/>
  <c r="Y479" i="15"/>
  <c r="M479" i="15"/>
  <c r="G479" i="16"/>
  <c r="O479" i="16"/>
  <c r="E479" i="10"/>
  <c r="M477" i="22"/>
  <c r="M477" i="1"/>
  <c r="M477" i="15"/>
  <c r="G477" i="16"/>
  <c r="O477" i="16"/>
  <c r="M476" i="22"/>
  <c r="E476" i="26"/>
  <c r="M476" i="15"/>
  <c r="G476" i="16"/>
  <c r="O476" i="16"/>
  <c r="I473" i="22" l="1"/>
  <c r="M473" i="22"/>
  <c r="I473" i="1"/>
  <c r="M473" i="1"/>
  <c r="U473" i="26"/>
  <c r="Y473" i="26"/>
  <c r="W473" i="26"/>
  <c r="O473" i="26"/>
  <c r="Y473" i="14"/>
  <c r="W473" i="14"/>
  <c r="O473" i="14"/>
  <c r="M473" i="15"/>
  <c r="O473" i="16"/>
  <c r="E473" i="10"/>
  <c r="M471" i="25"/>
  <c r="AI471" i="22"/>
  <c r="M471" i="22"/>
  <c r="AE471" i="1"/>
  <c r="M471" i="1"/>
  <c r="M471" i="17"/>
  <c r="G471" i="16"/>
  <c r="O471" i="16"/>
  <c r="M470" i="22"/>
  <c r="M470" i="1"/>
  <c r="M470" i="15"/>
  <c r="G470" i="16"/>
  <c r="O470" i="16"/>
  <c r="M468" i="25"/>
  <c r="M468" i="2"/>
  <c r="M468" i="22"/>
  <c r="M468" i="1"/>
  <c r="E468" i="26"/>
  <c r="M468" i="17"/>
  <c r="M468" i="15"/>
  <c r="G468" i="16"/>
  <c r="O468" i="16"/>
  <c r="M467" i="22"/>
  <c r="M467" i="1"/>
  <c r="Y467" i="26"/>
  <c r="W467" i="26"/>
  <c r="U467" i="26"/>
  <c r="Y467" i="14"/>
  <c r="Y467" i="15"/>
  <c r="G467" i="16"/>
  <c r="O467" i="16"/>
  <c r="I466" i="22"/>
  <c r="M466" i="22"/>
  <c r="I466" i="1"/>
  <c r="M466" i="1"/>
  <c r="U466" i="26"/>
  <c r="O466" i="26"/>
  <c r="E466" i="26"/>
  <c r="O466" i="14"/>
  <c r="E466" i="14"/>
  <c r="Y466" i="15"/>
  <c r="M466" i="15"/>
  <c r="O466" i="16"/>
  <c r="AC463" i="22"/>
  <c r="AV463" i="25"/>
  <c r="M463" i="22"/>
  <c r="M463" i="1"/>
  <c r="M463" i="15"/>
  <c r="G463" i="16"/>
  <c r="O463" i="16"/>
  <c r="E463" i="10"/>
  <c r="AV461" i="25"/>
  <c r="AC461" i="22"/>
  <c r="M461" i="22"/>
  <c r="M461" i="1"/>
  <c r="M461" i="15"/>
  <c r="G461" i="16"/>
  <c r="O461" i="16"/>
  <c r="M459" i="22" l="1"/>
  <c r="M459" i="1"/>
  <c r="M459" i="15"/>
  <c r="G459" i="16"/>
  <c r="O459" i="16"/>
  <c r="E459" i="10"/>
  <c r="M458" i="22"/>
  <c r="I458" i="22"/>
  <c r="M458" i="1"/>
  <c r="U458" i="26"/>
  <c r="Y458" i="26"/>
  <c r="W458" i="26"/>
  <c r="S458" i="26"/>
  <c r="O458" i="26"/>
  <c r="E458" i="26"/>
  <c r="Y458" i="14"/>
  <c r="S458" i="14"/>
  <c r="O458" i="14"/>
  <c r="M458" i="15"/>
  <c r="O458" i="16"/>
  <c r="E458" i="10"/>
  <c r="K458" i="10"/>
  <c r="AC457" i="22"/>
  <c r="M457" i="22"/>
  <c r="AC457" i="1"/>
  <c r="M457" i="1"/>
  <c r="Y457" i="15"/>
  <c r="M457" i="15"/>
  <c r="G457" i="16"/>
  <c r="O457" i="16"/>
  <c r="E457" i="10"/>
  <c r="AV456" i="25" l="1"/>
  <c r="AC456" i="22" l="1"/>
  <c r="I456" i="22"/>
  <c r="U456" i="22"/>
  <c r="M456" i="22"/>
  <c r="I456" i="1"/>
  <c r="U456" i="1"/>
  <c r="M456" i="1"/>
  <c r="Y456" i="26"/>
  <c r="U456" i="26"/>
  <c r="S456" i="26"/>
  <c r="O456" i="26"/>
  <c r="Y456" i="14"/>
  <c r="S456" i="14"/>
  <c r="O456" i="14"/>
  <c r="M456" i="15"/>
  <c r="O456" i="16"/>
  <c r="E456" i="10"/>
  <c r="AC455" i="22"/>
  <c r="I455" i="22"/>
  <c r="U455" i="22"/>
  <c r="M455" i="22"/>
  <c r="U455" i="1"/>
  <c r="M455" i="1"/>
  <c r="I455" i="1"/>
  <c r="O455" i="26"/>
  <c r="M455" i="15"/>
  <c r="G455" i="16"/>
  <c r="O455" i="16"/>
  <c r="E455" i="10"/>
  <c r="I453" i="22" l="1"/>
  <c r="M453" i="22"/>
  <c r="I453" i="1"/>
  <c r="M453" i="1"/>
  <c r="Y453" i="26"/>
  <c r="U453" i="26"/>
  <c r="S453" i="26"/>
  <c r="O453" i="26"/>
  <c r="E453" i="26"/>
  <c r="Y453" i="14"/>
  <c r="O453" i="14"/>
  <c r="M453" i="15"/>
  <c r="O453" i="16"/>
  <c r="E453" i="10"/>
  <c r="I451" i="22" l="1"/>
  <c r="M451" i="22"/>
  <c r="M451" i="1"/>
  <c r="Y451" i="26"/>
  <c r="W451" i="26"/>
  <c r="U451" i="26"/>
  <c r="S451" i="26"/>
  <c r="O451" i="26"/>
  <c r="Y451" i="14"/>
  <c r="O451" i="14"/>
  <c r="M451" i="15"/>
  <c r="O451" i="16"/>
  <c r="E451" i="10"/>
  <c r="M450" i="22" l="1"/>
  <c r="M450" i="1"/>
  <c r="M450" i="15"/>
  <c r="G450" i="16"/>
  <c r="O450" i="16"/>
  <c r="AI449" i="25" l="1"/>
  <c r="AI449" i="2"/>
  <c r="M449" i="22"/>
  <c r="M449" i="1"/>
  <c r="AM449" i="17"/>
  <c r="M449" i="15"/>
  <c r="G449" i="16"/>
  <c r="O449" i="16"/>
  <c r="AP447" i="25"/>
  <c r="AP447" i="2"/>
  <c r="I447" i="22"/>
  <c r="M447" i="22"/>
  <c r="M447" i="1"/>
  <c r="I447" i="1"/>
  <c r="Y447" i="26"/>
  <c r="U447" i="26"/>
  <c r="S447" i="26"/>
  <c r="O447" i="26"/>
  <c r="E447" i="26"/>
  <c r="Y447" i="14"/>
  <c r="S447" i="14"/>
  <c r="O447" i="14"/>
  <c r="M447" i="15"/>
  <c r="O447" i="16"/>
  <c r="K447" i="10"/>
  <c r="M445" i="25" l="1"/>
  <c r="M445" i="2" l="1"/>
  <c r="AI445" i="22"/>
  <c r="M445" i="22"/>
  <c r="AE445" i="1"/>
  <c r="M445" i="1"/>
  <c r="M445" i="17"/>
  <c r="M445" i="15"/>
  <c r="G445" i="16"/>
  <c r="O445" i="16"/>
  <c r="E445" i="10"/>
  <c r="AM444" i="22"/>
  <c r="M444" i="22"/>
  <c r="M444" i="1"/>
  <c r="M444" i="15"/>
  <c r="G444" i="16"/>
  <c r="O444" i="16"/>
  <c r="G444" i="10"/>
  <c r="K444" i="10"/>
  <c r="I444" i="10"/>
  <c r="M441" i="22"/>
  <c r="M441" i="1"/>
  <c r="Y441" i="15"/>
  <c r="M441" i="15"/>
  <c r="G441" i="16"/>
  <c r="O441" i="16"/>
  <c r="E441" i="10"/>
  <c r="M575" i="25"/>
  <c r="M575" i="22"/>
  <c r="M575" i="1"/>
  <c r="E575" i="26"/>
  <c r="M575" i="17"/>
  <c r="Y575" i="15"/>
  <c r="M575" i="15"/>
  <c r="G575" i="16"/>
  <c r="O575" i="16"/>
  <c r="AV573" i="25"/>
  <c r="AC573" i="22"/>
  <c r="U573" i="22"/>
  <c r="M573" i="22"/>
  <c r="U573" i="1"/>
  <c r="M573" i="1"/>
  <c r="M573" i="15"/>
  <c r="G573" i="16"/>
  <c r="O573" i="16"/>
  <c r="E573" i="10"/>
  <c r="AV571" i="25"/>
  <c r="M571" i="1"/>
  <c r="AC571" i="22"/>
  <c r="I571" i="22"/>
  <c r="M571" i="22"/>
  <c r="Y571" i="26"/>
  <c r="U571" i="26"/>
  <c r="S571" i="26"/>
  <c r="O571" i="26"/>
  <c r="Y571" i="14"/>
  <c r="O571" i="14"/>
  <c r="M571" i="15"/>
  <c r="O571" i="16"/>
  <c r="E571" i="10"/>
  <c r="M569" i="22"/>
  <c r="M569" i="1"/>
  <c r="M569" i="15"/>
  <c r="G569" i="16"/>
  <c r="O569" i="16"/>
  <c r="I568" i="22"/>
  <c r="M568" i="22"/>
  <c r="M568" i="1"/>
  <c r="Y568" i="26"/>
  <c r="W568" i="26"/>
  <c r="U568" i="26"/>
  <c r="S568" i="26"/>
  <c r="O568" i="26"/>
  <c r="E568" i="26"/>
  <c r="Y568" i="14"/>
  <c r="S568" i="14"/>
  <c r="O568" i="14"/>
  <c r="M568" i="15"/>
  <c r="O568" i="16"/>
  <c r="M563" i="22"/>
  <c r="I563" i="22"/>
  <c r="U563" i="26"/>
  <c r="G563" i="16"/>
  <c r="O563" i="16"/>
  <c r="AP562" i="25"/>
  <c r="AP562" i="2"/>
  <c r="I562" i="22"/>
  <c r="M562" i="22"/>
  <c r="I562" i="1"/>
  <c r="M562" i="1"/>
  <c r="Y562" i="26"/>
  <c r="W562" i="26"/>
  <c r="U562" i="26"/>
  <c r="S562" i="26"/>
  <c r="O562" i="26"/>
  <c r="Y562" i="14"/>
  <c r="O562" i="14"/>
  <c r="M562" i="15"/>
  <c r="O562" i="16"/>
  <c r="M561" i="22" l="1"/>
  <c r="M561" i="1"/>
  <c r="M561" i="15"/>
  <c r="G561" i="16"/>
  <c r="O561" i="16"/>
  <c r="M559" i="25"/>
  <c r="M559" i="2"/>
  <c r="M559" i="22"/>
  <c r="M559" i="1"/>
  <c r="E559" i="26"/>
  <c r="M559" i="17"/>
  <c r="M559" i="15"/>
  <c r="O559" i="16"/>
  <c r="AV557" i="25"/>
  <c r="AC557" i="22"/>
  <c r="M557" i="22"/>
  <c r="M557" i="1"/>
  <c r="M557" i="15"/>
  <c r="G557" i="16"/>
  <c r="O557" i="16"/>
  <c r="E557" i="10"/>
  <c r="AP556" i="25"/>
  <c r="AP556" i="2"/>
  <c r="I556" i="22"/>
  <c r="M556" i="22"/>
  <c r="I556" i="1"/>
  <c r="M556" i="1"/>
  <c r="Y556" i="26"/>
  <c r="U556" i="26"/>
  <c r="S556" i="26"/>
  <c r="O556" i="26"/>
  <c r="Y556" i="14"/>
  <c r="S556" i="14"/>
  <c r="O556" i="14"/>
  <c r="M556" i="15"/>
  <c r="O556" i="16"/>
  <c r="E556" i="10"/>
  <c r="M555" i="22"/>
  <c r="Y555" i="26"/>
  <c r="U555" i="26"/>
  <c r="S555" i="26"/>
  <c r="Y555" i="14"/>
  <c r="S555" i="14"/>
  <c r="M555" i="15"/>
  <c r="G555" i="16"/>
  <c r="O555" i="16"/>
  <c r="E555" i="10"/>
  <c r="AC556" i="14" l="1"/>
  <c r="M554" i="22"/>
  <c r="M554" i="1"/>
  <c r="E554" i="26"/>
  <c r="M554" i="15"/>
  <c r="G554" i="16"/>
  <c r="O554" i="16"/>
  <c r="K554" i="10"/>
  <c r="M551" i="22"/>
  <c r="M551" i="1"/>
  <c r="M551" i="15"/>
  <c r="G551" i="16"/>
  <c r="O551" i="16"/>
  <c r="M550" i="25"/>
  <c r="M550" i="2"/>
  <c r="M550" i="22"/>
  <c r="M550" i="1"/>
  <c r="E550" i="26"/>
  <c r="M550" i="17"/>
  <c r="Y550" i="15"/>
  <c r="M550" i="15"/>
  <c r="G550" i="16"/>
  <c r="O550" i="16"/>
  <c r="M549" i="22"/>
  <c r="M549" i="1"/>
  <c r="M549" i="15"/>
  <c r="G549" i="16"/>
  <c r="O549" i="16"/>
  <c r="I548" i="22"/>
  <c r="M548" i="22"/>
  <c r="M548" i="1"/>
  <c r="Y548" i="26"/>
  <c r="U548" i="26"/>
  <c r="S548" i="26"/>
  <c r="O548" i="26"/>
  <c r="Y548" i="14"/>
  <c r="O548" i="14"/>
  <c r="M548" i="15"/>
  <c r="O548" i="16"/>
  <c r="E548" i="10"/>
  <c r="K548" i="10"/>
  <c r="M547" i="25"/>
  <c r="M547" i="2"/>
  <c r="AE547" i="1"/>
  <c r="AI547" i="22"/>
  <c r="M547" i="22"/>
  <c r="E547" i="26"/>
  <c r="M547" i="17"/>
  <c r="Y547" i="15"/>
  <c r="M547" i="15"/>
  <c r="G547" i="16"/>
  <c r="O547" i="16"/>
  <c r="AC545" i="22" l="1"/>
  <c r="I545" i="22"/>
  <c r="U545" i="22"/>
  <c r="M545" i="22"/>
  <c r="U545" i="1"/>
  <c r="I545" i="1"/>
  <c r="M545" i="1"/>
  <c r="E545" i="26"/>
  <c r="M545" i="15"/>
  <c r="G545" i="16"/>
  <c r="O545" i="16"/>
  <c r="AI544" i="25"/>
  <c r="I544" i="22"/>
  <c r="M544" i="22"/>
  <c r="AM544" i="17"/>
  <c r="M544" i="15"/>
  <c r="G544" i="16"/>
  <c r="O544" i="16"/>
  <c r="I543" i="22"/>
  <c r="M543" i="22"/>
  <c r="M543" i="1"/>
  <c r="Y543" i="26"/>
  <c r="U543" i="26"/>
  <c r="S543" i="26"/>
  <c r="O543" i="26"/>
  <c r="E543" i="26"/>
  <c r="Y543" i="14"/>
  <c r="O543" i="14"/>
  <c r="Y543" i="15"/>
  <c r="M543" i="15"/>
  <c r="O543" i="16"/>
  <c r="E543" i="10"/>
  <c r="AV542" i="25"/>
  <c r="AC542" i="22"/>
  <c r="M542" i="22"/>
  <c r="M542" i="1"/>
  <c r="M542" i="15"/>
  <c r="G542" i="16"/>
  <c r="O542" i="16"/>
  <c r="M541" i="25"/>
  <c r="BH541" i="25"/>
  <c r="M541" i="2"/>
  <c r="AI541" i="22"/>
  <c r="M541" i="22"/>
  <c r="AE541" i="1"/>
  <c r="M541" i="1"/>
  <c r="E541" i="26"/>
  <c r="G541" i="16"/>
  <c r="M541" i="17"/>
  <c r="M541" i="15"/>
  <c r="O541" i="16"/>
  <c r="AP540" i="25"/>
  <c r="AC540" i="22"/>
  <c r="I540" i="22"/>
  <c r="M540" i="22"/>
  <c r="I540" i="1"/>
  <c r="M540" i="1"/>
  <c r="Y540" i="26"/>
  <c r="W540" i="26"/>
  <c r="U540" i="26"/>
  <c r="S540" i="26"/>
  <c r="O540" i="26"/>
  <c r="E540" i="26"/>
  <c r="Y540" i="14"/>
  <c r="S540" i="14"/>
  <c r="O540" i="14"/>
  <c r="O540" i="15"/>
  <c r="M540" i="15"/>
  <c r="O540" i="16"/>
  <c r="E540" i="10"/>
  <c r="M539" i="22"/>
  <c r="M539" i="1"/>
  <c r="Y539" i="26"/>
  <c r="U539" i="26"/>
  <c r="O539" i="26"/>
  <c r="E539" i="26"/>
  <c r="Y539" i="14"/>
  <c r="O539" i="14"/>
  <c r="E539" i="14"/>
  <c r="M539" i="15"/>
  <c r="G539" i="16"/>
  <c r="O539" i="16"/>
  <c r="M538" i="22"/>
  <c r="E538" i="26"/>
  <c r="M538" i="15"/>
  <c r="G538" i="16"/>
  <c r="O538" i="16"/>
  <c r="E538" i="10"/>
  <c r="AV630" i="25" l="1"/>
  <c r="AC630" i="22"/>
  <c r="M630" i="22"/>
  <c r="M630" i="1"/>
  <c r="U630" i="26"/>
  <c r="S630" i="26"/>
  <c r="E630" i="26"/>
  <c r="S630" i="14"/>
  <c r="Y630" i="15"/>
  <c r="M630" i="15"/>
  <c r="G630" i="16"/>
  <c r="O630" i="16"/>
  <c r="M629" i="22"/>
  <c r="M629" i="1"/>
  <c r="M629" i="15"/>
  <c r="G629" i="16"/>
  <c r="O629" i="16"/>
  <c r="K629" i="10"/>
  <c r="M628" i="22"/>
  <c r="M628" i="1"/>
  <c r="E628" i="26"/>
  <c r="Q628" i="15"/>
  <c r="M628" i="15"/>
  <c r="G628" i="16"/>
  <c r="O628" i="16"/>
  <c r="AC627" i="22"/>
  <c r="AV627" i="25"/>
  <c r="M627" i="25"/>
  <c r="M627" i="2"/>
  <c r="M627" i="22"/>
  <c r="M627" i="1"/>
  <c r="M627" i="17"/>
  <c r="M627" i="15"/>
  <c r="G627" i="16"/>
  <c r="O627" i="16"/>
  <c r="E627" i="10"/>
  <c r="AM626" i="22"/>
  <c r="M626" i="25"/>
  <c r="M626" i="2"/>
  <c r="M626" i="22"/>
  <c r="M626" i="1"/>
  <c r="E626" i="26"/>
  <c r="M626" i="17"/>
  <c r="Y626" i="15"/>
  <c r="M626" i="15"/>
  <c r="G626" i="16"/>
  <c r="O626" i="16"/>
  <c r="E626" i="10"/>
  <c r="I626" i="10"/>
  <c r="M625" i="22"/>
  <c r="M625" i="1"/>
  <c r="M625" i="15"/>
  <c r="G625" i="16"/>
  <c r="O625" i="16"/>
  <c r="I624" i="22"/>
  <c r="M624" i="22"/>
  <c r="I624" i="1"/>
  <c r="M624" i="1"/>
  <c r="Y624" i="26"/>
  <c r="W624" i="26"/>
  <c r="U624" i="26"/>
  <c r="S624" i="26"/>
  <c r="O624" i="26"/>
  <c r="E624" i="26"/>
  <c r="Y624" i="14"/>
  <c r="W624" i="14"/>
  <c r="O624" i="14"/>
  <c r="M624" i="15"/>
  <c r="O624" i="16"/>
  <c r="E624" i="10"/>
  <c r="M623" i="22"/>
  <c r="M623" i="1"/>
  <c r="W623" i="26"/>
  <c r="U623" i="26"/>
  <c r="M623" i="15"/>
  <c r="G623" i="16"/>
  <c r="O623" i="16"/>
  <c r="E623" i="10"/>
  <c r="M622" i="25" l="1"/>
  <c r="M622" i="2"/>
  <c r="M622" i="22"/>
  <c r="M622" i="1"/>
  <c r="M622" i="17"/>
  <c r="M622" i="15"/>
  <c r="G622" i="16"/>
  <c r="O622" i="16"/>
  <c r="E622" i="10"/>
  <c r="AV621" i="25"/>
  <c r="AC621" i="22"/>
  <c r="M621" i="22"/>
  <c r="M621" i="1"/>
  <c r="M621" i="15" l="1"/>
  <c r="O621" i="16"/>
  <c r="I620" i="22" l="1"/>
  <c r="M620" i="22"/>
  <c r="M620" i="1"/>
  <c r="Y620" i="26"/>
  <c r="U620" i="26"/>
  <c r="S620" i="26"/>
  <c r="O620" i="26"/>
  <c r="Y620" i="14"/>
  <c r="U620" i="14"/>
  <c r="S620" i="14"/>
  <c r="O620" i="14"/>
  <c r="M620" i="15"/>
  <c r="O620" i="16"/>
  <c r="AV619" i="25" l="1"/>
  <c r="M619" i="22"/>
  <c r="E619" i="26"/>
  <c r="Y619" i="15"/>
  <c r="M619" i="15"/>
  <c r="G619" i="16"/>
  <c r="O619" i="16"/>
  <c r="E619" i="10"/>
  <c r="M618" i="22"/>
  <c r="M618" i="1"/>
  <c r="M618" i="15"/>
  <c r="G618" i="16"/>
  <c r="O618" i="16"/>
  <c r="I617" i="22"/>
  <c r="M617" i="22"/>
  <c r="I617" i="1"/>
  <c r="M617" i="1"/>
  <c r="Y617" i="26"/>
  <c r="U617" i="26"/>
  <c r="O617" i="26"/>
  <c r="E617" i="26"/>
  <c r="Y617" i="14"/>
  <c r="O617" i="14"/>
  <c r="E617" i="14"/>
  <c r="M617" i="15"/>
  <c r="O617" i="16"/>
  <c r="M616" i="22"/>
  <c r="M616" i="1"/>
  <c r="M616" i="15"/>
  <c r="G616" i="16"/>
  <c r="O616" i="16"/>
  <c r="AC615" i="22"/>
  <c r="M615" i="22"/>
  <c r="M615" i="1"/>
  <c r="M615" i="15"/>
  <c r="G615" i="16"/>
  <c r="O615" i="16"/>
  <c r="E615" i="10"/>
  <c r="O615" i="10"/>
  <c r="T249" i="10" l="1"/>
  <c r="AZ249" i="25"/>
  <c r="BJ249" i="25" s="1"/>
  <c r="W249" i="22"/>
  <c r="AO249" i="22" s="1"/>
  <c r="AC249" i="26"/>
  <c r="M249" i="26"/>
  <c r="I249" i="26"/>
  <c r="AZ249" i="2"/>
  <c r="BJ249" i="2" s="1"/>
  <c r="W249" i="1"/>
  <c r="AK249" i="1" s="1"/>
  <c r="AC249" i="14"/>
  <c r="M249" i="14"/>
  <c r="I249" i="14"/>
  <c r="AW249" i="17"/>
  <c r="AE249" i="15"/>
  <c r="AG249" i="15" s="1"/>
  <c r="K249" i="15"/>
  <c r="Z249" i="16"/>
  <c r="U249" i="16"/>
  <c r="K249" i="16"/>
  <c r="E249" i="16"/>
  <c r="T176" i="10"/>
  <c r="Q176" i="10"/>
  <c r="AZ176" i="25"/>
  <c r="BJ176" i="25" s="1"/>
  <c r="AM176" i="22"/>
  <c r="M176" i="22"/>
  <c r="W176" i="22" s="1"/>
  <c r="AC176" i="26"/>
  <c r="M176" i="26"/>
  <c r="G176" i="26"/>
  <c r="E176" i="26"/>
  <c r="AZ176" i="2"/>
  <c r="BJ176" i="2" s="1"/>
  <c r="AI176" i="1"/>
  <c r="M176" i="1"/>
  <c r="W176" i="1" s="1"/>
  <c r="AC176" i="14"/>
  <c r="M176" i="14"/>
  <c r="I176" i="14"/>
  <c r="AW176" i="17"/>
  <c r="M176" i="15"/>
  <c r="AE176" i="15" s="1"/>
  <c r="K176" i="15"/>
  <c r="Z176" i="16"/>
  <c r="U176" i="16"/>
  <c r="O176" i="16"/>
  <c r="K176" i="16" s="1"/>
  <c r="G176" i="16"/>
  <c r="E176" i="16" s="1"/>
  <c r="T50" i="10"/>
  <c r="Q50" i="10"/>
  <c r="AZ50" i="25"/>
  <c r="BJ50" i="25" s="1"/>
  <c r="AM50" i="22"/>
  <c r="W50" i="22"/>
  <c r="AC50" i="26"/>
  <c r="M50" i="26"/>
  <c r="I50" i="26"/>
  <c r="AZ50" i="2"/>
  <c r="BJ50" i="2" s="1"/>
  <c r="AI50" i="1"/>
  <c r="W50" i="1"/>
  <c r="AC50" i="14"/>
  <c r="M50" i="14"/>
  <c r="I50" i="14"/>
  <c r="AW50" i="17"/>
  <c r="AE50" i="15"/>
  <c r="K50" i="15"/>
  <c r="Z50" i="16"/>
  <c r="U50" i="16"/>
  <c r="K50" i="16"/>
  <c r="E50" i="16"/>
  <c r="T47" i="10"/>
  <c r="Q47" i="10"/>
  <c r="AZ47" i="25"/>
  <c r="BJ47" i="25" s="1"/>
  <c r="AM47" i="22"/>
  <c r="W47" i="22"/>
  <c r="AC47" i="26"/>
  <c r="M47" i="26"/>
  <c r="I47" i="26"/>
  <c r="AZ47" i="2"/>
  <c r="BJ47" i="2" s="1"/>
  <c r="AI47" i="1"/>
  <c r="W47" i="1"/>
  <c r="AC47" i="14"/>
  <c r="M47" i="14"/>
  <c r="I47" i="14"/>
  <c r="AW47" i="17"/>
  <c r="AE47" i="15"/>
  <c r="K47" i="15"/>
  <c r="Z47" i="16"/>
  <c r="U47" i="16"/>
  <c r="K47" i="16"/>
  <c r="E47" i="16"/>
  <c r="AE249" i="26" l="1"/>
  <c r="AE249" i="14"/>
  <c r="AB50" i="16"/>
  <c r="BL249" i="2"/>
  <c r="BT249" i="2" s="1"/>
  <c r="BV249" i="2" s="1"/>
  <c r="BL249" i="25"/>
  <c r="BT249" i="25" s="1"/>
  <c r="BV249" i="25" s="1"/>
  <c r="AG47" i="15"/>
  <c r="AY47" i="17" s="1"/>
  <c r="BC47" i="17" s="1"/>
  <c r="BE47" i="17" s="1"/>
  <c r="AG50" i="15"/>
  <c r="AY50" i="17" s="1"/>
  <c r="BC50" i="17" s="1"/>
  <c r="BE50" i="17" s="1"/>
  <c r="AE176" i="14"/>
  <c r="AE47" i="26"/>
  <c r="AG176" i="15"/>
  <c r="AY176" i="17" s="1"/>
  <c r="BC176" i="17" s="1"/>
  <c r="BE176" i="17" s="1"/>
  <c r="AE47" i="14"/>
  <c r="AE50" i="14"/>
  <c r="AK50" i="1"/>
  <c r="BL50" i="2" s="1"/>
  <c r="BT50" i="2" s="1"/>
  <c r="BV50" i="2" s="1"/>
  <c r="AO50" i="22"/>
  <c r="AO176" i="22"/>
  <c r="BL176" i="25" s="1"/>
  <c r="BT176" i="25" s="1"/>
  <c r="BV176" i="25" s="1"/>
  <c r="AO47" i="22"/>
  <c r="BL47" i="25" s="1"/>
  <c r="BT47" i="25" s="1"/>
  <c r="BV47" i="25" s="1"/>
  <c r="AK176" i="1"/>
  <c r="BL176" i="2" s="1"/>
  <c r="BT176" i="2" s="1"/>
  <c r="BV176" i="2" s="1"/>
  <c r="AY249" i="17"/>
  <c r="BC249" i="17" s="1"/>
  <c r="BE249" i="17" s="1"/>
  <c r="AB249" i="16"/>
  <c r="BL50" i="25"/>
  <c r="BT50" i="25" s="1"/>
  <c r="BV50" i="25" s="1"/>
  <c r="AE50" i="26"/>
  <c r="I176" i="26"/>
  <c r="AE176" i="26" s="1"/>
  <c r="AK47" i="1"/>
  <c r="BL47" i="2" s="1"/>
  <c r="BT47" i="2" s="1"/>
  <c r="BV47" i="2" s="1"/>
  <c r="AB176" i="16"/>
  <c r="AB47" i="16"/>
  <c r="T626" i="10"/>
  <c r="Q626" i="10"/>
  <c r="AZ626" i="25"/>
  <c r="BJ626" i="25" s="1"/>
  <c r="AC626" i="26"/>
  <c r="M626" i="26"/>
  <c r="I626" i="26"/>
  <c r="AZ626" i="2"/>
  <c r="BJ626" i="2" s="1"/>
  <c r="AI626" i="1"/>
  <c r="W626" i="1"/>
  <c r="AC626" i="14"/>
  <c r="M626" i="14"/>
  <c r="I626" i="14"/>
  <c r="AW626" i="17"/>
  <c r="AE626" i="15"/>
  <c r="K626" i="15"/>
  <c r="Z626" i="16"/>
  <c r="U626" i="16"/>
  <c r="K626" i="16"/>
  <c r="E626" i="16"/>
  <c r="AV613" i="25"/>
  <c r="AC613" i="22"/>
  <c r="I613" i="22"/>
  <c r="M613" i="22"/>
  <c r="I613" i="1"/>
  <c r="M613" i="1"/>
  <c r="U613" i="26"/>
  <c r="Y613" i="26"/>
  <c r="W613" i="26"/>
  <c r="S613" i="26"/>
  <c r="O613" i="26"/>
  <c r="Y613" i="14"/>
  <c r="W613" i="14"/>
  <c r="S613" i="14"/>
  <c r="O613" i="14"/>
  <c r="Q613" i="15"/>
  <c r="M613" i="15"/>
  <c r="O613" i="16"/>
  <c r="E613" i="10"/>
  <c r="M611" i="22"/>
  <c r="I611" i="22"/>
  <c r="I611" i="1"/>
  <c r="Y611" i="26"/>
  <c r="W611" i="26"/>
  <c r="U611" i="26"/>
  <c r="E611" i="26"/>
  <c r="Y611" i="14"/>
  <c r="M611" i="15"/>
  <c r="G611" i="16"/>
  <c r="O611" i="16"/>
  <c r="E611" i="10"/>
  <c r="M610" i="22"/>
  <c r="M610" i="1"/>
  <c r="M610" i="15"/>
  <c r="G610" i="16"/>
  <c r="O610" i="16"/>
  <c r="E610" i="10"/>
  <c r="K610" i="10"/>
  <c r="AV609" i="25"/>
  <c r="AC609" i="22"/>
  <c r="I609" i="22"/>
  <c r="M609" i="22"/>
  <c r="M609" i="1"/>
  <c r="Y609" i="26"/>
  <c r="U609" i="26"/>
  <c r="O609" i="26"/>
  <c r="Y609" i="14"/>
  <c r="O609" i="14"/>
  <c r="M609" i="15"/>
  <c r="O609" i="16"/>
  <c r="M608" i="22"/>
  <c r="M608" i="1"/>
  <c r="M608" i="15"/>
  <c r="G608" i="16"/>
  <c r="O608" i="16"/>
  <c r="E608" i="10"/>
  <c r="AE626" i="14" l="1"/>
  <c r="AE626" i="26"/>
  <c r="AK626" i="1"/>
  <c r="BL626" i="2" s="1"/>
  <c r="BT626" i="2" s="1"/>
  <c r="BV626" i="2" s="1"/>
  <c r="AG626" i="15"/>
  <c r="AY626" i="17" s="1"/>
  <c r="BC626" i="17" s="1"/>
  <c r="BE626" i="17" s="1"/>
  <c r="AB626" i="16"/>
  <c r="I607" i="22" l="1"/>
  <c r="M607" i="22"/>
  <c r="M607" i="1"/>
  <c r="Y607" i="26"/>
  <c r="U607" i="26"/>
  <c r="S607" i="26"/>
  <c r="O607" i="26"/>
  <c r="Y607" i="14"/>
  <c r="S607" i="14"/>
  <c r="O607" i="14"/>
  <c r="Y607" i="15"/>
  <c r="M607" i="15"/>
  <c r="O607" i="16"/>
  <c r="AM606" i="22"/>
  <c r="M606" i="22"/>
  <c r="M606" i="1"/>
  <c r="M606" i="15"/>
  <c r="G606" i="16"/>
  <c r="O606" i="16"/>
  <c r="AP605" i="25" l="1"/>
  <c r="AP605" i="2"/>
  <c r="I605" i="22"/>
  <c r="M605" i="22"/>
  <c r="I605" i="1"/>
  <c r="M605" i="1"/>
  <c r="Y605" i="26"/>
  <c r="U605" i="26"/>
  <c r="S605" i="26"/>
  <c r="O605" i="26"/>
  <c r="Y605" i="14"/>
  <c r="O605" i="14"/>
  <c r="M605" i="15"/>
  <c r="O605" i="16"/>
  <c r="E605" i="10"/>
  <c r="M604" i="22"/>
  <c r="M604" i="1"/>
  <c r="E604" i="26"/>
  <c r="E604" i="14"/>
  <c r="M604" i="15"/>
  <c r="G604" i="16"/>
  <c r="O604" i="16"/>
  <c r="E604" i="10"/>
  <c r="M603" i="22"/>
  <c r="M603" i="1"/>
  <c r="E603" i="26"/>
  <c r="M603" i="15"/>
  <c r="G603" i="16"/>
  <c r="O603" i="16"/>
  <c r="E603" i="10"/>
  <c r="AV602" i="25"/>
  <c r="AC602" i="22"/>
  <c r="M602" i="22"/>
  <c r="M602" i="1"/>
  <c r="E602" i="26"/>
  <c r="E602" i="14"/>
  <c r="M602" i="17"/>
  <c r="Y602" i="15"/>
  <c r="M602" i="15"/>
  <c r="G602" i="16"/>
  <c r="O602" i="16"/>
  <c r="I601" i="22"/>
  <c r="M601" i="22"/>
  <c r="M601" i="1"/>
  <c r="Y601" i="26"/>
  <c r="U601" i="26"/>
  <c r="O601" i="26"/>
  <c r="Y601" i="14"/>
  <c r="O601" i="14"/>
  <c r="M601" i="15"/>
  <c r="O601" i="16"/>
  <c r="M600" i="22"/>
  <c r="M600" i="1"/>
  <c r="M600" i="15"/>
  <c r="G600" i="16"/>
  <c r="O600" i="16"/>
  <c r="E600" i="10"/>
  <c r="AI599" i="25"/>
  <c r="M599" i="25"/>
  <c r="AI599" i="2"/>
  <c r="M599" i="2"/>
  <c r="M599" i="22"/>
  <c r="M599" i="1"/>
  <c r="AM599" i="17" l="1"/>
  <c r="M599" i="17"/>
  <c r="M599" i="15"/>
  <c r="G599" i="16"/>
  <c r="O599" i="16"/>
  <c r="M598" i="22" l="1"/>
  <c r="M598" i="1"/>
  <c r="M598" i="15"/>
  <c r="G598" i="16"/>
  <c r="O598" i="16"/>
  <c r="I597" i="22"/>
  <c r="M597" i="22"/>
  <c r="I597" i="1"/>
  <c r="M597" i="1"/>
  <c r="Y597" i="26"/>
  <c r="U597" i="26"/>
  <c r="S597" i="26"/>
  <c r="O597" i="26"/>
  <c r="Y597" i="14"/>
  <c r="O597" i="14"/>
  <c r="M597" i="15"/>
  <c r="O597" i="16"/>
  <c r="I596" i="22"/>
  <c r="M596" i="22"/>
  <c r="I596" i="1"/>
  <c r="M596" i="1"/>
  <c r="Y596" i="26"/>
  <c r="W596" i="26"/>
  <c r="U596" i="26"/>
  <c r="S596" i="26"/>
  <c r="O596" i="26"/>
  <c r="Y596" i="14"/>
  <c r="O596" i="14"/>
  <c r="M596" i="15"/>
  <c r="O596" i="16"/>
  <c r="E596" i="10"/>
  <c r="I595" i="22"/>
  <c r="M595" i="22"/>
  <c r="M595" i="1"/>
  <c r="Y595" i="26"/>
  <c r="W595" i="26"/>
  <c r="U595" i="26"/>
  <c r="S595" i="26"/>
  <c r="O595" i="26"/>
  <c r="Y595" i="14"/>
  <c r="O595" i="14"/>
  <c r="M595" i="15"/>
  <c r="O595" i="16"/>
  <c r="E595" i="10"/>
  <c r="M594" i="22" l="1"/>
  <c r="M594" i="1"/>
  <c r="E594" i="26"/>
  <c r="Y594" i="15"/>
  <c r="M594" i="15"/>
  <c r="G594" i="16"/>
  <c r="O594" i="16"/>
  <c r="E594" i="10"/>
  <c r="M593" i="22"/>
  <c r="M593" i="1"/>
  <c r="E593" i="26"/>
  <c r="E593" i="14"/>
  <c r="O593" i="16"/>
  <c r="I592" i="22"/>
  <c r="M592" i="22"/>
  <c r="M592" i="1"/>
  <c r="Y592" i="26"/>
  <c r="U592" i="26"/>
  <c r="S592" i="26"/>
  <c r="O592" i="26"/>
  <c r="E592" i="26"/>
  <c r="Y592" i="14"/>
  <c r="O592" i="14"/>
  <c r="E592" i="14"/>
  <c r="M592" i="15"/>
  <c r="O592" i="16"/>
  <c r="AM588" i="22"/>
  <c r="M588" i="22"/>
  <c r="M588" i="1"/>
  <c r="M588" i="15"/>
  <c r="G588" i="16"/>
  <c r="O588" i="16"/>
  <c r="E588" i="10"/>
  <c r="AI587" i="22" l="1"/>
  <c r="I587" i="22"/>
  <c r="M587" i="22"/>
  <c r="AE587" i="1"/>
  <c r="M587" i="1"/>
  <c r="Y587" i="26"/>
  <c r="U587" i="26"/>
  <c r="S587" i="26"/>
  <c r="O587" i="26"/>
  <c r="Y587" i="14"/>
  <c r="S587" i="14"/>
  <c r="O587" i="14"/>
  <c r="M587" i="15"/>
  <c r="O587" i="16"/>
  <c r="E587" i="10"/>
  <c r="I586" i="22"/>
  <c r="M586" i="22"/>
  <c r="I586" i="1"/>
  <c r="M586" i="1"/>
  <c r="Y586" i="26"/>
  <c r="W586" i="26"/>
  <c r="U586" i="26"/>
  <c r="O586" i="26"/>
  <c r="E586" i="26"/>
  <c r="Y586" i="14"/>
  <c r="O586" i="14"/>
  <c r="M586" i="15"/>
  <c r="O586" i="16"/>
  <c r="E586" i="10"/>
  <c r="M585" i="22"/>
  <c r="M585" i="1"/>
  <c r="E585" i="26"/>
  <c r="M585" i="15"/>
  <c r="G585" i="16"/>
  <c r="O585" i="16"/>
  <c r="E585" i="10"/>
  <c r="I584" i="22"/>
  <c r="M584" i="22"/>
  <c r="I584" i="1"/>
  <c r="M584" i="1"/>
  <c r="Y584" i="26"/>
  <c r="U584" i="26"/>
  <c r="S584" i="26"/>
  <c r="O584" i="26"/>
  <c r="E584" i="26"/>
  <c r="Y584" i="14"/>
  <c r="S584" i="14"/>
  <c r="O584" i="14"/>
  <c r="E584" i="14"/>
  <c r="M584" i="15"/>
  <c r="O584" i="16"/>
  <c r="M583" i="22"/>
  <c r="M583" i="1"/>
  <c r="G583" i="26"/>
  <c r="E583" i="26"/>
  <c r="E583" i="14"/>
  <c r="M583" i="15"/>
  <c r="G583" i="16"/>
  <c r="O583" i="16"/>
  <c r="E583" i="10"/>
  <c r="M582" i="22" l="1"/>
  <c r="M582" i="1"/>
  <c r="M582" i="15"/>
  <c r="G582" i="16"/>
  <c r="O582" i="16"/>
  <c r="E432" i="10"/>
  <c r="E431" i="10"/>
  <c r="E430" i="10"/>
  <c r="E428" i="10"/>
  <c r="E425" i="10"/>
  <c r="E416" i="10"/>
  <c r="E415" i="10"/>
  <c r="E414" i="10"/>
  <c r="E410" i="10"/>
  <c r="E401" i="10"/>
  <c r="E400" i="10"/>
  <c r="E398" i="10"/>
  <c r="E396" i="10"/>
  <c r="E393" i="10"/>
  <c r="K390" i="10"/>
  <c r="E390" i="10"/>
  <c r="E388" i="10"/>
  <c r="E385" i="10"/>
  <c r="K384" i="10"/>
  <c r="E384" i="10"/>
  <c r="E378" i="10"/>
  <c r="G374" i="10"/>
  <c r="E374" i="10"/>
  <c r="E373" i="10"/>
  <c r="E370" i="10"/>
  <c r="E365" i="10"/>
  <c r="E363" i="10"/>
  <c r="E362" i="10"/>
  <c r="E361" i="10"/>
  <c r="E357" i="10"/>
  <c r="O356" i="10"/>
  <c r="E356" i="10"/>
  <c r="I355" i="10"/>
  <c r="E355" i="10"/>
  <c r="E351" i="10"/>
  <c r="O350" i="10"/>
  <c r="I349" i="10"/>
  <c r="E349" i="10"/>
  <c r="E347" i="10"/>
  <c r="O343" i="10"/>
  <c r="E337" i="10"/>
  <c r="E332" i="10"/>
  <c r="E330" i="10"/>
  <c r="E329" i="10"/>
  <c r="E327" i="10"/>
  <c r="E325" i="10"/>
  <c r="E323" i="10"/>
  <c r="AV435" i="25"/>
  <c r="AM403" i="22"/>
  <c r="AM404" i="22"/>
  <c r="AM406" i="22"/>
  <c r="AM407" i="22"/>
  <c r="AM408" i="22"/>
  <c r="AM410" i="22"/>
  <c r="AM411" i="22"/>
  <c r="AM413" i="22"/>
  <c r="AM414" i="22"/>
  <c r="AV432" i="25"/>
  <c r="AP430" i="25"/>
  <c r="AV415" i="25"/>
  <c r="AV412" i="25"/>
  <c r="AV409" i="25"/>
  <c r="AA428" i="25"/>
  <c r="U428" i="25"/>
  <c r="U424" i="25"/>
  <c r="U422" i="25"/>
  <c r="M413" i="25"/>
  <c r="U409" i="25"/>
  <c r="M406" i="25"/>
  <c r="AP398" i="25"/>
  <c r="AV395" i="25"/>
  <c r="AV391" i="25"/>
  <c r="AV388" i="25"/>
  <c r="AV381" i="25"/>
  <c r="AV377" i="25"/>
  <c r="AT377" i="25"/>
  <c r="U381" i="25"/>
  <c r="AI377" i="25"/>
  <c r="U377" i="25"/>
  <c r="M376" i="25"/>
  <c r="AV371" i="25"/>
  <c r="AV370" i="25"/>
  <c r="AP368" i="25"/>
  <c r="AV361" i="25"/>
  <c r="AV357" i="25"/>
  <c r="AP356" i="25"/>
  <c r="AN356" i="25"/>
  <c r="AV353" i="25"/>
  <c r="AV351" i="25"/>
  <c r="AV348" i="25"/>
  <c r="U373" i="25"/>
  <c r="U371" i="25"/>
  <c r="M365" i="25"/>
  <c r="U357" i="25"/>
  <c r="M353" i="25"/>
  <c r="U352" i="25"/>
  <c r="M349" i="25"/>
  <c r="AM328" i="22"/>
  <c r="AM329" i="22"/>
  <c r="AM327" i="22"/>
  <c r="AV346" i="25"/>
  <c r="AV340" i="25"/>
  <c r="AV337" i="25"/>
  <c r="I343" i="25"/>
  <c r="AI340" i="25"/>
  <c r="M340" i="25"/>
  <c r="U339" i="25"/>
  <c r="U332" i="25"/>
  <c r="U320" i="25"/>
  <c r="U319" i="25"/>
  <c r="AC432" i="22"/>
  <c r="M436" i="22"/>
  <c r="I436" i="22"/>
  <c r="M435" i="22"/>
  <c r="M432" i="22"/>
  <c r="I432" i="22"/>
  <c r="M431" i="22"/>
  <c r="I431" i="22"/>
  <c r="M430" i="22"/>
  <c r="I430" i="22"/>
  <c r="AC428" i="22"/>
  <c r="AC415" i="22"/>
  <c r="AC412" i="22"/>
  <c r="AM412" i="22" s="1"/>
  <c r="AC409" i="22"/>
  <c r="AM409" i="22" s="1"/>
  <c r="AC405" i="22"/>
  <c r="AM405" i="22" s="1"/>
  <c r="M429" i="22"/>
  <c r="M428" i="22"/>
  <c r="I428" i="22"/>
  <c r="M426" i="22"/>
  <c r="M425" i="22"/>
  <c r="M424" i="22"/>
  <c r="M422" i="22"/>
  <c r="M420" i="22"/>
  <c r="M419" i="22"/>
  <c r="M416" i="22"/>
  <c r="M415" i="22"/>
  <c r="I415" i="22"/>
  <c r="M414" i="22"/>
  <c r="M413" i="22"/>
  <c r="M412" i="22"/>
  <c r="M411" i="22"/>
  <c r="M410" i="22"/>
  <c r="I410" i="22"/>
  <c r="M409" i="22"/>
  <c r="M405" i="22"/>
  <c r="M404" i="22"/>
  <c r="M403" i="22"/>
  <c r="AC391" i="22"/>
  <c r="AC388" i="22"/>
  <c r="AC381" i="22"/>
  <c r="AC377" i="22"/>
  <c r="M402" i="22"/>
  <c r="M401" i="22"/>
  <c r="I401" i="22"/>
  <c r="M400" i="22"/>
  <c r="M398" i="22"/>
  <c r="I398" i="22"/>
  <c r="U396" i="22"/>
  <c r="M396" i="22"/>
  <c r="M395" i="22"/>
  <c r="M394" i="22"/>
  <c r="M393" i="22"/>
  <c r="M391" i="22"/>
  <c r="M390" i="22"/>
  <c r="I390" i="22"/>
  <c r="M388" i="22"/>
  <c r="I388" i="22"/>
  <c r="M385" i="22"/>
  <c r="M384" i="22"/>
  <c r="M383" i="22"/>
  <c r="M381" i="22"/>
  <c r="M379" i="22"/>
  <c r="M378" i="22"/>
  <c r="M377" i="22"/>
  <c r="I377" i="22"/>
  <c r="M376" i="22"/>
  <c r="M374" i="22"/>
  <c r="AC371" i="22"/>
  <c r="AC361" i="22"/>
  <c r="AC357" i="22"/>
  <c r="AC353" i="22"/>
  <c r="AM353" i="22" s="1"/>
  <c r="M373" i="22"/>
  <c r="M371" i="22"/>
  <c r="M370" i="22"/>
  <c r="M368" i="22"/>
  <c r="I368" i="22"/>
  <c r="M365" i="22"/>
  <c r="M363" i="22"/>
  <c r="M362" i="22"/>
  <c r="M361" i="22"/>
  <c r="M357" i="22"/>
  <c r="M355" i="22"/>
  <c r="M353" i="22"/>
  <c r="M352" i="22"/>
  <c r="M351" i="22"/>
  <c r="I351" i="22"/>
  <c r="M350" i="22"/>
  <c r="M349" i="22"/>
  <c r="M348" i="22"/>
  <c r="M347" i="22"/>
  <c r="I347" i="22"/>
  <c r="M346" i="22"/>
  <c r="AC337" i="22"/>
  <c r="M344" i="22"/>
  <c r="M343" i="22"/>
  <c r="M341" i="22"/>
  <c r="I341" i="22"/>
  <c r="M340" i="22"/>
  <c r="M339" i="22"/>
  <c r="M338" i="22"/>
  <c r="I338" i="22"/>
  <c r="M337" i="22"/>
  <c r="M336" i="22"/>
  <c r="I336" i="22"/>
  <c r="U334" i="22"/>
  <c r="M334" i="22"/>
  <c r="I334" i="22"/>
  <c r="M332" i="22"/>
  <c r="M331" i="22"/>
  <c r="I331" i="22"/>
  <c r="M330" i="22"/>
  <c r="M329" i="22"/>
  <c r="I329" i="22"/>
  <c r="M328" i="22"/>
  <c r="M327" i="22"/>
  <c r="I327" i="22"/>
  <c r="M325" i="22"/>
  <c r="M324" i="22"/>
  <c r="M323" i="22"/>
  <c r="I323" i="22"/>
  <c r="M321" i="22"/>
  <c r="I321" i="22"/>
  <c r="M320" i="22"/>
  <c r="M319" i="22"/>
  <c r="O436" i="26"/>
  <c r="Y432" i="26"/>
  <c r="U432" i="26"/>
  <c r="S432" i="26"/>
  <c r="O432" i="26"/>
  <c r="Y431" i="26"/>
  <c r="U431" i="26"/>
  <c r="S431" i="26"/>
  <c r="O431" i="26"/>
  <c r="E436" i="26"/>
  <c r="G435" i="26"/>
  <c r="E431" i="26"/>
  <c r="Y430" i="26"/>
  <c r="U430" i="26"/>
  <c r="S430" i="26"/>
  <c r="O430" i="26"/>
  <c r="U428" i="26"/>
  <c r="Y415" i="26"/>
  <c r="U415" i="26"/>
  <c r="S415" i="26"/>
  <c r="O415" i="26"/>
  <c r="Y410" i="26"/>
  <c r="U410" i="26"/>
  <c r="S410" i="26"/>
  <c r="O410" i="26"/>
  <c r="E425" i="26"/>
  <c r="G416" i="26"/>
  <c r="E415" i="26"/>
  <c r="E412" i="26"/>
  <c r="E411" i="26"/>
  <c r="E410" i="26"/>
  <c r="E406" i="26"/>
  <c r="E405" i="26"/>
  <c r="O402" i="26"/>
  <c r="Y401" i="26"/>
  <c r="U401" i="26"/>
  <c r="O401" i="26"/>
  <c r="Y398" i="26"/>
  <c r="U398" i="26"/>
  <c r="O398" i="26"/>
  <c r="Q391" i="26"/>
  <c r="Y390" i="26"/>
  <c r="W390" i="26"/>
  <c r="U390" i="26"/>
  <c r="O390" i="26"/>
  <c r="Y388" i="26"/>
  <c r="W388" i="26"/>
  <c r="U388" i="26"/>
  <c r="S388" i="26"/>
  <c r="O388" i="26"/>
  <c r="U385" i="26"/>
  <c r="S385" i="26"/>
  <c r="Y377" i="26"/>
  <c r="U377" i="26"/>
  <c r="K385" i="26"/>
  <c r="E401" i="26"/>
  <c r="E376" i="26"/>
  <c r="Q370" i="26"/>
  <c r="Y368" i="26"/>
  <c r="U368" i="26"/>
  <c r="S368" i="26"/>
  <c r="O368" i="26"/>
  <c r="Y351" i="26"/>
  <c r="U351" i="26"/>
  <c r="S351" i="26"/>
  <c r="O351" i="26"/>
  <c r="Q348" i="26"/>
  <c r="U347" i="26"/>
  <c r="S347" i="26"/>
  <c r="O347" i="26"/>
  <c r="E370" i="26"/>
  <c r="E365" i="26"/>
  <c r="E356" i="26"/>
  <c r="E353" i="26"/>
  <c r="E352" i="26"/>
  <c r="E347" i="26"/>
  <c r="Y341" i="26"/>
  <c r="U341" i="26"/>
  <c r="S341" i="26"/>
  <c r="O341" i="26"/>
  <c r="U338" i="26"/>
  <c r="S338" i="26"/>
  <c r="O338" i="26"/>
  <c r="U337" i="26"/>
  <c r="Y336" i="26"/>
  <c r="W336" i="26"/>
  <c r="U336" i="26"/>
  <c r="S336" i="26"/>
  <c r="O336" i="26"/>
  <c r="Y331" i="26"/>
  <c r="U331" i="26"/>
  <c r="O331" i="26"/>
  <c r="Y329" i="26"/>
  <c r="U329" i="26"/>
  <c r="S329" i="26"/>
  <c r="O329" i="26"/>
  <c r="U327" i="26"/>
  <c r="S327" i="26"/>
  <c r="O327" i="26"/>
  <c r="Y323" i="26"/>
  <c r="U323" i="26"/>
  <c r="O323" i="26"/>
  <c r="E344" i="26"/>
  <c r="E340" i="26"/>
  <c r="E338" i="26"/>
  <c r="G337" i="26"/>
  <c r="E329" i="26"/>
  <c r="E323" i="26"/>
  <c r="AV432" i="2"/>
  <c r="AA428" i="2"/>
  <c r="U428" i="2"/>
  <c r="U424" i="2"/>
  <c r="U422" i="2"/>
  <c r="M413" i="2"/>
  <c r="U409" i="2"/>
  <c r="AP398" i="2"/>
  <c r="M406" i="2"/>
  <c r="U381" i="2"/>
  <c r="AI377" i="2"/>
  <c r="U377" i="2"/>
  <c r="AP356" i="2"/>
  <c r="AN356" i="2"/>
  <c r="AV353" i="2"/>
  <c r="M376" i="2"/>
  <c r="U373" i="2"/>
  <c r="U371" i="2"/>
  <c r="M365" i="2"/>
  <c r="U357" i="2"/>
  <c r="M353" i="2"/>
  <c r="U352" i="2"/>
  <c r="M349" i="2"/>
  <c r="M340" i="2"/>
  <c r="U339" i="2"/>
  <c r="U332" i="2"/>
  <c r="U320" i="2"/>
  <c r="U319" i="2"/>
  <c r="M436" i="1"/>
  <c r="AC432" i="1"/>
  <c r="M432" i="1"/>
  <c r="I432" i="1"/>
  <c r="M431" i="1"/>
  <c r="M430" i="1"/>
  <c r="I430" i="1"/>
  <c r="M429" i="1"/>
  <c r="M426" i="1"/>
  <c r="M425" i="1"/>
  <c r="M422" i="1"/>
  <c r="M420" i="1"/>
  <c r="M419" i="1"/>
  <c r="M416" i="1"/>
  <c r="M415" i="1"/>
  <c r="I415" i="1"/>
  <c r="M414" i="1"/>
  <c r="M413" i="1"/>
  <c r="M412" i="1"/>
  <c r="M411" i="1"/>
  <c r="M410" i="1"/>
  <c r="M409" i="1"/>
  <c r="M404" i="1"/>
  <c r="M403" i="1"/>
  <c r="M402" i="1"/>
  <c r="M401" i="1"/>
  <c r="I401" i="1"/>
  <c r="M400" i="1"/>
  <c r="M398" i="1"/>
  <c r="I398" i="1"/>
  <c r="M395" i="1"/>
  <c r="M394" i="1"/>
  <c r="M393" i="1"/>
  <c r="M391" i="1"/>
  <c r="M390" i="1"/>
  <c r="M388" i="1"/>
  <c r="I388" i="1"/>
  <c r="M383" i="1"/>
  <c r="M378" i="1"/>
  <c r="AC353" i="1"/>
  <c r="AE349" i="1"/>
  <c r="M374" i="1"/>
  <c r="M373" i="1"/>
  <c r="M371" i="1"/>
  <c r="M370" i="1"/>
  <c r="M368" i="1"/>
  <c r="I368" i="1"/>
  <c r="M362" i="1"/>
  <c r="M361" i="1"/>
  <c r="M355" i="1"/>
  <c r="M353" i="1"/>
  <c r="M352" i="1"/>
  <c r="M351" i="1"/>
  <c r="I351" i="1"/>
  <c r="M350" i="1"/>
  <c r="M349" i="1"/>
  <c r="M348" i="1"/>
  <c r="M347" i="1"/>
  <c r="I347" i="1"/>
  <c r="M346" i="1"/>
  <c r="M344" i="1"/>
  <c r="M343" i="1"/>
  <c r="M341" i="1"/>
  <c r="I341" i="1"/>
  <c r="M340" i="1"/>
  <c r="M339" i="1"/>
  <c r="M338" i="1"/>
  <c r="I338" i="1"/>
  <c r="M337" i="1"/>
  <c r="M336" i="1"/>
  <c r="I336" i="1"/>
  <c r="M334" i="1"/>
  <c r="I334" i="1"/>
  <c r="M332" i="1"/>
  <c r="M331" i="1"/>
  <c r="I331" i="1"/>
  <c r="M329" i="1"/>
  <c r="M328" i="1"/>
  <c r="M327" i="1"/>
  <c r="I327" i="1"/>
  <c r="M325" i="1"/>
  <c r="M324" i="1"/>
  <c r="M323" i="1"/>
  <c r="I323" i="1"/>
  <c r="M321" i="1"/>
  <c r="I321" i="1"/>
  <c r="U320" i="1"/>
  <c r="M320" i="1"/>
  <c r="M319" i="1"/>
  <c r="O436" i="14"/>
  <c r="Y432" i="14"/>
  <c r="O432" i="14"/>
  <c r="Y431" i="14"/>
  <c r="S431" i="14"/>
  <c r="O431" i="14"/>
  <c r="Y430" i="14"/>
  <c r="S430" i="14"/>
  <c r="O430" i="14"/>
  <c r="Y415" i="14"/>
  <c r="S415" i="14"/>
  <c r="O415" i="14"/>
  <c r="Y410" i="14"/>
  <c r="S410" i="14"/>
  <c r="O410" i="14"/>
  <c r="E436" i="14"/>
  <c r="E425" i="14"/>
  <c r="G412" i="14"/>
  <c r="O402" i="14"/>
  <c r="Y401" i="14"/>
  <c r="O401" i="14"/>
  <c r="Y398" i="14"/>
  <c r="O398" i="14"/>
  <c r="Q391" i="14"/>
  <c r="Y390" i="14"/>
  <c r="W390" i="14"/>
  <c r="O390" i="14"/>
  <c r="Y388" i="14"/>
  <c r="W388" i="14"/>
  <c r="O388" i="14"/>
  <c r="S385" i="14"/>
  <c r="Y377" i="14"/>
  <c r="E406" i="14"/>
  <c r="E402" i="14"/>
  <c r="E401" i="14"/>
  <c r="Q370" i="14"/>
  <c r="Y368" i="14"/>
  <c r="S368" i="14"/>
  <c r="O368" i="14"/>
  <c r="Y351" i="14"/>
  <c r="S351" i="14"/>
  <c r="O351" i="14"/>
  <c r="Q348" i="14"/>
  <c r="S347" i="14"/>
  <c r="O347" i="14"/>
  <c r="E352" i="14"/>
  <c r="Y341" i="14"/>
  <c r="S341" i="14"/>
  <c r="O341" i="14"/>
  <c r="O338" i="14"/>
  <c r="Y336" i="14"/>
  <c r="W336" i="14"/>
  <c r="S336" i="14"/>
  <c r="O336" i="14"/>
  <c r="Y331" i="14"/>
  <c r="O331" i="14"/>
  <c r="Y329" i="14"/>
  <c r="O329" i="14"/>
  <c r="S327" i="14"/>
  <c r="O327" i="14"/>
  <c r="Y323" i="14"/>
  <c r="O323" i="14"/>
  <c r="E329" i="14"/>
  <c r="AM425" i="17"/>
  <c r="AM416" i="17"/>
  <c r="U428" i="17"/>
  <c r="U424" i="17"/>
  <c r="U422" i="17"/>
  <c r="M413" i="17"/>
  <c r="U409" i="17"/>
  <c r="M406" i="17"/>
  <c r="AM377" i="17"/>
  <c r="U381" i="17"/>
  <c r="U377" i="17"/>
  <c r="M376" i="17"/>
  <c r="AQ361" i="17"/>
  <c r="AM355" i="17"/>
  <c r="AM353" i="17"/>
  <c r="U373" i="17"/>
  <c r="U371" i="17"/>
  <c r="M365" i="17"/>
  <c r="U357" i="17"/>
  <c r="M353" i="17"/>
  <c r="U352" i="17"/>
  <c r="M349" i="17"/>
  <c r="AM340" i="17"/>
  <c r="I343" i="17"/>
  <c r="M340" i="17"/>
  <c r="U339" i="17"/>
  <c r="U332" i="17"/>
  <c r="U320" i="17"/>
  <c r="U319" i="17"/>
  <c r="M436" i="15"/>
  <c r="M435" i="15"/>
  <c r="M432" i="15"/>
  <c r="M431" i="15"/>
  <c r="M430" i="15"/>
  <c r="M429" i="15"/>
  <c r="M426" i="15"/>
  <c r="M425" i="15"/>
  <c r="M424" i="15"/>
  <c r="M420" i="15"/>
  <c r="M419" i="15"/>
  <c r="Q416" i="15"/>
  <c r="M416" i="15"/>
  <c r="M415" i="15"/>
  <c r="Y414" i="15"/>
  <c r="M414" i="15"/>
  <c r="M412" i="15"/>
  <c r="M411" i="15"/>
  <c r="M410" i="15"/>
  <c r="Q409" i="15"/>
  <c r="M409" i="15"/>
  <c r="Y406" i="15"/>
  <c r="M405" i="15"/>
  <c r="M404" i="15"/>
  <c r="M403" i="15"/>
  <c r="M402" i="15"/>
  <c r="M401" i="15"/>
  <c r="M400" i="15"/>
  <c r="M398" i="15"/>
  <c r="Y396" i="15"/>
  <c r="M396" i="15"/>
  <c r="M395" i="15"/>
  <c r="Y394" i="15"/>
  <c r="Y393" i="15"/>
  <c r="M393" i="15"/>
  <c r="M391" i="15"/>
  <c r="M390" i="15"/>
  <c r="M388" i="15"/>
  <c r="M385" i="15"/>
  <c r="M384" i="15"/>
  <c r="M383" i="15"/>
  <c r="M381" i="15"/>
  <c r="M379" i="15"/>
  <c r="M378" i="15"/>
  <c r="M377" i="15"/>
  <c r="M376" i="15"/>
  <c r="Y374" i="15"/>
  <c r="M374" i="15"/>
  <c r="M373" i="15"/>
  <c r="M371" i="15"/>
  <c r="Y370" i="15"/>
  <c r="M370" i="15"/>
  <c r="M368" i="15"/>
  <c r="M365" i="15"/>
  <c r="M363" i="15"/>
  <c r="M362" i="15"/>
  <c r="Y361" i="15"/>
  <c r="M361" i="15"/>
  <c r="M357" i="15"/>
  <c r="M356" i="15"/>
  <c r="M355" i="15"/>
  <c r="M353" i="15"/>
  <c r="M352" i="15"/>
  <c r="M351" i="15"/>
  <c r="M350" i="15"/>
  <c r="Y349" i="15"/>
  <c r="M349" i="15"/>
  <c r="Y348" i="15"/>
  <c r="Q348" i="15"/>
  <c r="M348" i="15"/>
  <c r="M347" i="15"/>
  <c r="M346" i="15"/>
  <c r="Y344" i="15"/>
  <c r="M344" i="15"/>
  <c r="M343" i="15"/>
  <c r="M341" i="15"/>
  <c r="M340" i="15"/>
  <c r="M339" i="15"/>
  <c r="M338" i="15"/>
  <c r="M337" i="15"/>
  <c r="M336" i="15"/>
  <c r="M334" i="15"/>
  <c r="M332" i="15"/>
  <c r="M331" i="15"/>
  <c r="M330" i="15"/>
  <c r="M329" i="15"/>
  <c r="M328" i="15"/>
  <c r="M327" i="15"/>
  <c r="M325" i="15"/>
  <c r="M324" i="15"/>
  <c r="M323" i="15"/>
  <c r="M320" i="15"/>
  <c r="M319" i="15"/>
  <c r="G436" i="16"/>
  <c r="G435" i="16"/>
  <c r="G430" i="16"/>
  <c r="G429" i="16"/>
  <c r="G428" i="16"/>
  <c r="G426" i="16"/>
  <c r="G425" i="16"/>
  <c r="G424" i="16"/>
  <c r="G422" i="16"/>
  <c r="G420" i="16"/>
  <c r="G416" i="16"/>
  <c r="G414" i="16"/>
  <c r="G413" i="16"/>
  <c r="G412" i="16"/>
  <c r="G411" i="16"/>
  <c r="G409" i="16"/>
  <c r="G405" i="16"/>
  <c r="G404" i="16"/>
  <c r="G403" i="16"/>
  <c r="G402" i="16"/>
  <c r="G401" i="16"/>
  <c r="G400" i="16"/>
  <c r="G398" i="16"/>
  <c r="Q391" i="16"/>
  <c r="G396" i="16"/>
  <c r="G395" i="16"/>
  <c r="G394" i="16"/>
  <c r="G393" i="16"/>
  <c r="I391" i="16"/>
  <c r="G391" i="16"/>
  <c r="G390" i="16"/>
  <c r="G388" i="16"/>
  <c r="G386" i="16"/>
  <c r="G384" i="16"/>
  <c r="G383" i="16"/>
  <c r="G381" i="16"/>
  <c r="G379" i="16"/>
  <c r="G378" i="16"/>
  <c r="G377" i="16"/>
  <c r="G376" i="16"/>
  <c r="G374" i="16"/>
  <c r="Q370" i="16"/>
  <c r="Q348" i="16"/>
  <c r="K348" i="16" s="1"/>
  <c r="K347" i="16"/>
  <c r="K349" i="16"/>
  <c r="K350" i="16"/>
  <c r="K351" i="16"/>
  <c r="K352" i="16"/>
  <c r="K353" i="16"/>
  <c r="K354" i="16"/>
  <c r="K355" i="16"/>
  <c r="K356" i="16"/>
  <c r="K357" i="16"/>
  <c r="K358" i="16"/>
  <c r="K359" i="16"/>
  <c r="K360" i="16"/>
  <c r="K361" i="16"/>
  <c r="K362" i="16"/>
  <c r="K363" i="16"/>
  <c r="K364" i="16"/>
  <c r="K365" i="16"/>
  <c r="K366" i="16"/>
  <c r="K367" i="16"/>
  <c r="K368" i="16"/>
  <c r="K369" i="16"/>
  <c r="K370" i="16"/>
  <c r="K371" i="16"/>
  <c r="K372" i="16"/>
  <c r="K373" i="16"/>
  <c r="G373" i="16"/>
  <c r="G371" i="16"/>
  <c r="I370" i="16"/>
  <c r="G370" i="16"/>
  <c r="G368" i="16"/>
  <c r="G365" i="16"/>
  <c r="G363" i="16"/>
  <c r="G362" i="16"/>
  <c r="G361" i="16"/>
  <c r="G357" i="16"/>
  <c r="G356" i="16"/>
  <c r="G355" i="16"/>
  <c r="G353" i="16"/>
  <c r="G352" i="16"/>
  <c r="G351" i="16"/>
  <c r="G350" i="16"/>
  <c r="G349" i="16"/>
  <c r="I348" i="16"/>
  <c r="G348" i="16"/>
  <c r="G347" i="16"/>
  <c r="G346" i="16"/>
  <c r="G344" i="16"/>
  <c r="G343" i="16"/>
  <c r="G341" i="16"/>
  <c r="G340" i="16"/>
  <c r="G339" i="16"/>
  <c r="G338" i="16"/>
  <c r="G337" i="16"/>
  <c r="G336" i="16"/>
  <c r="G334" i="16"/>
  <c r="G332" i="16"/>
  <c r="G331" i="16"/>
  <c r="G330" i="16"/>
  <c r="G329" i="16"/>
  <c r="G328" i="16"/>
  <c r="G327" i="16"/>
  <c r="G325" i="16"/>
  <c r="G324" i="16"/>
  <c r="G323" i="16"/>
  <c r="G321" i="16"/>
  <c r="G320" i="16"/>
  <c r="G319" i="16"/>
  <c r="E581" i="26" l="1"/>
  <c r="G581" i="16"/>
  <c r="O581" i="16"/>
  <c r="AC580" i="22"/>
  <c r="AV580" i="25"/>
  <c r="AI580" i="22"/>
  <c r="I580" i="22"/>
  <c r="M580" i="22"/>
  <c r="I580" i="1"/>
  <c r="M580" i="1"/>
  <c r="Y580" i="26"/>
  <c r="W580" i="26"/>
  <c r="U580" i="26"/>
  <c r="O580" i="26"/>
  <c r="E580" i="26"/>
  <c r="Y580" i="14"/>
  <c r="W580" i="14"/>
  <c r="O580" i="14"/>
  <c r="M580" i="15"/>
  <c r="O580" i="16"/>
  <c r="E580" i="10"/>
  <c r="T577" i="10" l="1"/>
  <c r="T578" i="10"/>
  <c r="T579" i="10"/>
  <c r="AZ579" i="25" l="1"/>
  <c r="BJ579" i="25" s="1"/>
  <c r="AZ578" i="25"/>
  <c r="BJ578" i="25" s="1"/>
  <c r="AZ577" i="25"/>
  <c r="BJ577" i="25" s="1"/>
  <c r="AM579" i="22"/>
  <c r="W579" i="22"/>
  <c r="AM578" i="22"/>
  <c r="W578" i="22"/>
  <c r="AM577" i="22"/>
  <c r="W577" i="22"/>
  <c r="AC579" i="26"/>
  <c r="M579" i="26"/>
  <c r="I579" i="26"/>
  <c r="AC578" i="26"/>
  <c r="M578" i="26"/>
  <c r="I578" i="26"/>
  <c r="AC577" i="26"/>
  <c r="M577" i="26"/>
  <c r="I577" i="26"/>
  <c r="AZ579" i="2"/>
  <c r="BJ579" i="2" s="1"/>
  <c r="AZ578" i="2"/>
  <c r="BJ578" i="2" s="1"/>
  <c r="AZ577" i="2"/>
  <c r="BJ577" i="2" s="1"/>
  <c r="AI579" i="1"/>
  <c r="W579" i="1"/>
  <c r="AI578" i="1"/>
  <c r="W578" i="1"/>
  <c r="AI577" i="1"/>
  <c r="W577" i="1"/>
  <c r="AC579" i="14"/>
  <c r="M579" i="14"/>
  <c r="I579" i="14"/>
  <c r="AC578" i="14"/>
  <c r="M578" i="14"/>
  <c r="I578" i="14"/>
  <c r="AC577" i="14"/>
  <c r="M577" i="14"/>
  <c r="I577" i="14"/>
  <c r="AW579" i="17"/>
  <c r="AW578" i="17"/>
  <c r="AW577" i="17"/>
  <c r="AE579" i="15"/>
  <c r="K579" i="15"/>
  <c r="AE578" i="15"/>
  <c r="K578" i="15"/>
  <c r="AE577" i="15"/>
  <c r="K577" i="15"/>
  <c r="Z579" i="16"/>
  <c r="U579" i="16"/>
  <c r="K579" i="16"/>
  <c r="E579" i="16"/>
  <c r="Z578" i="16"/>
  <c r="U578" i="16"/>
  <c r="K578" i="16"/>
  <c r="E578" i="16"/>
  <c r="Z577" i="16"/>
  <c r="U577" i="16"/>
  <c r="K577" i="16"/>
  <c r="E577" i="16"/>
  <c r="Q579" i="10"/>
  <c r="Q578" i="10"/>
  <c r="Q577" i="10"/>
  <c r="I576" i="22"/>
  <c r="M576" i="22"/>
  <c r="I576" i="1"/>
  <c r="M576" i="1"/>
  <c r="Y576" i="26"/>
  <c r="W576" i="26"/>
  <c r="U576" i="26"/>
  <c r="O576" i="26"/>
  <c r="Y576" i="14"/>
  <c r="W576" i="14"/>
  <c r="O576" i="14"/>
  <c r="Q576" i="15"/>
  <c r="M576" i="15"/>
  <c r="O576" i="16"/>
  <c r="M318" i="22"/>
  <c r="M318" i="1"/>
  <c r="M318" i="15"/>
  <c r="G318" i="16"/>
  <c r="O318" i="16"/>
  <c r="E318" i="10"/>
  <c r="I317" i="22"/>
  <c r="M317" i="22"/>
  <c r="I317" i="1"/>
  <c r="M317" i="1"/>
  <c r="Y317" i="26"/>
  <c r="U317" i="26"/>
  <c r="S317" i="26"/>
  <c r="O317" i="26"/>
  <c r="Y317" i="14"/>
  <c r="O317" i="14"/>
  <c r="O317" i="16"/>
  <c r="I316" i="22"/>
  <c r="M316" i="22"/>
  <c r="M316" i="1"/>
  <c r="Y316" i="26"/>
  <c r="W316" i="26"/>
  <c r="U316" i="26"/>
  <c r="S316" i="26"/>
  <c r="O316" i="26"/>
  <c r="E316" i="26"/>
  <c r="Y316" i="14"/>
  <c r="O316" i="14"/>
  <c r="M316" i="15"/>
  <c r="O316" i="16"/>
  <c r="E316" i="10"/>
  <c r="M315" i="22"/>
  <c r="M315" i="1"/>
  <c r="M315" i="15"/>
  <c r="G315" i="16"/>
  <c r="O315" i="16"/>
  <c r="M314" i="22"/>
  <c r="M314" i="1"/>
  <c r="M314" i="15"/>
  <c r="G314" i="16"/>
  <c r="O314" i="16"/>
  <c r="E314" i="10"/>
  <c r="I313" i="22"/>
  <c r="M313" i="22"/>
  <c r="I313" i="1"/>
  <c r="M313" i="1"/>
  <c r="Y313" i="26"/>
  <c r="W313" i="26"/>
  <c r="U313" i="26"/>
  <c r="S313" i="26"/>
  <c r="O313" i="26"/>
  <c r="Y313" i="14"/>
  <c r="W313" i="14"/>
  <c r="S313" i="14"/>
  <c r="O313" i="14"/>
  <c r="M313" i="15"/>
  <c r="O313" i="16"/>
  <c r="I312" i="22"/>
  <c r="M312" i="22"/>
  <c r="M312" i="1"/>
  <c r="Y312" i="26"/>
  <c r="U312" i="26"/>
  <c r="S312" i="26"/>
  <c r="O312" i="26"/>
  <c r="Y312" i="14"/>
  <c r="O312" i="14"/>
  <c r="M312" i="15"/>
  <c r="O312" i="16"/>
  <c r="AV311" i="25"/>
  <c r="AC311" i="22"/>
  <c r="AI311" i="22"/>
  <c r="M311" i="22"/>
  <c r="M311" i="1"/>
  <c r="E311" i="26"/>
  <c r="E311" i="14"/>
  <c r="M311" i="15"/>
  <c r="G311" i="16"/>
  <c r="O311" i="16"/>
  <c r="AB577" i="16" l="1"/>
  <c r="AB579" i="16"/>
  <c r="AO577" i="22"/>
  <c r="BL577" i="25" s="1"/>
  <c r="BT577" i="25" s="1"/>
  <c r="BV577" i="25" s="1"/>
  <c r="AE577" i="26"/>
  <c r="AE578" i="14"/>
  <c r="AK578" i="1"/>
  <c r="BL578" i="2" s="1"/>
  <c r="BT578" i="2" s="1"/>
  <c r="BV578" i="2" s="1"/>
  <c r="AE579" i="26"/>
  <c r="AE579" i="14"/>
  <c r="AG577" i="15"/>
  <c r="AY577" i="17" s="1"/>
  <c r="BC577" i="17" s="1"/>
  <c r="BE577" i="17" s="1"/>
  <c r="AE577" i="14"/>
  <c r="AK577" i="1"/>
  <c r="BL577" i="2" s="1"/>
  <c r="BT577" i="2" s="1"/>
  <c r="BV577" i="2" s="1"/>
  <c r="AK579" i="1"/>
  <c r="BL579" i="2" s="1"/>
  <c r="BT579" i="2" s="1"/>
  <c r="BV579" i="2" s="1"/>
  <c r="AO579" i="22"/>
  <c r="BL579" i="25" s="1"/>
  <c r="BT579" i="25" s="1"/>
  <c r="BV579" i="25" s="1"/>
  <c r="AE578" i="26"/>
  <c r="AO578" i="22"/>
  <c r="BL578" i="25" s="1"/>
  <c r="BT578" i="25" s="1"/>
  <c r="BV578" i="25" s="1"/>
  <c r="AG579" i="15"/>
  <c r="AY579" i="17" s="1"/>
  <c r="BC579" i="17" s="1"/>
  <c r="BE579" i="17" s="1"/>
  <c r="AG578" i="15"/>
  <c r="AY578" i="17" s="1"/>
  <c r="BC578" i="17" s="1"/>
  <c r="BE578" i="17" s="1"/>
  <c r="AB578" i="16"/>
  <c r="AV310" i="25" l="1"/>
  <c r="AI310" i="22"/>
  <c r="AC310" i="22"/>
  <c r="M310" i="22"/>
  <c r="AE310" i="1"/>
  <c r="M310" i="1"/>
  <c r="Y310" i="26"/>
  <c r="U310" i="26"/>
  <c r="Y310" i="14"/>
  <c r="M310" i="15"/>
  <c r="G310" i="16"/>
  <c r="O310" i="16"/>
  <c r="E310" i="10"/>
  <c r="U309" i="22"/>
  <c r="I309" i="22"/>
  <c r="M309" i="22"/>
  <c r="U309" i="1"/>
  <c r="I309" i="1"/>
  <c r="M309" i="1"/>
  <c r="O309" i="26"/>
  <c r="M309" i="15"/>
  <c r="G309" i="16"/>
  <c r="O309" i="16"/>
  <c r="M308" i="22"/>
  <c r="U308" i="22"/>
  <c r="U308" i="1"/>
  <c r="M308" i="1"/>
  <c r="Y308" i="26"/>
  <c r="U308" i="26"/>
  <c r="S308" i="26"/>
  <c r="O308" i="26"/>
  <c r="E308" i="26"/>
  <c r="Y308" i="14"/>
  <c r="O308" i="14"/>
  <c r="M308" i="15"/>
  <c r="O308" i="16"/>
  <c r="M306" i="22"/>
  <c r="E306" i="26"/>
  <c r="M306" i="15"/>
  <c r="G306" i="16"/>
  <c r="O306" i="16"/>
  <c r="K306" i="10"/>
  <c r="M305" i="22"/>
  <c r="M305" i="1"/>
  <c r="U305" i="26"/>
  <c r="M305" i="15"/>
  <c r="G305" i="16"/>
  <c r="O305" i="16"/>
  <c r="E305" i="10"/>
  <c r="I304" i="22"/>
  <c r="M304" i="22"/>
  <c r="I304" i="1"/>
  <c r="M304" i="1"/>
  <c r="Y304" i="26"/>
  <c r="U304" i="26"/>
  <c r="S304" i="26"/>
  <c r="O304" i="26"/>
  <c r="E304" i="26"/>
  <c r="Y304" i="14"/>
  <c r="O304" i="14"/>
  <c r="M304" i="15"/>
  <c r="O304" i="16"/>
  <c r="E304" i="10"/>
  <c r="M302" i="22"/>
  <c r="M302" i="1"/>
  <c r="Y302" i="26"/>
  <c r="U302" i="26"/>
  <c r="Y302" i="14"/>
  <c r="M302" i="15"/>
  <c r="G302" i="16"/>
  <c r="O302" i="16"/>
  <c r="M300" i="25"/>
  <c r="M300" i="2"/>
  <c r="M300" i="22"/>
  <c r="M300" i="1"/>
  <c r="M300" i="17"/>
  <c r="Y300" i="15"/>
  <c r="M300" i="15"/>
  <c r="G300" i="16"/>
  <c r="O300" i="16"/>
  <c r="M299" i="22"/>
  <c r="Q299" i="26"/>
  <c r="E299" i="26"/>
  <c r="Q299" i="14"/>
  <c r="M299" i="15"/>
  <c r="Q299" i="16"/>
  <c r="I299" i="16"/>
  <c r="G299" i="16"/>
  <c r="O299" i="16"/>
  <c r="E299" i="10"/>
  <c r="K298" i="25"/>
  <c r="M298" i="2"/>
  <c r="M298" i="22"/>
  <c r="M298" i="1"/>
  <c r="M298" i="17"/>
  <c r="Y298" i="15"/>
  <c r="M298" i="15"/>
  <c r="G298" i="16"/>
  <c r="O298" i="16"/>
  <c r="E298" i="10"/>
  <c r="AV297" i="25"/>
  <c r="M297" i="22"/>
  <c r="M297" i="1"/>
  <c r="M297" i="15"/>
  <c r="G297" i="16"/>
  <c r="O297" i="16"/>
  <c r="M293" i="22" l="1"/>
  <c r="M293" i="1"/>
  <c r="G293" i="16"/>
  <c r="O293" i="16"/>
  <c r="M291" i="22"/>
  <c r="M291" i="1"/>
  <c r="Y291" i="15"/>
  <c r="G291" i="16"/>
  <c r="O291" i="16"/>
  <c r="M289" i="22"/>
  <c r="M289" i="1"/>
  <c r="E289" i="26"/>
  <c r="E289" i="14"/>
  <c r="M289" i="15"/>
  <c r="G289" i="16"/>
  <c r="O289" i="16"/>
  <c r="U288" i="22"/>
  <c r="I288" i="22"/>
  <c r="M288" i="22"/>
  <c r="I288" i="1"/>
  <c r="M288" i="1"/>
  <c r="O288" i="26"/>
  <c r="E288" i="26"/>
  <c r="O288" i="14"/>
  <c r="E288" i="14"/>
  <c r="M288" i="15"/>
  <c r="O288" i="16"/>
  <c r="I287" i="22"/>
  <c r="M287" i="22"/>
  <c r="I287" i="1"/>
  <c r="M287" i="1"/>
  <c r="Y287" i="26"/>
  <c r="W287" i="26"/>
  <c r="U287" i="26"/>
  <c r="O287" i="26"/>
  <c r="Y287" i="14"/>
  <c r="O287" i="14"/>
  <c r="M287" i="15"/>
  <c r="O287" i="16"/>
  <c r="E287" i="10"/>
  <c r="AV286" i="25"/>
  <c r="M286" i="22"/>
  <c r="M286" i="1"/>
  <c r="M286" i="15"/>
  <c r="G286" i="16"/>
  <c r="O286" i="16"/>
  <c r="M284" i="25"/>
  <c r="M284" i="2"/>
  <c r="M284" i="22"/>
  <c r="M284" i="1"/>
  <c r="M284" i="17"/>
  <c r="M284" i="15"/>
  <c r="G284" i="16"/>
  <c r="O284" i="16"/>
  <c r="AV283" i="25"/>
  <c r="AC283" i="22"/>
  <c r="I283" i="22"/>
  <c r="M283" i="22"/>
  <c r="M283" i="1"/>
  <c r="Y283" i="26"/>
  <c r="U283" i="26"/>
  <c r="S283" i="26"/>
  <c r="O283" i="26"/>
  <c r="Y283" i="14"/>
  <c r="S283" i="14"/>
  <c r="O283" i="14"/>
  <c r="M283" i="15"/>
  <c r="O283" i="16"/>
  <c r="E283" i="10"/>
  <c r="T274" i="10" l="1"/>
  <c r="AZ274" i="25"/>
  <c r="BJ274" i="25" s="1"/>
  <c r="AM274" i="22"/>
  <c r="W274" i="22"/>
  <c r="AC274" i="26"/>
  <c r="M274" i="26"/>
  <c r="I274" i="26"/>
  <c r="AE274" i="26" s="1"/>
  <c r="AZ274" i="2"/>
  <c r="BJ274" i="2" s="1"/>
  <c r="AI274" i="1"/>
  <c r="W274" i="1"/>
  <c r="AC274" i="14"/>
  <c r="M274" i="14"/>
  <c r="I274" i="14"/>
  <c r="AE274" i="14" s="1"/>
  <c r="AW274" i="17"/>
  <c r="AE274" i="15"/>
  <c r="K274" i="15"/>
  <c r="Z274" i="16"/>
  <c r="U274" i="16"/>
  <c r="K274" i="16"/>
  <c r="E274" i="16"/>
  <c r="Q274" i="10"/>
  <c r="M231" i="22"/>
  <c r="M231" i="1"/>
  <c r="E231" i="26"/>
  <c r="Q231" i="15"/>
  <c r="M231" i="15"/>
  <c r="G231" i="16"/>
  <c r="O231" i="16"/>
  <c r="M229" i="25"/>
  <c r="M229" i="2"/>
  <c r="M229" i="22"/>
  <c r="M229" i="1"/>
  <c r="M229" i="17"/>
  <c r="M229" i="15"/>
  <c r="G229" i="16"/>
  <c r="O229" i="16"/>
  <c r="O229" i="10"/>
  <c r="M228" i="22"/>
  <c r="M228" i="1"/>
  <c r="G228" i="16"/>
  <c r="O228" i="16"/>
  <c r="AO274" i="22" l="1"/>
  <c r="BL274" i="25" s="1"/>
  <c r="BT274" i="25" s="1"/>
  <c r="BV274" i="25" s="1"/>
  <c r="AK274" i="1"/>
  <c r="BL274" i="2" s="1"/>
  <c r="BT274" i="2" s="1"/>
  <c r="BV274" i="2" s="1"/>
  <c r="AG274" i="15"/>
  <c r="AY274" i="17" s="1"/>
  <c r="BC274" i="17" s="1"/>
  <c r="BE274" i="17" s="1"/>
  <c r="AB274" i="16"/>
  <c r="AN234" i="25" l="1"/>
  <c r="AI234" i="25"/>
  <c r="M234" i="25"/>
  <c r="AN234" i="2"/>
  <c r="M234" i="22"/>
  <c r="M234" i="1"/>
  <c r="E234" i="26"/>
  <c r="O234" i="16"/>
  <c r="AO234" i="17"/>
  <c r="AM234" i="17"/>
  <c r="M234" i="17"/>
  <c r="AV281" i="25" l="1"/>
  <c r="M281" i="22"/>
  <c r="M281" i="1"/>
  <c r="M281" i="15"/>
  <c r="G281" i="16"/>
  <c r="O281" i="16"/>
  <c r="E281" i="10"/>
  <c r="AV280" i="25"/>
  <c r="AI280" i="25"/>
  <c r="AI280" i="2"/>
  <c r="AC280" i="22"/>
  <c r="I280" i="22"/>
  <c r="M280" i="22"/>
  <c r="I280" i="1"/>
  <c r="M280" i="1"/>
  <c r="Y280" i="26"/>
  <c r="W280" i="26"/>
  <c r="U280" i="26"/>
  <c r="S280" i="26"/>
  <c r="O280" i="26"/>
  <c r="E280" i="26"/>
  <c r="Y280" i="14"/>
  <c r="W280" i="14"/>
  <c r="O280" i="14"/>
  <c r="AM280" i="17"/>
  <c r="M280" i="15"/>
  <c r="O280" i="16"/>
  <c r="E280" i="10"/>
  <c r="K280" i="10"/>
  <c r="O280" i="10"/>
  <c r="M279" i="22"/>
  <c r="M279" i="1"/>
  <c r="E279" i="26"/>
  <c r="E279" i="14"/>
  <c r="G279" i="16"/>
  <c r="O279" i="16"/>
  <c r="AC278" i="22"/>
  <c r="M278" i="22"/>
  <c r="M278" i="15"/>
  <c r="G278" i="16"/>
  <c r="O278" i="16"/>
  <c r="M277" i="25"/>
  <c r="M277" i="2"/>
  <c r="M277" i="22"/>
  <c r="M277" i="1"/>
  <c r="E277" i="26" l="1"/>
  <c r="M277" i="17"/>
  <c r="Y277" i="15"/>
  <c r="M277" i="15"/>
  <c r="O277" i="16"/>
  <c r="BH276" i="25" l="1"/>
  <c r="AV276" i="25"/>
  <c r="AI276" i="25"/>
  <c r="AI276" i="2"/>
  <c r="AC276" i="22"/>
  <c r="M276" i="15"/>
  <c r="G276" i="16"/>
  <c r="O276" i="16"/>
  <c r="E276" i="10"/>
  <c r="I275" i="22"/>
  <c r="Y275" i="14"/>
  <c r="Y275" i="26"/>
  <c r="O275" i="26"/>
  <c r="O275" i="14"/>
  <c r="M275" i="15"/>
  <c r="O275" i="16"/>
  <c r="M273" i="22"/>
  <c r="M273" i="1"/>
  <c r="Y273" i="15"/>
  <c r="M273" i="15"/>
  <c r="G273" i="16"/>
  <c r="O273" i="16"/>
  <c r="M272" i="1"/>
  <c r="I272" i="22"/>
  <c r="M272" i="22"/>
  <c r="I272" i="1"/>
  <c r="Y272" i="26"/>
  <c r="U272" i="26"/>
  <c r="O272" i="26"/>
  <c r="Y272" i="14"/>
  <c r="O272" i="14"/>
  <c r="M272" i="15"/>
  <c r="O272" i="16"/>
  <c r="E272" i="10"/>
  <c r="I271" i="22"/>
  <c r="M271" i="22"/>
  <c r="M271" i="1"/>
  <c r="Y271" i="26"/>
  <c r="U271" i="26"/>
  <c r="S271" i="26"/>
  <c r="O271" i="26"/>
  <c r="Y271" i="14"/>
  <c r="S271" i="14"/>
  <c r="O271" i="14"/>
  <c r="O271" i="16"/>
  <c r="AP269" i="25" l="1"/>
  <c r="AP269" i="2"/>
  <c r="I269" i="22"/>
  <c r="M269" i="22"/>
  <c r="M269" i="1"/>
  <c r="Y269" i="26"/>
  <c r="U269" i="26"/>
  <c r="S269" i="26"/>
  <c r="O269" i="26"/>
  <c r="Y269" i="14"/>
  <c r="S269" i="14"/>
  <c r="O269" i="14"/>
  <c r="M269" i="15"/>
  <c r="O269" i="16" l="1"/>
  <c r="K269" i="10"/>
  <c r="AV268" i="25" l="1"/>
  <c r="AC268" i="22"/>
  <c r="I268" i="22"/>
  <c r="M268" i="22"/>
  <c r="I268" i="1"/>
  <c r="M268" i="1"/>
  <c r="Y268" i="26"/>
  <c r="U268" i="26"/>
  <c r="S268" i="26"/>
  <c r="O268" i="26"/>
  <c r="Y268" i="14"/>
  <c r="O268" i="14"/>
  <c r="M268" i="15"/>
  <c r="O268" i="16"/>
  <c r="E268" i="10"/>
  <c r="M267" i="22" l="1"/>
  <c r="M267" i="15"/>
  <c r="G267" i="16"/>
  <c r="O267" i="16"/>
  <c r="I266" i="22"/>
  <c r="M266" i="22"/>
  <c r="I266" i="1"/>
  <c r="M266" i="1"/>
  <c r="Y266" i="26"/>
  <c r="W266" i="26"/>
  <c r="U266" i="26"/>
  <c r="S266" i="26"/>
  <c r="O266" i="26"/>
  <c r="Y266" i="14"/>
  <c r="W266" i="14"/>
  <c r="S266" i="14"/>
  <c r="O266" i="14"/>
  <c r="M266" i="15"/>
  <c r="O266" i="16"/>
  <c r="E266" i="10"/>
  <c r="I265" i="22"/>
  <c r="M265" i="22"/>
  <c r="I265" i="1"/>
  <c r="M265" i="1"/>
  <c r="Y265" i="26"/>
  <c r="U265" i="26"/>
  <c r="S265" i="26"/>
  <c r="O265" i="26"/>
  <c r="Y265" i="14"/>
  <c r="O265" i="14"/>
  <c r="M265" i="15"/>
  <c r="O265" i="16"/>
  <c r="E265" i="10"/>
  <c r="I264" i="22"/>
  <c r="M264" i="22"/>
  <c r="I264" i="1"/>
  <c r="M264" i="1"/>
  <c r="Y264" i="26"/>
  <c r="U264" i="26"/>
  <c r="S264" i="26"/>
  <c r="O264" i="26"/>
  <c r="Y264" i="14"/>
  <c r="S264" i="14"/>
  <c r="O264" i="14"/>
  <c r="M264" i="15"/>
  <c r="O264" i="16"/>
  <c r="E264" i="10"/>
  <c r="M261" i="22" l="1"/>
  <c r="M261" i="1"/>
  <c r="G261" i="26"/>
  <c r="Y261" i="15"/>
  <c r="M261" i="15"/>
  <c r="G261" i="16"/>
  <c r="O261" i="16"/>
  <c r="M260" i="22"/>
  <c r="M260" i="1"/>
  <c r="M260" i="15"/>
  <c r="G260" i="16"/>
  <c r="O260" i="16"/>
  <c r="E260" i="10"/>
  <c r="I258" i="22"/>
  <c r="M258" i="22"/>
  <c r="M258" i="1"/>
  <c r="U258" i="26"/>
  <c r="Y258" i="26"/>
  <c r="W258" i="26"/>
  <c r="O258" i="26"/>
  <c r="Y258" i="14"/>
  <c r="O258" i="14"/>
  <c r="M258" i="15"/>
  <c r="O258" i="16"/>
  <c r="E258" i="10"/>
  <c r="M257" i="22"/>
  <c r="M257" i="1"/>
  <c r="M257" i="15"/>
  <c r="G257" i="16"/>
  <c r="O257" i="16"/>
  <c r="M256" i="25"/>
  <c r="M256" i="2"/>
  <c r="AC256" i="22"/>
  <c r="M256" i="22"/>
  <c r="M256" i="1"/>
  <c r="M256" i="17"/>
  <c r="M256" i="15"/>
  <c r="G256" i="16"/>
  <c r="O256" i="16"/>
  <c r="AP255" i="25"/>
  <c r="I255" i="22"/>
  <c r="M255" i="22"/>
  <c r="M255" i="1"/>
  <c r="Y255" i="26"/>
  <c r="U255" i="26"/>
  <c r="S255" i="26"/>
  <c r="O255" i="26"/>
  <c r="E255" i="26"/>
  <c r="Y255" i="14"/>
  <c r="O255" i="14"/>
  <c r="E255" i="14"/>
  <c r="M255" i="15"/>
  <c r="O255" i="16"/>
  <c r="E255" i="10"/>
  <c r="M254" i="22"/>
  <c r="M254" i="1"/>
  <c r="M254" i="15"/>
  <c r="G254" i="16"/>
  <c r="O254" i="16"/>
  <c r="I253" i="22" l="1"/>
  <c r="M253" i="22"/>
  <c r="M253" i="1"/>
  <c r="U253" i="26"/>
  <c r="Y253" i="26"/>
  <c r="O253" i="26"/>
  <c r="E253" i="26"/>
  <c r="Y253" i="14"/>
  <c r="O253" i="14"/>
  <c r="M253" i="15"/>
  <c r="G253" i="16"/>
  <c r="O253" i="16"/>
  <c r="E253" i="10"/>
  <c r="I252" i="22"/>
  <c r="M252" i="22"/>
  <c r="I252" i="1"/>
  <c r="M252" i="1"/>
  <c r="O252" i="26"/>
  <c r="E252" i="26"/>
  <c r="E252" i="14"/>
  <c r="M252" i="15"/>
  <c r="G252" i="16"/>
  <c r="O252" i="16"/>
  <c r="E252" i="10"/>
  <c r="M251" i="22"/>
  <c r="M251" i="1"/>
  <c r="M251" i="15"/>
  <c r="G251" i="16"/>
  <c r="O251" i="16"/>
  <c r="I250" i="22"/>
  <c r="M250" i="22"/>
  <c r="M250" i="1"/>
  <c r="Y250" i="26"/>
  <c r="U250" i="26"/>
  <c r="S250" i="26"/>
  <c r="O250" i="26"/>
  <c r="Y250" i="14"/>
  <c r="S250" i="14"/>
  <c r="O250" i="14"/>
  <c r="M250" i="15"/>
  <c r="O250" i="16"/>
  <c r="M248" i="22"/>
  <c r="M248" i="1"/>
  <c r="M248" i="15"/>
  <c r="G248" i="16"/>
  <c r="O248" i="16"/>
  <c r="I247" i="22"/>
  <c r="M247" i="22"/>
  <c r="I247" i="1"/>
  <c r="M247" i="1"/>
  <c r="Y247" i="26"/>
  <c r="U247" i="26"/>
  <c r="S247" i="26"/>
  <c r="O247" i="26"/>
  <c r="Y247" i="14"/>
  <c r="S247" i="14"/>
  <c r="O247" i="14"/>
  <c r="M247" i="15"/>
  <c r="G247" i="16"/>
  <c r="O247" i="16"/>
  <c r="M246" i="22"/>
  <c r="M246" i="1"/>
  <c r="M246" i="26"/>
  <c r="M246" i="15"/>
  <c r="G246" i="16"/>
  <c r="O246" i="16"/>
  <c r="AI245" i="22"/>
  <c r="AC245" i="22"/>
  <c r="I245" i="22"/>
  <c r="M245" i="22"/>
  <c r="AE245" i="1"/>
  <c r="M245" i="1"/>
  <c r="I245" i="1"/>
  <c r="E245" i="26"/>
  <c r="E245" i="14"/>
  <c r="M245" i="15"/>
  <c r="G245" i="16"/>
  <c r="O245" i="16"/>
  <c r="I245" i="10"/>
  <c r="M244" i="22"/>
  <c r="M244" i="1"/>
  <c r="G244" i="26"/>
  <c r="M244" i="15"/>
  <c r="G244" i="16"/>
  <c r="O244" i="16"/>
  <c r="M243" i="22"/>
  <c r="M243" i="1"/>
  <c r="E243" i="26"/>
  <c r="Y243" i="15"/>
  <c r="M243" i="15"/>
  <c r="G243" i="16"/>
  <c r="O243" i="16"/>
  <c r="AI241" i="25"/>
  <c r="I241" i="22"/>
  <c r="M241" i="22"/>
  <c r="M241" i="1"/>
  <c r="O241" i="26"/>
  <c r="E241" i="26"/>
  <c r="O241" i="14"/>
  <c r="E241" i="14"/>
  <c r="AM241" i="17"/>
  <c r="M241" i="15"/>
  <c r="O241" i="16"/>
  <c r="M239" i="25"/>
  <c r="M239" i="2"/>
  <c r="M239" i="22"/>
  <c r="M239" i="1"/>
  <c r="M239" i="17"/>
  <c r="O239" i="15"/>
  <c r="M239" i="15"/>
  <c r="G239" i="16"/>
  <c r="O239" i="16"/>
  <c r="E239" i="10"/>
  <c r="M238" i="22"/>
  <c r="M238" i="1"/>
  <c r="Y238" i="15"/>
  <c r="M238" i="15"/>
  <c r="G238" i="16"/>
  <c r="O238" i="16"/>
  <c r="M237" i="22"/>
  <c r="Y237" i="26"/>
  <c r="U237" i="26"/>
  <c r="Y237" i="14"/>
  <c r="M237" i="15"/>
  <c r="G237" i="16"/>
  <c r="O237" i="16"/>
  <c r="AV235" i="25"/>
  <c r="AC235" i="22"/>
  <c r="M235" i="22"/>
  <c r="M235" i="1"/>
  <c r="Y235" i="26"/>
  <c r="U235" i="26"/>
  <c r="Y235" i="14"/>
  <c r="U235" i="15"/>
  <c r="M235" i="15"/>
  <c r="G235" i="16"/>
  <c r="O235" i="16"/>
  <c r="AV225" i="25" l="1"/>
  <c r="AC225" i="22"/>
  <c r="M227" i="22"/>
  <c r="I226" i="22"/>
  <c r="M225" i="22"/>
  <c r="U227" i="26"/>
  <c r="S227" i="26"/>
  <c r="W226" i="26"/>
  <c r="U226" i="26"/>
  <c r="O226" i="26"/>
  <c r="Q225" i="26"/>
  <c r="E227" i="26"/>
  <c r="M225" i="1"/>
  <c r="O226" i="14"/>
  <c r="Q225" i="14"/>
  <c r="M227" i="15"/>
  <c r="M226" i="15"/>
  <c r="M225" i="15"/>
  <c r="O227" i="16"/>
  <c r="O226" i="16"/>
  <c r="Q225" i="16"/>
  <c r="O225" i="16"/>
  <c r="G227" i="16"/>
  <c r="I225" i="16"/>
  <c r="G225" i="16"/>
  <c r="M233" i="25" l="1"/>
  <c r="M233" i="2"/>
  <c r="M233" i="17"/>
  <c r="M233" i="22"/>
  <c r="M233" i="1"/>
  <c r="E233" i="26"/>
  <c r="M233" i="15"/>
  <c r="G233" i="16"/>
  <c r="O233" i="16"/>
  <c r="M232" i="22"/>
  <c r="M232" i="1"/>
  <c r="M232" i="15"/>
  <c r="G232" i="16"/>
  <c r="O232" i="16"/>
  <c r="E232" i="10"/>
  <c r="M223" i="22" l="1"/>
  <c r="M223" i="1"/>
  <c r="E223" i="26"/>
  <c r="M223" i="15"/>
  <c r="G223" i="16"/>
  <c r="O223" i="16"/>
  <c r="E223" i="10"/>
  <c r="I221" i="22"/>
  <c r="M221" i="22"/>
  <c r="I221" i="1"/>
  <c r="M221" i="1"/>
  <c r="Y221" i="26"/>
  <c r="U221" i="26"/>
  <c r="S221" i="26"/>
  <c r="O221" i="26"/>
  <c r="Y221" i="14"/>
  <c r="O221" i="14"/>
  <c r="M221" i="15"/>
  <c r="O221" i="16"/>
  <c r="E221" i="10"/>
  <c r="I220" i="22"/>
  <c r="M220" i="22"/>
  <c r="M220" i="1"/>
  <c r="Y220" i="26"/>
  <c r="U220" i="26"/>
  <c r="S220" i="26"/>
  <c r="O220" i="26"/>
  <c r="Y220" i="14"/>
  <c r="O220" i="14"/>
  <c r="M220" i="15"/>
  <c r="O220" i="16"/>
  <c r="K220" i="10"/>
  <c r="E220" i="10"/>
  <c r="AV217" i="25"/>
  <c r="M217" i="22"/>
  <c r="M217" i="1"/>
  <c r="E217" i="26"/>
  <c r="M217" i="15"/>
  <c r="O217" i="16"/>
  <c r="M216" i="22"/>
  <c r="M216" i="1"/>
  <c r="E216" i="26"/>
  <c r="E216" i="14"/>
  <c r="M216" i="15"/>
  <c r="G216" i="16"/>
  <c r="O216" i="16"/>
  <c r="I215" i="22"/>
  <c r="M215" i="22"/>
  <c r="M215" i="1"/>
  <c r="Y215" i="26"/>
  <c r="U215" i="26"/>
  <c r="S215" i="26"/>
  <c r="O215" i="26"/>
  <c r="Y215" i="14"/>
  <c r="O215" i="14"/>
  <c r="M215" i="15"/>
  <c r="O215" i="16"/>
  <c r="E215" i="10"/>
  <c r="I214" i="22"/>
  <c r="M214" i="22"/>
  <c r="M214" i="1"/>
  <c r="Y214" i="26"/>
  <c r="W214" i="26"/>
  <c r="U214" i="26"/>
  <c r="S214" i="26"/>
  <c r="O214" i="26"/>
  <c r="Y214" i="14"/>
  <c r="S214" i="14"/>
  <c r="O214" i="14"/>
  <c r="M214" i="15"/>
  <c r="Q214" i="15"/>
  <c r="O214" i="16"/>
  <c r="E214" i="10"/>
  <c r="M213" i="22" l="1"/>
  <c r="M213" i="1"/>
  <c r="G213" i="26"/>
  <c r="M213" i="15"/>
  <c r="G213" i="16"/>
  <c r="O213" i="16"/>
  <c r="M212" i="22"/>
  <c r="M212" i="1"/>
  <c r="M212" i="15"/>
  <c r="G212" i="16"/>
  <c r="O212" i="16"/>
  <c r="I211" i="22"/>
  <c r="M211" i="22"/>
  <c r="M211" i="1"/>
  <c r="Y211" i="26"/>
  <c r="U211" i="26"/>
  <c r="Y211" i="14"/>
  <c r="M211" i="15"/>
  <c r="G211" i="16"/>
  <c r="O211" i="16"/>
  <c r="I210" i="22" l="1"/>
  <c r="M210" i="22"/>
  <c r="M210" i="1"/>
  <c r="Y210" i="26"/>
  <c r="U210" i="26"/>
  <c r="O210" i="26"/>
  <c r="E210" i="26"/>
  <c r="Y210" i="14"/>
  <c r="O210" i="14"/>
  <c r="M210" i="15"/>
  <c r="O210" i="16"/>
  <c r="E210" i="10"/>
  <c r="M209" i="22"/>
  <c r="M209" i="1"/>
  <c r="E209" i="26"/>
  <c r="M209" i="15"/>
  <c r="G209" i="16"/>
  <c r="O209" i="16"/>
  <c r="M206" i="22"/>
  <c r="E206" i="26"/>
  <c r="Y206" i="15"/>
  <c r="M206" i="15"/>
  <c r="G206" i="16"/>
  <c r="O206" i="16"/>
  <c r="M205" i="25"/>
  <c r="M205" i="2"/>
  <c r="M205" i="22"/>
  <c r="M205" i="1"/>
  <c r="M205" i="17"/>
  <c r="M205" i="15"/>
  <c r="G205" i="16"/>
  <c r="O205" i="16"/>
  <c r="M202" i="22" l="1"/>
  <c r="M202" i="1"/>
  <c r="M202" i="15"/>
  <c r="G202" i="16"/>
  <c r="O202" i="16"/>
  <c r="M200" i="22"/>
  <c r="M200" i="15"/>
  <c r="G200" i="16"/>
  <c r="O200" i="16"/>
  <c r="E200" i="10"/>
  <c r="AP199" i="25"/>
  <c r="I199" i="22"/>
  <c r="M199" i="22"/>
  <c r="I199" i="1"/>
  <c r="M199" i="1"/>
  <c r="Y199" i="26"/>
  <c r="W199" i="26"/>
  <c r="U199" i="26"/>
  <c r="S199" i="26"/>
  <c r="O199" i="26"/>
  <c r="Y199" i="14"/>
  <c r="O199" i="14"/>
  <c r="M199" i="15"/>
  <c r="O199" i="16"/>
  <c r="AW198" i="17"/>
  <c r="M198" i="22"/>
  <c r="M198" i="1"/>
  <c r="M198" i="15"/>
  <c r="G198" i="16"/>
  <c r="O198" i="16"/>
  <c r="I197" i="22"/>
  <c r="M197" i="22"/>
  <c r="I197" i="1"/>
  <c r="M197" i="1"/>
  <c r="Y197" i="26"/>
  <c r="U197" i="26"/>
  <c r="S197" i="26"/>
  <c r="O197" i="26"/>
  <c r="E197" i="26"/>
  <c r="Y197" i="14"/>
  <c r="S197" i="14"/>
  <c r="O197" i="14"/>
  <c r="M197" i="15"/>
  <c r="O197" i="16"/>
  <c r="E197" i="10"/>
  <c r="M196" i="22"/>
  <c r="M196" i="1"/>
  <c r="E196" i="26"/>
  <c r="M196" i="15"/>
  <c r="G196" i="16"/>
  <c r="O196" i="16"/>
  <c r="E196" i="10"/>
  <c r="AV195" i="25"/>
  <c r="AC195" i="22"/>
  <c r="M195" i="22"/>
  <c r="M195" i="15"/>
  <c r="G195" i="16"/>
  <c r="O195" i="16"/>
  <c r="M194" i="22"/>
  <c r="M194" i="1"/>
  <c r="E194" i="26"/>
  <c r="Y194" i="15"/>
  <c r="M194" i="15"/>
  <c r="G194" i="16"/>
  <c r="O194" i="16"/>
  <c r="M193" i="22"/>
  <c r="M193" i="15"/>
  <c r="G193" i="16"/>
  <c r="O193" i="16"/>
  <c r="E193" i="10"/>
  <c r="I191" i="22"/>
  <c r="M191" i="22"/>
  <c r="I191" i="1"/>
  <c r="M191" i="1"/>
  <c r="Y191" i="26"/>
  <c r="W191" i="26"/>
  <c r="U191" i="26"/>
  <c r="O191" i="26"/>
  <c r="Y191" i="14"/>
  <c r="O191" i="14"/>
  <c r="M191" i="15"/>
  <c r="O191" i="16"/>
  <c r="E191" i="10"/>
  <c r="AV189" i="25"/>
  <c r="AC189" i="22"/>
  <c r="I189" i="22"/>
  <c r="M189" i="22"/>
  <c r="M189" i="1"/>
  <c r="Y189" i="26"/>
  <c r="U189" i="26"/>
  <c r="S189" i="26"/>
  <c r="O189" i="26"/>
  <c r="Y189" i="14"/>
  <c r="O189" i="14"/>
  <c r="M189" i="15"/>
  <c r="O189" i="16"/>
  <c r="E189" i="10"/>
  <c r="AV187" i="25"/>
  <c r="M187" i="25"/>
  <c r="M187" i="2"/>
  <c r="AI187" i="22"/>
  <c r="M187" i="22"/>
  <c r="M187" i="1"/>
  <c r="Y187" i="26"/>
  <c r="W187" i="26"/>
  <c r="U187" i="26"/>
  <c r="S187" i="26"/>
  <c r="Y187" i="14"/>
  <c r="W187" i="14"/>
  <c r="S187" i="14"/>
  <c r="M187" i="17"/>
  <c r="Y187" i="15"/>
  <c r="M187" i="15"/>
  <c r="G187" i="16"/>
  <c r="O187" i="16"/>
  <c r="E187" i="10"/>
  <c r="AP186" i="25"/>
  <c r="M186" i="22"/>
  <c r="I186" i="22"/>
  <c r="I186" i="1"/>
  <c r="M186" i="1"/>
  <c r="Y186" i="26"/>
  <c r="U186" i="26"/>
  <c r="O186" i="26"/>
  <c r="E186" i="26"/>
  <c r="Y186" i="14"/>
  <c r="O186" i="14"/>
  <c r="M186" i="15"/>
  <c r="O186" i="16"/>
  <c r="E186" i="10"/>
  <c r="M185" i="22"/>
  <c r="M185" i="1"/>
  <c r="M185" i="15"/>
  <c r="G185" i="16"/>
  <c r="O185" i="16"/>
  <c r="E185" i="10"/>
  <c r="W186" i="22" l="1"/>
  <c r="AC184" i="22"/>
  <c r="AV184" i="25"/>
  <c r="M184" i="22"/>
  <c r="M184" i="1"/>
  <c r="E184" i="26"/>
  <c r="E184" i="14"/>
  <c r="M184" i="15"/>
  <c r="G184" i="16"/>
  <c r="O184" i="16"/>
  <c r="M183" i="22"/>
  <c r="M183" i="1"/>
  <c r="M183" i="15"/>
  <c r="G183" i="16"/>
  <c r="O183" i="16"/>
  <c r="E183" i="10"/>
  <c r="AV182" i="25"/>
  <c r="AC182" i="22"/>
  <c r="I182" i="22"/>
  <c r="M182" i="22"/>
  <c r="I182" i="1"/>
  <c r="M182" i="1"/>
  <c r="Y182" i="26"/>
  <c r="U182" i="26"/>
  <c r="O182" i="26"/>
  <c r="Y182" i="14"/>
  <c r="O182" i="14"/>
  <c r="M182" i="15"/>
  <c r="O182" i="16"/>
  <c r="E182" i="10"/>
  <c r="AV180" i="25"/>
  <c r="M180" i="22"/>
  <c r="M180" i="1"/>
  <c r="E180" i="26"/>
  <c r="E180" i="14"/>
  <c r="M180" i="15"/>
  <c r="G180" i="16"/>
  <c r="O180" i="16"/>
  <c r="I180" i="10"/>
  <c r="E180" i="10"/>
  <c r="M179" i="25"/>
  <c r="M179" i="2"/>
  <c r="M179" i="22"/>
  <c r="M179" i="1"/>
  <c r="E179" i="26"/>
  <c r="M179" i="17"/>
  <c r="Y179" i="15"/>
  <c r="M179" i="15"/>
  <c r="G179" i="16"/>
  <c r="O179" i="16"/>
  <c r="I174" i="22" l="1"/>
  <c r="M174" i="22"/>
  <c r="M174" i="1"/>
  <c r="W174" i="26"/>
  <c r="U174" i="26"/>
  <c r="S174" i="26"/>
  <c r="O174" i="26"/>
  <c r="O174" i="14"/>
  <c r="O174" i="16"/>
  <c r="I173" i="22"/>
  <c r="M173" i="22"/>
  <c r="I173" i="1"/>
  <c r="M173" i="1"/>
  <c r="Y173" i="26"/>
  <c r="U173" i="26"/>
  <c r="S173" i="26"/>
  <c r="O173" i="26"/>
  <c r="M173" i="26" s="1"/>
  <c r="Y173" i="14"/>
  <c r="S173" i="14"/>
  <c r="O173" i="14"/>
  <c r="M173" i="14" s="1"/>
  <c r="M173" i="15"/>
  <c r="AE173" i="15" s="1"/>
  <c r="O173" i="16"/>
  <c r="T173" i="10"/>
  <c r="T174" i="10"/>
  <c r="Z173" i="16"/>
  <c r="U173" i="16"/>
  <c r="K173" i="16"/>
  <c r="E173" i="16"/>
  <c r="K173" i="15"/>
  <c r="AW173" i="17"/>
  <c r="I173" i="14"/>
  <c r="AI173" i="1"/>
  <c r="AZ173" i="2"/>
  <c r="BJ173" i="2" s="1"/>
  <c r="I173" i="26"/>
  <c r="AM173" i="22"/>
  <c r="AZ173" i="25"/>
  <c r="BJ173" i="25" s="1"/>
  <c r="Q173" i="10"/>
  <c r="AV172" i="25"/>
  <c r="AC172" i="22"/>
  <c r="M172" i="22"/>
  <c r="I172" i="22"/>
  <c r="M172" i="1"/>
  <c r="I172" i="1"/>
  <c r="Y172" i="26"/>
  <c r="U172" i="26"/>
  <c r="S172" i="26"/>
  <c r="O172" i="26"/>
  <c r="Y172" i="14"/>
  <c r="O172" i="14"/>
  <c r="AC173" i="14" l="1"/>
  <c r="W173" i="22"/>
  <c r="AO173" i="22" s="1"/>
  <c r="BL173" i="25" s="1"/>
  <c r="BT173" i="25" s="1"/>
  <c r="W173" i="1"/>
  <c r="AK173" i="1" s="1"/>
  <c r="BL173" i="2" s="1"/>
  <c r="BT173" i="2" s="1"/>
  <c r="BV173" i="2" s="1"/>
  <c r="AC173" i="26"/>
  <c r="AE173" i="26"/>
  <c r="AE173" i="14"/>
  <c r="AG173" i="15"/>
  <c r="AY173" i="17" s="1"/>
  <c r="BC173" i="17" s="1"/>
  <c r="BE173" i="17" s="1"/>
  <c r="AB173" i="16"/>
  <c r="Y172" i="15"/>
  <c r="M172" i="15"/>
  <c r="O172" i="16"/>
  <c r="E172" i="10"/>
  <c r="K172" i="10"/>
  <c r="AZ169" i="25"/>
  <c r="BJ169" i="25" s="1"/>
  <c r="M169" i="22"/>
  <c r="E169" i="26"/>
  <c r="M169" i="15"/>
  <c r="G169" i="16"/>
  <c r="O169" i="16"/>
  <c r="BV173" i="25" l="1"/>
  <c r="M167" i="22"/>
  <c r="M167" i="1"/>
  <c r="M167" i="15"/>
  <c r="G167" i="16"/>
  <c r="O167" i="16"/>
  <c r="E167" i="10"/>
  <c r="M166" i="22" l="1"/>
  <c r="M166" i="1"/>
  <c r="Q166" i="15"/>
  <c r="M166" i="15"/>
  <c r="G166" i="16"/>
  <c r="O166" i="16"/>
  <c r="E166" i="10"/>
  <c r="M165" i="22"/>
  <c r="M165" i="1"/>
  <c r="E165" i="26"/>
  <c r="E165" i="14"/>
  <c r="M165" i="15"/>
  <c r="G165" i="16"/>
  <c r="O165" i="16"/>
  <c r="AV164" i="25"/>
  <c r="AC164" i="22"/>
  <c r="M164" i="22"/>
  <c r="M164" i="1"/>
  <c r="Y164" i="26"/>
  <c r="U164" i="26"/>
  <c r="S164" i="26"/>
  <c r="E164" i="26"/>
  <c r="Y164" i="14"/>
  <c r="S164" i="14"/>
  <c r="M164" i="15"/>
  <c r="G164" i="16"/>
  <c r="O164" i="16"/>
  <c r="M163" i="25"/>
  <c r="M163" i="2"/>
  <c r="M163" i="22"/>
  <c r="M163" i="1"/>
  <c r="E163" i="26" l="1"/>
  <c r="M163" i="17"/>
  <c r="M163" i="15"/>
  <c r="G163" i="16"/>
  <c r="O163" i="16"/>
  <c r="M161" i="22"/>
  <c r="M161" i="1"/>
  <c r="M161" i="15"/>
  <c r="G161" i="16"/>
  <c r="O161" i="16"/>
  <c r="M160" i="22"/>
  <c r="M160" i="1"/>
  <c r="U160" i="26"/>
  <c r="S160" i="26"/>
  <c r="S160" i="14"/>
  <c r="M160" i="15"/>
  <c r="G160" i="16"/>
  <c r="O160" i="16"/>
  <c r="E160" i="10"/>
  <c r="M159" i="22"/>
  <c r="M159" i="1"/>
  <c r="Y159" i="15"/>
  <c r="M159" i="15"/>
  <c r="G159" i="16"/>
  <c r="O159" i="16"/>
  <c r="E159" i="10"/>
  <c r="AV158" i="25"/>
  <c r="M158" i="22"/>
  <c r="M158" i="1"/>
  <c r="E158" i="26"/>
  <c r="E158" i="14"/>
  <c r="M158" i="15"/>
  <c r="G158" i="16"/>
  <c r="O158" i="16"/>
  <c r="AP157" i="25" l="1"/>
  <c r="AC157" i="22"/>
  <c r="I157" i="22"/>
  <c r="U157" i="22"/>
  <c r="U157" i="1"/>
  <c r="Y157" i="26"/>
  <c r="W157" i="26"/>
  <c r="U157" i="26"/>
  <c r="Y157" i="14"/>
  <c r="M157" i="15"/>
  <c r="G157" i="16"/>
  <c r="O157" i="16"/>
  <c r="E157" i="10"/>
  <c r="M156" i="25"/>
  <c r="M156" i="2"/>
  <c r="M156" i="22"/>
  <c r="M156" i="17"/>
  <c r="M156" i="15"/>
  <c r="G156" i="16"/>
  <c r="O156" i="16"/>
  <c r="M155" i="22"/>
  <c r="M155" i="1"/>
  <c r="M155" i="15"/>
  <c r="G155" i="16"/>
  <c r="O155" i="16"/>
  <c r="M154" i="25" l="1"/>
  <c r="M154" i="2"/>
  <c r="M154" i="22"/>
  <c r="M154" i="1"/>
  <c r="E154" i="26"/>
  <c r="M154" i="15"/>
  <c r="G154" i="16"/>
  <c r="O154" i="16"/>
  <c r="M152" i="22"/>
  <c r="M152" i="1"/>
  <c r="M152" i="15"/>
  <c r="G152" i="16"/>
  <c r="O152" i="16"/>
  <c r="AV151" i="25" l="1"/>
  <c r="AV151" i="2"/>
  <c r="AC151" i="22"/>
  <c r="M151" i="22"/>
  <c r="AC151" i="1"/>
  <c r="M151" i="1"/>
  <c r="E151" i="26"/>
  <c r="Y151" i="15"/>
  <c r="M151" i="15"/>
  <c r="G151" i="16"/>
  <c r="O151" i="16"/>
  <c r="E151" i="10"/>
  <c r="O151" i="10"/>
  <c r="M150" i="22"/>
  <c r="M150" i="1"/>
  <c r="M150" i="15"/>
  <c r="G150" i="16"/>
  <c r="O150" i="16"/>
  <c r="E150" i="10"/>
  <c r="AV147" i="25"/>
  <c r="AC147" i="22"/>
  <c r="I147" i="22"/>
  <c r="M147" i="22"/>
  <c r="I147" i="1"/>
  <c r="M147" i="1"/>
  <c r="Y147" i="26"/>
  <c r="U147" i="26"/>
  <c r="O147" i="26"/>
  <c r="E147" i="26"/>
  <c r="Y147" i="14"/>
  <c r="O147" i="14"/>
  <c r="M147" i="15"/>
  <c r="O147" i="16"/>
  <c r="E147" i="10"/>
  <c r="M146" i="22"/>
  <c r="M146" i="1"/>
  <c r="M146" i="15"/>
  <c r="G146" i="16"/>
  <c r="O146" i="16"/>
  <c r="I145" i="22"/>
  <c r="M145" i="22"/>
  <c r="I145" i="1"/>
  <c r="M145" i="1"/>
  <c r="Y145" i="26"/>
  <c r="W145" i="26"/>
  <c r="U145" i="26"/>
  <c r="S145" i="26"/>
  <c r="O145" i="26"/>
  <c r="Y145" i="14"/>
  <c r="S145" i="14"/>
  <c r="O145" i="14"/>
  <c r="M145" i="15"/>
  <c r="O145" i="16"/>
  <c r="E145" i="10"/>
  <c r="AC144" i="22" l="1"/>
  <c r="I144" i="22"/>
  <c r="M144" i="22"/>
  <c r="AC144" i="1"/>
  <c r="I144" i="1"/>
  <c r="M144" i="1"/>
  <c r="O144" i="26"/>
  <c r="M144" i="15"/>
  <c r="G144" i="16"/>
  <c r="O144" i="16"/>
  <c r="M143" i="25"/>
  <c r="M143" i="2"/>
  <c r="M143" i="22"/>
  <c r="M143" i="1"/>
  <c r="E143" i="26"/>
  <c r="M143" i="17"/>
  <c r="M143" i="15"/>
  <c r="G143" i="16"/>
  <c r="O143" i="16"/>
  <c r="AV141" i="25"/>
  <c r="I141" i="22"/>
  <c r="M141" i="22"/>
  <c r="M141" i="1"/>
  <c r="Y141" i="26"/>
  <c r="U141" i="26"/>
  <c r="S141" i="26"/>
  <c r="O141" i="26"/>
  <c r="Y141" i="14"/>
  <c r="S141" i="14"/>
  <c r="O141" i="14"/>
  <c r="M141" i="15"/>
  <c r="O141" i="16"/>
  <c r="E141" i="10"/>
  <c r="AC140" i="22"/>
  <c r="M140" i="22"/>
  <c r="M140" i="1"/>
  <c r="M140" i="15"/>
  <c r="G140" i="16"/>
  <c r="O140" i="16"/>
  <c r="E140" i="10"/>
  <c r="K140" i="10"/>
  <c r="AP138" i="25"/>
  <c r="AP138" i="2"/>
  <c r="I138" i="22"/>
  <c r="M138" i="22"/>
  <c r="I138" i="1"/>
  <c r="M138" i="1"/>
  <c r="Y138" i="26"/>
  <c r="U138" i="26"/>
  <c r="S138" i="26"/>
  <c r="O138" i="26"/>
  <c r="Y138" i="14"/>
  <c r="O138" i="14"/>
  <c r="O138" i="16"/>
  <c r="M137" i="22"/>
  <c r="M137" i="1" l="1"/>
  <c r="M137" i="17"/>
  <c r="M137" i="15"/>
  <c r="U137" i="16"/>
  <c r="G137" i="16"/>
  <c r="O137" i="16"/>
  <c r="I136" i="22"/>
  <c r="M136" i="22"/>
  <c r="M136" i="1"/>
  <c r="O136" i="26"/>
  <c r="G136" i="26"/>
  <c r="G136" i="14"/>
  <c r="M136" i="15"/>
  <c r="G136" i="16"/>
  <c r="O136" i="16"/>
  <c r="M135" i="22"/>
  <c r="M135" i="15"/>
  <c r="G135" i="16"/>
  <c r="O135" i="16"/>
  <c r="M134" i="22"/>
  <c r="M134" i="1"/>
  <c r="M134" i="15"/>
  <c r="O134" i="16"/>
  <c r="I132" i="22"/>
  <c r="M132" i="22"/>
  <c r="M132" i="1"/>
  <c r="Y132" i="26"/>
  <c r="U132" i="26"/>
  <c r="S132" i="26"/>
  <c r="O132" i="26"/>
  <c r="Y132" i="14"/>
  <c r="O132" i="14"/>
  <c r="M132" i="15"/>
  <c r="O132" i="16"/>
  <c r="M131" i="22"/>
  <c r="M131" i="1"/>
  <c r="M131" i="15"/>
  <c r="G131" i="16"/>
  <c r="O131" i="16"/>
  <c r="AV129" i="25"/>
  <c r="E129" i="26"/>
  <c r="AC129" i="22"/>
  <c r="M129" i="22"/>
  <c r="M129" i="1"/>
  <c r="K129" i="17"/>
  <c r="M129" i="15"/>
  <c r="G129" i="16"/>
  <c r="O129" i="16"/>
  <c r="E129" i="10"/>
  <c r="M128" i="22"/>
  <c r="M128" i="1"/>
  <c r="E128" i="26"/>
  <c r="E128" i="14"/>
  <c r="M128" i="15"/>
  <c r="G128" i="16"/>
  <c r="O128" i="16"/>
  <c r="AV127" i="25" l="1"/>
  <c r="AP127" i="25"/>
  <c r="AC127" i="22" l="1"/>
  <c r="I127" i="22"/>
  <c r="M127" i="22"/>
  <c r="I127" i="1"/>
  <c r="M127" i="1"/>
  <c r="U127" i="26"/>
  <c r="O127" i="26"/>
  <c r="E127" i="26"/>
  <c r="O127" i="14"/>
  <c r="M127" i="15"/>
  <c r="O127" i="16"/>
  <c r="E127" i="10"/>
  <c r="I126" i="22"/>
  <c r="M126" i="22"/>
  <c r="I126" i="1"/>
  <c r="M126" i="1"/>
  <c r="Y126" i="26"/>
  <c r="W126" i="26"/>
  <c r="U126" i="26"/>
  <c r="O126" i="26"/>
  <c r="Y126" i="14"/>
  <c r="O126" i="14"/>
  <c r="M126" i="15"/>
  <c r="O126" i="16"/>
  <c r="E126" i="10"/>
  <c r="I123" i="22"/>
  <c r="M123" i="22"/>
  <c r="M123" i="1"/>
  <c r="Y123" i="26"/>
  <c r="U123" i="26"/>
  <c r="S123" i="26"/>
  <c r="O123" i="26"/>
  <c r="E123" i="26"/>
  <c r="Y123" i="14"/>
  <c r="S123" i="14"/>
  <c r="O123" i="14"/>
  <c r="M123" i="15"/>
  <c r="O123" i="16"/>
  <c r="E123" i="10"/>
  <c r="I122" i="22"/>
  <c r="Q122" i="22"/>
  <c r="M122" i="22"/>
  <c r="I122" i="1"/>
  <c r="M122" i="1"/>
  <c r="U122" i="26"/>
  <c r="O122" i="26"/>
  <c r="E122" i="26"/>
  <c r="O122" i="14"/>
  <c r="U122" i="15"/>
  <c r="M122" i="15"/>
  <c r="O122" i="16"/>
  <c r="O122" i="10"/>
  <c r="M121" i="22"/>
  <c r="M121" i="1"/>
  <c r="M121" i="15"/>
  <c r="G121" i="16"/>
  <c r="O121" i="16"/>
  <c r="E121" i="10"/>
  <c r="I120" i="22"/>
  <c r="U120" i="22"/>
  <c r="I120" i="1"/>
  <c r="U120" i="1"/>
  <c r="E120" i="26"/>
  <c r="M120" i="15"/>
  <c r="G120" i="16"/>
  <c r="O120" i="16"/>
  <c r="E120" i="10"/>
  <c r="AI119" i="25"/>
  <c r="AI119" i="2"/>
  <c r="M119" i="22"/>
  <c r="M119" i="1"/>
  <c r="M119" i="15"/>
  <c r="G119" i="16"/>
  <c r="O119" i="16"/>
  <c r="E119" i="10"/>
  <c r="M118" i="22"/>
  <c r="M118" i="15"/>
  <c r="G118" i="16"/>
  <c r="O118" i="16"/>
  <c r="AI117" i="25"/>
  <c r="M117" i="22"/>
  <c r="M117" i="1"/>
  <c r="AM117" i="17"/>
  <c r="M117" i="15"/>
  <c r="G117" i="16"/>
  <c r="O117" i="16"/>
  <c r="E117" i="10"/>
  <c r="M116" i="22" l="1"/>
  <c r="I116" i="22"/>
  <c r="M116" i="1"/>
  <c r="Y116" i="26"/>
  <c r="U116" i="26"/>
  <c r="S116" i="26"/>
  <c r="O116" i="26"/>
  <c r="E116" i="26"/>
  <c r="Y116" i="14"/>
  <c r="S116" i="14"/>
  <c r="O116" i="14"/>
  <c r="E116" i="14"/>
  <c r="M116" i="15"/>
  <c r="O116" i="16"/>
  <c r="E116" i="10"/>
  <c r="I115" i="22"/>
  <c r="M115" i="22"/>
  <c r="I115" i="1"/>
  <c r="M115" i="1"/>
  <c r="Y115" i="26"/>
  <c r="U115" i="26"/>
  <c r="S115" i="26"/>
  <c r="O115" i="26"/>
  <c r="Y115" i="14"/>
  <c r="O115" i="14"/>
  <c r="M115" i="15"/>
  <c r="O115" i="16"/>
  <c r="E115" i="10"/>
  <c r="E114" i="26"/>
  <c r="M114" i="22"/>
  <c r="M114" i="1"/>
  <c r="M114" i="15"/>
  <c r="G114" i="16"/>
  <c r="O114" i="16"/>
  <c r="M113" i="22"/>
  <c r="M113" i="1"/>
  <c r="M113" i="15"/>
  <c r="G113" i="16"/>
  <c r="O113" i="16"/>
  <c r="I112" i="22" l="1"/>
  <c r="M112" i="22"/>
  <c r="Y112" i="26"/>
  <c r="W112" i="26"/>
  <c r="U112" i="26"/>
  <c r="S112" i="26"/>
  <c r="O112" i="26"/>
  <c r="E112" i="26"/>
  <c r="I112" i="1"/>
  <c r="M112" i="1"/>
  <c r="Y112" i="14"/>
  <c r="W112" i="14"/>
  <c r="S112" i="14"/>
  <c r="O112" i="14"/>
  <c r="E112" i="14"/>
  <c r="M112" i="15"/>
  <c r="O112" i="16"/>
  <c r="E112" i="10"/>
  <c r="O111" i="26"/>
  <c r="E111" i="26"/>
  <c r="I111" i="22"/>
  <c r="M111" i="22"/>
  <c r="I111" i="1"/>
  <c r="M111" i="1"/>
  <c r="O111" i="14"/>
  <c r="M111" i="15"/>
  <c r="G111" i="16"/>
  <c r="O111" i="16"/>
  <c r="I110" i="22"/>
  <c r="M110" i="22"/>
  <c r="Y110" i="26"/>
  <c r="U110" i="26"/>
  <c r="S110" i="26"/>
  <c r="O110" i="26"/>
  <c r="I110" i="1"/>
  <c r="M110" i="1"/>
  <c r="Y110" i="14"/>
  <c r="O110" i="14"/>
  <c r="M110" i="14" s="1"/>
  <c r="M110" i="15"/>
  <c r="O110" i="16"/>
  <c r="M109" i="22"/>
  <c r="Y109" i="26"/>
  <c r="W109" i="26"/>
  <c r="U109" i="26"/>
  <c r="M109" i="1"/>
  <c r="Y109" i="14"/>
  <c r="W109" i="14"/>
  <c r="Y109" i="15"/>
  <c r="M109" i="15"/>
  <c r="G109" i="16"/>
  <c r="O109" i="16"/>
  <c r="M108" i="22"/>
  <c r="M108" i="1"/>
  <c r="M108" i="15"/>
  <c r="G108" i="16"/>
  <c r="O108" i="16"/>
  <c r="M106" i="22" l="1"/>
  <c r="I106" i="22"/>
  <c r="Y106" i="26"/>
  <c r="U106" i="26"/>
  <c r="S106" i="26"/>
  <c r="O106" i="26"/>
  <c r="M106" i="1"/>
  <c r="Y106" i="14"/>
  <c r="S106" i="14"/>
  <c r="O106" i="14"/>
  <c r="M106" i="15"/>
  <c r="O106" i="16"/>
  <c r="E106" i="10"/>
  <c r="AV105" i="25"/>
  <c r="AC105" i="22"/>
  <c r="M105" i="22"/>
  <c r="M105" i="1"/>
  <c r="AQ105" i="17"/>
  <c r="M105" i="15"/>
  <c r="G105" i="16"/>
  <c r="O105" i="16"/>
  <c r="Q105" i="10"/>
  <c r="O75" i="10"/>
  <c r="E75" i="10"/>
  <c r="E72" i="10"/>
  <c r="O71" i="10"/>
  <c r="M69" i="10"/>
  <c r="E69" i="10"/>
  <c r="G68" i="10"/>
  <c r="E68" i="10"/>
  <c r="I67" i="10"/>
  <c r="E63" i="10"/>
  <c r="E48" i="10"/>
  <c r="E43" i="10"/>
  <c r="E38" i="10"/>
  <c r="E37" i="10"/>
  <c r="AV74" i="25"/>
  <c r="AV72" i="25"/>
  <c r="AV68" i="25"/>
  <c r="AV65" i="25"/>
  <c r="AV63" i="25"/>
  <c r="AV60" i="25"/>
  <c r="AP48" i="25"/>
  <c r="AP43" i="25"/>
  <c r="AN43" i="25"/>
  <c r="AN40" i="25"/>
  <c r="AI71" i="25"/>
  <c r="M68" i="25"/>
  <c r="M63" i="25"/>
  <c r="M43" i="25"/>
  <c r="AI40" i="25"/>
  <c r="AC72" i="22"/>
  <c r="AI69" i="22"/>
  <c r="AC68" i="22"/>
  <c r="AC65" i="22"/>
  <c r="AC63" i="22"/>
  <c r="AC60" i="22"/>
  <c r="U87" i="22"/>
  <c r="U86" i="22"/>
  <c r="M86" i="22"/>
  <c r="I86" i="22"/>
  <c r="U84" i="22"/>
  <c r="U83" i="22"/>
  <c r="U82" i="22"/>
  <c r="U81" i="22"/>
  <c r="M81" i="22"/>
  <c r="I81" i="22"/>
  <c r="U79" i="22"/>
  <c r="U78" i="22"/>
  <c r="U77" i="22"/>
  <c r="U76" i="22"/>
  <c r="U75" i="22"/>
  <c r="M75" i="22"/>
  <c r="I75" i="22"/>
  <c r="U74" i="22"/>
  <c r="M74" i="22"/>
  <c r="I74" i="22"/>
  <c r="U72" i="22"/>
  <c r="M72" i="22"/>
  <c r="I72" i="22"/>
  <c r="U71" i="22"/>
  <c r="U69" i="22"/>
  <c r="U68" i="22"/>
  <c r="U67" i="22"/>
  <c r="U65" i="22"/>
  <c r="U64" i="22"/>
  <c r="M64" i="22"/>
  <c r="I64" i="22"/>
  <c r="U63" i="22"/>
  <c r="U62" i="22"/>
  <c r="U61" i="22"/>
  <c r="M61" i="22"/>
  <c r="I61" i="22"/>
  <c r="U60" i="22"/>
  <c r="U59" i="22"/>
  <c r="I59" i="22"/>
  <c r="U57" i="22"/>
  <c r="U56" i="22"/>
  <c r="U53" i="22"/>
  <c r="U52" i="22"/>
  <c r="U49" i="22"/>
  <c r="M49" i="22"/>
  <c r="I49" i="22"/>
  <c r="U48" i="22"/>
  <c r="M48" i="22"/>
  <c r="I48" i="22"/>
  <c r="U46" i="22"/>
  <c r="U45" i="22"/>
  <c r="U44" i="22"/>
  <c r="U43" i="22"/>
  <c r="U42" i="22"/>
  <c r="U41" i="22"/>
  <c r="U40" i="22"/>
  <c r="U37" i="22"/>
  <c r="U36" i="22"/>
  <c r="M36" i="22"/>
  <c r="I36" i="22"/>
  <c r="Y86" i="26"/>
  <c r="U86" i="26"/>
  <c r="S86" i="26"/>
  <c r="O86" i="26"/>
  <c r="U83" i="26"/>
  <c r="S83" i="26"/>
  <c r="Y81" i="26"/>
  <c r="U81" i="26"/>
  <c r="S81" i="26"/>
  <c r="O81" i="26"/>
  <c r="Y75" i="26"/>
  <c r="U75" i="26"/>
  <c r="O75" i="26"/>
  <c r="Y74" i="26"/>
  <c r="U74" i="26"/>
  <c r="S74" i="26"/>
  <c r="O74" i="26"/>
  <c r="Y72" i="26"/>
  <c r="U72" i="26"/>
  <c r="S72" i="26"/>
  <c r="O72" i="26"/>
  <c r="Y64" i="26"/>
  <c r="U64" i="26"/>
  <c r="S64" i="26"/>
  <c r="O64" i="26"/>
  <c r="U61" i="26"/>
  <c r="S61" i="26"/>
  <c r="O61" i="26"/>
  <c r="U59" i="26"/>
  <c r="S59" i="26"/>
  <c r="Y56" i="26"/>
  <c r="U56" i="26"/>
  <c r="Y49" i="26"/>
  <c r="W49" i="26"/>
  <c r="U49" i="26"/>
  <c r="S49" i="26"/>
  <c r="O49" i="26"/>
  <c r="Y48" i="26"/>
  <c r="U48" i="26"/>
  <c r="S48" i="26"/>
  <c r="O48" i="26"/>
  <c r="U45" i="26"/>
  <c r="S45" i="26"/>
  <c r="Q44" i="26"/>
  <c r="U37" i="26"/>
  <c r="S37" i="26"/>
  <c r="Y36" i="26"/>
  <c r="U36" i="26"/>
  <c r="O36" i="26"/>
  <c r="E83" i="26"/>
  <c r="E77" i="26"/>
  <c r="E75" i="26"/>
  <c r="E69" i="26"/>
  <c r="E60" i="26"/>
  <c r="E52" i="26"/>
  <c r="E49" i="26"/>
  <c r="E48" i="26"/>
  <c r="E46" i="26"/>
  <c r="E45" i="26"/>
  <c r="E41" i="26"/>
  <c r="AP43" i="2"/>
  <c r="AN43" i="2"/>
  <c r="AN40" i="2"/>
  <c r="M68" i="2"/>
  <c r="M63" i="2"/>
  <c r="M43" i="2"/>
  <c r="AI40" i="2"/>
  <c r="AE69" i="1"/>
  <c r="U86" i="1"/>
  <c r="M86" i="1"/>
  <c r="I86" i="1"/>
  <c r="U84" i="1"/>
  <c r="U83" i="1"/>
  <c r="U82" i="1"/>
  <c r="U81" i="1"/>
  <c r="M81" i="1"/>
  <c r="I81" i="1"/>
  <c r="U79" i="1"/>
  <c r="U78" i="1"/>
  <c r="U77" i="1"/>
  <c r="U76" i="1"/>
  <c r="M75" i="1"/>
  <c r="I75" i="1"/>
  <c r="U74" i="1"/>
  <c r="M74" i="1"/>
  <c r="M72" i="1"/>
  <c r="I72" i="1"/>
  <c r="U71" i="1"/>
  <c r="U69" i="1"/>
  <c r="U68" i="1"/>
  <c r="U67" i="1"/>
  <c r="U64" i="1"/>
  <c r="M64" i="1"/>
  <c r="U63" i="1"/>
  <c r="U61" i="1"/>
  <c r="M61" i="1"/>
  <c r="I61" i="1"/>
  <c r="U60" i="1"/>
  <c r="U57" i="1"/>
  <c r="U53" i="1"/>
  <c r="U52" i="1"/>
  <c r="U49" i="1"/>
  <c r="M49" i="1"/>
  <c r="I49" i="1"/>
  <c r="U48" i="1"/>
  <c r="M48" i="1"/>
  <c r="I48" i="1"/>
  <c r="U46" i="1"/>
  <c r="U45" i="1"/>
  <c r="U44" i="1"/>
  <c r="U43" i="1"/>
  <c r="U42" i="1"/>
  <c r="U41" i="1"/>
  <c r="U37" i="1"/>
  <c r="M36" i="1"/>
  <c r="I36" i="1"/>
  <c r="Y86" i="14"/>
  <c r="S86" i="14"/>
  <c r="O86" i="14"/>
  <c r="U83" i="14"/>
  <c r="S83" i="14"/>
  <c r="Y81" i="14"/>
  <c r="O81" i="14"/>
  <c r="Y75" i="14"/>
  <c r="O75" i="14"/>
  <c r="Y74" i="14"/>
  <c r="O74" i="14"/>
  <c r="Y72" i="14"/>
  <c r="S72" i="14"/>
  <c r="O72" i="14"/>
  <c r="Y64" i="14"/>
  <c r="O64" i="14"/>
  <c r="S61" i="14"/>
  <c r="O61" i="14"/>
  <c r="Y56" i="14"/>
  <c r="Y49" i="14"/>
  <c r="U49" i="14"/>
  <c r="O49" i="14"/>
  <c r="Y48" i="14"/>
  <c r="S48" i="14"/>
  <c r="O48" i="14"/>
  <c r="S45" i="14"/>
  <c r="Q44" i="14"/>
  <c r="O44" i="14"/>
  <c r="S37" i="14"/>
  <c r="Y36" i="14"/>
  <c r="O36" i="14"/>
  <c r="E83" i="14"/>
  <c r="E69" i="14"/>
  <c r="E41" i="14"/>
  <c r="AM71" i="17"/>
  <c r="AU69" i="17"/>
  <c r="AO43" i="17"/>
  <c r="AO40" i="17"/>
  <c r="AM40" i="17"/>
  <c r="M71" i="17"/>
  <c r="M68" i="17"/>
  <c r="M63" i="17"/>
  <c r="M43" i="17"/>
  <c r="AA42" i="17"/>
  <c r="M87" i="15"/>
  <c r="M86" i="15"/>
  <c r="Y84" i="15"/>
  <c r="M84" i="15"/>
  <c r="Y83" i="15"/>
  <c r="M83" i="15"/>
  <c r="M82" i="15"/>
  <c r="M81" i="15"/>
  <c r="M79" i="15"/>
  <c r="M78" i="15"/>
  <c r="Y77" i="15"/>
  <c r="M77" i="15"/>
  <c r="M76" i="15"/>
  <c r="M75" i="15"/>
  <c r="M74" i="15"/>
  <c r="Y72" i="15"/>
  <c r="M72" i="15"/>
  <c r="M71" i="15"/>
  <c r="M69" i="15"/>
  <c r="Y68" i="15"/>
  <c r="M68" i="15"/>
  <c r="M67" i="15"/>
  <c r="M65" i="15"/>
  <c r="M64" i="15"/>
  <c r="M63" i="15"/>
  <c r="M62" i="15"/>
  <c r="Y61" i="15"/>
  <c r="M61" i="15"/>
  <c r="M60" i="15"/>
  <c r="M57" i="15"/>
  <c r="M56" i="15"/>
  <c r="M53" i="15"/>
  <c r="M52" i="15"/>
  <c r="M48" i="15"/>
  <c r="M46" i="15"/>
  <c r="Y45" i="15"/>
  <c r="M45" i="15"/>
  <c r="M44" i="15"/>
  <c r="M43" i="15"/>
  <c r="Y42" i="15"/>
  <c r="M42" i="15"/>
  <c r="M40" i="15"/>
  <c r="M38" i="15"/>
  <c r="M37" i="15"/>
  <c r="M36" i="15"/>
  <c r="Q44" i="16"/>
  <c r="G87" i="16"/>
  <c r="G84" i="16"/>
  <c r="G83" i="16"/>
  <c r="G82" i="16"/>
  <c r="G79" i="16"/>
  <c r="G78" i="16"/>
  <c r="G77" i="16"/>
  <c r="G76" i="16"/>
  <c r="G71" i="16"/>
  <c r="G69" i="16"/>
  <c r="G68" i="16"/>
  <c r="G67" i="16"/>
  <c r="G65" i="16"/>
  <c r="G63" i="16"/>
  <c r="G62" i="16"/>
  <c r="G60" i="16"/>
  <c r="G59" i="16"/>
  <c r="G57" i="16"/>
  <c r="G56" i="16"/>
  <c r="G53" i="16"/>
  <c r="G52" i="16"/>
  <c r="G46" i="16"/>
  <c r="G45" i="16"/>
  <c r="I44" i="16"/>
  <c r="G44" i="16"/>
  <c r="G43" i="16"/>
  <c r="G42" i="16"/>
  <c r="G41" i="16"/>
  <c r="G40" i="16"/>
  <c r="G38" i="16"/>
  <c r="G37" i="16"/>
  <c r="AI103" i="22" l="1"/>
  <c r="M103" i="22"/>
  <c r="M103" i="1"/>
  <c r="Y103" i="15"/>
  <c r="M103" i="15"/>
  <c r="G103" i="16"/>
  <c r="O103" i="16"/>
  <c r="M100" i="25" l="1"/>
  <c r="M100" i="22"/>
  <c r="E100" i="26"/>
  <c r="M100" i="2"/>
  <c r="M100" i="1"/>
  <c r="M100" i="17"/>
  <c r="M100" i="15"/>
  <c r="G100" i="16"/>
  <c r="O100" i="16"/>
  <c r="E100" i="10"/>
  <c r="M99" i="25"/>
  <c r="M99" i="22"/>
  <c r="M99" i="2"/>
  <c r="M99" i="1"/>
  <c r="AM99" i="17"/>
  <c r="M99" i="17"/>
  <c r="G99" i="16"/>
  <c r="O99" i="16"/>
  <c r="M98" i="22"/>
  <c r="M98" i="1"/>
  <c r="Y98" i="15"/>
  <c r="M98" i="15"/>
  <c r="G98" i="16"/>
  <c r="O98" i="16"/>
  <c r="I96" i="22" l="1"/>
  <c r="M96" i="22"/>
  <c r="U96" i="26"/>
  <c r="O96" i="26"/>
  <c r="I96" i="1"/>
  <c r="M96" i="1"/>
  <c r="O96" i="14"/>
  <c r="M96" i="15"/>
  <c r="O96" i="16"/>
  <c r="M95" i="22"/>
  <c r="M95" i="1"/>
  <c r="M95" i="15"/>
  <c r="G95" i="16"/>
  <c r="O95" i="16"/>
  <c r="E95" i="10"/>
  <c r="AP94" i="25"/>
  <c r="AC94" i="22"/>
  <c r="I94" i="22"/>
  <c r="M94" i="22"/>
  <c r="Y94" i="26"/>
  <c r="U94" i="26"/>
  <c r="O94" i="26"/>
  <c r="I94" i="1"/>
  <c r="M94" i="1"/>
  <c r="Y94" i="14"/>
  <c r="O94" i="14"/>
  <c r="M94" i="15"/>
  <c r="O94" i="16"/>
  <c r="I94" i="10"/>
  <c r="U93" i="22"/>
  <c r="I93" i="22"/>
  <c r="M93" i="22"/>
  <c r="Y93" i="26"/>
  <c r="U93" i="26"/>
  <c r="S93" i="26"/>
  <c r="O93" i="26"/>
  <c r="G93" i="26"/>
  <c r="M93" i="1"/>
  <c r="I93" i="1"/>
  <c r="Y93" i="14"/>
  <c r="S93" i="14"/>
  <c r="O93" i="14"/>
  <c r="Y93" i="15"/>
  <c r="M93" i="15"/>
  <c r="O93" i="16"/>
  <c r="E93" i="10"/>
  <c r="M92" i="22"/>
  <c r="M92" i="1"/>
  <c r="Y92" i="15"/>
  <c r="M92" i="15"/>
  <c r="G92" i="16"/>
  <c r="O92" i="16"/>
  <c r="E92" i="10"/>
  <c r="AV91" i="25"/>
  <c r="AC91" i="22"/>
  <c r="I91" i="22"/>
  <c r="M91" i="22"/>
  <c r="Y91" i="26"/>
  <c r="U91" i="26"/>
  <c r="O91" i="26"/>
  <c r="E91" i="26"/>
  <c r="I91" i="1"/>
  <c r="M91" i="1"/>
  <c r="Y91" i="14"/>
  <c r="O91" i="14"/>
  <c r="O91" i="15"/>
  <c r="M91" i="15"/>
  <c r="O91" i="16"/>
  <c r="E91" i="10"/>
  <c r="M90" i="22"/>
  <c r="M90" i="1"/>
  <c r="M90" i="15"/>
  <c r="G90" i="16"/>
  <c r="O90" i="16"/>
  <c r="M89" i="22"/>
  <c r="Y89" i="26"/>
  <c r="W89" i="26"/>
  <c r="U89" i="26"/>
  <c r="S89" i="26"/>
  <c r="E89" i="26"/>
  <c r="M89" i="1"/>
  <c r="Y89" i="14"/>
  <c r="S89" i="14"/>
  <c r="E89" i="14"/>
  <c r="Y89" i="15"/>
  <c r="M89" i="15"/>
  <c r="G89" i="16"/>
  <c r="O89" i="16"/>
  <c r="M88" i="22"/>
  <c r="M88" i="1"/>
  <c r="AM88" i="17"/>
  <c r="G88" i="16"/>
  <c r="O88" i="16"/>
  <c r="I35" i="22"/>
  <c r="M35" i="22"/>
  <c r="Y35" i="26"/>
  <c r="W35" i="26"/>
  <c r="U35" i="26"/>
  <c r="S35" i="26"/>
  <c r="I35" i="1"/>
  <c r="M35" i="1"/>
  <c r="Y35" i="14"/>
  <c r="W35" i="14"/>
  <c r="S35" i="14"/>
  <c r="M35" i="15"/>
  <c r="O35" i="16"/>
  <c r="K35" i="10"/>
  <c r="AI34" i="25"/>
  <c r="M34" i="22"/>
  <c r="M34" i="1"/>
  <c r="AM34" i="17"/>
  <c r="M34" i="15"/>
  <c r="G34" i="16"/>
  <c r="O34" i="16"/>
  <c r="E34" i="10"/>
  <c r="M33" i="22"/>
  <c r="E33" i="26"/>
  <c r="M33" i="1"/>
  <c r="M33" i="15"/>
  <c r="G33" i="16"/>
  <c r="O33" i="16"/>
  <c r="AV32" i="25"/>
  <c r="AC32" i="22"/>
  <c r="M32" i="22"/>
  <c r="I32" i="22"/>
  <c r="O32" i="26"/>
  <c r="M32" i="1"/>
  <c r="O32" i="14"/>
  <c r="M32" i="15"/>
  <c r="O32" i="16"/>
  <c r="E32" i="10"/>
  <c r="M31" i="22"/>
  <c r="E31" i="26"/>
  <c r="M31" i="1"/>
  <c r="M31" i="15" l="1"/>
  <c r="O31" i="16"/>
  <c r="M30" i="22" l="1"/>
  <c r="M30" i="1"/>
  <c r="M30" i="15"/>
  <c r="G30" i="16"/>
  <c r="O30" i="16"/>
  <c r="E30" i="10"/>
  <c r="AV29" i="25" l="1"/>
  <c r="AC29" i="22"/>
  <c r="M29" i="22"/>
  <c r="Y29" i="15"/>
  <c r="Q29" i="15"/>
  <c r="M29" i="15"/>
  <c r="G29" i="16"/>
  <c r="O29" i="16"/>
  <c r="E29" i="10"/>
  <c r="M28" i="22"/>
  <c r="E28" i="26"/>
  <c r="M28" i="1"/>
  <c r="M28" i="15"/>
  <c r="G28" i="16"/>
  <c r="O28" i="16"/>
  <c r="M27" i="22" l="1"/>
  <c r="M27" i="1"/>
  <c r="M27" i="15"/>
  <c r="G27" i="16"/>
  <c r="O27" i="16"/>
  <c r="M26" i="25"/>
  <c r="M26" i="22"/>
  <c r="E26" i="26"/>
  <c r="M26" i="2"/>
  <c r="M26" i="1"/>
  <c r="M26" i="17"/>
  <c r="M26" i="15"/>
  <c r="Y26" i="15"/>
  <c r="G26" i="16"/>
  <c r="O26" i="16"/>
  <c r="E26" i="10"/>
  <c r="M24" i="22"/>
  <c r="M24" i="1"/>
  <c r="G24" i="16"/>
  <c r="O24" i="16"/>
  <c r="Z23" i="16" l="1"/>
  <c r="U23" i="16"/>
  <c r="K23" i="16"/>
  <c r="E23" i="16"/>
  <c r="AV22" i="25"/>
  <c r="AC22" i="22"/>
  <c r="I22" i="22"/>
  <c r="M22" i="22"/>
  <c r="Y22" i="26"/>
  <c r="U22" i="26"/>
  <c r="S22" i="26"/>
  <c r="O22" i="26"/>
  <c r="M22" i="1"/>
  <c r="Y22" i="14"/>
  <c r="S22" i="14"/>
  <c r="O22" i="14"/>
  <c r="M22" i="15"/>
  <c r="O22" i="16"/>
  <c r="E22" i="10"/>
  <c r="AI20" i="22"/>
  <c r="U20" i="22"/>
  <c r="M20" i="22"/>
  <c r="U20" i="1"/>
  <c r="M20" i="1"/>
  <c r="Y20" i="15"/>
  <c r="M20" i="15"/>
  <c r="G20" i="16"/>
  <c r="O20" i="16"/>
  <c r="M19" i="22"/>
  <c r="E19" i="26"/>
  <c r="M19" i="1"/>
  <c r="E19" i="14"/>
  <c r="M19" i="15"/>
  <c r="G19" i="16"/>
  <c r="O19" i="16"/>
  <c r="M18" i="25"/>
  <c r="M18" i="22"/>
  <c r="M18" i="2"/>
  <c r="M18" i="1"/>
  <c r="M18" i="17"/>
  <c r="M18" i="15"/>
  <c r="G18" i="16"/>
  <c r="O18" i="16"/>
  <c r="E18" i="10"/>
  <c r="AB23" i="16" l="1"/>
  <c r="M17" i="25"/>
  <c r="M17" i="22"/>
  <c r="M17" i="2"/>
  <c r="M17" i="1"/>
  <c r="E17" i="14"/>
  <c r="M17" i="17"/>
  <c r="M17" i="15"/>
  <c r="G17" i="16"/>
  <c r="O17" i="16"/>
  <c r="E17" i="10"/>
  <c r="Z16" i="16"/>
  <c r="U16" i="16"/>
  <c r="K16" i="16"/>
  <c r="E16" i="16"/>
  <c r="AB16" i="16" l="1"/>
  <c r="M14" i="22" l="1"/>
  <c r="U14" i="22"/>
  <c r="E14" i="26"/>
  <c r="U14" i="1"/>
  <c r="M14" i="1"/>
  <c r="E14" i="14"/>
  <c r="M14" i="15"/>
  <c r="G14" i="16"/>
  <c r="O14" i="16"/>
  <c r="M13" i="22"/>
  <c r="E13" i="26"/>
  <c r="M13" i="1"/>
  <c r="M12" i="1"/>
  <c r="U12" i="1"/>
  <c r="M13" i="15"/>
  <c r="G13" i="16"/>
  <c r="O13" i="16"/>
  <c r="E13" i="10"/>
  <c r="AC12" i="22"/>
  <c r="AV12" i="25"/>
  <c r="U12" i="22"/>
  <c r="M12" i="15"/>
  <c r="G12" i="16"/>
  <c r="O12" i="16"/>
  <c r="Z11" i="16"/>
  <c r="U11" i="16"/>
  <c r="K11" i="16"/>
  <c r="E11" i="16"/>
  <c r="AB11" i="16" l="1"/>
  <c r="AC518" i="26"/>
  <c r="AE423" i="14"/>
  <c r="AE417" i="14"/>
  <c r="AE375" i="14"/>
  <c r="AE294" i="15" l="1"/>
  <c r="AE375" i="15"/>
  <c r="AE417" i="15"/>
  <c r="AE423" i="15"/>
  <c r="AE574" i="15"/>
  <c r="M569" i="26" l="1"/>
  <c r="U569" i="16"/>
  <c r="AM568" i="22"/>
  <c r="K568" i="16"/>
  <c r="Q548" i="10" l="1"/>
  <c r="I548" i="14"/>
  <c r="U548" i="16"/>
  <c r="U547" i="16"/>
  <c r="U544" i="16"/>
  <c r="AI526" i="1" l="1"/>
  <c r="AI522" i="1"/>
  <c r="I518" i="14"/>
  <c r="I512" i="26" l="1"/>
  <c r="AM488" i="22" l="1"/>
  <c r="AZ484" i="2" l="1"/>
  <c r="W480" i="1"/>
  <c r="T464" i="10" l="1"/>
  <c r="Z464" i="16"/>
  <c r="U464" i="16"/>
  <c r="K464" i="16"/>
  <c r="E464" i="16"/>
  <c r="AE464" i="15"/>
  <c r="K464" i="15"/>
  <c r="AW464" i="17"/>
  <c r="AC464" i="14"/>
  <c r="M464" i="14"/>
  <c r="I464" i="14"/>
  <c r="AI464" i="1"/>
  <c r="W464" i="1"/>
  <c r="AZ464" i="2"/>
  <c r="BJ464" i="2" s="1"/>
  <c r="AC464" i="26"/>
  <c r="M464" i="26"/>
  <c r="I464" i="26"/>
  <c r="AM464" i="22"/>
  <c r="W464" i="22"/>
  <c r="AO464" i="22" s="1"/>
  <c r="AZ464" i="25"/>
  <c r="BJ464" i="25" s="1"/>
  <c r="Q464" i="10"/>
  <c r="AK464" i="1" l="1"/>
  <c r="BL464" i="2" s="1"/>
  <c r="BT464" i="2" s="1"/>
  <c r="BV464" i="2" s="1"/>
  <c r="AE464" i="26"/>
  <c r="BL464" i="25"/>
  <c r="BT464" i="25" s="1"/>
  <c r="BV464" i="25" s="1"/>
  <c r="AB464" i="16"/>
  <c r="AG464" i="15"/>
  <c r="AY464" i="17" s="1"/>
  <c r="BC464" i="17" s="1"/>
  <c r="BE464" i="17" s="1"/>
  <c r="AE464" i="14"/>
  <c r="T421" i="10" l="1"/>
  <c r="Q421" i="10"/>
  <c r="AZ421" i="25"/>
  <c r="BJ421" i="25" s="1"/>
  <c r="AM421" i="22"/>
  <c r="W421" i="22"/>
  <c r="AC421" i="26"/>
  <c r="M421" i="26"/>
  <c r="I421" i="26"/>
  <c r="AZ421" i="2"/>
  <c r="BJ421" i="2" s="1"/>
  <c r="AI421" i="1"/>
  <c r="W421" i="1"/>
  <c r="AC421" i="14"/>
  <c r="M421" i="14"/>
  <c r="I421" i="14"/>
  <c r="AW421" i="17"/>
  <c r="AE421" i="15"/>
  <c r="K421" i="15"/>
  <c r="Z421" i="16"/>
  <c r="U421" i="16"/>
  <c r="K421" i="16"/>
  <c r="E421" i="16"/>
  <c r="AO421" i="22" l="1"/>
  <c r="BL421" i="25" s="1"/>
  <c r="BT421" i="25" s="1"/>
  <c r="BV421" i="25" s="1"/>
  <c r="AE421" i="14"/>
  <c r="AG421" i="15"/>
  <c r="AY421" i="17" s="1"/>
  <c r="BC421" i="17" s="1"/>
  <c r="BE421" i="17" s="1"/>
  <c r="AB421" i="16"/>
  <c r="AK421" i="1"/>
  <c r="BL421" i="2" s="1"/>
  <c r="BT421" i="2" s="1"/>
  <c r="BV421" i="2" s="1"/>
  <c r="AE421" i="26"/>
  <c r="T408" i="10" l="1"/>
  <c r="Q408" i="10"/>
  <c r="AZ408" i="25"/>
  <c r="BJ408" i="25" s="1"/>
  <c r="W408" i="22"/>
  <c r="AC408" i="26"/>
  <c r="M408" i="26"/>
  <c r="I408" i="26"/>
  <c r="AZ408" i="2"/>
  <c r="BJ408" i="2" s="1"/>
  <c r="AI408" i="1"/>
  <c r="W408" i="1"/>
  <c r="AC408" i="14"/>
  <c r="M408" i="14"/>
  <c r="I408" i="14"/>
  <c r="AW408" i="17"/>
  <c r="AE408" i="15"/>
  <c r="K408" i="15"/>
  <c r="Z408" i="16"/>
  <c r="U408" i="16"/>
  <c r="K408" i="16"/>
  <c r="E408" i="16"/>
  <c r="AE408" i="14" l="1"/>
  <c r="AO408" i="22"/>
  <c r="BL408" i="25" s="1"/>
  <c r="BT408" i="25" s="1"/>
  <c r="AE408" i="26"/>
  <c r="AG408" i="15"/>
  <c r="AY408" i="17" s="1"/>
  <c r="BC408" i="17" s="1"/>
  <c r="AB408" i="16"/>
  <c r="AK408" i="1"/>
  <c r="BL408" i="2" s="1"/>
  <c r="BT408" i="2" s="1"/>
  <c r="BV408" i="2" s="1"/>
  <c r="T354" i="10"/>
  <c r="Z354" i="16"/>
  <c r="U354" i="16"/>
  <c r="E354" i="16"/>
  <c r="AE354" i="15"/>
  <c r="K354" i="15"/>
  <c r="AW354" i="17"/>
  <c r="AC354" i="14"/>
  <c r="M354" i="14"/>
  <c r="I354" i="14"/>
  <c r="AI354" i="1"/>
  <c r="W354" i="1"/>
  <c r="AZ354" i="2"/>
  <c r="BJ354" i="2" s="1"/>
  <c r="AC354" i="26"/>
  <c r="M354" i="26"/>
  <c r="I354" i="26"/>
  <c r="AM354" i="22"/>
  <c r="W354" i="22"/>
  <c r="AZ354" i="25"/>
  <c r="BJ354" i="25" s="1"/>
  <c r="Q354" i="10"/>
  <c r="AO354" i="22" l="1"/>
  <c r="BL354" i="25" s="1"/>
  <c r="BT354" i="25" s="1"/>
  <c r="BV354" i="25" s="1"/>
  <c r="AE354" i="26"/>
  <c r="AE354" i="14"/>
  <c r="AK354" i="1"/>
  <c r="AG354" i="15"/>
  <c r="AY354" i="17" s="1"/>
  <c r="BC354" i="17" s="1"/>
  <c r="BE354" i="17" s="1"/>
  <c r="AB354" i="16"/>
  <c r="BL354" i="2"/>
  <c r="BT354" i="2" s="1"/>
  <c r="BV354" i="2" s="1"/>
  <c r="AW344" i="17" l="1"/>
  <c r="T326" i="10" l="1"/>
  <c r="Z326" i="16"/>
  <c r="U326" i="16"/>
  <c r="K326" i="16"/>
  <c r="E326" i="16"/>
  <c r="AE326" i="15"/>
  <c r="K326" i="15"/>
  <c r="AW326" i="17"/>
  <c r="AC326" i="14"/>
  <c r="M326" i="14"/>
  <c r="I326" i="14"/>
  <c r="AI326" i="1"/>
  <c r="W326" i="1"/>
  <c r="AZ326" i="2"/>
  <c r="BJ326" i="2" s="1"/>
  <c r="AC326" i="26"/>
  <c r="M326" i="26"/>
  <c r="I326" i="26"/>
  <c r="AM326" i="22"/>
  <c r="W326" i="22"/>
  <c r="AZ326" i="25"/>
  <c r="BJ326" i="25" s="1"/>
  <c r="Q326" i="10"/>
  <c r="AE326" i="26" l="1"/>
  <c r="AB326" i="16"/>
  <c r="AO326" i="22"/>
  <c r="AE326" i="14"/>
  <c r="AG326" i="15"/>
  <c r="AY326" i="17" s="1"/>
  <c r="BC326" i="17" s="1"/>
  <c r="BE326" i="17" s="1"/>
  <c r="AK326" i="1"/>
  <c r="BL326" i="2" s="1"/>
  <c r="BT326" i="2" s="1"/>
  <c r="BV326" i="2" s="1"/>
  <c r="BL326" i="25" l="1"/>
  <c r="BT326" i="25" s="1"/>
  <c r="BV326" i="25" s="1"/>
  <c r="AI294" i="1"/>
  <c r="I317" i="14"/>
  <c r="M317" i="14"/>
  <c r="AC317" i="14"/>
  <c r="AZ313" i="2"/>
  <c r="BJ313" i="2" s="1"/>
  <c r="AE317" i="14" l="1"/>
  <c r="E298" i="16" l="1"/>
  <c r="K298" i="16"/>
  <c r="U298" i="16"/>
  <c r="Z298" i="16"/>
  <c r="AB298" i="16" l="1"/>
  <c r="Q294" i="10" l="1"/>
  <c r="AM42" i="22" l="1"/>
  <c r="AM12" i="22"/>
  <c r="AM14" i="22"/>
  <c r="AM18" i="22"/>
  <c r="AM19" i="22"/>
  <c r="AM20" i="22"/>
  <c r="AM24" i="22"/>
  <c r="AM27" i="22"/>
  <c r="AM28" i="22"/>
  <c r="AM29" i="22"/>
  <c r="AM30" i="22"/>
  <c r="AM31" i="22"/>
  <c r="AM33" i="22"/>
  <c r="AM34" i="22"/>
  <c r="AM36" i="22"/>
  <c r="AM37" i="22"/>
  <c r="AM38" i="22"/>
  <c r="AM39" i="22"/>
  <c r="AM40" i="22"/>
  <c r="AM43" i="22"/>
  <c r="AM44" i="22"/>
  <c r="AM45" i="22"/>
  <c r="AM46" i="22"/>
  <c r="AM48" i="22"/>
  <c r="AM49" i="22"/>
  <c r="AM51" i="22"/>
  <c r="AM52" i="22"/>
  <c r="AM53" i="22"/>
  <c r="AM54" i="22"/>
  <c r="AM55" i="22"/>
  <c r="AM56" i="22"/>
  <c r="AM57" i="22"/>
  <c r="AM58" i="22"/>
  <c r="AM60" i="22"/>
  <c r="AM61" i="22"/>
  <c r="AM62" i="22"/>
  <c r="AM63" i="22"/>
  <c r="AM64" i="22"/>
  <c r="AM65" i="22"/>
  <c r="AM66" i="22"/>
  <c r="AM67" i="22"/>
  <c r="AM68" i="22"/>
  <c r="AM70" i="22"/>
  <c r="AM71" i="22"/>
  <c r="AM72" i="22"/>
  <c r="AM73" i="22"/>
  <c r="AM75" i="22"/>
  <c r="AM76" i="22"/>
  <c r="AM77" i="22"/>
  <c r="AM78" i="22"/>
  <c r="AM79" i="22"/>
  <c r="AM80" i="22"/>
  <c r="AM81" i="22"/>
  <c r="AM82" i="22"/>
  <c r="AM83" i="22"/>
  <c r="AM85" i="22"/>
  <c r="AM86" i="22"/>
  <c r="AM87" i="22"/>
  <c r="AM88" i="22"/>
  <c r="AM89" i="22"/>
  <c r="AM90" i="22"/>
  <c r="AM91" i="22"/>
  <c r="AM92" i="22"/>
  <c r="AM93" i="22"/>
  <c r="AM94" i="22"/>
  <c r="AM95" i="22"/>
  <c r="AM96" i="22"/>
  <c r="AM97" i="22"/>
  <c r="AM98" i="22"/>
  <c r="AM99" i="22"/>
  <c r="AM101" i="22"/>
  <c r="AM102" i="22"/>
  <c r="AM103" i="22"/>
  <c r="AM104" i="22"/>
  <c r="AM105" i="22"/>
  <c r="AM106" i="22"/>
  <c r="AM107" i="22"/>
  <c r="AM108" i="22"/>
  <c r="AM109" i="22"/>
  <c r="AM110" i="22"/>
  <c r="AM111" i="22"/>
  <c r="AM112" i="22"/>
  <c r="AM113" i="22"/>
  <c r="AM114" i="22"/>
  <c r="AM115" i="22"/>
  <c r="AM116" i="22"/>
  <c r="AM117" i="22"/>
  <c r="AM118" i="22"/>
  <c r="AM119" i="22"/>
  <c r="AM120" i="22"/>
  <c r="AM121" i="22"/>
  <c r="AM122" i="22"/>
  <c r="AM123" i="22"/>
  <c r="AM124" i="22"/>
  <c r="AM125" i="22"/>
  <c r="AM126" i="22"/>
  <c r="AM127" i="22"/>
  <c r="AM128" i="22"/>
  <c r="AM129" i="22"/>
  <c r="AM130" i="22"/>
  <c r="AM131" i="22"/>
  <c r="AM132" i="22"/>
  <c r="AM133" i="22"/>
  <c r="AM134" i="22"/>
  <c r="AM135" i="22"/>
  <c r="AM136" i="22"/>
  <c r="AM137" i="22"/>
  <c r="AM138" i="22"/>
  <c r="AM139" i="22"/>
  <c r="AM140" i="22"/>
  <c r="AM141" i="22"/>
  <c r="AM142" i="22"/>
  <c r="AM143" i="22"/>
  <c r="AM144" i="22"/>
  <c r="AM145" i="22"/>
  <c r="AM146" i="22"/>
  <c r="AM147" i="22"/>
  <c r="AM148" i="22"/>
  <c r="AM149" i="22"/>
  <c r="AZ46" i="25"/>
  <c r="BJ46" i="25" s="1"/>
  <c r="AM100" i="22"/>
  <c r="AM84" i="22"/>
  <c r="AM74" i="22"/>
  <c r="AM69" i="22"/>
  <c r="AM59" i="22"/>
  <c r="AM41" i="22"/>
  <c r="AM35" i="22"/>
  <c r="AM22" i="22"/>
  <c r="AM17" i="22"/>
  <c r="AM13" i="22"/>
  <c r="W46" i="22"/>
  <c r="AO46" i="22" s="1"/>
  <c r="AI46" i="1"/>
  <c r="AC46" i="14"/>
  <c r="M46" i="14"/>
  <c r="I46" i="14"/>
  <c r="AZ46" i="2"/>
  <c r="BJ46" i="2" s="1"/>
  <c r="W46" i="1"/>
  <c r="AC46" i="26"/>
  <c r="M46" i="26"/>
  <c r="AW46" i="17"/>
  <c r="K46" i="15"/>
  <c r="AE46" i="15"/>
  <c r="E34" i="16"/>
  <c r="E33" i="16"/>
  <c r="E29" i="16"/>
  <c r="E28" i="16"/>
  <c r="E27" i="16"/>
  <c r="E24" i="16"/>
  <c r="E20" i="16"/>
  <c r="E19" i="16"/>
  <c r="E17" i="16"/>
  <c r="E14" i="16"/>
  <c r="E13" i="16"/>
  <c r="E12" i="16"/>
  <c r="T46" i="10"/>
  <c r="Q46" i="10"/>
  <c r="K12" i="16"/>
  <c r="K13" i="16"/>
  <c r="K14" i="16"/>
  <c r="E15" i="16"/>
  <c r="K15" i="16"/>
  <c r="K17" i="16"/>
  <c r="E18" i="16"/>
  <c r="K18" i="16"/>
  <c r="K19" i="16"/>
  <c r="K20" i="16"/>
  <c r="E21" i="16"/>
  <c r="K21" i="16"/>
  <c r="E22" i="16"/>
  <c r="K22" i="16"/>
  <c r="K24" i="16"/>
  <c r="E25" i="16"/>
  <c r="K25" i="16"/>
  <c r="E26" i="16"/>
  <c r="K26" i="16"/>
  <c r="K27" i="16"/>
  <c r="K28" i="16"/>
  <c r="K29" i="16"/>
  <c r="E30" i="16"/>
  <c r="K30" i="16"/>
  <c r="E31" i="16"/>
  <c r="K31" i="16"/>
  <c r="E32" i="16"/>
  <c r="K32" i="16"/>
  <c r="K33" i="16"/>
  <c r="K34" i="16"/>
  <c r="E35" i="16"/>
  <c r="K35" i="16"/>
  <c r="AE46" i="14" l="1"/>
  <c r="AG46" i="15"/>
  <c r="AY46" i="17" s="1"/>
  <c r="BC46" i="17" s="1"/>
  <c r="BE46" i="17" s="1"/>
  <c r="AK46" i="1"/>
  <c r="BL46" i="2" s="1"/>
  <c r="BT46" i="2" s="1"/>
  <c r="BV46" i="2" s="1"/>
  <c r="I46" i="26"/>
  <c r="AE46" i="26" s="1"/>
  <c r="AM26" i="22"/>
  <c r="AM32" i="22"/>
  <c r="BL46" i="25"/>
  <c r="BT46" i="25" s="1"/>
  <c r="BV46" i="25" s="1"/>
  <c r="AM150" i="22"/>
  <c r="AM245" i="22"/>
  <c r="AE248" i="15" l="1"/>
  <c r="AM212" i="22" l="1"/>
  <c r="AM199" i="22" l="1"/>
  <c r="AM209" i="22"/>
  <c r="K206" i="15"/>
  <c r="AE206" i="15"/>
  <c r="AM205" i="22"/>
  <c r="AG206" i="15" l="1"/>
  <c r="AM187" i="22"/>
  <c r="AM179" i="22" l="1"/>
  <c r="AM178" i="22" l="1"/>
  <c r="W178" i="22"/>
  <c r="AI178" i="1"/>
  <c r="W178" i="1"/>
  <c r="AM157" i="22"/>
  <c r="AM160" i="22"/>
  <c r="AM170" i="22"/>
  <c r="BL294" i="2"/>
  <c r="BL375" i="2"/>
  <c r="BL417" i="2"/>
  <c r="BT417" i="2" s="1"/>
  <c r="BL423" i="2"/>
  <c r="BT423" i="2" s="1"/>
  <c r="AK178" i="1" l="1"/>
  <c r="AO178" i="22"/>
  <c r="BV294" i="2" l="1"/>
  <c r="BV375" i="2"/>
  <c r="BV417" i="2"/>
  <c r="BV423" i="2"/>
  <c r="Z46" i="16" l="1"/>
  <c r="U46" i="16"/>
  <c r="K46" i="16"/>
  <c r="E46" i="16"/>
  <c r="AB46" i="16" l="1"/>
  <c r="AZ12" i="25"/>
  <c r="BJ12" i="25" s="1"/>
  <c r="AC630" i="26"/>
  <c r="AC629" i="26"/>
  <c r="AC628" i="26"/>
  <c r="AC627" i="26"/>
  <c r="AC625" i="26"/>
  <c r="AC624" i="26"/>
  <c r="AC623" i="26"/>
  <c r="AC622" i="26"/>
  <c r="AC621" i="26"/>
  <c r="AC620" i="26"/>
  <c r="AC619" i="26"/>
  <c r="AC618" i="26"/>
  <c r="AC617" i="26"/>
  <c r="AC616" i="26"/>
  <c r="AC615" i="26"/>
  <c r="AC614" i="26"/>
  <c r="AC613" i="26"/>
  <c r="AC612" i="26"/>
  <c r="AC611" i="26"/>
  <c r="AC610" i="26"/>
  <c r="AC609" i="26"/>
  <c r="AC608" i="26"/>
  <c r="AC607" i="26"/>
  <c r="AC606" i="26"/>
  <c r="AC605" i="26"/>
  <c r="AC604" i="26"/>
  <c r="AC603" i="26"/>
  <c r="AC602" i="26"/>
  <c r="AC601" i="26"/>
  <c r="AC600" i="26"/>
  <c r="AC599" i="26"/>
  <c r="AC598" i="26"/>
  <c r="AC597" i="26"/>
  <c r="AC596" i="26"/>
  <c r="AC595" i="26"/>
  <c r="AC594" i="26"/>
  <c r="AC593" i="26"/>
  <c r="AC592" i="26"/>
  <c r="AC591" i="26"/>
  <c r="AC590" i="26"/>
  <c r="AC589" i="26"/>
  <c r="AC588" i="26"/>
  <c r="AC587" i="26"/>
  <c r="AC586" i="26"/>
  <c r="AC585" i="26"/>
  <c r="AC584" i="26"/>
  <c r="AC583" i="26"/>
  <c r="AC582" i="26"/>
  <c r="AC581" i="26"/>
  <c r="AC580" i="26"/>
  <c r="AC576" i="26"/>
  <c r="AC575" i="26"/>
  <c r="AC574" i="26"/>
  <c r="AC573" i="26"/>
  <c r="AC572" i="26"/>
  <c r="AC571" i="26"/>
  <c r="AC570" i="26"/>
  <c r="AC569" i="26"/>
  <c r="AC568" i="26"/>
  <c r="AC567" i="26"/>
  <c r="AC566" i="26"/>
  <c r="AC565" i="26"/>
  <c r="AC564" i="26"/>
  <c r="AC563" i="26"/>
  <c r="AC562" i="26"/>
  <c r="AC561" i="26"/>
  <c r="AC560" i="26"/>
  <c r="AC559" i="26"/>
  <c r="AC558" i="26"/>
  <c r="AC557" i="26"/>
  <c r="AC556" i="26"/>
  <c r="AC555" i="26"/>
  <c r="AC554" i="26"/>
  <c r="AC553" i="26"/>
  <c r="AC552" i="26"/>
  <c r="AC551" i="26"/>
  <c r="AC550" i="26"/>
  <c r="AC549" i="26"/>
  <c r="AC548" i="26"/>
  <c r="AC547" i="26"/>
  <c r="AC546" i="26"/>
  <c r="AC545" i="26"/>
  <c r="AC544" i="26"/>
  <c r="AC543" i="26"/>
  <c r="AC542" i="26"/>
  <c r="AC541" i="26"/>
  <c r="AC540" i="26"/>
  <c r="AC539" i="26"/>
  <c r="AC538" i="26"/>
  <c r="AC537" i="26"/>
  <c r="AC536" i="26"/>
  <c r="AC535" i="26"/>
  <c r="AC534" i="26"/>
  <c r="AC533" i="26"/>
  <c r="AC532" i="26"/>
  <c r="AC531" i="26"/>
  <c r="AC530" i="26"/>
  <c r="AC529" i="26"/>
  <c r="AC528" i="26"/>
  <c r="AC527" i="26"/>
  <c r="AC526" i="26"/>
  <c r="AC525" i="26"/>
  <c r="AC524" i="26"/>
  <c r="AC523" i="26"/>
  <c r="AC522" i="26"/>
  <c r="AC521" i="26"/>
  <c r="AC520" i="26"/>
  <c r="AC519" i="26"/>
  <c r="AC517" i="26"/>
  <c r="AC516" i="26"/>
  <c r="AC515" i="26"/>
  <c r="AC514" i="26"/>
  <c r="AC513" i="26"/>
  <c r="AC512" i="26"/>
  <c r="AC511" i="26"/>
  <c r="AC510" i="26"/>
  <c r="AC509" i="26"/>
  <c r="AC508" i="26"/>
  <c r="AC507" i="26"/>
  <c r="AC506" i="26"/>
  <c r="AC505" i="26"/>
  <c r="AC504" i="26"/>
  <c r="AC503" i="26"/>
  <c r="AC502" i="26"/>
  <c r="AC501" i="26"/>
  <c r="AC500" i="26"/>
  <c r="AC499" i="26"/>
  <c r="AC498" i="26"/>
  <c r="AC497" i="26"/>
  <c r="AC496" i="26"/>
  <c r="AC495" i="26"/>
  <c r="AC494" i="26"/>
  <c r="AC493" i="26"/>
  <c r="AC492" i="26"/>
  <c r="AC491" i="26"/>
  <c r="AC488" i="26"/>
  <c r="AC487" i="26"/>
  <c r="AC486" i="26"/>
  <c r="AC485" i="26"/>
  <c r="AC484" i="26"/>
  <c r="AC483" i="26"/>
  <c r="AC482" i="26"/>
  <c r="AC481" i="26"/>
  <c r="AC480" i="26"/>
  <c r="AC479" i="26"/>
  <c r="AC478" i="26"/>
  <c r="AC477" i="26"/>
  <c r="AC476" i="26"/>
  <c r="AC475" i="26"/>
  <c r="AC474" i="26"/>
  <c r="AC473" i="26"/>
  <c r="AC472" i="26"/>
  <c r="AC471" i="26"/>
  <c r="AC470" i="26"/>
  <c r="AC469" i="26"/>
  <c r="AC468" i="26"/>
  <c r="AC467" i="26"/>
  <c r="AC466" i="26"/>
  <c r="AC465" i="26"/>
  <c r="AC463" i="26"/>
  <c r="AC462" i="26"/>
  <c r="AC461" i="26"/>
  <c r="AC460" i="26"/>
  <c r="AC459" i="26"/>
  <c r="AC458" i="26"/>
  <c r="AC457" i="26"/>
  <c r="AC456" i="26"/>
  <c r="AC455" i="26"/>
  <c r="AC454" i="26"/>
  <c r="AC453" i="26"/>
  <c r="AC452" i="26"/>
  <c r="AC451" i="26"/>
  <c r="AC450" i="26"/>
  <c r="AC449" i="26"/>
  <c r="AC448" i="26"/>
  <c r="AC447" i="26"/>
  <c r="AC446" i="26"/>
  <c r="AC445" i="26"/>
  <c r="AC444" i="26"/>
  <c r="AC443" i="26"/>
  <c r="AC442" i="26"/>
  <c r="AC441" i="26"/>
  <c r="AC440" i="26"/>
  <c r="AC439" i="26"/>
  <c r="AC438" i="26"/>
  <c r="AC437" i="26"/>
  <c r="AC436" i="26"/>
  <c r="AC435" i="26"/>
  <c r="AC434" i="26"/>
  <c r="AC433" i="26"/>
  <c r="AC432" i="26"/>
  <c r="AC431" i="26"/>
  <c r="AC430" i="26"/>
  <c r="AC429" i="26"/>
  <c r="AC428" i="26"/>
  <c r="AC427" i="26"/>
  <c r="AC426" i="26"/>
  <c r="AC425" i="26"/>
  <c r="AC424" i="26"/>
  <c r="AC422" i="26"/>
  <c r="AC420" i="26"/>
  <c r="AC419" i="26"/>
  <c r="AC418" i="26"/>
  <c r="AC416" i="26"/>
  <c r="AC415" i="26"/>
  <c r="AC414" i="26"/>
  <c r="AC413" i="26"/>
  <c r="AC412" i="26"/>
  <c r="AC411" i="26"/>
  <c r="AC410" i="26"/>
  <c r="AC409" i="26"/>
  <c r="AC407" i="26"/>
  <c r="AC406" i="26"/>
  <c r="AC405" i="26"/>
  <c r="AC404" i="26"/>
  <c r="AC403" i="26"/>
  <c r="AC402" i="26"/>
  <c r="AC401" i="26"/>
  <c r="AC400" i="26"/>
  <c r="AC399" i="26"/>
  <c r="AC398" i="26"/>
  <c r="AC397" i="26"/>
  <c r="AC396" i="26"/>
  <c r="AC395" i="26"/>
  <c r="AC394" i="26"/>
  <c r="AC393" i="26"/>
  <c r="AC392" i="26"/>
  <c r="AC391" i="26"/>
  <c r="AC390" i="26"/>
  <c r="AC389" i="26"/>
  <c r="AC388" i="26"/>
  <c r="AC387" i="26"/>
  <c r="AC386" i="26"/>
  <c r="AC385" i="26"/>
  <c r="AC384" i="26"/>
  <c r="AC383" i="26"/>
  <c r="AC382" i="26"/>
  <c r="AC381" i="26"/>
  <c r="AC380" i="26"/>
  <c r="AC379" i="26"/>
  <c r="AC378" i="26"/>
  <c r="AC377" i="26"/>
  <c r="AC376" i="26"/>
  <c r="AC374" i="26"/>
  <c r="AC373" i="26"/>
  <c r="AC372" i="26"/>
  <c r="AC371" i="26"/>
  <c r="AC370" i="26"/>
  <c r="AC369" i="26"/>
  <c r="AC368" i="26"/>
  <c r="AC367" i="26"/>
  <c r="AC366" i="26"/>
  <c r="AC365" i="26"/>
  <c r="AC364" i="26"/>
  <c r="AC363" i="26"/>
  <c r="AC362" i="26"/>
  <c r="AC361" i="26"/>
  <c r="AC360" i="26"/>
  <c r="AC359" i="26"/>
  <c r="AC358" i="26"/>
  <c r="AC357" i="26"/>
  <c r="AC356" i="26"/>
  <c r="AC355" i="26"/>
  <c r="AC353" i="26"/>
  <c r="AC352" i="26"/>
  <c r="AC351" i="26"/>
  <c r="AC350" i="26"/>
  <c r="AC349" i="26"/>
  <c r="AC348" i="26"/>
  <c r="AC347" i="26"/>
  <c r="AC346" i="26"/>
  <c r="AC345" i="26"/>
  <c r="AC344" i="26"/>
  <c r="AC343" i="26"/>
  <c r="AC342" i="26"/>
  <c r="AC341" i="26"/>
  <c r="AC340" i="26"/>
  <c r="AC339" i="26"/>
  <c r="AC338" i="26"/>
  <c r="AC337" i="26"/>
  <c r="AC336" i="26"/>
  <c r="AC335" i="26"/>
  <c r="AC334" i="26"/>
  <c r="AC333" i="26"/>
  <c r="AC332" i="26"/>
  <c r="AC331" i="26"/>
  <c r="AC330" i="26"/>
  <c r="AC329" i="26"/>
  <c r="AC328" i="26"/>
  <c r="AC327" i="26"/>
  <c r="AC325" i="26"/>
  <c r="AC324" i="26"/>
  <c r="AC323" i="26"/>
  <c r="AC322" i="26"/>
  <c r="AC321" i="26"/>
  <c r="AC320" i="26"/>
  <c r="AC319" i="26"/>
  <c r="AC318" i="26"/>
  <c r="AC317" i="26"/>
  <c r="AC316" i="26"/>
  <c r="AC315" i="26"/>
  <c r="AC314" i="26"/>
  <c r="AC313" i="26"/>
  <c r="AC312" i="26"/>
  <c r="AC311" i="26"/>
  <c r="AC310" i="26"/>
  <c r="AC309" i="26"/>
  <c r="AC308" i="26"/>
  <c r="AC307" i="26"/>
  <c r="AC306" i="26"/>
  <c r="AC305" i="26"/>
  <c r="AC304" i="26"/>
  <c r="AC303" i="26"/>
  <c r="AC302" i="26"/>
  <c r="AC301" i="26"/>
  <c r="AC297" i="26"/>
  <c r="AC300" i="26"/>
  <c r="AC299" i="26"/>
  <c r="AC298" i="26"/>
  <c r="AC296" i="26"/>
  <c r="AC295" i="26"/>
  <c r="AC293" i="26"/>
  <c r="AC292" i="26"/>
  <c r="AC291" i="26"/>
  <c r="AC290" i="26"/>
  <c r="AC289" i="26"/>
  <c r="AC288" i="26"/>
  <c r="AC287" i="26"/>
  <c r="AC286" i="26"/>
  <c r="AC285" i="26"/>
  <c r="AC284" i="26"/>
  <c r="AC283" i="26"/>
  <c r="AC282" i="26"/>
  <c r="AC281" i="26"/>
  <c r="AC280" i="26"/>
  <c r="AC279" i="26"/>
  <c r="AC278" i="26"/>
  <c r="AC277" i="26"/>
  <c r="AC276" i="26"/>
  <c r="AC275" i="26"/>
  <c r="AC273" i="26"/>
  <c r="AC272" i="26"/>
  <c r="AC271" i="26"/>
  <c r="AC270" i="26"/>
  <c r="AC269" i="26"/>
  <c r="AC268" i="26"/>
  <c r="AC267" i="26"/>
  <c r="AC266" i="26"/>
  <c r="AC265" i="26"/>
  <c r="AC264" i="26"/>
  <c r="AC263" i="26"/>
  <c r="AC262" i="26"/>
  <c r="AC261" i="26"/>
  <c r="AC260" i="26"/>
  <c r="AC259" i="26"/>
  <c r="AC258" i="26"/>
  <c r="AC257" i="26"/>
  <c r="AC256" i="26"/>
  <c r="AC255" i="26"/>
  <c r="AC254" i="26"/>
  <c r="AC253" i="26"/>
  <c r="AC252" i="26"/>
  <c r="AC251" i="26"/>
  <c r="AC250" i="26"/>
  <c r="AC248" i="26"/>
  <c r="AC247" i="26"/>
  <c r="AC246" i="26"/>
  <c r="AC245" i="26"/>
  <c r="AC244" i="26"/>
  <c r="AC243" i="26"/>
  <c r="AC242" i="26"/>
  <c r="AC241" i="26"/>
  <c r="AC240" i="26"/>
  <c r="AC239" i="26"/>
  <c r="AC238" i="26"/>
  <c r="AC237" i="26"/>
  <c r="AC236" i="26"/>
  <c r="AC235" i="26"/>
  <c r="AC234" i="26"/>
  <c r="AC233" i="26"/>
  <c r="AC232" i="26"/>
  <c r="AC231" i="26"/>
  <c r="AC230" i="26"/>
  <c r="AC229" i="26"/>
  <c r="AC228" i="26"/>
  <c r="AC227" i="26"/>
  <c r="AC226" i="26"/>
  <c r="AC225" i="26"/>
  <c r="AC224" i="26"/>
  <c r="AC223" i="26"/>
  <c r="AC222" i="26"/>
  <c r="AC221" i="26"/>
  <c r="AC220" i="26"/>
  <c r="AC219" i="26"/>
  <c r="AC218" i="26"/>
  <c r="AC217" i="26"/>
  <c r="AC216" i="26"/>
  <c r="AC215" i="26"/>
  <c r="AC213" i="26"/>
  <c r="AC212" i="26"/>
  <c r="AC211" i="26"/>
  <c r="AC210" i="26"/>
  <c r="AC209" i="26"/>
  <c r="AC208" i="26"/>
  <c r="AC207" i="26"/>
  <c r="AC206" i="26"/>
  <c r="AC205" i="26"/>
  <c r="AC204" i="26"/>
  <c r="AC203" i="26"/>
  <c r="AC202" i="26"/>
  <c r="AC201" i="26"/>
  <c r="AC200" i="26"/>
  <c r="AC199" i="26"/>
  <c r="AC198" i="26"/>
  <c r="AC197" i="26"/>
  <c r="AC196" i="26"/>
  <c r="AC195" i="26"/>
  <c r="AC194" i="26"/>
  <c r="AC193" i="26"/>
  <c r="AC192" i="26"/>
  <c r="AC191" i="26"/>
  <c r="AC190" i="26"/>
  <c r="AC189" i="26"/>
  <c r="AC188" i="26"/>
  <c r="AC187" i="26"/>
  <c r="AC186" i="26"/>
  <c r="AC185" i="26"/>
  <c r="AC184" i="26"/>
  <c r="AC183" i="26"/>
  <c r="AC182" i="26"/>
  <c r="AC181" i="26"/>
  <c r="AC180" i="26"/>
  <c r="AC179" i="26"/>
  <c r="AC178" i="26"/>
  <c r="AC177" i="26"/>
  <c r="AC175" i="26"/>
  <c r="AC174" i="26"/>
  <c r="AC172" i="26"/>
  <c r="AC171" i="26"/>
  <c r="AC170" i="26"/>
  <c r="AC169" i="26"/>
  <c r="AC168" i="26"/>
  <c r="AC167" i="26"/>
  <c r="AC166" i="26"/>
  <c r="AC165" i="26"/>
  <c r="AC164" i="26"/>
  <c r="AC163" i="26"/>
  <c r="AC162" i="26"/>
  <c r="AC161" i="26"/>
  <c r="AC160" i="26"/>
  <c r="AC159" i="26"/>
  <c r="AC158" i="26"/>
  <c r="AC157" i="26"/>
  <c r="AC156" i="26"/>
  <c r="AC155" i="26"/>
  <c r="AC154" i="26"/>
  <c r="AC153" i="26"/>
  <c r="AC152" i="26"/>
  <c r="AC151" i="26"/>
  <c r="AC150" i="26"/>
  <c r="AC149" i="26"/>
  <c r="AC148" i="26"/>
  <c r="AC147" i="26"/>
  <c r="AC146" i="26"/>
  <c r="AC145" i="26"/>
  <c r="AC144" i="26"/>
  <c r="AC143" i="26"/>
  <c r="AC142" i="26"/>
  <c r="AC141" i="26"/>
  <c r="AC140" i="26"/>
  <c r="AC139" i="26"/>
  <c r="AC138" i="26"/>
  <c r="AC137" i="26"/>
  <c r="AC136" i="26"/>
  <c r="AC135" i="26"/>
  <c r="AC134" i="26"/>
  <c r="AC133" i="26"/>
  <c r="AC132" i="26"/>
  <c r="AC131" i="26"/>
  <c r="AC130" i="26"/>
  <c r="AC129" i="26"/>
  <c r="AC128" i="26"/>
  <c r="AC127" i="26"/>
  <c r="AC126" i="26"/>
  <c r="AC125" i="26"/>
  <c r="AC124" i="26"/>
  <c r="AC123" i="26"/>
  <c r="AC122" i="26"/>
  <c r="AC121" i="26"/>
  <c r="AC120" i="26"/>
  <c r="AC119" i="26"/>
  <c r="AC118" i="26"/>
  <c r="AC117" i="26"/>
  <c r="AC116" i="26"/>
  <c r="AC115" i="26"/>
  <c r="AC114" i="26"/>
  <c r="AC113" i="26"/>
  <c r="AC112" i="26"/>
  <c r="AC111" i="26"/>
  <c r="AC110" i="26"/>
  <c r="AC109" i="26"/>
  <c r="AC108" i="26"/>
  <c r="AC107" i="26"/>
  <c r="AC106" i="26"/>
  <c r="AC105" i="26"/>
  <c r="AC104" i="26"/>
  <c r="AC103" i="26"/>
  <c r="AC102" i="26"/>
  <c r="AC101" i="26"/>
  <c r="AC100" i="26"/>
  <c r="AC99" i="26"/>
  <c r="AC98" i="26"/>
  <c r="AC97" i="26"/>
  <c r="AC96" i="26"/>
  <c r="AC95" i="26"/>
  <c r="AC93" i="26"/>
  <c r="AC94" i="26"/>
  <c r="AC92" i="26"/>
  <c r="AC91" i="26"/>
  <c r="AC90" i="26"/>
  <c r="AC89" i="26"/>
  <c r="AC88" i="26"/>
  <c r="AC87" i="26"/>
  <c r="AC86" i="26"/>
  <c r="AC85" i="26"/>
  <c r="AC84" i="26"/>
  <c r="AC83" i="26"/>
  <c r="AC82" i="26"/>
  <c r="AC81" i="26"/>
  <c r="AC80" i="26"/>
  <c r="AC79" i="26"/>
  <c r="AC78" i="26"/>
  <c r="AC77" i="26"/>
  <c r="AC76" i="26"/>
  <c r="AC75" i="26"/>
  <c r="AC74" i="26"/>
  <c r="AC73" i="26"/>
  <c r="AC72" i="26"/>
  <c r="AC71" i="26"/>
  <c r="AC70" i="26"/>
  <c r="AC69" i="26"/>
  <c r="AC68" i="26"/>
  <c r="AC67" i="26"/>
  <c r="AC66" i="26"/>
  <c r="AC65" i="26"/>
  <c r="AC64" i="26"/>
  <c r="AC63" i="26"/>
  <c r="AC62" i="26"/>
  <c r="AC61" i="26"/>
  <c r="AC60" i="26"/>
  <c r="AC59" i="26"/>
  <c r="AC58" i="26"/>
  <c r="AC57" i="26"/>
  <c r="AC56" i="26"/>
  <c r="AC55" i="26"/>
  <c r="AC54" i="26"/>
  <c r="AC53" i="26"/>
  <c r="AC52" i="26"/>
  <c r="AC51" i="26"/>
  <c r="AC49" i="26"/>
  <c r="AC48" i="26"/>
  <c r="AC45" i="26"/>
  <c r="AC44" i="26"/>
  <c r="AC43" i="26"/>
  <c r="AC42" i="26"/>
  <c r="AC41" i="26"/>
  <c r="AC40" i="26"/>
  <c r="AC39" i="26"/>
  <c r="AC38" i="26"/>
  <c r="AC37" i="26"/>
  <c r="AC36" i="26"/>
  <c r="AC35" i="26"/>
  <c r="AC34" i="26"/>
  <c r="AC33" i="26"/>
  <c r="AC32" i="26"/>
  <c r="AC31" i="26"/>
  <c r="AC30" i="26"/>
  <c r="AC29" i="26"/>
  <c r="AC28" i="26"/>
  <c r="AC27" i="26"/>
  <c r="AC26" i="26"/>
  <c r="AC24" i="26"/>
  <c r="AC22" i="26"/>
  <c r="AC20" i="26"/>
  <c r="AC19" i="26"/>
  <c r="AC18" i="26"/>
  <c r="AC17" i="26"/>
  <c r="AC14" i="26"/>
  <c r="AC13" i="26"/>
  <c r="AC12" i="26"/>
  <c r="AC630" i="14"/>
  <c r="AC629" i="14"/>
  <c r="AC628" i="14"/>
  <c r="AC627" i="14"/>
  <c r="AC625" i="14"/>
  <c r="AC624" i="14"/>
  <c r="AC623" i="14"/>
  <c r="AC622" i="14"/>
  <c r="AC621" i="14"/>
  <c r="AC620" i="14"/>
  <c r="AC619" i="14"/>
  <c r="AC618" i="14"/>
  <c r="AC617" i="14"/>
  <c r="AC616" i="14"/>
  <c r="AC615" i="14"/>
  <c r="AC614" i="14"/>
  <c r="AC613" i="14"/>
  <c r="AC612" i="14"/>
  <c r="AC611" i="14"/>
  <c r="AC610" i="14"/>
  <c r="AC609" i="14"/>
  <c r="AC608" i="14"/>
  <c r="AC607" i="14"/>
  <c r="AC606" i="14"/>
  <c r="AC605" i="14"/>
  <c r="AC604" i="14"/>
  <c r="AC603" i="14"/>
  <c r="AC602" i="14"/>
  <c r="AC601" i="14"/>
  <c r="AC600" i="14"/>
  <c r="AC599" i="14"/>
  <c r="AC598" i="14"/>
  <c r="AC597" i="14"/>
  <c r="AC596" i="14"/>
  <c r="AC595" i="14"/>
  <c r="AC594" i="14"/>
  <c r="AC593" i="14"/>
  <c r="AC592" i="14"/>
  <c r="AC591" i="14"/>
  <c r="AC590" i="14"/>
  <c r="AC589" i="14"/>
  <c r="AC588" i="14"/>
  <c r="AC587" i="14"/>
  <c r="AC586" i="14"/>
  <c r="AC585" i="14"/>
  <c r="AC584" i="14"/>
  <c r="AC583" i="14"/>
  <c r="AC582" i="14"/>
  <c r="AC581" i="14"/>
  <c r="AC580" i="14"/>
  <c r="AC576" i="14"/>
  <c r="AC575" i="14"/>
  <c r="AC574" i="14"/>
  <c r="AC573" i="14"/>
  <c r="AC572" i="14"/>
  <c r="AC571" i="14"/>
  <c r="AC570" i="14"/>
  <c r="AC569" i="14"/>
  <c r="AC568" i="14"/>
  <c r="AC567" i="14"/>
  <c r="AC566" i="14"/>
  <c r="AC565" i="14"/>
  <c r="AC564" i="14"/>
  <c r="AC563" i="14"/>
  <c r="AC562" i="14"/>
  <c r="AC561" i="14"/>
  <c r="AC560" i="14"/>
  <c r="AC559" i="14"/>
  <c r="AC558" i="14"/>
  <c r="AC557" i="14"/>
  <c r="AC555" i="14"/>
  <c r="AC554" i="14"/>
  <c r="AC553" i="14"/>
  <c r="AC552" i="14"/>
  <c r="AC551" i="14"/>
  <c r="AC550" i="14"/>
  <c r="AC549" i="14"/>
  <c r="AC548" i="14"/>
  <c r="AC547" i="14"/>
  <c r="AC546" i="14"/>
  <c r="AC545" i="14"/>
  <c r="AC544" i="14"/>
  <c r="AC543" i="14"/>
  <c r="AC542" i="14"/>
  <c r="AC541" i="14"/>
  <c r="AC540" i="14"/>
  <c r="AC539" i="14"/>
  <c r="AC538" i="14"/>
  <c r="AC537" i="14"/>
  <c r="AC536" i="14"/>
  <c r="AC535" i="14"/>
  <c r="AC534" i="14"/>
  <c r="AC533" i="14"/>
  <c r="AC532" i="14"/>
  <c r="AC531" i="14"/>
  <c r="AC530" i="14"/>
  <c r="AC529" i="14"/>
  <c r="AC528" i="14"/>
  <c r="AC527" i="14"/>
  <c r="AC526" i="14"/>
  <c r="AC525" i="14"/>
  <c r="AC524" i="14"/>
  <c r="AC523" i="14"/>
  <c r="AC522" i="14"/>
  <c r="AC521" i="14"/>
  <c r="AC520" i="14"/>
  <c r="AC519" i="14"/>
  <c r="AC518" i="14"/>
  <c r="AC517" i="14"/>
  <c r="AC516" i="14"/>
  <c r="AC515" i="14"/>
  <c r="AC514" i="14"/>
  <c r="AC513" i="14"/>
  <c r="AC512" i="14"/>
  <c r="AC511" i="14"/>
  <c r="AC510" i="14"/>
  <c r="AC509" i="14"/>
  <c r="AC508" i="14"/>
  <c r="AC507" i="14"/>
  <c r="AC506" i="14"/>
  <c r="AC505" i="14"/>
  <c r="AC504" i="14"/>
  <c r="AC503" i="14"/>
  <c r="AC502" i="14"/>
  <c r="AC501" i="14"/>
  <c r="AC500" i="14"/>
  <c r="AC499" i="14"/>
  <c r="AC498" i="14"/>
  <c r="AC497" i="14"/>
  <c r="AC496" i="14"/>
  <c r="AC495" i="14"/>
  <c r="AC494" i="14"/>
  <c r="AC493" i="14"/>
  <c r="AC492" i="14"/>
  <c r="AC491" i="14"/>
  <c r="AC488" i="14"/>
  <c r="AC487" i="14"/>
  <c r="AC486" i="14"/>
  <c r="AC485" i="14"/>
  <c r="AC484" i="14"/>
  <c r="AC483" i="14"/>
  <c r="AC482" i="14"/>
  <c r="AC481" i="14"/>
  <c r="AC480" i="14"/>
  <c r="AC479" i="14"/>
  <c r="AC478" i="14"/>
  <c r="AC477" i="14"/>
  <c r="AC476" i="14"/>
  <c r="AC475" i="14"/>
  <c r="AC474" i="14"/>
  <c r="AC473" i="14"/>
  <c r="AC472" i="14"/>
  <c r="AC471" i="14"/>
  <c r="AC470" i="14"/>
  <c r="AC469" i="14"/>
  <c r="AC468" i="14"/>
  <c r="AC467" i="14"/>
  <c r="AC466" i="14"/>
  <c r="AC465" i="14"/>
  <c r="AC463" i="14"/>
  <c r="AC462" i="14"/>
  <c r="AC461" i="14"/>
  <c r="AC460" i="14"/>
  <c r="AC459" i="14"/>
  <c r="AC458" i="14"/>
  <c r="AC457" i="14"/>
  <c r="AC456" i="14"/>
  <c r="AC455" i="14"/>
  <c r="AC454" i="14"/>
  <c r="AC453" i="14"/>
  <c r="AC452" i="14"/>
  <c r="AC451" i="14"/>
  <c r="AC450" i="14"/>
  <c r="AC449" i="14"/>
  <c r="AC448" i="14"/>
  <c r="AC447" i="14"/>
  <c r="AC446" i="14"/>
  <c r="AC445" i="14"/>
  <c r="AC444" i="14"/>
  <c r="AC443" i="14"/>
  <c r="AC442" i="14"/>
  <c r="AC441" i="14"/>
  <c r="AC440" i="14"/>
  <c r="AC439" i="14"/>
  <c r="AC438" i="14"/>
  <c r="AC437" i="14"/>
  <c r="AC436" i="14"/>
  <c r="AC435" i="14"/>
  <c r="AC434" i="14"/>
  <c r="AC433" i="14"/>
  <c r="AC432" i="14"/>
  <c r="AC431" i="14"/>
  <c r="AC430" i="14"/>
  <c r="AC429" i="14"/>
  <c r="AC428" i="14"/>
  <c r="AC427" i="14"/>
  <c r="AC426" i="14"/>
  <c r="AC425" i="14"/>
  <c r="AC424" i="14"/>
  <c r="AC422" i="14"/>
  <c r="AC420" i="14"/>
  <c r="AC419" i="14"/>
  <c r="AC418" i="14"/>
  <c r="AC416" i="14"/>
  <c r="AC415" i="14"/>
  <c r="AC414" i="14"/>
  <c r="AC413" i="14"/>
  <c r="AC412" i="14"/>
  <c r="AC411" i="14"/>
  <c r="AC410" i="14"/>
  <c r="AC409" i="14"/>
  <c r="AC407" i="14"/>
  <c r="AC406" i="14"/>
  <c r="AC405" i="14"/>
  <c r="AC404" i="14"/>
  <c r="AC403" i="14"/>
  <c r="AC402" i="14"/>
  <c r="AC401" i="14"/>
  <c r="AC400" i="14"/>
  <c r="AC399" i="14"/>
  <c r="AC398" i="14"/>
  <c r="AC397" i="14"/>
  <c r="AC396" i="14"/>
  <c r="AC395" i="14"/>
  <c r="AC394" i="14"/>
  <c r="AC393" i="14"/>
  <c r="AC392" i="14"/>
  <c r="AC391" i="14"/>
  <c r="AC390" i="14"/>
  <c r="AC389" i="14"/>
  <c r="AC388" i="14"/>
  <c r="AC387" i="14"/>
  <c r="AC386" i="14"/>
  <c r="AC385" i="14"/>
  <c r="AC384" i="14"/>
  <c r="AC383" i="14"/>
  <c r="AC382" i="14"/>
  <c r="AC381" i="14"/>
  <c r="AC380" i="14"/>
  <c r="AC379" i="14"/>
  <c r="AC378" i="14"/>
  <c r="AC377" i="14"/>
  <c r="AC376" i="14"/>
  <c r="AC374" i="14"/>
  <c r="AC373" i="14"/>
  <c r="AC372" i="14"/>
  <c r="AC371" i="14"/>
  <c r="AC370" i="14"/>
  <c r="AC369" i="14"/>
  <c r="AC368" i="14"/>
  <c r="AC367" i="14"/>
  <c r="AC366" i="14"/>
  <c r="AC365" i="14"/>
  <c r="AC364" i="14"/>
  <c r="AC363" i="14"/>
  <c r="AC362" i="14"/>
  <c r="AC361" i="14"/>
  <c r="AC360" i="14"/>
  <c r="AC359" i="14"/>
  <c r="AC358" i="14"/>
  <c r="AC357" i="14"/>
  <c r="AC356" i="14"/>
  <c r="AC355" i="14"/>
  <c r="AC353" i="14"/>
  <c r="AC352" i="14"/>
  <c r="AC351" i="14"/>
  <c r="AC350" i="14"/>
  <c r="AC349" i="14"/>
  <c r="AC348" i="14"/>
  <c r="AC347" i="14"/>
  <c r="AC346" i="14"/>
  <c r="AC345" i="14"/>
  <c r="AC344" i="14"/>
  <c r="AC343" i="14"/>
  <c r="AC342" i="14"/>
  <c r="AC341" i="14"/>
  <c r="AC340" i="14"/>
  <c r="AC339" i="14"/>
  <c r="AC338" i="14"/>
  <c r="AC337" i="14"/>
  <c r="AC336" i="14"/>
  <c r="AC335" i="14"/>
  <c r="AC334" i="14"/>
  <c r="AC333" i="14"/>
  <c r="AC332" i="14"/>
  <c r="AC331" i="14"/>
  <c r="AC330" i="14"/>
  <c r="AC329" i="14"/>
  <c r="AC328" i="14"/>
  <c r="AC327" i="14"/>
  <c r="AC325" i="14"/>
  <c r="AC324" i="14"/>
  <c r="AC323" i="14"/>
  <c r="AC322" i="14"/>
  <c r="AC321" i="14"/>
  <c r="AC320" i="14"/>
  <c r="AC319" i="14"/>
  <c r="AC318" i="14"/>
  <c r="AC316" i="14"/>
  <c r="AC315" i="14"/>
  <c r="AC314" i="14"/>
  <c r="AC313" i="14"/>
  <c r="AC312" i="14"/>
  <c r="AC311" i="14"/>
  <c r="AC310" i="14"/>
  <c r="AC309" i="14"/>
  <c r="AC308" i="14"/>
  <c r="AC307" i="14"/>
  <c r="AC306" i="14"/>
  <c r="AC305" i="14"/>
  <c r="AC304" i="14"/>
  <c r="AC303" i="14"/>
  <c r="AC302" i="14"/>
  <c r="AC301" i="14"/>
  <c r="AC297" i="14"/>
  <c r="AC300" i="14"/>
  <c r="AC299" i="14"/>
  <c r="AC298" i="14"/>
  <c r="AC296" i="14"/>
  <c r="AC295" i="14"/>
  <c r="AC293" i="14"/>
  <c r="AC292" i="14"/>
  <c r="AC291" i="14"/>
  <c r="AC290" i="14"/>
  <c r="AC289" i="14"/>
  <c r="AC288" i="14"/>
  <c r="AC287" i="14"/>
  <c r="AC286" i="14"/>
  <c r="AC285" i="14"/>
  <c r="AC284" i="14"/>
  <c r="AC283" i="14"/>
  <c r="AC282" i="14"/>
  <c r="AC281" i="14"/>
  <c r="AC280" i="14"/>
  <c r="AC279" i="14"/>
  <c r="AC278" i="14"/>
  <c r="AC277" i="14"/>
  <c r="AC276" i="14"/>
  <c r="AC275" i="14"/>
  <c r="AC273" i="14"/>
  <c r="AC272" i="14"/>
  <c r="AC271" i="14"/>
  <c r="AC270" i="14"/>
  <c r="AC269" i="14"/>
  <c r="AC268" i="14"/>
  <c r="AC267" i="14"/>
  <c r="AC266" i="14"/>
  <c r="AC265" i="14"/>
  <c r="AC264" i="14"/>
  <c r="AC263" i="14"/>
  <c r="AC262" i="14"/>
  <c r="AC261" i="14"/>
  <c r="AC260" i="14"/>
  <c r="AC259" i="14"/>
  <c r="AC258" i="14"/>
  <c r="AC257" i="14"/>
  <c r="AC256" i="14"/>
  <c r="AC255" i="14"/>
  <c r="AC254" i="14"/>
  <c r="AC253" i="14"/>
  <c r="AC252" i="14"/>
  <c r="AC251" i="14"/>
  <c r="AC250" i="14"/>
  <c r="AC248" i="14"/>
  <c r="AC247" i="14"/>
  <c r="AC246" i="14"/>
  <c r="AC245" i="14"/>
  <c r="AC244" i="14"/>
  <c r="AC243" i="14"/>
  <c r="AC242" i="14"/>
  <c r="AC241" i="14"/>
  <c r="AC240" i="14"/>
  <c r="AC239" i="14"/>
  <c r="AC238" i="14"/>
  <c r="AC237" i="14"/>
  <c r="AC236" i="14"/>
  <c r="AC235" i="14"/>
  <c r="AC234" i="14"/>
  <c r="AC233" i="14"/>
  <c r="AC232" i="14"/>
  <c r="AC231" i="14"/>
  <c r="AC230" i="14"/>
  <c r="AC229" i="14"/>
  <c r="AC228" i="14"/>
  <c r="AC227" i="14"/>
  <c r="AC226" i="14"/>
  <c r="AC225" i="14"/>
  <c r="AC224" i="14"/>
  <c r="AC223" i="14"/>
  <c r="AC222" i="14"/>
  <c r="AC221" i="14"/>
  <c r="AC220" i="14"/>
  <c r="AC219" i="14"/>
  <c r="AC218" i="14"/>
  <c r="AC217" i="14"/>
  <c r="AC216" i="14"/>
  <c r="AC215" i="14"/>
  <c r="AC214" i="14"/>
  <c r="AC213" i="14"/>
  <c r="AC212" i="14"/>
  <c r="AC211" i="14"/>
  <c r="AC210" i="14"/>
  <c r="AC209" i="14"/>
  <c r="AC208" i="14"/>
  <c r="AC207" i="14"/>
  <c r="AC206" i="14"/>
  <c r="AC205" i="14"/>
  <c r="AC204" i="14"/>
  <c r="AC203" i="14"/>
  <c r="AC202" i="14"/>
  <c r="AC201" i="14"/>
  <c r="AC200" i="14"/>
  <c r="AC199" i="14"/>
  <c r="AC198" i="14"/>
  <c r="AC197" i="14"/>
  <c r="AC196" i="14"/>
  <c r="AC195" i="14"/>
  <c r="AC194" i="14"/>
  <c r="AC193" i="14"/>
  <c r="AC192" i="14"/>
  <c r="AC191" i="14"/>
  <c r="AC190" i="14"/>
  <c r="AC189" i="14"/>
  <c r="AC188" i="14"/>
  <c r="AC187" i="14"/>
  <c r="AC186" i="14"/>
  <c r="AC185" i="14"/>
  <c r="AC184" i="14"/>
  <c r="AC183" i="14"/>
  <c r="AC182" i="14"/>
  <c r="AC181" i="14"/>
  <c r="AC180" i="14"/>
  <c r="AC179" i="14"/>
  <c r="AC178" i="14"/>
  <c r="AC177" i="14"/>
  <c r="AC175" i="14"/>
  <c r="AC174" i="14"/>
  <c r="AC172" i="14"/>
  <c r="AC171" i="14"/>
  <c r="AC170" i="14"/>
  <c r="AC169" i="14"/>
  <c r="AC168" i="14"/>
  <c r="AC167" i="14"/>
  <c r="AC166" i="14"/>
  <c r="AC165" i="14"/>
  <c r="AC164" i="14"/>
  <c r="AC163" i="14"/>
  <c r="AC162" i="14"/>
  <c r="AC161" i="14"/>
  <c r="AC160" i="14"/>
  <c r="AC159" i="14"/>
  <c r="AC158" i="14"/>
  <c r="AC157" i="14"/>
  <c r="AC156" i="14"/>
  <c r="AC155" i="14"/>
  <c r="AC154" i="14"/>
  <c r="AC153" i="14"/>
  <c r="AC152" i="14"/>
  <c r="AC151" i="14"/>
  <c r="AC150" i="14"/>
  <c r="AC149" i="14"/>
  <c r="AC148" i="14"/>
  <c r="AC147" i="14"/>
  <c r="AC146" i="14"/>
  <c r="AC145" i="14"/>
  <c r="AC144" i="14"/>
  <c r="AC143" i="14"/>
  <c r="AC142" i="14"/>
  <c r="AC141" i="14"/>
  <c r="AC140" i="14"/>
  <c r="AC139" i="14"/>
  <c r="AC138" i="14"/>
  <c r="AC137" i="14"/>
  <c r="AC136" i="14"/>
  <c r="AC135" i="14"/>
  <c r="AC134" i="14"/>
  <c r="AC133" i="14"/>
  <c r="AC132" i="14"/>
  <c r="AC131" i="14"/>
  <c r="AC130" i="14"/>
  <c r="AC129" i="14"/>
  <c r="AC128" i="14"/>
  <c r="AC127" i="14"/>
  <c r="AC126" i="14"/>
  <c r="AC125" i="14"/>
  <c r="AC124" i="14"/>
  <c r="AC123" i="14"/>
  <c r="AC122" i="14"/>
  <c r="AC121" i="14"/>
  <c r="AC120" i="14"/>
  <c r="AC119" i="14"/>
  <c r="AC118" i="14"/>
  <c r="AC117" i="14"/>
  <c r="AC116" i="14"/>
  <c r="AC115" i="14"/>
  <c r="AC114" i="14"/>
  <c r="AC113" i="14"/>
  <c r="AC112" i="14"/>
  <c r="AC111" i="14"/>
  <c r="AC110" i="14"/>
  <c r="AC109" i="14"/>
  <c r="AC108" i="14"/>
  <c r="AC107" i="14"/>
  <c r="AC106" i="14"/>
  <c r="AC105" i="14"/>
  <c r="AC104" i="14"/>
  <c r="AC103" i="14"/>
  <c r="AC102" i="14"/>
  <c r="AC101" i="14"/>
  <c r="AC100" i="14"/>
  <c r="AC99" i="14"/>
  <c r="AC98" i="14"/>
  <c r="AC97" i="14"/>
  <c r="AC96" i="14"/>
  <c r="AC95" i="14"/>
  <c r="AC93" i="14"/>
  <c r="AC94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49" i="14"/>
  <c r="AC48" i="14"/>
  <c r="AC45" i="14"/>
  <c r="AC44" i="14"/>
  <c r="AC43" i="14"/>
  <c r="AC42" i="14"/>
  <c r="AC41" i="14"/>
  <c r="AC40" i="14"/>
  <c r="AC39" i="14"/>
  <c r="AC38" i="14"/>
  <c r="AC37" i="14"/>
  <c r="AC36" i="14"/>
  <c r="AC35" i="14"/>
  <c r="AC34" i="14"/>
  <c r="AC33" i="14"/>
  <c r="AC32" i="14"/>
  <c r="AC31" i="14"/>
  <c r="AC30" i="14"/>
  <c r="AC29" i="14"/>
  <c r="AC28" i="14"/>
  <c r="AC27" i="14"/>
  <c r="AC26" i="14"/>
  <c r="AC24" i="14"/>
  <c r="AC22" i="14"/>
  <c r="AC20" i="14"/>
  <c r="AC19" i="14"/>
  <c r="AC18" i="14"/>
  <c r="AC17" i="14"/>
  <c r="AC14" i="14"/>
  <c r="AC13" i="14"/>
  <c r="AC12" i="14"/>
  <c r="T178" i="10"/>
  <c r="Q178" i="10"/>
  <c r="AZ178" i="25"/>
  <c r="BJ178" i="25" s="1"/>
  <c r="AZ574" i="25"/>
  <c r="BJ574" i="25" s="1"/>
  <c r="M574" i="26"/>
  <c r="I574" i="26"/>
  <c r="I573" i="26"/>
  <c r="M573" i="26"/>
  <c r="M511" i="26"/>
  <c r="M496" i="26"/>
  <c r="M448" i="26"/>
  <c r="M335" i="26"/>
  <c r="M322" i="26"/>
  <c r="M303" i="26"/>
  <c r="M178" i="26"/>
  <c r="I178" i="26"/>
  <c r="AZ574" i="2"/>
  <c r="BJ574" i="2" s="1"/>
  <c r="BL574" i="2" s="1"/>
  <c r="AZ178" i="2"/>
  <c r="BJ178" i="2" s="1"/>
  <c r="BL178" i="2" s="1"/>
  <c r="BT178" i="2" s="1"/>
  <c r="AY574" i="17"/>
  <c r="U630" i="16"/>
  <c r="U629" i="16"/>
  <c r="U628" i="16"/>
  <c r="U627" i="16"/>
  <c r="U625" i="16"/>
  <c r="U624" i="16"/>
  <c r="U623" i="16"/>
  <c r="U622" i="16"/>
  <c r="U621" i="16"/>
  <c r="U620" i="16"/>
  <c r="U619" i="16"/>
  <c r="U618" i="16"/>
  <c r="U617" i="16"/>
  <c r="U616" i="16"/>
  <c r="U615" i="16"/>
  <c r="U614" i="16"/>
  <c r="U613" i="16"/>
  <c r="U612" i="16"/>
  <c r="U611" i="16"/>
  <c r="U610" i="16"/>
  <c r="U609" i="16"/>
  <c r="U608" i="16"/>
  <c r="U607" i="16"/>
  <c r="U606" i="16"/>
  <c r="U605" i="16"/>
  <c r="U604" i="16"/>
  <c r="U603" i="16"/>
  <c r="U602" i="16"/>
  <c r="U601" i="16"/>
  <c r="U600" i="16"/>
  <c r="U599" i="16"/>
  <c r="U598" i="16"/>
  <c r="U597" i="16"/>
  <c r="U596" i="16"/>
  <c r="U595" i="16"/>
  <c r="U594" i="16"/>
  <c r="U593" i="16"/>
  <c r="U592" i="16"/>
  <c r="U591" i="16"/>
  <c r="U590" i="16"/>
  <c r="U589" i="16"/>
  <c r="U588" i="16"/>
  <c r="U587" i="16"/>
  <c r="U586" i="16"/>
  <c r="U585" i="16"/>
  <c r="U584" i="16"/>
  <c r="U583" i="16"/>
  <c r="U582" i="16"/>
  <c r="U581" i="16"/>
  <c r="U580" i="16"/>
  <c r="U576" i="16"/>
  <c r="U575" i="16"/>
  <c r="U574" i="16"/>
  <c r="U573" i="16"/>
  <c r="U572" i="16"/>
  <c r="U571" i="16"/>
  <c r="U570" i="16"/>
  <c r="U568" i="16"/>
  <c r="U567" i="16"/>
  <c r="U566" i="16"/>
  <c r="U565" i="16"/>
  <c r="U564" i="16"/>
  <c r="U563" i="16"/>
  <c r="U562" i="16"/>
  <c r="U561" i="16"/>
  <c r="U560" i="16"/>
  <c r="U559" i="16"/>
  <c r="U558" i="16"/>
  <c r="U557" i="16"/>
  <c r="U556" i="16"/>
  <c r="U555" i="16"/>
  <c r="U554" i="16"/>
  <c r="U553" i="16"/>
  <c r="U552" i="16"/>
  <c r="U551" i="16"/>
  <c r="U550" i="16"/>
  <c r="U549" i="16"/>
  <c r="U546" i="16"/>
  <c r="U545" i="16"/>
  <c r="U543" i="16"/>
  <c r="U542" i="16"/>
  <c r="U541" i="16"/>
  <c r="U540" i="16"/>
  <c r="U539" i="16"/>
  <c r="U538" i="16"/>
  <c r="U537" i="16"/>
  <c r="U536" i="16"/>
  <c r="U535" i="16"/>
  <c r="U534" i="16"/>
  <c r="U533" i="16"/>
  <c r="U532" i="16"/>
  <c r="U531" i="16"/>
  <c r="U530" i="16"/>
  <c r="U529" i="16"/>
  <c r="U528" i="16"/>
  <c r="U527" i="16"/>
  <c r="U526" i="16"/>
  <c r="U525" i="16"/>
  <c r="U524" i="16"/>
  <c r="U523" i="16"/>
  <c r="U522" i="16"/>
  <c r="U521" i="16"/>
  <c r="U520" i="16"/>
  <c r="U519" i="16"/>
  <c r="U518" i="16"/>
  <c r="U517" i="16"/>
  <c r="U516" i="16"/>
  <c r="U515" i="16"/>
  <c r="U514" i="16"/>
  <c r="U513" i="16"/>
  <c r="U512" i="16"/>
  <c r="U511" i="16"/>
  <c r="U510" i="16"/>
  <c r="U509" i="16"/>
  <c r="U508" i="16"/>
  <c r="U507" i="16"/>
  <c r="U506" i="16"/>
  <c r="U505" i="16"/>
  <c r="U504" i="16"/>
  <c r="U503" i="16"/>
  <c r="U502" i="16"/>
  <c r="U501" i="16"/>
  <c r="U500" i="16"/>
  <c r="U499" i="16"/>
  <c r="U498" i="16"/>
  <c r="U497" i="16"/>
  <c r="U496" i="16"/>
  <c r="U495" i="16"/>
  <c r="U494" i="16"/>
  <c r="U493" i="16"/>
  <c r="U492" i="16"/>
  <c r="U491" i="16"/>
  <c r="U488" i="16"/>
  <c r="U487" i="16"/>
  <c r="U486" i="16"/>
  <c r="U485" i="16"/>
  <c r="U484" i="16"/>
  <c r="U483" i="16"/>
  <c r="U482" i="16"/>
  <c r="U481" i="16"/>
  <c r="U480" i="16"/>
  <c r="U479" i="16"/>
  <c r="U478" i="16"/>
  <c r="U477" i="16"/>
  <c r="U476" i="16"/>
  <c r="U475" i="16"/>
  <c r="U474" i="16"/>
  <c r="U473" i="16"/>
  <c r="U472" i="16"/>
  <c r="U471" i="16"/>
  <c r="U470" i="16"/>
  <c r="U469" i="16"/>
  <c r="U468" i="16"/>
  <c r="U467" i="16"/>
  <c r="U466" i="16"/>
  <c r="U465" i="16"/>
  <c r="U463" i="16"/>
  <c r="U462" i="16"/>
  <c r="U461" i="16"/>
  <c r="U460" i="16"/>
  <c r="U459" i="16"/>
  <c r="U458" i="16"/>
  <c r="U457" i="16"/>
  <c r="U456" i="16"/>
  <c r="U455" i="16"/>
  <c r="U454" i="16"/>
  <c r="U453" i="16"/>
  <c r="U452" i="16"/>
  <c r="U451" i="16"/>
  <c r="U450" i="16"/>
  <c r="U449" i="16"/>
  <c r="U448" i="16"/>
  <c r="U447" i="16"/>
  <c r="U446" i="16"/>
  <c r="U445" i="16"/>
  <c r="U444" i="16"/>
  <c r="U443" i="16"/>
  <c r="U442" i="16"/>
  <c r="U441" i="16"/>
  <c r="U440" i="16"/>
  <c r="U439" i="16"/>
  <c r="U438" i="16"/>
  <c r="U437" i="16"/>
  <c r="U436" i="16"/>
  <c r="U435" i="16"/>
  <c r="U434" i="16"/>
  <c r="U433" i="16"/>
  <c r="U432" i="16"/>
  <c r="U431" i="16"/>
  <c r="U430" i="16"/>
  <c r="U429" i="16"/>
  <c r="U428" i="16"/>
  <c r="U427" i="16"/>
  <c r="U426" i="16"/>
  <c r="U425" i="16"/>
  <c r="U424" i="16"/>
  <c r="U422" i="16"/>
  <c r="U420" i="16"/>
  <c r="U419" i="16"/>
  <c r="U418" i="16"/>
  <c r="U416" i="16"/>
  <c r="U415" i="16"/>
  <c r="U414" i="16"/>
  <c r="U413" i="16"/>
  <c r="U412" i="16"/>
  <c r="U411" i="16"/>
  <c r="U410" i="16"/>
  <c r="U409" i="16"/>
  <c r="U407" i="16"/>
  <c r="U406" i="16"/>
  <c r="U405" i="16"/>
  <c r="U404" i="16"/>
  <c r="U403" i="16"/>
  <c r="U402" i="16"/>
  <c r="U401" i="16"/>
  <c r="U400" i="16"/>
  <c r="U399" i="16"/>
  <c r="U398" i="16"/>
  <c r="U397" i="16"/>
  <c r="U396" i="16"/>
  <c r="U395" i="16"/>
  <c r="U394" i="16"/>
  <c r="U393" i="16"/>
  <c r="U392" i="16"/>
  <c r="U391" i="16"/>
  <c r="U390" i="16"/>
  <c r="U389" i="16"/>
  <c r="U388" i="16"/>
  <c r="U387" i="16"/>
  <c r="U386" i="16"/>
  <c r="U385" i="16"/>
  <c r="U384" i="16"/>
  <c r="U383" i="16"/>
  <c r="U382" i="16"/>
  <c r="U381" i="16"/>
  <c r="U380" i="16"/>
  <c r="K630" i="16"/>
  <c r="K629" i="16"/>
  <c r="K628" i="16"/>
  <c r="K627" i="16"/>
  <c r="K625" i="16"/>
  <c r="K624" i="16"/>
  <c r="K623" i="16"/>
  <c r="K622" i="16"/>
  <c r="K621" i="16"/>
  <c r="K620" i="16"/>
  <c r="K619" i="16"/>
  <c r="K618" i="16"/>
  <c r="K617" i="16"/>
  <c r="K616" i="16"/>
  <c r="K615" i="16"/>
  <c r="K614" i="16"/>
  <c r="K613" i="16"/>
  <c r="K612" i="16"/>
  <c r="K611" i="16"/>
  <c r="K610" i="16"/>
  <c r="K609" i="16"/>
  <c r="K608" i="16"/>
  <c r="K607" i="16"/>
  <c r="K606" i="16"/>
  <c r="K605" i="16"/>
  <c r="K604" i="16"/>
  <c r="K603" i="16"/>
  <c r="K602" i="16"/>
  <c r="K601" i="16"/>
  <c r="K600" i="16"/>
  <c r="K599" i="16"/>
  <c r="K598" i="16"/>
  <c r="K597" i="16"/>
  <c r="K596" i="16"/>
  <c r="K595" i="16"/>
  <c r="K594" i="16"/>
  <c r="K593" i="16"/>
  <c r="K592" i="16"/>
  <c r="K591" i="16"/>
  <c r="K590" i="16"/>
  <c r="K589" i="16"/>
  <c r="K588" i="16"/>
  <c r="K587" i="16"/>
  <c r="K586" i="16"/>
  <c r="K585" i="16"/>
  <c r="K584" i="16"/>
  <c r="K583" i="16"/>
  <c r="K582" i="16"/>
  <c r="K581" i="16"/>
  <c r="K580" i="16"/>
  <c r="K576" i="16"/>
  <c r="K575" i="16"/>
  <c r="K574" i="16"/>
  <c r="K573" i="16"/>
  <c r="K572" i="16"/>
  <c r="K571" i="16"/>
  <c r="K570" i="16"/>
  <c r="K569" i="16"/>
  <c r="K567" i="16"/>
  <c r="K566" i="16"/>
  <c r="K565" i="16"/>
  <c r="K564" i="16"/>
  <c r="K563" i="16"/>
  <c r="K562" i="16"/>
  <c r="K561" i="16"/>
  <c r="K560" i="16"/>
  <c r="K559" i="16"/>
  <c r="K558" i="16"/>
  <c r="K557" i="16"/>
  <c r="K556" i="16"/>
  <c r="K555" i="16"/>
  <c r="K554" i="16"/>
  <c r="K553" i="16"/>
  <c r="K552" i="16"/>
  <c r="K551" i="16"/>
  <c r="K550" i="16"/>
  <c r="K549" i="16"/>
  <c r="K548" i="16"/>
  <c r="K547" i="16"/>
  <c r="K546" i="16"/>
  <c r="K545" i="16"/>
  <c r="K544" i="16"/>
  <c r="K543" i="16"/>
  <c r="K542" i="16"/>
  <c r="K541" i="16"/>
  <c r="K540" i="16"/>
  <c r="K539" i="16"/>
  <c r="K538" i="16"/>
  <c r="K537" i="16"/>
  <c r="K536" i="16"/>
  <c r="K535" i="16"/>
  <c r="K534" i="16"/>
  <c r="K533" i="16"/>
  <c r="K532" i="16"/>
  <c r="K531" i="16"/>
  <c r="K530" i="16"/>
  <c r="K529" i="16"/>
  <c r="K528" i="16"/>
  <c r="K527" i="16"/>
  <c r="K526" i="16"/>
  <c r="K525" i="16"/>
  <c r="K524" i="16"/>
  <c r="K523" i="16"/>
  <c r="K522" i="16"/>
  <c r="K521" i="16"/>
  <c r="K520" i="16"/>
  <c r="K519" i="16"/>
  <c r="K518" i="16"/>
  <c r="K517" i="16"/>
  <c r="K516" i="16"/>
  <c r="K515" i="16"/>
  <c r="K514" i="16"/>
  <c r="K513" i="16"/>
  <c r="K512" i="16"/>
  <c r="K511" i="16"/>
  <c r="K510" i="16"/>
  <c r="K509" i="16"/>
  <c r="K508" i="16"/>
  <c r="K507" i="16"/>
  <c r="K506" i="16"/>
  <c r="K505" i="16"/>
  <c r="K504" i="16"/>
  <c r="K503" i="16"/>
  <c r="K502" i="16"/>
  <c r="K501" i="16"/>
  <c r="K500" i="16"/>
  <c r="K499" i="16"/>
  <c r="K498" i="16"/>
  <c r="K497" i="16"/>
  <c r="K496" i="16"/>
  <c r="K495" i="16"/>
  <c r="K494" i="16"/>
  <c r="K493" i="16"/>
  <c r="K492" i="16"/>
  <c r="K491" i="16"/>
  <c r="K488" i="16"/>
  <c r="K487" i="16"/>
  <c r="K486" i="16"/>
  <c r="K485" i="16"/>
  <c r="K484" i="16"/>
  <c r="K483" i="16"/>
  <c r="K482" i="16"/>
  <c r="K481" i="16"/>
  <c r="K480" i="16"/>
  <c r="K479" i="16"/>
  <c r="K478" i="16"/>
  <c r="K477" i="16"/>
  <c r="K476" i="16"/>
  <c r="K475" i="16"/>
  <c r="K474" i="16"/>
  <c r="K473" i="16"/>
  <c r="K472" i="16"/>
  <c r="K471" i="16"/>
  <c r="K470" i="16"/>
  <c r="K469" i="16"/>
  <c r="K468" i="16"/>
  <c r="K467" i="16"/>
  <c r="K466" i="16"/>
  <c r="K465" i="16"/>
  <c r="K463" i="16"/>
  <c r="K462" i="16"/>
  <c r="K461" i="16"/>
  <c r="K460" i="16"/>
  <c r="K459" i="16"/>
  <c r="K458" i="16"/>
  <c r="K457" i="16"/>
  <c r="K456" i="16"/>
  <c r="K455" i="16"/>
  <c r="K454" i="16"/>
  <c r="K453" i="16"/>
  <c r="K452" i="16"/>
  <c r="K451" i="16"/>
  <c r="K450" i="16"/>
  <c r="K449" i="16"/>
  <c r="K448" i="16"/>
  <c r="K447" i="16"/>
  <c r="K446" i="16"/>
  <c r="K445" i="16"/>
  <c r="K444" i="16"/>
  <c r="K443" i="16"/>
  <c r="K442" i="16"/>
  <c r="K441" i="16"/>
  <c r="K440" i="16"/>
  <c r="K439" i="16"/>
  <c r="K438" i="16"/>
  <c r="K437" i="16"/>
  <c r="K436" i="16"/>
  <c r="K435" i="16"/>
  <c r="K434" i="16"/>
  <c r="K433" i="16"/>
  <c r="K432" i="16"/>
  <c r="K431" i="16"/>
  <c r="K430" i="16"/>
  <c r="K429" i="16"/>
  <c r="K428" i="16"/>
  <c r="K427" i="16"/>
  <c r="K426" i="16"/>
  <c r="K425" i="16"/>
  <c r="K424" i="16"/>
  <c r="K422" i="16"/>
  <c r="K420" i="16"/>
  <c r="K419" i="16"/>
  <c r="K418" i="16"/>
  <c r="K416" i="16"/>
  <c r="K415" i="16"/>
  <c r="K414" i="16"/>
  <c r="K413" i="16"/>
  <c r="K412" i="16"/>
  <c r="K411" i="16"/>
  <c r="K410" i="16"/>
  <c r="K409" i="16"/>
  <c r="K407" i="16"/>
  <c r="K406" i="16"/>
  <c r="K405" i="16"/>
  <c r="K404" i="16"/>
  <c r="K403" i="16"/>
  <c r="K402" i="16"/>
  <c r="K401" i="16"/>
  <c r="K400" i="16"/>
  <c r="K399" i="16"/>
  <c r="K398" i="16"/>
  <c r="K397" i="16"/>
  <c r="K396" i="16"/>
  <c r="K395" i="16"/>
  <c r="K394" i="16"/>
  <c r="K393" i="16"/>
  <c r="K392" i="16"/>
  <c r="K391" i="16"/>
  <c r="K390" i="16"/>
  <c r="K389" i="16"/>
  <c r="K388" i="16"/>
  <c r="K387" i="16"/>
  <c r="K386" i="16"/>
  <c r="K385" i="16"/>
  <c r="K384" i="16"/>
  <c r="K383" i="16"/>
  <c r="K382" i="16"/>
  <c r="K381" i="16"/>
  <c r="K380" i="16"/>
  <c r="K379" i="16"/>
  <c r="K378" i="16"/>
  <c r="K377" i="16"/>
  <c r="K376" i="16"/>
  <c r="K374" i="16"/>
  <c r="K346" i="16"/>
  <c r="K345" i="16"/>
  <c r="K344" i="16"/>
  <c r="K343" i="16"/>
  <c r="K342" i="16"/>
  <c r="K341" i="16"/>
  <c r="K340" i="16"/>
  <c r="K339" i="16"/>
  <c r="K338" i="16"/>
  <c r="K337" i="16"/>
  <c r="K336" i="16"/>
  <c r="K335" i="16"/>
  <c r="K334" i="16"/>
  <c r="K333" i="16"/>
  <c r="K332" i="16"/>
  <c r="K331" i="16"/>
  <c r="K330" i="16"/>
  <c r="K329" i="16"/>
  <c r="K328" i="16"/>
  <c r="K327" i="16"/>
  <c r="K325" i="16"/>
  <c r="K324" i="16"/>
  <c r="K323" i="16"/>
  <c r="K322" i="16"/>
  <c r="K321" i="16"/>
  <c r="K320" i="16"/>
  <c r="K319" i="16"/>
  <c r="K318" i="16"/>
  <c r="K317" i="16"/>
  <c r="K316" i="16"/>
  <c r="K315" i="16"/>
  <c r="K314" i="16"/>
  <c r="K313" i="16"/>
  <c r="K312" i="16"/>
  <c r="K311" i="16"/>
  <c r="K310" i="16"/>
  <c r="K309" i="16"/>
  <c r="K308" i="16"/>
  <c r="K307" i="16"/>
  <c r="K306" i="16"/>
  <c r="K305" i="16"/>
  <c r="K304" i="16"/>
  <c r="K303" i="16"/>
  <c r="K302" i="16"/>
  <c r="K301" i="16"/>
  <c r="K297" i="16"/>
  <c r="K300" i="16"/>
  <c r="K299" i="16"/>
  <c r="K296" i="16"/>
  <c r="K295" i="16"/>
  <c r="K293" i="16"/>
  <c r="K292" i="16"/>
  <c r="K291" i="16"/>
  <c r="K290" i="16"/>
  <c r="K289" i="16"/>
  <c r="K288" i="16"/>
  <c r="K287" i="16"/>
  <c r="K286" i="16"/>
  <c r="K285" i="16"/>
  <c r="K284" i="16"/>
  <c r="K283" i="16"/>
  <c r="K282" i="16"/>
  <c r="K281" i="16"/>
  <c r="K280" i="16"/>
  <c r="K279" i="16"/>
  <c r="K278" i="16"/>
  <c r="K277" i="16"/>
  <c r="K276" i="16"/>
  <c r="K275" i="16"/>
  <c r="K273" i="16"/>
  <c r="K272" i="16"/>
  <c r="K271" i="16"/>
  <c r="K270" i="16"/>
  <c r="K269" i="16"/>
  <c r="K268" i="16"/>
  <c r="K267" i="16"/>
  <c r="K266" i="16"/>
  <c r="K265" i="16"/>
  <c r="K264" i="16"/>
  <c r="K263" i="16"/>
  <c r="K262" i="16"/>
  <c r="K261" i="16"/>
  <c r="K260" i="16"/>
  <c r="K259" i="16"/>
  <c r="K258" i="16"/>
  <c r="K257" i="16"/>
  <c r="K256" i="16"/>
  <c r="K255" i="16"/>
  <c r="K254" i="16"/>
  <c r="K253" i="16"/>
  <c r="K252" i="16"/>
  <c r="K251" i="16"/>
  <c r="K250" i="16"/>
  <c r="K248" i="16"/>
  <c r="K247" i="16"/>
  <c r="K246" i="16"/>
  <c r="K245" i="16"/>
  <c r="K244" i="16"/>
  <c r="K243" i="16"/>
  <c r="K242" i="16"/>
  <c r="K241" i="16"/>
  <c r="K240" i="16"/>
  <c r="K239" i="16"/>
  <c r="K238" i="16"/>
  <c r="K237" i="16"/>
  <c r="K236" i="16"/>
  <c r="K235" i="16"/>
  <c r="K234" i="16"/>
  <c r="K233" i="16"/>
  <c r="K232" i="16"/>
  <c r="K231" i="16"/>
  <c r="K230" i="16"/>
  <c r="K229" i="16"/>
  <c r="K228" i="16"/>
  <c r="K227" i="16"/>
  <c r="K226" i="16"/>
  <c r="K225" i="16"/>
  <c r="K224" i="16"/>
  <c r="K223" i="16"/>
  <c r="K222" i="16"/>
  <c r="K221" i="16"/>
  <c r="K220" i="16"/>
  <c r="K219" i="16"/>
  <c r="K218" i="16"/>
  <c r="K217" i="16"/>
  <c r="K216" i="16"/>
  <c r="K215" i="16"/>
  <c r="K214" i="16"/>
  <c r="K213" i="16"/>
  <c r="K212" i="16"/>
  <c r="K211" i="16"/>
  <c r="K210" i="16"/>
  <c r="K209" i="16"/>
  <c r="K208" i="16"/>
  <c r="K207" i="16"/>
  <c r="K206" i="16"/>
  <c r="K205" i="16"/>
  <c r="K204" i="16"/>
  <c r="K203" i="16"/>
  <c r="K202" i="16"/>
  <c r="K201" i="16"/>
  <c r="K200" i="16"/>
  <c r="K199" i="16"/>
  <c r="K198" i="16"/>
  <c r="K197" i="16"/>
  <c r="K196" i="16"/>
  <c r="K195" i="16"/>
  <c r="K194" i="16"/>
  <c r="K193" i="16"/>
  <c r="K192" i="16"/>
  <c r="K191" i="16"/>
  <c r="K190" i="16"/>
  <c r="K189" i="16"/>
  <c r="K188" i="16"/>
  <c r="K187" i="16"/>
  <c r="K186" i="16"/>
  <c r="K185" i="16"/>
  <c r="K184" i="16"/>
  <c r="K183" i="16"/>
  <c r="K182" i="16"/>
  <c r="K181" i="16"/>
  <c r="K180" i="16"/>
  <c r="K179" i="16"/>
  <c r="K178" i="16"/>
  <c r="K177" i="16"/>
  <c r="K175" i="16"/>
  <c r="K174" i="16"/>
  <c r="K172" i="16"/>
  <c r="K171" i="16"/>
  <c r="K170" i="16"/>
  <c r="K169" i="16"/>
  <c r="K168" i="16"/>
  <c r="K167" i="16"/>
  <c r="K166" i="16"/>
  <c r="K165" i="16"/>
  <c r="K164" i="16"/>
  <c r="K163" i="16"/>
  <c r="K162" i="16"/>
  <c r="K161" i="16"/>
  <c r="K160" i="16"/>
  <c r="K159" i="16"/>
  <c r="K158" i="16"/>
  <c r="K157" i="16"/>
  <c r="K156" i="16"/>
  <c r="K155" i="16"/>
  <c r="K154" i="16"/>
  <c r="K153" i="16"/>
  <c r="K152" i="16"/>
  <c r="K151" i="16"/>
  <c r="K150" i="16"/>
  <c r="K149" i="16"/>
  <c r="K148" i="16"/>
  <c r="K147" i="16"/>
  <c r="K146" i="16"/>
  <c r="K145" i="16"/>
  <c r="K144" i="16"/>
  <c r="K143" i="16"/>
  <c r="K142" i="16"/>
  <c r="K141" i="16"/>
  <c r="K140" i="16"/>
  <c r="K139" i="16"/>
  <c r="K138" i="16"/>
  <c r="K137" i="16"/>
  <c r="K136" i="16"/>
  <c r="K135" i="16"/>
  <c r="K134" i="16"/>
  <c r="K133" i="16"/>
  <c r="K132" i="16"/>
  <c r="K131" i="16"/>
  <c r="K130" i="16"/>
  <c r="K129" i="16"/>
  <c r="K128" i="16"/>
  <c r="K127" i="16"/>
  <c r="K126" i="16"/>
  <c r="K125" i="16"/>
  <c r="K124" i="16"/>
  <c r="K123" i="16"/>
  <c r="K122" i="16"/>
  <c r="K121" i="16"/>
  <c r="K120" i="16"/>
  <c r="K119" i="16"/>
  <c r="K118" i="16"/>
  <c r="K117" i="16"/>
  <c r="K116" i="16"/>
  <c r="K115" i="16"/>
  <c r="K114" i="16"/>
  <c r="K113" i="16"/>
  <c r="K112" i="16"/>
  <c r="K111" i="16"/>
  <c r="K110" i="16"/>
  <c r="K109" i="16"/>
  <c r="K108" i="16"/>
  <c r="K107" i="16"/>
  <c r="K106" i="16"/>
  <c r="K105" i="16"/>
  <c r="K104" i="16"/>
  <c r="K103" i="16"/>
  <c r="K102" i="16"/>
  <c r="K101" i="16"/>
  <c r="K100" i="16"/>
  <c r="K99" i="16"/>
  <c r="K98" i="16"/>
  <c r="K97" i="16"/>
  <c r="K96" i="16"/>
  <c r="K95" i="16"/>
  <c r="K93" i="16"/>
  <c r="K94" i="16"/>
  <c r="K92" i="16"/>
  <c r="K91" i="16"/>
  <c r="K90" i="16"/>
  <c r="K89" i="16"/>
  <c r="K88" i="16"/>
  <c r="K87" i="16"/>
  <c r="K86" i="16"/>
  <c r="K85" i="16"/>
  <c r="K84" i="16"/>
  <c r="K83" i="16"/>
  <c r="K82" i="16"/>
  <c r="K81" i="16"/>
  <c r="K80" i="16"/>
  <c r="K79" i="16"/>
  <c r="K78" i="16"/>
  <c r="K77" i="16"/>
  <c r="K76" i="16"/>
  <c r="K75" i="16"/>
  <c r="K74" i="16"/>
  <c r="K73" i="16"/>
  <c r="K72" i="16"/>
  <c r="K71" i="16"/>
  <c r="K70" i="16"/>
  <c r="K69" i="16"/>
  <c r="K68" i="16"/>
  <c r="K67" i="16"/>
  <c r="K66" i="16"/>
  <c r="K65" i="16"/>
  <c r="K64" i="16"/>
  <c r="K63" i="16"/>
  <c r="K62" i="16"/>
  <c r="K61" i="16"/>
  <c r="K60" i="16"/>
  <c r="K59" i="16"/>
  <c r="K58" i="16"/>
  <c r="K57" i="16"/>
  <c r="K56" i="16"/>
  <c r="K55" i="16"/>
  <c r="K54" i="16"/>
  <c r="K53" i="16"/>
  <c r="K52" i="16"/>
  <c r="K51" i="16"/>
  <c r="K49" i="16"/>
  <c r="K48" i="16"/>
  <c r="K45" i="16"/>
  <c r="K44" i="16"/>
  <c r="K43" i="16"/>
  <c r="K42" i="16"/>
  <c r="K41" i="16"/>
  <c r="K40" i="16"/>
  <c r="K39" i="16"/>
  <c r="K38" i="16"/>
  <c r="K37" i="16"/>
  <c r="K36" i="16"/>
  <c r="AZ94" i="25"/>
  <c r="BJ94" i="25" s="1"/>
  <c r="AZ94" i="2"/>
  <c r="BJ94" i="2" s="1"/>
  <c r="AZ65" i="2"/>
  <c r="BJ65" i="2" s="1"/>
  <c r="AI65" i="1"/>
  <c r="W65" i="1"/>
  <c r="M65" i="14"/>
  <c r="I65" i="14"/>
  <c r="I630" i="14"/>
  <c r="I629" i="14"/>
  <c r="I628" i="14"/>
  <c r="I627" i="14"/>
  <c r="I625" i="14"/>
  <c r="I624" i="14"/>
  <c r="I623" i="14"/>
  <c r="I622" i="14"/>
  <c r="I621" i="14"/>
  <c r="I620" i="14"/>
  <c r="I619" i="14"/>
  <c r="I618" i="14"/>
  <c r="I617" i="14"/>
  <c r="I616" i="14"/>
  <c r="I615" i="14"/>
  <c r="I614" i="14"/>
  <c r="I613" i="14"/>
  <c r="I612" i="14"/>
  <c r="I611" i="14"/>
  <c r="I610" i="14"/>
  <c r="I609" i="14"/>
  <c r="I608" i="14"/>
  <c r="I607" i="14"/>
  <c r="I606" i="14"/>
  <c r="I605" i="14"/>
  <c r="I604" i="14"/>
  <c r="I603" i="14"/>
  <c r="I602" i="14"/>
  <c r="I601" i="14"/>
  <c r="I600" i="14"/>
  <c r="I599" i="14"/>
  <c r="I598" i="14"/>
  <c r="I597" i="14"/>
  <c r="I596" i="14"/>
  <c r="I595" i="14"/>
  <c r="I594" i="14"/>
  <c r="I593" i="14"/>
  <c r="I592" i="14"/>
  <c r="I591" i="14"/>
  <c r="I590" i="14"/>
  <c r="I589" i="14"/>
  <c r="I588" i="14"/>
  <c r="I587" i="14"/>
  <c r="I586" i="14"/>
  <c r="I585" i="14"/>
  <c r="I584" i="14"/>
  <c r="I583" i="14"/>
  <c r="I582" i="14"/>
  <c r="I581" i="14"/>
  <c r="I580" i="14"/>
  <c r="I576" i="14"/>
  <c r="I575" i="14"/>
  <c r="I574" i="14"/>
  <c r="I573" i="14"/>
  <c r="I572" i="14"/>
  <c r="I571" i="14"/>
  <c r="I570" i="14"/>
  <c r="I569" i="14"/>
  <c r="I568" i="14"/>
  <c r="I567" i="14"/>
  <c r="I566" i="14"/>
  <c r="I565" i="14"/>
  <c r="I564" i="14"/>
  <c r="I563" i="14"/>
  <c r="I562" i="14"/>
  <c r="I561" i="14"/>
  <c r="I560" i="14"/>
  <c r="I559" i="14"/>
  <c r="I558" i="14"/>
  <c r="I557" i="14"/>
  <c r="I556" i="14"/>
  <c r="I555" i="14"/>
  <c r="I554" i="14"/>
  <c r="I553" i="14"/>
  <c r="I552" i="14"/>
  <c r="I551" i="14"/>
  <c r="I550" i="14"/>
  <c r="I549" i="14"/>
  <c r="I547" i="14"/>
  <c r="I546" i="14"/>
  <c r="I545" i="14"/>
  <c r="I544" i="14"/>
  <c r="I543" i="14"/>
  <c r="I542" i="14"/>
  <c r="I541" i="14"/>
  <c r="I540" i="14"/>
  <c r="I539" i="14"/>
  <c r="I538" i="14"/>
  <c r="I537" i="14"/>
  <c r="I536" i="14"/>
  <c r="I535" i="14"/>
  <c r="I534" i="14"/>
  <c r="I533" i="14"/>
  <c r="I532" i="14"/>
  <c r="I531" i="14"/>
  <c r="I530" i="14"/>
  <c r="I529" i="14"/>
  <c r="I528" i="14"/>
  <c r="I527" i="14"/>
  <c r="I526" i="14"/>
  <c r="I525" i="14"/>
  <c r="I524" i="14"/>
  <c r="I523" i="14"/>
  <c r="I522" i="14"/>
  <c r="I521" i="14"/>
  <c r="I520" i="14"/>
  <c r="I519" i="14"/>
  <c r="I517" i="14"/>
  <c r="I516" i="14"/>
  <c r="I515" i="14"/>
  <c r="I514" i="14"/>
  <c r="I513" i="14"/>
  <c r="I512" i="14"/>
  <c r="I511" i="14"/>
  <c r="I510" i="14"/>
  <c r="I509" i="14"/>
  <c r="I508" i="14"/>
  <c r="I507" i="14"/>
  <c r="I506" i="14"/>
  <c r="I505" i="14"/>
  <c r="I504" i="14"/>
  <c r="I503" i="14"/>
  <c r="I502" i="14"/>
  <c r="I501" i="14"/>
  <c r="I500" i="14"/>
  <c r="I499" i="14"/>
  <c r="I498" i="14"/>
  <c r="I497" i="14"/>
  <c r="I496" i="14"/>
  <c r="I495" i="14"/>
  <c r="I494" i="14"/>
  <c r="I493" i="14"/>
  <c r="I492" i="14"/>
  <c r="I491" i="14"/>
  <c r="I488" i="14"/>
  <c r="I487" i="14"/>
  <c r="I486" i="14"/>
  <c r="I485" i="14"/>
  <c r="I484" i="14"/>
  <c r="I483" i="14"/>
  <c r="I482" i="14"/>
  <c r="I481" i="14"/>
  <c r="I480" i="14"/>
  <c r="I479" i="14"/>
  <c r="I478" i="14"/>
  <c r="I477" i="14"/>
  <c r="I476" i="14"/>
  <c r="I475" i="14"/>
  <c r="I474" i="14"/>
  <c r="I473" i="14"/>
  <c r="I472" i="14"/>
  <c r="I471" i="14"/>
  <c r="I470" i="14"/>
  <c r="I469" i="14"/>
  <c r="I468" i="14"/>
  <c r="I467" i="14"/>
  <c r="I466" i="14"/>
  <c r="I465" i="14"/>
  <c r="I463" i="14"/>
  <c r="I462" i="14"/>
  <c r="I461" i="14"/>
  <c r="I460" i="14"/>
  <c r="I459" i="14"/>
  <c r="I458" i="14"/>
  <c r="I457" i="14"/>
  <c r="I456" i="14"/>
  <c r="I455" i="14"/>
  <c r="I454" i="14"/>
  <c r="I453" i="14"/>
  <c r="I452" i="14"/>
  <c r="I451" i="14"/>
  <c r="I450" i="14"/>
  <c r="I449" i="14"/>
  <c r="I448" i="14"/>
  <c r="I447" i="14"/>
  <c r="I446" i="14"/>
  <c r="I445" i="14"/>
  <c r="I444" i="14"/>
  <c r="I443" i="14"/>
  <c r="I442" i="14"/>
  <c r="I441" i="14"/>
  <c r="I440" i="14"/>
  <c r="I439" i="14"/>
  <c r="I438" i="14"/>
  <c r="I437" i="14"/>
  <c r="I436" i="14"/>
  <c r="I435" i="14"/>
  <c r="I434" i="14"/>
  <c r="I433" i="14"/>
  <c r="I432" i="14"/>
  <c r="I431" i="14"/>
  <c r="I430" i="14"/>
  <c r="I429" i="14"/>
  <c r="I428" i="14"/>
  <c r="I427" i="14"/>
  <c r="I426" i="14"/>
  <c r="I425" i="14"/>
  <c r="I424" i="14"/>
  <c r="I422" i="14"/>
  <c r="I420" i="14"/>
  <c r="I419" i="14"/>
  <c r="I418" i="14"/>
  <c r="I416" i="14"/>
  <c r="I415" i="14"/>
  <c r="I414" i="14"/>
  <c r="I413" i="14"/>
  <c r="I412" i="14"/>
  <c r="I411" i="14"/>
  <c r="I410" i="14"/>
  <c r="I409" i="14"/>
  <c r="I407" i="14"/>
  <c r="I406" i="14"/>
  <c r="I405" i="14"/>
  <c r="I404" i="14"/>
  <c r="I403" i="14"/>
  <c r="I402" i="14"/>
  <c r="I401" i="14"/>
  <c r="I400" i="14"/>
  <c r="I399" i="14"/>
  <c r="I398" i="14"/>
  <c r="I397" i="14"/>
  <c r="I396" i="14"/>
  <c r="I395" i="14"/>
  <c r="I394" i="14"/>
  <c r="I393" i="14"/>
  <c r="I392" i="14"/>
  <c r="I391" i="14"/>
  <c r="I390" i="14"/>
  <c r="I389" i="14"/>
  <c r="I388" i="14"/>
  <c r="I387" i="14"/>
  <c r="I386" i="14"/>
  <c r="I385" i="14"/>
  <c r="I384" i="14"/>
  <c r="I383" i="14"/>
  <c r="I382" i="14"/>
  <c r="I381" i="14"/>
  <c r="I380" i="14"/>
  <c r="I379" i="14"/>
  <c r="I378" i="14"/>
  <c r="I377" i="14"/>
  <c r="I376" i="14"/>
  <c r="I374" i="14"/>
  <c r="I373" i="14"/>
  <c r="I372" i="14"/>
  <c r="I371" i="14"/>
  <c r="I370" i="14"/>
  <c r="I369" i="14"/>
  <c r="I368" i="14"/>
  <c r="I367" i="14"/>
  <c r="I366" i="14"/>
  <c r="I365" i="14"/>
  <c r="I364" i="14"/>
  <c r="I363" i="14"/>
  <c r="I362" i="14"/>
  <c r="I361" i="14"/>
  <c r="I360" i="14"/>
  <c r="I359" i="14"/>
  <c r="I358" i="14"/>
  <c r="I357" i="14"/>
  <c r="I356" i="14"/>
  <c r="I355" i="14"/>
  <c r="I353" i="14"/>
  <c r="I352" i="14"/>
  <c r="I351" i="14"/>
  <c r="I350" i="14"/>
  <c r="I349" i="14"/>
  <c r="I348" i="14"/>
  <c r="I347" i="14"/>
  <c r="I346" i="14"/>
  <c r="I345" i="14"/>
  <c r="I344" i="14"/>
  <c r="I343" i="14"/>
  <c r="I342" i="14"/>
  <c r="I341" i="14"/>
  <c r="I340" i="14"/>
  <c r="I339" i="14"/>
  <c r="I338" i="14"/>
  <c r="I337" i="14"/>
  <c r="I336" i="14"/>
  <c r="I335" i="14"/>
  <c r="I334" i="14"/>
  <c r="I333" i="14"/>
  <c r="I332" i="14"/>
  <c r="I331" i="14"/>
  <c r="I330" i="14"/>
  <c r="I329" i="14"/>
  <c r="I328" i="14"/>
  <c r="I327" i="14"/>
  <c r="I325" i="14"/>
  <c r="I324" i="14"/>
  <c r="I323" i="14"/>
  <c r="I322" i="14"/>
  <c r="I321" i="14"/>
  <c r="I320" i="14"/>
  <c r="I319" i="14"/>
  <c r="I318" i="14"/>
  <c r="I316" i="14"/>
  <c r="I315" i="14"/>
  <c r="I314" i="14"/>
  <c r="I313" i="14"/>
  <c r="I312" i="14"/>
  <c r="I311" i="14"/>
  <c r="I310" i="14"/>
  <c r="I309" i="14"/>
  <c r="I308" i="14"/>
  <c r="I307" i="14"/>
  <c r="I306" i="14"/>
  <c r="I305" i="14"/>
  <c r="I304" i="14"/>
  <c r="I303" i="14"/>
  <c r="I302" i="14"/>
  <c r="I301" i="14"/>
  <c r="I297" i="14"/>
  <c r="I300" i="14"/>
  <c r="I299" i="14"/>
  <c r="I298" i="14"/>
  <c r="I296" i="14"/>
  <c r="I295" i="14"/>
  <c r="I293" i="14"/>
  <c r="I292" i="14"/>
  <c r="I291" i="14"/>
  <c r="I290" i="14"/>
  <c r="I289" i="14"/>
  <c r="I288" i="14"/>
  <c r="I287" i="14"/>
  <c r="I286" i="14"/>
  <c r="I285" i="14"/>
  <c r="I284" i="14"/>
  <c r="I283" i="14"/>
  <c r="I282" i="14"/>
  <c r="I281" i="14"/>
  <c r="I280" i="14"/>
  <c r="I279" i="14"/>
  <c r="I278" i="14"/>
  <c r="I277" i="14"/>
  <c r="I276" i="14"/>
  <c r="I275" i="14"/>
  <c r="I273" i="14"/>
  <c r="I272" i="14"/>
  <c r="I271" i="14"/>
  <c r="I270" i="14"/>
  <c r="I269" i="14"/>
  <c r="I268" i="14"/>
  <c r="I267" i="14"/>
  <c r="I266" i="14"/>
  <c r="I265" i="14"/>
  <c r="I264" i="14"/>
  <c r="I263" i="14"/>
  <c r="I262" i="14"/>
  <c r="I261" i="14"/>
  <c r="I260" i="14"/>
  <c r="I259" i="14"/>
  <c r="I258" i="14"/>
  <c r="I257" i="14"/>
  <c r="I256" i="14"/>
  <c r="I255" i="14"/>
  <c r="I254" i="14"/>
  <c r="I253" i="14"/>
  <c r="I252" i="14"/>
  <c r="I251" i="14"/>
  <c r="I250" i="14"/>
  <c r="I248" i="14"/>
  <c r="I247" i="14"/>
  <c r="I246" i="14"/>
  <c r="I245" i="14"/>
  <c r="I244" i="14"/>
  <c r="I243" i="14"/>
  <c r="I242" i="14"/>
  <c r="I241" i="14"/>
  <c r="I240" i="14"/>
  <c r="I239" i="14"/>
  <c r="I238" i="14"/>
  <c r="I237" i="14"/>
  <c r="I236" i="14"/>
  <c r="I235" i="14"/>
  <c r="I234" i="14"/>
  <c r="I233" i="14"/>
  <c r="I232" i="14"/>
  <c r="I231" i="14"/>
  <c r="I230" i="14"/>
  <c r="I229" i="14"/>
  <c r="I228" i="14"/>
  <c r="I227" i="14"/>
  <c r="I226" i="14"/>
  <c r="I225" i="14"/>
  <c r="I224" i="14"/>
  <c r="I223" i="14"/>
  <c r="I222" i="14"/>
  <c r="I221" i="14"/>
  <c r="I220" i="14"/>
  <c r="I219" i="14"/>
  <c r="I218" i="14"/>
  <c r="I217" i="14"/>
  <c r="I216" i="14"/>
  <c r="I215" i="14"/>
  <c r="I214" i="14"/>
  <c r="I213" i="14"/>
  <c r="I212" i="14"/>
  <c r="I211" i="14"/>
  <c r="I210" i="14"/>
  <c r="I209" i="14"/>
  <c r="I208" i="14"/>
  <c r="I207" i="14"/>
  <c r="I206" i="14"/>
  <c r="I205" i="14"/>
  <c r="I204" i="14"/>
  <c r="I203" i="14"/>
  <c r="I202" i="14"/>
  <c r="I201" i="14"/>
  <c r="I200" i="14"/>
  <c r="I199" i="14"/>
  <c r="I198" i="14"/>
  <c r="I197" i="14"/>
  <c r="I196" i="14"/>
  <c r="I195" i="14"/>
  <c r="I194" i="14"/>
  <c r="I193" i="14"/>
  <c r="I192" i="14"/>
  <c r="I191" i="14"/>
  <c r="I190" i="14"/>
  <c r="I189" i="14"/>
  <c r="I188" i="14"/>
  <c r="I187" i="14"/>
  <c r="I186" i="14"/>
  <c r="I185" i="14"/>
  <c r="I184" i="14"/>
  <c r="I183" i="14"/>
  <c r="I182" i="14"/>
  <c r="I181" i="14"/>
  <c r="I180" i="14"/>
  <c r="I179" i="14"/>
  <c r="I178" i="14"/>
  <c r="I177" i="14"/>
  <c r="I175" i="14"/>
  <c r="I174" i="14"/>
  <c r="I172" i="14"/>
  <c r="I171" i="14"/>
  <c r="I170" i="14"/>
  <c r="I169" i="14"/>
  <c r="I168" i="14"/>
  <c r="I167" i="14"/>
  <c r="I166" i="14"/>
  <c r="I165" i="14"/>
  <c r="I164" i="14"/>
  <c r="I163" i="14"/>
  <c r="I162" i="14"/>
  <c r="I161" i="14"/>
  <c r="I160" i="14"/>
  <c r="I159" i="14"/>
  <c r="I158" i="14"/>
  <c r="I157" i="14"/>
  <c r="I156" i="14"/>
  <c r="I155" i="14"/>
  <c r="I154" i="14"/>
  <c r="I153" i="14"/>
  <c r="I152" i="14"/>
  <c r="I151" i="14"/>
  <c r="I150" i="14"/>
  <c r="I149" i="14"/>
  <c r="I148" i="14"/>
  <c r="I147" i="14"/>
  <c r="I146" i="14"/>
  <c r="I145" i="14"/>
  <c r="I144" i="14"/>
  <c r="I143" i="14"/>
  <c r="I142" i="14"/>
  <c r="I141" i="14"/>
  <c r="I140" i="14"/>
  <c r="I139" i="14"/>
  <c r="I138" i="14"/>
  <c r="I137" i="14"/>
  <c r="I136" i="14"/>
  <c r="I135" i="14"/>
  <c r="I134" i="14"/>
  <c r="I133" i="14"/>
  <c r="I132" i="14"/>
  <c r="I131" i="14"/>
  <c r="I130" i="14"/>
  <c r="I129" i="14"/>
  <c r="I128" i="14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3" i="14"/>
  <c r="I94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49" i="14"/>
  <c r="I48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4" i="14"/>
  <c r="I22" i="14"/>
  <c r="I20" i="14"/>
  <c r="I19" i="14"/>
  <c r="I18" i="14"/>
  <c r="I17" i="14"/>
  <c r="I14" i="14"/>
  <c r="M630" i="14"/>
  <c r="M629" i="14"/>
  <c r="M628" i="14"/>
  <c r="M627" i="14"/>
  <c r="M625" i="14"/>
  <c r="M624" i="14"/>
  <c r="M623" i="14"/>
  <c r="M622" i="14"/>
  <c r="M621" i="14"/>
  <c r="M620" i="14"/>
  <c r="M619" i="14"/>
  <c r="M618" i="14"/>
  <c r="M617" i="14"/>
  <c r="M616" i="14"/>
  <c r="M615" i="14"/>
  <c r="M614" i="14"/>
  <c r="M613" i="14"/>
  <c r="M612" i="14"/>
  <c r="M611" i="14"/>
  <c r="M610" i="14"/>
  <c r="M609" i="14"/>
  <c r="M608" i="14"/>
  <c r="M607" i="14"/>
  <c r="M606" i="14"/>
  <c r="M605" i="14"/>
  <c r="M604" i="14"/>
  <c r="M603" i="14"/>
  <c r="M602" i="14"/>
  <c r="M601" i="14"/>
  <c r="M600" i="14"/>
  <c r="M599" i="14"/>
  <c r="M598" i="14"/>
  <c r="M597" i="14"/>
  <c r="M596" i="14"/>
  <c r="M595" i="14"/>
  <c r="M594" i="14"/>
  <c r="M593" i="14"/>
  <c r="M592" i="14"/>
  <c r="M591" i="14"/>
  <c r="M590" i="14"/>
  <c r="M589" i="14"/>
  <c r="M588" i="14"/>
  <c r="M587" i="14"/>
  <c r="M586" i="14"/>
  <c r="M585" i="14"/>
  <c r="M584" i="14"/>
  <c r="M583" i="14"/>
  <c r="M582" i="14"/>
  <c r="M581" i="14"/>
  <c r="M580" i="14"/>
  <c r="M576" i="14"/>
  <c r="M575" i="14"/>
  <c r="M574" i="14"/>
  <c r="M573" i="14"/>
  <c r="M572" i="14"/>
  <c r="M571" i="14"/>
  <c r="M570" i="14"/>
  <c r="M569" i="14"/>
  <c r="M568" i="14"/>
  <c r="M567" i="14"/>
  <c r="M566" i="14"/>
  <c r="M565" i="14"/>
  <c r="M564" i="14"/>
  <c r="M563" i="14"/>
  <c r="M562" i="14"/>
  <c r="M561" i="14"/>
  <c r="M560" i="14"/>
  <c r="M559" i="14"/>
  <c r="M558" i="14"/>
  <c r="M557" i="14"/>
  <c r="M556" i="14"/>
  <c r="M555" i="14"/>
  <c r="M554" i="14"/>
  <c r="M553" i="14"/>
  <c r="M552" i="14"/>
  <c r="M551" i="14"/>
  <c r="M550" i="14"/>
  <c r="M549" i="14"/>
  <c r="M548" i="14"/>
  <c r="M547" i="14"/>
  <c r="M546" i="14"/>
  <c r="M545" i="14"/>
  <c r="M544" i="14"/>
  <c r="M543" i="14"/>
  <c r="M542" i="14"/>
  <c r="M541" i="14"/>
  <c r="M540" i="14"/>
  <c r="M539" i="14"/>
  <c r="M538" i="14"/>
  <c r="M537" i="14"/>
  <c r="M536" i="14"/>
  <c r="M535" i="14"/>
  <c r="M534" i="14"/>
  <c r="M533" i="14"/>
  <c r="M532" i="14"/>
  <c r="M531" i="14"/>
  <c r="M530" i="14"/>
  <c r="M529" i="14"/>
  <c r="M528" i="14"/>
  <c r="M527" i="14"/>
  <c r="M526" i="14"/>
  <c r="M525" i="14"/>
  <c r="M524" i="14"/>
  <c r="M523" i="14"/>
  <c r="M522" i="14"/>
  <c r="M521" i="14"/>
  <c r="M520" i="14"/>
  <c r="M519" i="14"/>
  <c r="M518" i="14"/>
  <c r="M517" i="14"/>
  <c r="M516" i="14"/>
  <c r="M515" i="14"/>
  <c r="M514" i="14"/>
  <c r="M513" i="14"/>
  <c r="M512" i="14"/>
  <c r="M511" i="14"/>
  <c r="M510" i="14"/>
  <c r="M509" i="14"/>
  <c r="M508" i="14"/>
  <c r="M507" i="14"/>
  <c r="M506" i="14"/>
  <c r="M505" i="14"/>
  <c r="M504" i="14"/>
  <c r="M503" i="14"/>
  <c r="M502" i="14"/>
  <c r="M501" i="14"/>
  <c r="M500" i="14"/>
  <c r="M499" i="14"/>
  <c r="M498" i="14"/>
  <c r="M497" i="14"/>
  <c r="M496" i="14"/>
  <c r="M495" i="14"/>
  <c r="M494" i="14"/>
  <c r="M493" i="14"/>
  <c r="M492" i="14"/>
  <c r="M491" i="14"/>
  <c r="M488" i="14"/>
  <c r="M487" i="14"/>
  <c r="M486" i="14"/>
  <c r="M485" i="14"/>
  <c r="M484" i="14"/>
  <c r="M483" i="14"/>
  <c r="M482" i="14"/>
  <c r="M481" i="14"/>
  <c r="M480" i="14"/>
  <c r="M479" i="14"/>
  <c r="M478" i="14"/>
  <c r="M477" i="14"/>
  <c r="M476" i="14"/>
  <c r="M475" i="14"/>
  <c r="M474" i="14"/>
  <c r="M473" i="14"/>
  <c r="M472" i="14"/>
  <c r="M471" i="14"/>
  <c r="M470" i="14"/>
  <c r="M469" i="14"/>
  <c r="M468" i="14"/>
  <c r="M467" i="14"/>
  <c r="M466" i="14"/>
  <c r="M465" i="14"/>
  <c r="M463" i="14"/>
  <c r="M462" i="14"/>
  <c r="M461" i="14"/>
  <c r="M460" i="14"/>
  <c r="M459" i="14"/>
  <c r="M458" i="14"/>
  <c r="M457" i="14"/>
  <c r="M456" i="14"/>
  <c r="M455" i="14"/>
  <c r="M454" i="14"/>
  <c r="M453" i="14"/>
  <c r="M452" i="14"/>
  <c r="M451" i="14"/>
  <c r="M450" i="14"/>
  <c r="M449" i="14"/>
  <c r="M448" i="14"/>
  <c r="M447" i="14"/>
  <c r="M446" i="14"/>
  <c r="M445" i="14"/>
  <c r="M444" i="14"/>
  <c r="M443" i="14"/>
  <c r="M442" i="14"/>
  <c r="M441" i="14"/>
  <c r="M440" i="14"/>
  <c r="M439" i="14"/>
  <c r="M438" i="14"/>
  <c r="M437" i="14"/>
  <c r="M436" i="14"/>
  <c r="M435" i="14"/>
  <c r="M434" i="14"/>
  <c r="M433" i="14"/>
  <c r="M432" i="14"/>
  <c r="M431" i="14"/>
  <c r="M430" i="14"/>
  <c r="M429" i="14"/>
  <c r="M428" i="14"/>
  <c r="M427" i="14"/>
  <c r="M426" i="14"/>
  <c r="M425" i="14"/>
  <c r="M424" i="14"/>
  <c r="M422" i="14"/>
  <c r="M420" i="14"/>
  <c r="M419" i="14"/>
  <c r="M418" i="14"/>
  <c r="M416" i="14"/>
  <c r="M415" i="14"/>
  <c r="M414" i="14"/>
  <c r="M413" i="14"/>
  <c r="M412" i="14"/>
  <c r="M411" i="14"/>
  <c r="M410" i="14"/>
  <c r="M409" i="14"/>
  <c r="M407" i="14"/>
  <c r="M406" i="14"/>
  <c r="M405" i="14"/>
  <c r="M404" i="14"/>
  <c r="M403" i="14"/>
  <c r="M402" i="14"/>
  <c r="M401" i="14"/>
  <c r="M400" i="14"/>
  <c r="M399" i="14"/>
  <c r="M398" i="14"/>
  <c r="M397" i="14"/>
  <c r="M396" i="14"/>
  <c r="M395" i="14"/>
  <c r="M394" i="14"/>
  <c r="M393" i="14"/>
  <c r="M392" i="14"/>
  <c r="M391" i="14"/>
  <c r="M390" i="14"/>
  <c r="M389" i="14"/>
  <c r="M388" i="14"/>
  <c r="M387" i="14"/>
  <c r="M386" i="14"/>
  <c r="M385" i="14"/>
  <c r="M384" i="14"/>
  <c r="M383" i="14"/>
  <c r="M382" i="14"/>
  <c r="M381" i="14"/>
  <c r="M380" i="14"/>
  <c r="M379" i="14"/>
  <c r="M378" i="14"/>
  <c r="M377" i="14"/>
  <c r="M376" i="14"/>
  <c r="M374" i="14"/>
  <c r="M373" i="14"/>
  <c r="M372" i="14"/>
  <c r="M371" i="14"/>
  <c r="M370" i="14"/>
  <c r="M369" i="14"/>
  <c r="M368" i="14"/>
  <c r="M367" i="14"/>
  <c r="M366" i="14"/>
  <c r="M365" i="14"/>
  <c r="M364" i="14"/>
  <c r="M363" i="14"/>
  <c r="M362" i="14"/>
  <c r="M361" i="14"/>
  <c r="M360" i="14"/>
  <c r="M359" i="14"/>
  <c r="M358" i="14"/>
  <c r="M357" i="14"/>
  <c r="M356" i="14"/>
  <c r="M355" i="14"/>
  <c r="M353" i="14"/>
  <c r="M352" i="14"/>
  <c r="M351" i="14"/>
  <c r="M350" i="14"/>
  <c r="M349" i="14"/>
  <c r="M348" i="14"/>
  <c r="M347" i="14"/>
  <c r="M346" i="14"/>
  <c r="M345" i="14"/>
  <c r="M344" i="14"/>
  <c r="M343" i="14"/>
  <c r="M342" i="14"/>
  <c r="M341" i="14"/>
  <c r="M340" i="14"/>
  <c r="M339" i="14"/>
  <c r="M338" i="14"/>
  <c r="M337" i="14"/>
  <c r="M336" i="14"/>
  <c r="M335" i="14"/>
  <c r="M334" i="14"/>
  <c r="M333" i="14"/>
  <c r="M332" i="14"/>
  <c r="M331" i="14"/>
  <c r="M330" i="14"/>
  <c r="M329" i="14"/>
  <c r="M328" i="14"/>
  <c r="M327" i="14"/>
  <c r="M325" i="14"/>
  <c r="M324" i="14"/>
  <c r="M323" i="14"/>
  <c r="M322" i="14"/>
  <c r="M321" i="14"/>
  <c r="M320" i="14"/>
  <c r="M319" i="14"/>
  <c r="M318" i="14"/>
  <c r="M316" i="14"/>
  <c r="M315" i="14"/>
  <c r="M314" i="14"/>
  <c r="M313" i="14"/>
  <c r="M312" i="14"/>
  <c r="M311" i="14"/>
  <c r="M310" i="14"/>
  <c r="M309" i="14"/>
  <c r="M308" i="14"/>
  <c r="M307" i="14"/>
  <c r="M306" i="14"/>
  <c r="M305" i="14"/>
  <c r="M304" i="14"/>
  <c r="M303" i="14"/>
  <c r="M302" i="14"/>
  <c r="M301" i="14"/>
  <c r="M297" i="14"/>
  <c r="M300" i="14"/>
  <c r="M299" i="14"/>
  <c r="M298" i="14"/>
  <c r="M296" i="14"/>
  <c r="M295" i="14"/>
  <c r="M293" i="14"/>
  <c r="M292" i="14"/>
  <c r="M291" i="14"/>
  <c r="M290" i="14"/>
  <c r="M289" i="14"/>
  <c r="M288" i="14"/>
  <c r="M287" i="14"/>
  <c r="M286" i="14"/>
  <c r="M285" i="14"/>
  <c r="M284" i="14"/>
  <c r="M283" i="14"/>
  <c r="M282" i="14"/>
  <c r="M281" i="14"/>
  <c r="M280" i="14"/>
  <c r="M279" i="14"/>
  <c r="M278" i="14"/>
  <c r="M277" i="14"/>
  <c r="M276" i="14"/>
  <c r="M275" i="14"/>
  <c r="M273" i="14"/>
  <c r="M272" i="14"/>
  <c r="M271" i="14"/>
  <c r="M270" i="14"/>
  <c r="M269" i="14"/>
  <c r="M268" i="14"/>
  <c r="M267" i="14"/>
  <c r="M266" i="14"/>
  <c r="M265" i="14"/>
  <c r="M264" i="14"/>
  <c r="M263" i="14"/>
  <c r="M262" i="14"/>
  <c r="M261" i="14"/>
  <c r="M260" i="14"/>
  <c r="M259" i="14"/>
  <c r="M258" i="14"/>
  <c r="M257" i="14"/>
  <c r="M256" i="14"/>
  <c r="M255" i="14"/>
  <c r="M254" i="14"/>
  <c r="M253" i="14"/>
  <c r="M252" i="14"/>
  <c r="M251" i="14"/>
  <c r="M250" i="14"/>
  <c r="M248" i="14"/>
  <c r="M247" i="14"/>
  <c r="M246" i="14"/>
  <c r="M245" i="14"/>
  <c r="M244" i="14"/>
  <c r="M243" i="14"/>
  <c r="M242" i="14"/>
  <c r="M241" i="14"/>
  <c r="M240" i="14"/>
  <c r="M239" i="14"/>
  <c r="M238" i="14"/>
  <c r="M237" i="14"/>
  <c r="M236" i="14"/>
  <c r="M235" i="14"/>
  <c r="M234" i="14"/>
  <c r="M233" i="14"/>
  <c r="M232" i="14"/>
  <c r="M231" i="14"/>
  <c r="M230" i="14"/>
  <c r="M229" i="14"/>
  <c r="M228" i="14"/>
  <c r="M227" i="14"/>
  <c r="M226" i="14"/>
  <c r="M225" i="14"/>
  <c r="M224" i="14"/>
  <c r="M223" i="14"/>
  <c r="M222" i="14"/>
  <c r="M221" i="14"/>
  <c r="M220" i="14"/>
  <c r="M219" i="14"/>
  <c r="M218" i="14"/>
  <c r="M217" i="14"/>
  <c r="M216" i="14"/>
  <c r="M215" i="14"/>
  <c r="M214" i="14"/>
  <c r="M213" i="14"/>
  <c r="M212" i="14"/>
  <c r="M211" i="14"/>
  <c r="M210" i="14"/>
  <c r="M209" i="14"/>
  <c r="M208" i="14"/>
  <c r="M207" i="14"/>
  <c r="M206" i="14"/>
  <c r="M205" i="14"/>
  <c r="M204" i="14"/>
  <c r="M203" i="14"/>
  <c r="M202" i="14"/>
  <c r="M201" i="14"/>
  <c r="M200" i="14"/>
  <c r="M199" i="14"/>
  <c r="M198" i="14"/>
  <c r="M197" i="14"/>
  <c r="M196" i="14"/>
  <c r="M195" i="14"/>
  <c r="M194" i="14"/>
  <c r="M193" i="14"/>
  <c r="M192" i="14"/>
  <c r="M191" i="14"/>
  <c r="M190" i="14"/>
  <c r="M189" i="14"/>
  <c r="M188" i="14"/>
  <c r="M187" i="14"/>
  <c r="M186" i="14"/>
  <c r="M185" i="14"/>
  <c r="M184" i="14"/>
  <c r="M183" i="14"/>
  <c r="M182" i="14"/>
  <c r="M181" i="14"/>
  <c r="M180" i="14"/>
  <c r="M179" i="14"/>
  <c r="M178" i="14"/>
  <c r="M177" i="14"/>
  <c r="M175" i="14"/>
  <c r="M174" i="14"/>
  <c r="M172" i="14"/>
  <c r="M171" i="14"/>
  <c r="M170" i="14"/>
  <c r="M169" i="14"/>
  <c r="M168" i="14"/>
  <c r="M167" i="14"/>
  <c r="M166" i="14"/>
  <c r="M165" i="14"/>
  <c r="M164" i="14"/>
  <c r="M163" i="14"/>
  <c r="M162" i="14"/>
  <c r="M161" i="14"/>
  <c r="M160" i="14"/>
  <c r="M159" i="14"/>
  <c r="M158" i="14"/>
  <c r="M157" i="14"/>
  <c r="M156" i="14"/>
  <c r="M155" i="14"/>
  <c r="M154" i="14"/>
  <c r="M153" i="14"/>
  <c r="M152" i="14"/>
  <c r="M151" i="14"/>
  <c r="M150" i="14"/>
  <c r="M149" i="14"/>
  <c r="M148" i="14"/>
  <c r="M147" i="14"/>
  <c r="M146" i="14"/>
  <c r="M145" i="14"/>
  <c r="M144" i="14"/>
  <c r="M143" i="14"/>
  <c r="M142" i="14"/>
  <c r="M141" i="14"/>
  <c r="M140" i="14"/>
  <c r="M139" i="14"/>
  <c r="M138" i="14"/>
  <c r="M137" i="14"/>
  <c r="M136" i="14"/>
  <c r="M135" i="14"/>
  <c r="M134" i="14"/>
  <c r="M133" i="14"/>
  <c r="M132" i="14"/>
  <c r="M131" i="14"/>
  <c r="M130" i="14"/>
  <c r="M129" i="14"/>
  <c r="M128" i="14"/>
  <c r="M127" i="14"/>
  <c r="M126" i="14"/>
  <c r="M125" i="14"/>
  <c r="M124" i="14"/>
  <c r="M123" i="14"/>
  <c r="M122" i="14"/>
  <c r="M121" i="14"/>
  <c r="M120" i="14"/>
  <c r="M119" i="14"/>
  <c r="M118" i="14"/>
  <c r="M117" i="14"/>
  <c r="M116" i="14"/>
  <c r="M115" i="14"/>
  <c r="M114" i="14"/>
  <c r="M113" i="14"/>
  <c r="M112" i="14"/>
  <c r="M111" i="14"/>
  <c r="M109" i="14"/>
  <c r="M108" i="14"/>
  <c r="M107" i="14"/>
  <c r="M106" i="14"/>
  <c r="M105" i="14"/>
  <c r="M104" i="14"/>
  <c r="M103" i="14"/>
  <c r="M102" i="14"/>
  <c r="M101" i="14"/>
  <c r="M100" i="14"/>
  <c r="M99" i="14"/>
  <c r="M98" i="14"/>
  <c r="M97" i="14"/>
  <c r="M96" i="14"/>
  <c r="M95" i="14"/>
  <c r="M93" i="14"/>
  <c r="M94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8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49" i="14"/>
  <c r="M48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9" i="14"/>
  <c r="M28" i="14"/>
  <c r="M27" i="14"/>
  <c r="M26" i="14"/>
  <c r="M24" i="14"/>
  <c r="M22" i="14"/>
  <c r="M20" i="14"/>
  <c r="M19" i="14"/>
  <c r="M18" i="14"/>
  <c r="M17" i="14"/>
  <c r="M14" i="14"/>
  <c r="M13" i="14"/>
  <c r="AE387" i="15"/>
  <c r="K387" i="15"/>
  <c r="AE503" i="14" l="1"/>
  <c r="AE178" i="26"/>
  <c r="AG387" i="15"/>
  <c r="AE574" i="26"/>
  <c r="AE65" i="14"/>
  <c r="BV178" i="2"/>
  <c r="AE573" i="26"/>
  <c r="AK65" i="1"/>
  <c r="BL65" i="2" s="1"/>
  <c r="AE14" i="14"/>
  <c r="AE17" i="14"/>
  <c r="AE19" i="14"/>
  <c r="AE24" i="14"/>
  <c r="AE26" i="14"/>
  <c r="AE28" i="14"/>
  <c r="AE30" i="14"/>
  <c r="AE32" i="14"/>
  <c r="AE34" i="14"/>
  <c r="AE36" i="14"/>
  <c r="AE38" i="14"/>
  <c r="AE40" i="14"/>
  <c r="AE42" i="14"/>
  <c r="AE44" i="14"/>
  <c r="AE48" i="14"/>
  <c r="AE51" i="14"/>
  <c r="AE53" i="14"/>
  <c r="AE55" i="14"/>
  <c r="AE57" i="14"/>
  <c r="AE59" i="14"/>
  <c r="AE61" i="14"/>
  <c r="AE63" i="14"/>
  <c r="AE66" i="14"/>
  <c r="AE68" i="14"/>
  <c r="AE70" i="14"/>
  <c r="AE72" i="14"/>
  <c r="AE74" i="14"/>
  <c r="AE76" i="14"/>
  <c r="AE78" i="14"/>
  <c r="AE80" i="14"/>
  <c r="AE82" i="14"/>
  <c r="AE84" i="14"/>
  <c r="AE86" i="14"/>
  <c r="AE88" i="14"/>
  <c r="AE90" i="14"/>
  <c r="AE92" i="14"/>
  <c r="AE93" i="14"/>
  <c r="AE96" i="14"/>
  <c r="AE98" i="14"/>
  <c r="AE100" i="14"/>
  <c r="AE102" i="14"/>
  <c r="AE18" i="14"/>
  <c r="AE20" i="14"/>
  <c r="AE22" i="14"/>
  <c r="AE27" i="14"/>
  <c r="AE29" i="14"/>
  <c r="AE31" i="14"/>
  <c r="AE33" i="14"/>
  <c r="AE35" i="14"/>
  <c r="AE37" i="14"/>
  <c r="AE39" i="14"/>
  <c r="AE41" i="14"/>
  <c r="AE43" i="14"/>
  <c r="AE45" i="14"/>
  <c r="AE49" i="14"/>
  <c r="AE52" i="14"/>
  <c r="AE54" i="14"/>
  <c r="AE56" i="14"/>
  <c r="AE58" i="14"/>
  <c r="AE60" i="14"/>
  <c r="AE62" i="14"/>
  <c r="AE64" i="14"/>
  <c r="AE67" i="14"/>
  <c r="AE69" i="14"/>
  <c r="AE71" i="14"/>
  <c r="AE73" i="14"/>
  <c r="AE75" i="14"/>
  <c r="AE77" i="14"/>
  <c r="AE79" i="14"/>
  <c r="AE81" i="14"/>
  <c r="AE83" i="14"/>
  <c r="AE85" i="14"/>
  <c r="AE87" i="14"/>
  <c r="AE89" i="14"/>
  <c r="AE91" i="14"/>
  <c r="AE94" i="14"/>
  <c r="AE95" i="14"/>
  <c r="AE97" i="14"/>
  <c r="AE99" i="14"/>
  <c r="AE101" i="14"/>
  <c r="AE103" i="14"/>
  <c r="AE105" i="14"/>
  <c r="AE107" i="14"/>
  <c r="AE109" i="14"/>
  <c r="AE111" i="14"/>
  <c r="AE113" i="14"/>
  <c r="AE115" i="14"/>
  <c r="AE117" i="14"/>
  <c r="AE119" i="14"/>
  <c r="AE121" i="14"/>
  <c r="AE123" i="14"/>
  <c r="AE125" i="14"/>
  <c r="AE127" i="14"/>
  <c r="AE129" i="14"/>
  <c r="AE131" i="14"/>
  <c r="AE133" i="14"/>
  <c r="AE135" i="14"/>
  <c r="AE137" i="14"/>
  <c r="AE139" i="14"/>
  <c r="AE141" i="14"/>
  <c r="AE143" i="14"/>
  <c r="AE145" i="14"/>
  <c r="AE147" i="14"/>
  <c r="AE149" i="14"/>
  <c r="AE151" i="14"/>
  <c r="AE153" i="14"/>
  <c r="AE155" i="14"/>
  <c r="AE157" i="14"/>
  <c r="AE159" i="14"/>
  <c r="AE161" i="14"/>
  <c r="AE163" i="14"/>
  <c r="AE165" i="14"/>
  <c r="AE167" i="14"/>
  <c r="AE169" i="14"/>
  <c r="AE171" i="14"/>
  <c r="AE174" i="14"/>
  <c r="AE177" i="14"/>
  <c r="AE178" i="14"/>
  <c r="AE180" i="14"/>
  <c r="AE182" i="14"/>
  <c r="AE184" i="14"/>
  <c r="AE186" i="14"/>
  <c r="AE188" i="14"/>
  <c r="AE190" i="14"/>
  <c r="AE192" i="14"/>
  <c r="AE194" i="14"/>
  <c r="AE196" i="14"/>
  <c r="AE198" i="14"/>
  <c r="AE200" i="14"/>
  <c r="AE202" i="14"/>
  <c r="AE204" i="14"/>
  <c r="AE206" i="14"/>
  <c r="AE208" i="14"/>
  <c r="AE210" i="14"/>
  <c r="AE212" i="14"/>
  <c r="AE214" i="14"/>
  <c r="AE216" i="14"/>
  <c r="AE218" i="14"/>
  <c r="AE220" i="14"/>
  <c r="AE222" i="14"/>
  <c r="AE224" i="14"/>
  <c r="AE226" i="14"/>
  <c r="AE228" i="14"/>
  <c r="AE230" i="14"/>
  <c r="AE232" i="14"/>
  <c r="AE234" i="14"/>
  <c r="AE236" i="14"/>
  <c r="AE238" i="14"/>
  <c r="AE240" i="14"/>
  <c r="AE242" i="14"/>
  <c r="AE244" i="14"/>
  <c r="AE246" i="14"/>
  <c r="AE248" i="14"/>
  <c r="AE251" i="14"/>
  <c r="AE253" i="14"/>
  <c r="AE255" i="14"/>
  <c r="AE257" i="14"/>
  <c r="AE259" i="14"/>
  <c r="AE261" i="14"/>
  <c r="AE263" i="14"/>
  <c r="AE265" i="14"/>
  <c r="AE267" i="14"/>
  <c r="AE269" i="14"/>
  <c r="AE271" i="14"/>
  <c r="AE273" i="14"/>
  <c r="AE276" i="14"/>
  <c r="AE278" i="14"/>
  <c r="AE280" i="14"/>
  <c r="AE282" i="14"/>
  <c r="AE284" i="14"/>
  <c r="AE286" i="14"/>
  <c r="AE288" i="14"/>
  <c r="AE290" i="14"/>
  <c r="AE292" i="14"/>
  <c r="AE295" i="14"/>
  <c r="AE298" i="14"/>
  <c r="AE300" i="14"/>
  <c r="AE301" i="14"/>
  <c r="AE303" i="14"/>
  <c r="AE305" i="14"/>
  <c r="AE307" i="14"/>
  <c r="AE309" i="14"/>
  <c r="AE311" i="14"/>
  <c r="AE313" i="14"/>
  <c r="AE315" i="14"/>
  <c r="AE319" i="14"/>
  <c r="AE321" i="14"/>
  <c r="AE323" i="14"/>
  <c r="AE325" i="14"/>
  <c r="AE328" i="14"/>
  <c r="AE330" i="14"/>
  <c r="AE332" i="14"/>
  <c r="AE334" i="14"/>
  <c r="AE336" i="14"/>
  <c r="AE338" i="14"/>
  <c r="AE340" i="14"/>
  <c r="AE342" i="14"/>
  <c r="AE344" i="14"/>
  <c r="AE346" i="14"/>
  <c r="AE348" i="14"/>
  <c r="AE350" i="14"/>
  <c r="AE352" i="14"/>
  <c r="AE355" i="14"/>
  <c r="AE357" i="14"/>
  <c r="AE359" i="14"/>
  <c r="AE361" i="14"/>
  <c r="AE363" i="14"/>
  <c r="AE365" i="14"/>
  <c r="AE367" i="14"/>
  <c r="AE369" i="14"/>
  <c r="AE371" i="14"/>
  <c r="AE373" i="14"/>
  <c r="AE376" i="14"/>
  <c r="AE378" i="14"/>
  <c r="AE380" i="14"/>
  <c r="AE382" i="14"/>
  <c r="AE384" i="14"/>
  <c r="AE386" i="14"/>
  <c r="AE388" i="14"/>
  <c r="AE390" i="14"/>
  <c r="AE392" i="14"/>
  <c r="AE394" i="14"/>
  <c r="AE396" i="14"/>
  <c r="AE398" i="14"/>
  <c r="AE400" i="14"/>
  <c r="AE402" i="14"/>
  <c r="AE404" i="14"/>
  <c r="AE406" i="14"/>
  <c r="AE409" i="14"/>
  <c r="AE411" i="14"/>
  <c r="AE413" i="14"/>
  <c r="AE415" i="14"/>
  <c r="AE418" i="14"/>
  <c r="AE420" i="14"/>
  <c r="AE424" i="14"/>
  <c r="AE426" i="14"/>
  <c r="AE428" i="14"/>
  <c r="AE430" i="14"/>
  <c r="AE432" i="14"/>
  <c r="AE434" i="14"/>
  <c r="AE436" i="14"/>
  <c r="AE438" i="14"/>
  <c r="AE440" i="14"/>
  <c r="AE442" i="14"/>
  <c r="AE444" i="14"/>
  <c r="AE446" i="14"/>
  <c r="AE448" i="14"/>
  <c r="AE450" i="14"/>
  <c r="AE452" i="14"/>
  <c r="AE454" i="14"/>
  <c r="AE457" i="14"/>
  <c r="AE459" i="14"/>
  <c r="AE461" i="14"/>
  <c r="AE463" i="14"/>
  <c r="AE466" i="14"/>
  <c r="AE468" i="14"/>
  <c r="AE470" i="14"/>
  <c r="AE472" i="14"/>
  <c r="AE474" i="14"/>
  <c r="AE476" i="14"/>
  <c r="AE478" i="14"/>
  <c r="AE480" i="14"/>
  <c r="AE482" i="14"/>
  <c r="AE484" i="14"/>
  <c r="AE486" i="14"/>
  <c r="AE488" i="14"/>
  <c r="AE490" i="14"/>
  <c r="AE492" i="14"/>
  <c r="AE494" i="14"/>
  <c r="AE496" i="14"/>
  <c r="AE498" i="14"/>
  <c r="AE500" i="14"/>
  <c r="AE502" i="14"/>
  <c r="AE504" i="14"/>
  <c r="AE506" i="14"/>
  <c r="AE508" i="14"/>
  <c r="AE510" i="14"/>
  <c r="AE512" i="14"/>
  <c r="AE514" i="14"/>
  <c r="AE516" i="14"/>
  <c r="AE518" i="14"/>
  <c r="AE520" i="14"/>
  <c r="AE522" i="14"/>
  <c r="AE524" i="14"/>
  <c r="AE526" i="14"/>
  <c r="AE528" i="14"/>
  <c r="AE530" i="14"/>
  <c r="AE532" i="14"/>
  <c r="AE534" i="14"/>
  <c r="AE536" i="14"/>
  <c r="AE538" i="14"/>
  <c r="AE540" i="14"/>
  <c r="AE542" i="14"/>
  <c r="AE544" i="14"/>
  <c r="AE546" i="14"/>
  <c r="AE548" i="14"/>
  <c r="AE550" i="14"/>
  <c r="AE552" i="14"/>
  <c r="AE554" i="14"/>
  <c r="AE556" i="14"/>
  <c r="AE558" i="14"/>
  <c r="AE560" i="14"/>
  <c r="AE562" i="14"/>
  <c r="AE564" i="14"/>
  <c r="AE566" i="14"/>
  <c r="AE568" i="14"/>
  <c r="AE570" i="14"/>
  <c r="AE572" i="14"/>
  <c r="AE574" i="14"/>
  <c r="AE576" i="14"/>
  <c r="AE581" i="14"/>
  <c r="AE583" i="14"/>
  <c r="AE585" i="14"/>
  <c r="AE587" i="14"/>
  <c r="AE589" i="14"/>
  <c r="AE591" i="14"/>
  <c r="AE593" i="14"/>
  <c r="AE595" i="14"/>
  <c r="AE597" i="14"/>
  <c r="AE599" i="14"/>
  <c r="AE601" i="14"/>
  <c r="AE603" i="14"/>
  <c r="AE605" i="14"/>
  <c r="AE607" i="14"/>
  <c r="AE609" i="14"/>
  <c r="AE611" i="14"/>
  <c r="AE613" i="14"/>
  <c r="AE615" i="14"/>
  <c r="AE617" i="14"/>
  <c r="AE619" i="14"/>
  <c r="AE621" i="14"/>
  <c r="AE623" i="14"/>
  <c r="AE625" i="14"/>
  <c r="AE628" i="14"/>
  <c r="AE630" i="14"/>
  <c r="AE104" i="14"/>
  <c r="AE106" i="14"/>
  <c r="AE108" i="14"/>
  <c r="AE110" i="14"/>
  <c r="AE112" i="14"/>
  <c r="AE114" i="14"/>
  <c r="AE116" i="14"/>
  <c r="AE118" i="14"/>
  <c r="AE120" i="14"/>
  <c r="AE122" i="14"/>
  <c r="AE124" i="14"/>
  <c r="AE126" i="14"/>
  <c r="AE128" i="14"/>
  <c r="AE130" i="14"/>
  <c r="AE132" i="14"/>
  <c r="AE134" i="14"/>
  <c r="AE136" i="14"/>
  <c r="AE138" i="14"/>
  <c r="AE140" i="14"/>
  <c r="AE142" i="14"/>
  <c r="AE144" i="14"/>
  <c r="AE146" i="14"/>
  <c r="AE148" i="14"/>
  <c r="AE150" i="14"/>
  <c r="AE152" i="14"/>
  <c r="AE154" i="14"/>
  <c r="AE156" i="14"/>
  <c r="AE158" i="14"/>
  <c r="AE160" i="14"/>
  <c r="AE162" i="14"/>
  <c r="AE164" i="14"/>
  <c r="AE166" i="14"/>
  <c r="AE168" i="14"/>
  <c r="AE170" i="14"/>
  <c r="AE172" i="14"/>
  <c r="AE175" i="14"/>
  <c r="AE179" i="14"/>
  <c r="AE181" i="14"/>
  <c r="AE183" i="14"/>
  <c r="AE185" i="14"/>
  <c r="AE187" i="14"/>
  <c r="AE189" i="14"/>
  <c r="AE191" i="14"/>
  <c r="AE193" i="14"/>
  <c r="AE195" i="14"/>
  <c r="AE197" i="14"/>
  <c r="AE199" i="14"/>
  <c r="AE201" i="14"/>
  <c r="AE203" i="14"/>
  <c r="AE205" i="14"/>
  <c r="AE207" i="14"/>
  <c r="AE209" i="14"/>
  <c r="AE211" i="14"/>
  <c r="AE213" i="14"/>
  <c r="AE215" i="14"/>
  <c r="AE217" i="14"/>
  <c r="AE219" i="14"/>
  <c r="AE221" i="14"/>
  <c r="AE223" i="14"/>
  <c r="AE225" i="14"/>
  <c r="AE227" i="14"/>
  <c r="AE229" i="14"/>
  <c r="AE231" i="14"/>
  <c r="AE233" i="14"/>
  <c r="AE235" i="14"/>
  <c r="AE237" i="14"/>
  <c r="AE239" i="14"/>
  <c r="AE241" i="14"/>
  <c r="AE243" i="14"/>
  <c r="AE245" i="14"/>
  <c r="AE247" i="14"/>
  <c r="AE250" i="14"/>
  <c r="AE252" i="14"/>
  <c r="AE254" i="14"/>
  <c r="AE256" i="14"/>
  <c r="AE258" i="14"/>
  <c r="AE260" i="14"/>
  <c r="AE262" i="14"/>
  <c r="AE264" i="14"/>
  <c r="AE266" i="14"/>
  <c r="AE268" i="14"/>
  <c r="AE270" i="14"/>
  <c r="AE272" i="14"/>
  <c r="AE275" i="14"/>
  <c r="AE277" i="14"/>
  <c r="AE279" i="14"/>
  <c r="AE281" i="14"/>
  <c r="AE283" i="14"/>
  <c r="AE285" i="14"/>
  <c r="AE287" i="14"/>
  <c r="AE289" i="14"/>
  <c r="AE291" i="14"/>
  <c r="AE293" i="14"/>
  <c r="AE296" i="14"/>
  <c r="AE299" i="14"/>
  <c r="AE297" i="14"/>
  <c r="AE302" i="14"/>
  <c r="AE304" i="14"/>
  <c r="AE306" i="14"/>
  <c r="AE308" i="14"/>
  <c r="AE310" i="14"/>
  <c r="AE312" i="14"/>
  <c r="AE314" i="14"/>
  <c r="AE316" i="14"/>
  <c r="AE318" i="14"/>
  <c r="AE320" i="14"/>
  <c r="AE322" i="14"/>
  <c r="AE324" i="14"/>
  <c r="AE327" i="14"/>
  <c r="AE329" i="14"/>
  <c r="AE331" i="14"/>
  <c r="AE333" i="14"/>
  <c r="AE335" i="14"/>
  <c r="AE337" i="14"/>
  <c r="AE339" i="14"/>
  <c r="AE341" i="14"/>
  <c r="AE343" i="14"/>
  <c r="AE345" i="14"/>
  <c r="AE347" i="14"/>
  <c r="AE349" i="14"/>
  <c r="AE351" i="14"/>
  <c r="AE353" i="14"/>
  <c r="AE356" i="14"/>
  <c r="AE358" i="14"/>
  <c r="AE360" i="14"/>
  <c r="AE362" i="14"/>
  <c r="AE364" i="14"/>
  <c r="AE366" i="14"/>
  <c r="AE368" i="14"/>
  <c r="AE370" i="14"/>
  <c r="AE372" i="14"/>
  <c r="AE374" i="14"/>
  <c r="AE377" i="14"/>
  <c r="AE379" i="14"/>
  <c r="AE381" i="14"/>
  <c r="AE383" i="14"/>
  <c r="AE385" i="14"/>
  <c r="AE387" i="14"/>
  <c r="AE389" i="14"/>
  <c r="AE391" i="14"/>
  <c r="AE393" i="14"/>
  <c r="AE395" i="14"/>
  <c r="AE397" i="14"/>
  <c r="AE399" i="14"/>
  <c r="AE401" i="14"/>
  <c r="AE403" i="14"/>
  <c r="AE405" i="14"/>
  <c r="AE407" i="14"/>
  <c r="AE410" i="14"/>
  <c r="AE412" i="14"/>
  <c r="AE414" i="14"/>
  <c r="AE416" i="14"/>
  <c r="AE419" i="14"/>
  <c r="AE422" i="14"/>
  <c r="AE425" i="14"/>
  <c r="AE427" i="14"/>
  <c r="AE429" i="14"/>
  <c r="AE431" i="14"/>
  <c r="AE433" i="14"/>
  <c r="AE435" i="14"/>
  <c r="AE437" i="14"/>
  <c r="AE439" i="14"/>
  <c r="AE441" i="14"/>
  <c r="AE443" i="14"/>
  <c r="AE445" i="14"/>
  <c r="AE447" i="14"/>
  <c r="AE449" i="14"/>
  <c r="AE451" i="14"/>
  <c r="AE453" i="14"/>
  <c r="AE455" i="14"/>
  <c r="AE456" i="14"/>
  <c r="AE458" i="14"/>
  <c r="AE460" i="14"/>
  <c r="AE462" i="14"/>
  <c r="AE465" i="14"/>
  <c r="AE467" i="14"/>
  <c r="AE469" i="14"/>
  <c r="AE471" i="14"/>
  <c r="AE473" i="14"/>
  <c r="AE475" i="14"/>
  <c r="AE477" i="14"/>
  <c r="AE479" i="14"/>
  <c r="AE481" i="14"/>
  <c r="AE483" i="14"/>
  <c r="AE485" i="14"/>
  <c r="AE487" i="14"/>
  <c r="AE489" i="14"/>
  <c r="AE491" i="14"/>
  <c r="AE493" i="14"/>
  <c r="AE495" i="14"/>
  <c r="AE497" i="14"/>
  <c r="AE499" i="14"/>
  <c r="AE501" i="14"/>
  <c r="AE505" i="14"/>
  <c r="AE507" i="14"/>
  <c r="AE509" i="14"/>
  <c r="AE511" i="14"/>
  <c r="AE513" i="14"/>
  <c r="AE515" i="14"/>
  <c r="AE517" i="14"/>
  <c r="AE519" i="14"/>
  <c r="AE521" i="14"/>
  <c r="AE523" i="14"/>
  <c r="AE525" i="14"/>
  <c r="AE527" i="14"/>
  <c r="AE529" i="14"/>
  <c r="AE531" i="14"/>
  <c r="AE533" i="14"/>
  <c r="AE535" i="14"/>
  <c r="AE537" i="14"/>
  <c r="AE539" i="14"/>
  <c r="AE541" i="14"/>
  <c r="AE543" i="14"/>
  <c r="AE545" i="14"/>
  <c r="AE547" i="14"/>
  <c r="AE549" i="14"/>
  <c r="AE551" i="14"/>
  <c r="AE553" i="14"/>
  <c r="AE555" i="14"/>
  <c r="AE557" i="14"/>
  <c r="AE559" i="14"/>
  <c r="AE561" i="14"/>
  <c r="AE563" i="14"/>
  <c r="AE565" i="14"/>
  <c r="AE567" i="14"/>
  <c r="AE569" i="14"/>
  <c r="AE571" i="14"/>
  <c r="AE573" i="14"/>
  <c r="AE575" i="14"/>
  <c r="AE580" i="14"/>
  <c r="AE582" i="14"/>
  <c r="AE584" i="14"/>
  <c r="AE586" i="14"/>
  <c r="AE588" i="14"/>
  <c r="AE590" i="14"/>
  <c r="AE592" i="14"/>
  <c r="AE594" i="14"/>
  <c r="AE596" i="14"/>
  <c r="AE598" i="14"/>
  <c r="AE600" i="14"/>
  <c r="AE602" i="14"/>
  <c r="AE604" i="14"/>
  <c r="AE606" i="14"/>
  <c r="AE608" i="14"/>
  <c r="AE610" i="14"/>
  <c r="AE612" i="14"/>
  <c r="AE614" i="14"/>
  <c r="AE616" i="14"/>
  <c r="AE618" i="14"/>
  <c r="AE620" i="14"/>
  <c r="AE622" i="14"/>
  <c r="AE624" i="14"/>
  <c r="AE627" i="14"/>
  <c r="AE629" i="14"/>
  <c r="E42" i="16"/>
  <c r="U14" i="16"/>
  <c r="Q12" i="10"/>
  <c r="T12" i="10"/>
  <c r="Q13" i="10"/>
  <c r="T13" i="10"/>
  <c r="Q14" i="10"/>
  <c r="T14" i="10"/>
  <c r="Q17" i="10"/>
  <c r="T17" i="10"/>
  <c r="Q18" i="10"/>
  <c r="T18" i="10"/>
  <c r="Q19" i="10"/>
  <c r="T19" i="10"/>
  <c r="Q20" i="10"/>
  <c r="T20" i="10"/>
  <c r="Q22" i="10"/>
  <c r="T22" i="10"/>
  <c r="Q24" i="10"/>
  <c r="T24" i="10"/>
  <c r="Q26" i="10"/>
  <c r="T26" i="10"/>
  <c r="Q27" i="10"/>
  <c r="T27" i="10"/>
  <c r="Q28" i="10"/>
  <c r="T28" i="10"/>
  <c r="Q29" i="10"/>
  <c r="T29" i="10"/>
  <c r="Q30" i="10"/>
  <c r="T30" i="10"/>
  <c r="Q31" i="10"/>
  <c r="T31" i="10"/>
  <c r="Q32" i="10"/>
  <c r="T32" i="10"/>
  <c r="Q33" i="10"/>
  <c r="T33" i="10"/>
  <c r="Q34" i="10"/>
  <c r="T34" i="10"/>
  <c r="Q35" i="10"/>
  <c r="T35" i="10"/>
  <c r="Q36" i="10"/>
  <c r="T36" i="10"/>
  <c r="Q37" i="10"/>
  <c r="T37" i="10"/>
  <c r="Q38" i="10"/>
  <c r="T38" i="10"/>
  <c r="Q39" i="10"/>
  <c r="T39" i="10"/>
  <c r="Q40" i="10"/>
  <c r="T40" i="10"/>
  <c r="Q41" i="10"/>
  <c r="T41" i="10"/>
  <c r="Q42" i="10"/>
  <c r="T42" i="10"/>
  <c r="Q43" i="10"/>
  <c r="T43" i="10"/>
  <c r="Q44" i="10"/>
  <c r="T44" i="10"/>
  <c r="Q45" i="10"/>
  <c r="T45" i="10"/>
  <c r="Q48" i="10"/>
  <c r="T48" i="10"/>
  <c r="Q49" i="10"/>
  <c r="T49" i="10"/>
  <c r="Q51" i="10"/>
  <c r="T51" i="10"/>
  <c r="Q52" i="10"/>
  <c r="T52" i="10"/>
  <c r="Q53" i="10"/>
  <c r="T53" i="10"/>
  <c r="Q54" i="10"/>
  <c r="T54" i="10"/>
  <c r="Q55" i="10"/>
  <c r="T55" i="10"/>
  <c r="Q56" i="10"/>
  <c r="T56" i="10"/>
  <c r="Q57" i="10"/>
  <c r="T57" i="10"/>
  <c r="Q58" i="10"/>
  <c r="T58" i="10"/>
  <c r="Q59" i="10"/>
  <c r="T59" i="10"/>
  <c r="Q60" i="10"/>
  <c r="T60" i="10"/>
  <c r="Q61" i="10"/>
  <c r="T61" i="10"/>
  <c r="Q62" i="10"/>
  <c r="T62" i="10"/>
  <c r="Q63" i="10"/>
  <c r="T63" i="10"/>
  <c r="Q64" i="10"/>
  <c r="T64" i="10"/>
  <c r="Q65" i="10"/>
  <c r="T65" i="10"/>
  <c r="Q66" i="10"/>
  <c r="T66" i="10"/>
  <c r="Q67" i="10"/>
  <c r="T67" i="10"/>
  <c r="Q68" i="10"/>
  <c r="T68" i="10"/>
  <c r="Q69" i="10"/>
  <c r="T69" i="10"/>
  <c r="Q70" i="10"/>
  <c r="T70" i="10"/>
  <c r="Q71" i="10"/>
  <c r="T71" i="10"/>
  <c r="Q72" i="10"/>
  <c r="T72" i="10"/>
  <c r="Q73" i="10"/>
  <c r="T73" i="10"/>
  <c r="Q74" i="10"/>
  <c r="T74" i="10"/>
  <c r="Q75" i="10"/>
  <c r="T75" i="10"/>
  <c r="Q76" i="10"/>
  <c r="T76" i="10"/>
  <c r="Q77" i="10"/>
  <c r="T77" i="10"/>
  <c r="Q78" i="10"/>
  <c r="T78" i="10"/>
  <c r="Q79" i="10"/>
  <c r="T79" i="10"/>
  <c r="Q80" i="10"/>
  <c r="T80" i="10"/>
  <c r="Q81" i="10"/>
  <c r="T81" i="10"/>
  <c r="Q82" i="10"/>
  <c r="T82" i="10"/>
  <c r="AZ13" i="25"/>
  <c r="BJ13" i="25" s="1"/>
  <c r="AZ14" i="25"/>
  <c r="BJ14" i="25" s="1"/>
  <c r="AZ17" i="25"/>
  <c r="BJ17" i="25" s="1"/>
  <c r="AZ18" i="25"/>
  <c r="BJ18" i="25" s="1"/>
  <c r="AZ19" i="25"/>
  <c r="BJ19" i="25" s="1"/>
  <c r="AZ20" i="25"/>
  <c r="BJ20" i="25" s="1"/>
  <c r="AZ22" i="25"/>
  <c r="BJ22" i="25" s="1"/>
  <c r="AZ24" i="25"/>
  <c r="BJ24" i="25" s="1"/>
  <c r="AZ26" i="25"/>
  <c r="BJ26" i="25" s="1"/>
  <c r="AZ27" i="25"/>
  <c r="BJ27" i="25" s="1"/>
  <c r="AZ28" i="25"/>
  <c r="BJ28" i="25" s="1"/>
  <c r="AZ29" i="25"/>
  <c r="BJ29" i="25" s="1"/>
  <c r="AZ30" i="25"/>
  <c r="BJ30" i="25" s="1"/>
  <c r="AZ31" i="25"/>
  <c r="BJ31" i="25" s="1"/>
  <c r="AZ32" i="25"/>
  <c r="BJ32" i="25" s="1"/>
  <c r="AZ33" i="25"/>
  <c r="BJ33" i="25" s="1"/>
  <c r="AZ34" i="25"/>
  <c r="BJ34" i="25" s="1"/>
  <c r="AZ35" i="25"/>
  <c r="BJ35" i="25" s="1"/>
  <c r="AZ36" i="25"/>
  <c r="BJ36" i="25" s="1"/>
  <c r="AZ37" i="25"/>
  <c r="BJ37" i="25" s="1"/>
  <c r="AZ38" i="25"/>
  <c r="BJ38" i="25" s="1"/>
  <c r="AZ39" i="25"/>
  <c r="BJ39" i="25" s="1"/>
  <c r="AZ40" i="25"/>
  <c r="BJ40" i="25" s="1"/>
  <c r="AZ41" i="25"/>
  <c r="BJ41" i="25" s="1"/>
  <c r="AZ42" i="25"/>
  <c r="BJ42" i="25" s="1"/>
  <c r="AZ43" i="25"/>
  <c r="BJ43" i="25" s="1"/>
  <c r="AZ44" i="25"/>
  <c r="BJ44" i="25" s="1"/>
  <c r="AZ45" i="25"/>
  <c r="BJ45" i="25" s="1"/>
  <c r="AZ48" i="25"/>
  <c r="BJ48" i="25" s="1"/>
  <c r="AZ49" i="25"/>
  <c r="BJ49" i="25" s="1"/>
  <c r="AZ51" i="25"/>
  <c r="BJ51" i="25" s="1"/>
  <c r="AZ52" i="25"/>
  <c r="BJ52" i="25" s="1"/>
  <c r="AZ53" i="25"/>
  <c r="BJ53" i="25" s="1"/>
  <c r="AZ54" i="25"/>
  <c r="BJ54" i="25" s="1"/>
  <c r="AZ55" i="25"/>
  <c r="BJ55" i="25" s="1"/>
  <c r="AZ56" i="25"/>
  <c r="BJ56" i="25" s="1"/>
  <c r="AZ57" i="25"/>
  <c r="BJ57" i="25" s="1"/>
  <c r="AZ58" i="25"/>
  <c r="BJ58" i="25" s="1"/>
  <c r="AZ59" i="25"/>
  <c r="BJ59" i="25" s="1"/>
  <c r="AZ60" i="25"/>
  <c r="BJ60" i="25" s="1"/>
  <c r="AZ61" i="25"/>
  <c r="BJ61" i="25" s="1"/>
  <c r="AZ62" i="25"/>
  <c r="BJ62" i="25" s="1"/>
  <c r="AZ63" i="25"/>
  <c r="BJ63" i="25" s="1"/>
  <c r="AZ64" i="25"/>
  <c r="BJ64" i="25" s="1"/>
  <c r="AZ65" i="25"/>
  <c r="BJ65" i="25" s="1"/>
  <c r="AZ66" i="25"/>
  <c r="BJ66" i="25" s="1"/>
  <c r="AZ67" i="25"/>
  <c r="BJ67" i="25" s="1"/>
  <c r="AZ68" i="25"/>
  <c r="BJ68" i="25" s="1"/>
  <c r="AZ69" i="25"/>
  <c r="BJ69" i="25" s="1"/>
  <c r="AZ70" i="25"/>
  <c r="BJ70" i="25" s="1"/>
  <c r="AZ71" i="25"/>
  <c r="BJ71" i="25" s="1"/>
  <c r="AZ72" i="25"/>
  <c r="BJ72" i="25" s="1"/>
  <c r="AZ73" i="25"/>
  <c r="BJ73" i="25" s="1"/>
  <c r="AZ74" i="25"/>
  <c r="BJ74" i="25" s="1"/>
  <c r="AZ75" i="25"/>
  <c r="BJ75" i="25" s="1"/>
  <c r="AZ76" i="25"/>
  <c r="BJ76" i="25" s="1"/>
  <c r="AZ77" i="25"/>
  <c r="BJ77" i="25" s="1"/>
  <c r="AZ78" i="25"/>
  <c r="BJ78" i="25" s="1"/>
  <c r="AZ79" i="25"/>
  <c r="BJ79" i="25" s="1"/>
  <c r="AZ80" i="25"/>
  <c r="BJ80" i="25" s="1"/>
  <c r="AZ81" i="25"/>
  <c r="BJ81" i="25" s="1"/>
  <c r="AZ82" i="25"/>
  <c r="BJ82" i="25" s="1"/>
  <c r="AZ83" i="25"/>
  <c r="BJ83" i="25" s="1"/>
  <c r="AZ84" i="25"/>
  <c r="BJ84" i="25" s="1"/>
  <c r="AZ85" i="25"/>
  <c r="BJ85" i="25" s="1"/>
  <c r="AZ86" i="25"/>
  <c r="BJ86" i="25" s="1"/>
  <c r="AZ87" i="25"/>
  <c r="BJ87" i="25" s="1"/>
  <c r="AZ88" i="25"/>
  <c r="BJ88" i="25" s="1"/>
  <c r="AZ89" i="25"/>
  <c r="BJ89" i="25" s="1"/>
  <c r="AZ90" i="25"/>
  <c r="BJ90" i="25" s="1"/>
  <c r="AZ91" i="25"/>
  <c r="BJ91" i="25" s="1"/>
  <c r="AZ92" i="25"/>
  <c r="BJ92" i="25" s="1"/>
  <c r="AZ93" i="25"/>
  <c r="BJ93" i="25" s="1"/>
  <c r="AZ95" i="25"/>
  <c r="BJ95" i="25" s="1"/>
  <c r="AZ96" i="25"/>
  <c r="BJ96" i="25" s="1"/>
  <c r="AZ97" i="25"/>
  <c r="BJ97" i="25" s="1"/>
  <c r="W12" i="22"/>
  <c r="AO12" i="22" s="1"/>
  <c r="W13" i="22"/>
  <c r="AO13" i="22" s="1"/>
  <c r="W14" i="22"/>
  <c r="AO14" i="22" s="1"/>
  <c r="W17" i="22"/>
  <c r="AO17" i="22" s="1"/>
  <c r="W18" i="22"/>
  <c r="AO18" i="22" s="1"/>
  <c r="W19" i="22"/>
  <c r="AO19" i="22" s="1"/>
  <c r="W20" i="22"/>
  <c r="AO20" i="22" s="1"/>
  <c r="W22" i="22"/>
  <c r="AO22" i="22" s="1"/>
  <c r="W24" i="22"/>
  <c r="AO24" i="22" s="1"/>
  <c r="W26" i="22"/>
  <c r="AO26" i="22" s="1"/>
  <c r="W27" i="22"/>
  <c r="AO27" i="22" s="1"/>
  <c r="W28" i="22"/>
  <c r="AO28" i="22" s="1"/>
  <c r="W29" i="22"/>
  <c r="AO29" i="22" s="1"/>
  <c r="W30" i="22"/>
  <c r="AO30" i="22" s="1"/>
  <c r="W31" i="22"/>
  <c r="AO31" i="22" s="1"/>
  <c r="W32" i="22"/>
  <c r="AO32" i="22" s="1"/>
  <c r="W33" i="22"/>
  <c r="AO33" i="22" s="1"/>
  <c r="W34" i="22"/>
  <c r="AO34" i="22" s="1"/>
  <c r="W35" i="22"/>
  <c r="AO35" i="22" s="1"/>
  <c r="W36" i="22"/>
  <c r="AO36" i="22" s="1"/>
  <c r="W37" i="22"/>
  <c r="AO37" i="22" s="1"/>
  <c r="W38" i="22"/>
  <c r="AO38" i="22" s="1"/>
  <c r="W39" i="22"/>
  <c r="AO39" i="22" s="1"/>
  <c r="W40" i="22"/>
  <c r="AO40" i="22" s="1"/>
  <c r="W41" i="22"/>
  <c r="AO41" i="22" s="1"/>
  <c r="W42" i="22"/>
  <c r="AO42" i="22" s="1"/>
  <c r="W43" i="22"/>
  <c r="AO43" i="22" s="1"/>
  <c r="W44" i="22"/>
  <c r="AO44" i="22" s="1"/>
  <c r="W45" i="22"/>
  <c r="AO45" i="22" s="1"/>
  <c r="W48" i="22"/>
  <c r="AO48" i="22" s="1"/>
  <c r="W49" i="22"/>
  <c r="AO49" i="22" s="1"/>
  <c r="W51" i="22"/>
  <c r="AO51" i="22" s="1"/>
  <c r="W52" i="22"/>
  <c r="AO52" i="22" s="1"/>
  <c r="W53" i="22"/>
  <c r="AO53" i="22" s="1"/>
  <c r="W54" i="22"/>
  <c r="AO54" i="22" s="1"/>
  <c r="W55" i="22"/>
  <c r="AO55" i="22" s="1"/>
  <c r="W56" i="22"/>
  <c r="AO56" i="22" s="1"/>
  <c r="W57" i="22"/>
  <c r="AO57" i="22" s="1"/>
  <c r="W58" i="22"/>
  <c r="AO58" i="22" s="1"/>
  <c r="W59" i="22"/>
  <c r="AO59" i="22" s="1"/>
  <c r="W60" i="22"/>
  <c r="AO60" i="22" s="1"/>
  <c r="W61" i="22"/>
  <c r="AO61" i="22" s="1"/>
  <c r="W62" i="22"/>
  <c r="AO62" i="22" s="1"/>
  <c r="W63" i="22"/>
  <c r="AO63" i="22" s="1"/>
  <c r="W64" i="22"/>
  <c r="AO64" i="22" s="1"/>
  <c r="W65" i="22"/>
  <c r="AO65" i="22" s="1"/>
  <c r="W66" i="22"/>
  <c r="AO66" i="22" s="1"/>
  <c r="W67" i="22"/>
  <c r="AO67" i="22" s="1"/>
  <c r="W68" i="22"/>
  <c r="AO68" i="22" s="1"/>
  <c r="W69" i="22"/>
  <c r="AO69" i="22" s="1"/>
  <c r="W70" i="22"/>
  <c r="AO70" i="22" s="1"/>
  <c r="W71" i="22"/>
  <c r="AO71" i="22" s="1"/>
  <c r="W72" i="22"/>
  <c r="AO72" i="22" s="1"/>
  <c r="W73" i="22"/>
  <c r="AO73" i="22" s="1"/>
  <c r="W74" i="22"/>
  <c r="AO74" i="22" s="1"/>
  <c r="W75" i="22"/>
  <c r="AO75" i="22" s="1"/>
  <c r="W76" i="22"/>
  <c r="AO76" i="22" s="1"/>
  <c r="W77" i="22"/>
  <c r="AO77" i="22" s="1"/>
  <c r="W78" i="22"/>
  <c r="AO78" i="22" s="1"/>
  <c r="W79" i="22"/>
  <c r="AO79" i="22" s="1"/>
  <c r="W80" i="22"/>
  <c r="AO80" i="22" s="1"/>
  <c r="W81" i="22"/>
  <c r="AO81" i="22" s="1"/>
  <c r="W82" i="22"/>
  <c r="AO82" i="22" s="1"/>
  <c r="W83" i="22"/>
  <c r="AO83" i="22" s="1"/>
  <c r="W84" i="22"/>
  <c r="AO84" i="22" s="1"/>
  <c r="W85" i="22"/>
  <c r="AO85" i="22" s="1"/>
  <c r="W86" i="22"/>
  <c r="AO86" i="22" s="1"/>
  <c r="W87" i="22"/>
  <c r="AO87" i="22" s="1"/>
  <c r="W88" i="22"/>
  <c r="AO88" i="22" s="1"/>
  <c r="W89" i="22"/>
  <c r="AO89" i="22" s="1"/>
  <c r="W90" i="22"/>
  <c r="AO90" i="22" s="1"/>
  <c r="W91" i="22"/>
  <c r="AO91" i="22" s="1"/>
  <c r="W92" i="22"/>
  <c r="AO92" i="22" s="1"/>
  <c r="W94" i="22"/>
  <c r="AO94" i="22" s="1"/>
  <c r="BL94" i="25" s="1"/>
  <c r="W93" i="22"/>
  <c r="AO93" i="22" s="1"/>
  <c r="W95" i="22"/>
  <c r="AO95" i="22" s="1"/>
  <c r="W96" i="22"/>
  <c r="AO96" i="22" s="1"/>
  <c r="W97" i="22"/>
  <c r="AO97" i="22" s="1"/>
  <c r="BL93" i="25" l="1"/>
  <c r="BT93" i="25" s="1"/>
  <c r="BV93" i="25" s="1"/>
  <c r="BL31" i="25"/>
  <c r="BT31" i="25" s="1"/>
  <c r="BV31" i="25" s="1"/>
  <c r="BT94" i="25"/>
  <c r="BV94" i="25" s="1"/>
  <c r="BL88" i="25"/>
  <c r="BT88" i="25" s="1"/>
  <c r="BL80" i="25"/>
  <c r="BT80" i="25" s="1"/>
  <c r="BL76" i="25"/>
  <c r="BT76" i="25" s="1"/>
  <c r="BL72" i="25"/>
  <c r="BT72" i="25" s="1"/>
  <c r="BL70" i="25"/>
  <c r="BT70" i="25" s="1"/>
  <c r="BL64" i="25"/>
  <c r="BT64" i="25" s="1"/>
  <c r="BL58" i="25"/>
  <c r="BT58" i="25" s="1"/>
  <c r="BL54" i="25"/>
  <c r="BT54" i="25" s="1"/>
  <c r="BL52" i="25"/>
  <c r="BT52" i="25" s="1"/>
  <c r="BL48" i="25"/>
  <c r="BT48" i="25" s="1"/>
  <c r="BL40" i="25"/>
  <c r="BT40" i="25" s="1"/>
  <c r="BV40" i="25" s="1"/>
  <c r="BL38" i="25"/>
  <c r="BT38" i="25" s="1"/>
  <c r="BV38" i="25" s="1"/>
  <c r="BL36" i="25"/>
  <c r="BT36" i="25" s="1"/>
  <c r="BV36" i="25" s="1"/>
  <c r="BL34" i="25"/>
  <c r="BT34" i="25" s="1"/>
  <c r="BV34" i="25" s="1"/>
  <c r="BL32" i="25"/>
  <c r="BT32" i="25" s="1"/>
  <c r="BV32" i="25" s="1"/>
  <c r="BL30" i="25"/>
  <c r="BT30" i="25" s="1"/>
  <c r="BV30" i="25" s="1"/>
  <c r="BL28" i="25"/>
  <c r="BT28" i="25" s="1"/>
  <c r="BV28" i="25" s="1"/>
  <c r="BL26" i="25"/>
  <c r="BT26" i="25" s="1"/>
  <c r="BV26" i="25" s="1"/>
  <c r="BL24" i="25"/>
  <c r="BT24" i="25" s="1"/>
  <c r="BV24" i="25" s="1"/>
  <c r="BL18" i="25"/>
  <c r="BT18" i="25" s="1"/>
  <c r="BV18" i="25" s="1"/>
  <c r="BL17" i="25"/>
  <c r="BT17" i="25" s="1"/>
  <c r="BV17" i="25" s="1"/>
  <c r="BL14" i="25"/>
  <c r="BT14" i="25" s="1"/>
  <c r="BV14" i="25" s="1"/>
  <c r="BL13" i="25"/>
  <c r="BT13" i="25" s="1"/>
  <c r="BV13" i="25" s="1"/>
  <c r="BL12" i="25"/>
  <c r="BT12" i="25" s="1"/>
  <c r="BV12" i="25" s="1"/>
  <c r="BL49" i="25"/>
  <c r="BT49" i="25" s="1"/>
  <c r="BL62" i="25"/>
  <c r="BT62" i="25" s="1"/>
  <c r="BL37" i="25"/>
  <c r="BT37" i="25" s="1"/>
  <c r="BV37" i="25" s="1"/>
  <c r="BL56" i="25"/>
  <c r="BT56" i="25" s="1"/>
  <c r="BL95" i="25"/>
  <c r="BT95" i="25" s="1"/>
  <c r="BL79" i="25"/>
  <c r="BT79" i="25" s="1"/>
  <c r="BL77" i="25"/>
  <c r="BT77" i="25" s="1"/>
  <c r="BL75" i="25"/>
  <c r="BT75" i="25" s="1"/>
  <c r="BL45" i="25"/>
  <c r="BT45" i="25" s="1"/>
  <c r="BL86" i="25"/>
  <c r="BT86" i="25" s="1"/>
  <c r="BL97" i="25"/>
  <c r="BT97" i="25" s="1"/>
  <c r="BL83" i="25"/>
  <c r="BT83" i="25" s="1"/>
  <c r="BL82" i="25"/>
  <c r="BT82" i="25" s="1"/>
  <c r="BL67" i="25"/>
  <c r="BT67" i="25" s="1"/>
  <c r="BL66" i="25"/>
  <c r="BT66" i="25" s="1"/>
  <c r="BL53" i="25"/>
  <c r="BT53" i="25" s="1"/>
  <c r="BL69" i="25"/>
  <c r="BT69" i="25" s="1"/>
  <c r="BL91" i="25"/>
  <c r="BT91" i="25" s="1"/>
  <c r="BL74" i="25"/>
  <c r="BT74" i="25" s="1"/>
  <c r="BL73" i="25"/>
  <c r="BT73" i="25" s="1"/>
  <c r="BL68" i="25"/>
  <c r="BT68" i="25" s="1"/>
  <c r="BL63" i="25"/>
  <c r="BT63" i="25" s="1"/>
  <c r="BL57" i="25"/>
  <c r="BT57" i="25" s="1"/>
  <c r="BL22" i="25"/>
  <c r="BT22" i="25" s="1"/>
  <c r="BV22" i="25" s="1"/>
  <c r="BL96" i="25"/>
  <c r="BT96" i="25" s="1"/>
  <c r="BL90" i="25"/>
  <c r="BT90" i="25" s="1"/>
  <c r="BL89" i="25"/>
  <c r="BT89" i="25" s="1"/>
  <c r="BL87" i="25"/>
  <c r="BT87" i="25" s="1"/>
  <c r="BL85" i="25"/>
  <c r="BT85" i="25" s="1"/>
  <c r="BL84" i="25"/>
  <c r="BT84" i="25" s="1"/>
  <c r="BL81" i="25"/>
  <c r="BT81" i="25" s="1"/>
  <c r="BL78" i="25"/>
  <c r="BT78" i="25" s="1"/>
  <c r="BL71" i="25"/>
  <c r="BT71" i="25" s="1"/>
  <c r="BL65" i="25"/>
  <c r="BT65" i="25" s="1"/>
  <c r="BL61" i="25"/>
  <c r="BT61" i="25" s="1"/>
  <c r="BL59" i="25"/>
  <c r="BT59" i="25" s="1"/>
  <c r="BL55" i="25"/>
  <c r="BT55" i="25" s="1"/>
  <c r="BL51" i="25"/>
  <c r="BT51" i="25" s="1"/>
  <c r="BL44" i="25"/>
  <c r="BT44" i="25" s="1"/>
  <c r="BL43" i="25"/>
  <c r="BT43" i="25" s="1"/>
  <c r="BL42" i="25"/>
  <c r="BT42" i="25" s="1"/>
  <c r="BL41" i="25"/>
  <c r="BT41" i="25" s="1"/>
  <c r="BV41" i="25" s="1"/>
  <c r="BL39" i="25"/>
  <c r="BT39" i="25" s="1"/>
  <c r="BV39" i="25" s="1"/>
  <c r="BL35" i="25"/>
  <c r="BT35" i="25" s="1"/>
  <c r="BV35" i="25" s="1"/>
  <c r="BL33" i="25"/>
  <c r="BT33" i="25" s="1"/>
  <c r="BV33" i="25" s="1"/>
  <c r="BL29" i="25"/>
  <c r="BT29" i="25" s="1"/>
  <c r="BV29" i="25" s="1"/>
  <c r="BL27" i="25"/>
  <c r="BT27" i="25" s="1"/>
  <c r="BV27" i="25" s="1"/>
  <c r="BL20" i="25"/>
  <c r="BT20" i="25" s="1"/>
  <c r="BV20" i="25" s="1"/>
  <c r="BL19" i="25"/>
  <c r="BT19" i="25" s="1"/>
  <c r="BV19" i="25" s="1"/>
  <c r="BL60" i="25"/>
  <c r="BT60" i="25" s="1"/>
  <c r="BL92" i="25" l="1"/>
  <c r="BT92" i="25" s="1"/>
  <c r="I12" i="26"/>
  <c r="M12" i="26"/>
  <c r="I13" i="26"/>
  <c r="M13" i="26"/>
  <c r="I14" i="26"/>
  <c r="M14" i="26"/>
  <c r="I17" i="26"/>
  <c r="M17" i="26"/>
  <c r="I18" i="26"/>
  <c r="M18" i="26"/>
  <c r="I19" i="26"/>
  <c r="M19" i="26"/>
  <c r="I20" i="26"/>
  <c r="M20" i="26"/>
  <c r="I22" i="26"/>
  <c r="M22" i="26"/>
  <c r="I24" i="26"/>
  <c r="M24" i="26"/>
  <c r="I26" i="26"/>
  <c r="M26" i="26"/>
  <c r="I27" i="26"/>
  <c r="M27" i="26"/>
  <c r="I28" i="26"/>
  <c r="M28" i="26"/>
  <c r="I29" i="26"/>
  <c r="M29" i="26"/>
  <c r="I30" i="26"/>
  <c r="M30" i="26"/>
  <c r="I31" i="26"/>
  <c r="M31" i="26"/>
  <c r="I32" i="26"/>
  <c r="M32" i="26"/>
  <c r="I33" i="26"/>
  <c r="M33" i="26"/>
  <c r="I34" i="26"/>
  <c r="M34" i="26"/>
  <c r="I35" i="26"/>
  <c r="M35" i="26"/>
  <c r="I36" i="26"/>
  <c r="M36" i="26"/>
  <c r="I37" i="26"/>
  <c r="M37" i="26"/>
  <c r="I38" i="26"/>
  <c r="M38" i="26"/>
  <c r="I39" i="26"/>
  <c r="M39" i="26"/>
  <c r="I40" i="26"/>
  <c r="M40" i="26"/>
  <c r="I41" i="26"/>
  <c r="M41" i="26"/>
  <c r="I42" i="26"/>
  <c r="M42" i="26"/>
  <c r="BV42" i="25"/>
  <c r="I43" i="26"/>
  <c r="M43" i="26"/>
  <c r="BV43" i="25"/>
  <c r="I44" i="26"/>
  <c r="M44" i="26"/>
  <c r="BV44" i="25"/>
  <c r="I45" i="26"/>
  <c r="M45" i="26"/>
  <c r="BV45" i="25"/>
  <c r="I48" i="26"/>
  <c r="M48" i="26"/>
  <c r="BV48" i="25"/>
  <c r="I49" i="26"/>
  <c r="M49" i="26"/>
  <c r="BV49" i="25"/>
  <c r="I51" i="26"/>
  <c r="M51" i="26"/>
  <c r="BV51" i="25"/>
  <c r="I52" i="26"/>
  <c r="M52" i="26"/>
  <c r="BV52" i="25"/>
  <c r="I53" i="26"/>
  <c r="M53" i="26"/>
  <c r="BV53" i="25"/>
  <c r="I54" i="26"/>
  <c r="M54" i="26"/>
  <c r="BV54" i="25"/>
  <c r="I55" i="26"/>
  <c r="M55" i="26"/>
  <c r="BV55" i="25"/>
  <c r="I56" i="26"/>
  <c r="M56" i="26"/>
  <c r="BV56" i="25"/>
  <c r="I57" i="26"/>
  <c r="M57" i="26"/>
  <c r="BV57" i="25"/>
  <c r="I58" i="26"/>
  <c r="M58" i="26"/>
  <c r="BV58" i="25"/>
  <c r="I59" i="26"/>
  <c r="M59" i="26"/>
  <c r="BV59" i="25"/>
  <c r="I60" i="26"/>
  <c r="M60" i="26"/>
  <c r="BV60" i="25"/>
  <c r="I61" i="26"/>
  <c r="M61" i="26"/>
  <c r="BV61" i="25"/>
  <c r="I62" i="26"/>
  <c r="M62" i="26"/>
  <c r="BV62" i="25"/>
  <c r="I63" i="26"/>
  <c r="M63" i="26"/>
  <c r="BV63" i="25"/>
  <c r="I64" i="26"/>
  <c r="M64" i="26"/>
  <c r="BV64" i="25"/>
  <c r="I65" i="26"/>
  <c r="M65" i="26"/>
  <c r="BV65" i="25"/>
  <c r="I66" i="26"/>
  <c r="M66" i="26"/>
  <c r="BV66" i="25"/>
  <c r="I67" i="26"/>
  <c r="M67" i="26"/>
  <c r="BV67" i="25"/>
  <c r="I68" i="26"/>
  <c r="M68" i="26"/>
  <c r="BV68" i="25"/>
  <c r="I69" i="26"/>
  <c r="M69" i="26"/>
  <c r="BV69" i="25"/>
  <c r="I70" i="26"/>
  <c r="M70" i="26"/>
  <c r="BV70" i="25"/>
  <c r="I71" i="26"/>
  <c r="M71" i="26"/>
  <c r="BV71" i="25"/>
  <c r="I72" i="26"/>
  <c r="M72" i="26"/>
  <c r="BV72" i="25"/>
  <c r="I73" i="26"/>
  <c r="M73" i="26"/>
  <c r="BV73" i="25"/>
  <c r="I74" i="26"/>
  <c r="M74" i="26"/>
  <c r="BV74" i="25"/>
  <c r="I75" i="26"/>
  <c r="M75" i="26"/>
  <c r="BV75" i="25"/>
  <c r="I76" i="26"/>
  <c r="M76" i="26"/>
  <c r="BV76" i="25"/>
  <c r="I77" i="26"/>
  <c r="M77" i="26"/>
  <c r="BV77" i="25"/>
  <c r="I78" i="26"/>
  <c r="M78" i="26"/>
  <c r="BV78" i="25"/>
  <c r="I79" i="26"/>
  <c r="M79" i="26"/>
  <c r="BV79" i="25"/>
  <c r="I80" i="26"/>
  <c r="M80" i="26"/>
  <c r="BV80" i="25"/>
  <c r="I81" i="26"/>
  <c r="M81" i="26"/>
  <c r="BV81" i="25"/>
  <c r="I82" i="26"/>
  <c r="M82" i="26"/>
  <c r="BV82" i="25"/>
  <c r="AZ12" i="2"/>
  <c r="BJ12" i="2" s="1"/>
  <c r="AZ13" i="2"/>
  <c r="BJ13" i="2" s="1"/>
  <c r="AZ14" i="2"/>
  <c r="BJ14" i="2" s="1"/>
  <c r="AZ17" i="2"/>
  <c r="BJ17" i="2" s="1"/>
  <c r="AZ18" i="2"/>
  <c r="BJ18" i="2" s="1"/>
  <c r="AZ19" i="2"/>
  <c r="BJ19" i="2" s="1"/>
  <c r="AZ20" i="2"/>
  <c r="BJ20" i="2" s="1"/>
  <c r="AZ22" i="2"/>
  <c r="BJ22" i="2" s="1"/>
  <c r="AZ24" i="2"/>
  <c r="BJ24" i="2" s="1"/>
  <c r="AZ26" i="2"/>
  <c r="BJ26" i="2" s="1"/>
  <c r="AZ27" i="2"/>
  <c r="BJ27" i="2" s="1"/>
  <c r="AZ28" i="2"/>
  <c r="BJ28" i="2" s="1"/>
  <c r="AZ29" i="2"/>
  <c r="BJ29" i="2" s="1"/>
  <c r="AZ30" i="2"/>
  <c r="BJ30" i="2" s="1"/>
  <c r="AZ31" i="2"/>
  <c r="BJ31" i="2" s="1"/>
  <c r="AZ32" i="2"/>
  <c r="BJ32" i="2" s="1"/>
  <c r="AZ33" i="2"/>
  <c r="BJ33" i="2" s="1"/>
  <c r="AZ34" i="2"/>
  <c r="BJ34" i="2" s="1"/>
  <c r="AZ35" i="2"/>
  <c r="BJ35" i="2" s="1"/>
  <c r="AZ36" i="2"/>
  <c r="BJ36" i="2" s="1"/>
  <c r="AZ37" i="2"/>
  <c r="BJ37" i="2" s="1"/>
  <c r="AZ38" i="2"/>
  <c r="BJ38" i="2" s="1"/>
  <c r="AZ39" i="2"/>
  <c r="BJ39" i="2" s="1"/>
  <c r="AZ40" i="2"/>
  <c r="BJ40" i="2" s="1"/>
  <c r="AZ41" i="2"/>
  <c r="BJ41" i="2" s="1"/>
  <c r="AZ42" i="2"/>
  <c r="BJ42" i="2" s="1"/>
  <c r="AZ43" i="2"/>
  <c r="BJ43" i="2" s="1"/>
  <c r="AZ44" i="2"/>
  <c r="BJ44" i="2" s="1"/>
  <c r="AZ45" i="2"/>
  <c r="BJ45" i="2" s="1"/>
  <c r="AZ48" i="2"/>
  <c r="BJ48" i="2" s="1"/>
  <c r="AZ49" i="2"/>
  <c r="BJ49" i="2" s="1"/>
  <c r="AZ51" i="2"/>
  <c r="BJ51" i="2" s="1"/>
  <c r="AZ52" i="2"/>
  <c r="BJ52" i="2" s="1"/>
  <c r="AZ53" i="2"/>
  <c r="BJ53" i="2" s="1"/>
  <c r="AZ54" i="2"/>
  <c r="BJ54" i="2" s="1"/>
  <c r="AZ55" i="2"/>
  <c r="BJ55" i="2" s="1"/>
  <c r="AZ56" i="2"/>
  <c r="BJ56" i="2" s="1"/>
  <c r="AZ57" i="2"/>
  <c r="BJ57" i="2" s="1"/>
  <c r="AZ58" i="2"/>
  <c r="BJ58" i="2" s="1"/>
  <c r="AZ59" i="2"/>
  <c r="BJ59" i="2" s="1"/>
  <c r="AZ60" i="2"/>
  <c r="AZ61" i="2"/>
  <c r="AZ62" i="2"/>
  <c r="BJ62" i="2" s="1"/>
  <c r="AZ63" i="2"/>
  <c r="BJ63" i="2" s="1"/>
  <c r="AZ64" i="2"/>
  <c r="BJ64" i="2" s="1"/>
  <c r="AZ66" i="2"/>
  <c r="BJ66" i="2" s="1"/>
  <c r="AZ67" i="2"/>
  <c r="BJ67" i="2" s="1"/>
  <c r="AZ68" i="2"/>
  <c r="BJ68" i="2" s="1"/>
  <c r="AZ69" i="2"/>
  <c r="BJ69" i="2" s="1"/>
  <c r="AZ70" i="2"/>
  <c r="BJ70" i="2" s="1"/>
  <c r="AZ71" i="2"/>
  <c r="BJ71" i="2" s="1"/>
  <c r="AZ72" i="2"/>
  <c r="BJ72" i="2" s="1"/>
  <c r="AZ73" i="2"/>
  <c r="BJ73" i="2" s="1"/>
  <c r="AZ74" i="2"/>
  <c r="BJ74" i="2" s="1"/>
  <c r="AZ75" i="2"/>
  <c r="BJ75" i="2" s="1"/>
  <c r="AZ76" i="2"/>
  <c r="BJ76" i="2" s="1"/>
  <c r="AZ77" i="2"/>
  <c r="BJ77" i="2" s="1"/>
  <c r="AZ78" i="2"/>
  <c r="BJ78" i="2" s="1"/>
  <c r="AZ79" i="2"/>
  <c r="BJ79" i="2" s="1"/>
  <c r="AZ80" i="2"/>
  <c r="BJ80" i="2" s="1"/>
  <c r="AZ81" i="2"/>
  <c r="BJ81" i="2" s="1"/>
  <c r="AZ82" i="2"/>
  <c r="BJ82" i="2" s="1"/>
  <c r="AZ83" i="2"/>
  <c r="BJ83" i="2" s="1"/>
  <c r="AZ84" i="2"/>
  <c r="BJ84" i="2" s="1"/>
  <c r="AZ85" i="2"/>
  <c r="BJ85" i="2" s="1"/>
  <c r="AZ86" i="2"/>
  <c r="BJ86" i="2" s="1"/>
  <c r="AZ87" i="2"/>
  <c r="BJ87" i="2" s="1"/>
  <c r="AZ88" i="2"/>
  <c r="BJ88" i="2" s="1"/>
  <c r="AZ89" i="2"/>
  <c r="BJ89" i="2" s="1"/>
  <c r="AZ90" i="2"/>
  <c r="BJ90" i="2" s="1"/>
  <c r="AZ91" i="2"/>
  <c r="BJ91" i="2" s="1"/>
  <c r="AZ92" i="2"/>
  <c r="BJ92" i="2" s="1"/>
  <c r="AZ93" i="2"/>
  <c r="BJ93" i="2" s="1"/>
  <c r="AZ95" i="2"/>
  <c r="BJ95" i="2" s="1"/>
  <c r="AZ96" i="2"/>
  <c r="BJ96" i="2" s="1"/>
  <c r="AZ97" i="2"/>
  <c r="BJ97" i="2" s="1"/>
  <c r="AZ98" i="2"/>
  <c r="BJ98" i="2" s="1"/>
  <c r="AZ99" i="2"/>
  <c r="BJ99" i="2" s="1"/>
  <c r="W12" i="1"/>
  <c r="AI12" i="1"/>
  <c r="W13" i="1"/>
  <c r="AI13" i="1"/>
  <c r="W14" i="1"/>
  <c r="AI14" i="1"/>
  <c r="W17" i="1"/>
  <c r="AI17" i="1"/>
  <c r="W18" i="1"/>
  <c r="AI18" i="1"/>
  <c r="W19" i="1"/>
  <c r="AI19" i="1"/>
  <c r="W20" i="1"/>
  <c r="AI20" i="1"/>
  <c r="W22" i="1"/>
  <c r="AI22" i="1"/>
  <c r="W24" i="1"/>
  <c r="AI24" i="1"/>
  <c r="W26" i="1"/>
  <c r="AI26" i="1"/>
  <c r="W27" i="1"/>
  <c r="AI27" i="1"/>
  <c r="W28" i="1"/>
  <c r="AI28" i="1"/>
  <c r="W29" i="1"/>
  <c r="AI29" i="1"/>
  <c r="W30" i="1"/>
  <c r="AI30" i="1"/>
  <c r="W31" i="1"/>
  <c r="AI31" i="1"/>
  <c r="W32" i="1"/>
  <c r="AI32" i="1"/>
  <c r="W33" i="1"/>
  <c r="AI33" i="1"/>
  <c r="W34" i="1"/>
  <c r="AI34" i="1"/>
  <c r="W35" i="1"/>
  <c r="AI35" i="1"/>
  <c r="W36" i="1"/>
  <c r="AI36" i="1"/>
  <c r="W37" i="1"/>
  <c r="AI37" i="1"/>
  <c r="W38" i="1"/>
  <c r="AI38" i="1"/>
  <c r="W39" i="1"/>
  <c r="AI39" i="1"/>
  <c r="W40" i="1"/>
  <c r="AI40" i="1"/>
  <c r="W41" i="1"/>
  <c r="AI41" i="1"/>
  <c r="W42" i="1"/>
  <c r="AI42" i="1"/>
  <c r="W43" i="1"/>
  <c r="AI43" i="1"/>
  <c r="W44" i="1"/>
  <c r="AI44" i="1"/>
  <c r="W45" i="1"/>
  <c r="AI45" i="1"/>
  <c r="W48" i="1"/>
  <c r="AI48" i="1"/>
  <c r="W49" i="1"/>
  <c r="AI49" i="1"/>
  <c r="W51" i="1"/>
  <c r="AI51" i="1"/>
  <c r="W52" i="1"/>
  <c r="AI52" i="1"/>
  <c r="W53" i="1"/>
  <c r="AI53" i="1"/>
  <c r="W54" i="1"/>
  <c r="AI54" i="1"/>
  <c r="W55" i="1"/>
  <c r="AI55" i="1"/>
  <c r="W56" i="1"/>
  <c r="AI56" i="1"/>
  <c r="W57" i="1"/>
  <c r="AI57" i="1"/>
  <c r="W58" i="1"/>
  <c r="AI58" i="1"/>
  <c r="W59" i="1"/>
  <c r="AI59" i="1"/>
  <c r="W60" i="1"/>
  <c r="AI60" i="1"/>
  <c r="W61" i="1"/>
  <c r="AI61" i="1"/>
  <c r="W62" i="1"/>
  <c r="AI62" i="1"/>
  <c r="W63" i="1"/>
  <c r="AI63" i="1"/>
  <c r="W64" i="1"/>
  <c r="AI64" i="1"/>
  <c r="W66" i="1"/>
  <c r="AI66" i="1"/>
  <c r="W67" i="1"/>
  <c r="AI67" i="1"/>
  <c r="W68" i="1"/>
  <c r="AI68" i="1"/>
  <c r="W69" i="1"/>
  <c r="AI69" i="1"/>
  <c r="W70" i="1"/>
  <c r="AI70" i="1"/>
  <c r="W71" i="1"/>
  <c r="AI71" i="1"/>
  <c r="W72" i="1"/>
  <c r="AI72" i="1"/>
  <c r="W73" i="1"/>
  <c r="AI73" i="1"/>
  <c r="W74" i="1"/>
  <c r="AI74" i="1"/>
  <c r="W75" i="1"/>
  <c r="AI75" i="1"/>
  <c r="W76" i="1"/>
  <c r="AI76" i="1"/>
  <c r="W77" i="1"/>
  <c r="AI77" i="1"/>
  <c r="W78" i="1"/>
  <c r="AI78" i="1"/>
  <c r="W79" i="1"/>
  <c r="AI79" i="1"/>
  <c r="W80" i="1"/>
  <c r="AI80" i="1"/>
  <c r="W81" i="1"/>
  <c r="AI81" i="1"/>
  <c r="W82" i="1"/>
  <c r="AI82" i="1"/>
  <c r="W83" i="1"/>
  <c r="AI83" i="1"/>
  <c r="W84" i="1"/>
  <c r="AI84" i="1"/>
  <c r="W85" i="1"/>
  <c r="AI85" i="1"/>
  <c r="W86" i="1"/>
  <c r="AI86" i="1"/>
  <c r="W87" i="1"/>
  <c r="AI87" i="1"/>
  <c r="W88" i="1"/>
  <c r="AI88" i="1"/>
  <c r="W89" i="1"/>
  <c r="AI89" i="1"/>
  <c r="W90" i="1"/>
  <c r="AI90" i="1"/>
  <c r="W91" i="1"/>
  <c r="AI91" i="1"/>
  <c r="I12" i="14"/>
  <c r="M12" i="14"/>
  <c r="I13" i="14"/>
  <c r="AE13" i="14" s="1"/>
  <c r="AW12" i="17"/>
  <c r="AW13" i="17"/>
  <c r="AW14" i="17"/>
  <c r="AW17" i="17"/>
  <c r="AW18" i="17"/>
  <c r="AW19" i="17"/>
  <c r="AW20" i="17"/>
  <c r="AW22" i="17"/>
  <c r="AW24" i="17"/>
  <c r="AW26" i="17"/>
  <c r="AW27" i="17"/>
  <c r="AW28" i="17"/>
  <c r="AW29" i="17"/>
  <c r="AW30" i="17"/>
  <c r="AW31" i="17"/>
  <c r="AW32" i="17"/>
  <c r="AW33" i="17"/>
  <c r="AW34" i="17"/>
  <c r="AW35" i="17"/>
  <c r="AW36" i="17"/>
  <c r="AW37" i="17"/>
  <c r="AW38" i="17"/>
  <c r="AW39" i="17"/>
  <c r="AW40" i="17"/>
  <c r="AW41" i="17"/>
  <c r="AW42" i="17"/>
  <c r="AW43" i="17"/>
  <c r="AW44" i="17"/>
  <c r="AW45" i="17"/>
  <c r="AW48" i="17"/>
  <c r="AW49" i="17"/>
  <c r="AW51" i="17"/>
  <c r="AW52" i="17"/>
  <c r="AW53" i="17"/>
  <c r="AW54" i="17"/>
  <c r="AW55" i="17"/>
  <c r="AW56" i="17"/>
  <c r="AW57" i="17"/>
  <c r="AW58" i="17"/>
  <c r="AW59" i="17"/>
  <c r="AW60" i="17"/>
  <c r="AW61" i="17"/>
  <c r="AW62" i="17"/>
  <c r="AW63" i="17"/>
  <c r="AW64" i="17"/>
  <c r="AW65" i="17"/>
  <c r="AW66" i="17"/>
  <c r="AW67" i="17"/>
  <c r="AW68" i="17"/>
  <c r="AW69" i="17"/>
  <c r="AW70" i="17"/>
  <c r="AW71" i="17"/>
  <c r="AW72" i="17"/>
  <c r="AW73" i="17"/>
  <c r="AW74" i="17"/>
  <c r="AW75" i="17"/>
  <c r="AW76" i="17"/>
  <c r="AW77" i="17"/>
  <c r="AW78" i="17"/>
  <c r="AW79" i="17"/>
  <c r="AW80" i="17"/>
  <c r="AW81" i="17"/>
  <c r="AW82" i="17"/>
  <c r="AW83" i="17"/>
  <c r="AW84" i="17"/>
  <c r="AW85" i="17"/>
  <c r="AW86" i="17"/>
  <c r="AW87" i="17"/>
  <c r="AW88" i="17"/>
  <c r="K12" i="15"/>
  <c r="AE12" i="15"/>
  <c r="K13" i="15"/>
  <c r="AE13" i="15"/>
  <c r="K14" i="15"/>
  <c r="AE14" i="15"/>
  <c r="K17" i="15"/>
  <c r="AE17" i="15"/>
  <c r="K18" i="15"/>
  <c r="AE18" i="15"/>
  <c r="K19" i="15"/>
  <c r="AE19" i="15"/>
  <c r="K20" i="15"/>
  <c r="AE20" i="15"/>
  <c r="K22" i="15"/>
  <c r="AE22" i="15"/>
  <c r="K24" i="15"/>
  <c r="AE24" i="15"/>
  <c r="K26" i="15"/>
  <c r="AE26" i="15"/>
  <c r="K27" i="15"/>
  <c r="AE27" i="15"/>
  <c r="K28" i="15"/>
  <c r="AE28" i="15"/>
  <c r="K29" i="15"/>
  <c r="AE29" i="15"/>
  <c r="K30" i="15"/>
  <c r="AE30" i="15"/>
  <c r="K31" i="15"/>
  <c r="AE31" i="15"/>
  <c r="K32" i="15"/>
  <c r="AE32" i="15"/>
  <c r="K33" i="15"/>
  <c r="AE33" i="15"/>
  <c r="K34" i="15"/>
  <c r="AE34" i="15"/>
  <c r="K35" i="15"/>
  <c r="AE35" i="15"/>
  <c r="K36" i="15"/>
  <c r="AE36" i="15"/>
  <c r="K37" i="15"/>
  <c r="AE37" i="15"/>
  <c r="K38" i="15"/>
  <c r="AE38" i="15"/>
  <c r="K39" i="15"/>
  <c r="AE39" i="15"/>
  <c r="K40" i="15"/>
  <c r="AE40" i="15"/>
  <c r="K41" i="15"/>
  <c r="AE41" i="15"/>
  <c r="K42" i="15"/>
  <c r="AE42" i="15"/>
  <c r="K43" i="15"/>
  <c r="AE43" i="15"/>
  <c r="K44" i="15"/>
  <c r="AE44" i="15"/>
  <c r="K45" i="15"/>
  <c r="AE45" i="15"/>
  <c r="K48" i="15"/>
  <c r="AE48" i="15"/>
  <c r="K49" i="15"/>
  <c r="AE49" i="15"/>
  <c r="K51" i="15"/>
  <c r="AE51" i="15"/>
  <c r="K52" i="15"/>
  <c r="AE52" i="15"/>
  <c r="K53" i="15"/>
  <c r="AE53" i="15"/>
  <c r="K54" i="15"/>
  <c r="AE54" i="15"/>
  <c r="K55" i="15"/>
  <c r="AE55" i="15"/>
  <c r="K56" i="15"/>
  <c r="AE56" i="15"/>
  <c r="K57" i="15"/>
  <c r="AE57" i="15"/>
  <c r="K58" i="15"/>
  <c r="AE58" i="15"/>
  <c r="K59" i="15"/>
  <c r="AE59" i="15"/>
  <c r="K60" i="15"/>
  <c r="AE60" i="15"/>
  <c r="K61" i="15"/>
  <c r="AE61" i="15"/>
  <c r="K62" i="15"/>
  <c r="AE62" i="15"/>
  <c r="K63" i="15"/>
  <c r="AE63" i="15"/>
  <c r="K64" i="15"/>
  <c r="AE64" i="15"/>
  <c r="K65" i="15"/>
  <c r="AE65" i="15"/>
  <c r="K66" i="15"/>
  <c r="AE66" i="15"/>
  <c r="K67" i="15"/>
  <c r="AE67" i="15"/>
  <c r="K68" i="15"/>
  <c r="AE68" i="15"/>
  <c r="K69" i="15"/>
  <c r="AE69" i="15"/>
  <c r="K70" i="15"/>
  <c r="AE70" i="15"/>
  <c r="K71" i="15"/>
  <c r="AE71" i="15"/>
  <c r="K72" i="15"/>
  <c r="AE72" i="15"/>
  <c r="K73" i="15"/>
  <c r="AE73" i="15"/>
  <c r="K74" i="15"/>
  <c r="AE74" i="15"/>
  <c r="K75" i="15"/>
  <c r="AE75" i="15"/>
  <c r="K76" i="15"/>
  <c r="AE76" i="15"/>
  <c r="K77" i="15"/>
  <c r="AE77" i="15"/>
  <c r="K78" i="15"/>
  <c r="AE78" i="15"/>
  <c r="K79" i="15"/>
  <c r="AE79" i="15"/>
  <c r="K80" i="15"/>
  <c r="AE80" i="15"/>
  <c r="K81" i="15"/>
  <c r="AE81" i="15"/>
  <c r="K82" i="15"/>
  <c r="AE82" i="15"/>
  <c r="K83" i="15"/>
  <c r="AE83" i="15"/>
  <c r="K84" i="15"/>
  <c r="AE84" i="15"/>
  <c r="K85" i="15"/>
  <c r="AE85" i="15"/>
  <c r="K86" i="15"/>
  <c r="AE86" i="15"/>
  <c r="K87" i="15"/>
  <c r="AE87" i="15"/>
  <c r="U12" i="16"/>
  <c r="Z12" i="16"/>
  <c r="U13" i="16"/>
  <c r="Z13" i="16"/>
  <c r="Z14" i="16"/>
  <c r="U15" i="16"/>
  <c r="Z15" i="16"/>
  <c r="U17" i="16"/>
  <c r="Z17" i="16"/>
  <c r="U18" i="16"/>
  <c r="Z18" i="16"/>
  <c r="U19" i="16"/>
  <c r="Z19" i="16"/>
  <c r="U20" i="16"/>
  <c r="Z20" i="16"/>
  <c r="U21" i="16"/>
  <c r="Z21" i="16"/>
  <c r="U22" i="16"/>
  <c r="Z22" i="16"/>
  <c r="U24" i="16"/>
  <c r="Z24" i="16"/>
  <c r="U25" i="16"/>
  <c r="Z25" i="16"/>
  <c r="U26" i="16"/>
  <c r="Z26" i="16"/>
  <c r="U27" i="16"/>
  <c r="Z27" i="16"/>
  <c r="U28" i="16"/>
  <c r="Z28" i="16"/>
  <c r="U29" i="16"/>
  <c r="Z29" i="16"/>
  <c r="U30" i="16"/>
  <c r="Z30" i="16"/>
  <c r="U31" i="16"/>
  <c r="Z31" i="16"/>
  <c r="U32" i="16"/>
  <c r="Z32" i="16"/>
  <c r="U33" i="16"/>
  <c r="Z33" i="16"/>
  <c r="U34" i="16"/>
  <c r="Z34" i="16"/>
  <c r="U35" i="16"/>
  <c r="Z35" i="16"/>
  <c r="E36" i="16"/>
  <c r="U36" i="16"/>
  <c r="Z36" i="16"/>
  <c r="E37" i="16"/>
  <c r="U37" i="16"/>
  <c r="Z37" i="16"/>
  <c r="E38" i="16"/>
  <c r="U38" i="16"/>
  <c r="Z38" i="16"/>
  <c r="E39" i="16"/>
  <c r="U39" i="16"/>
  <c r="Z39" i="16"/>
  <c r="E40" i="16"/>
  <c r="U40" i="16"/>
  <c r="Z40" i="16"/>
  <c r="E41" i="16"/>
  <c r="U41" i="16"/>
  <c r="Z41" i="16"/>
  <c r="U42" i="16"/>
  <c r="AB42" i="16" s="1"/>
  <c r="Z42" i="16"/>
  <c r="E43" i="16"/>
  <c r="U43" i="16"/>
  <c r="Z43" i="16"/>
  <c r="E44" i="16"/>
  <c r="U44" i="16"/>
  <c r="Z44" i="16"/>
  <c r="E45" i="16"/>
  <c r="U45" i="16"/>
  <c r="Z45" i="16"/>
  <c r="E48" i="16"/>
  <c r="U48" i="16"/>
  <c r="Z48" i="16"/>
  <c r="E49" i="16"/>
  <c r="U49" i="16"/>
  <c r="Z49" i="16"/>
  <c r="E51" i="16"/>
  <c r="U51" i="16"/>
  <c r="Z51" i="16"/>
  <c r="E52" i="16"/>
  <c r="U52" i="16"/>
  <c r="Z52" i="16"/>
  <c r="E53" i="16"/>
  <c r="U53" i="16"/>
  <c r="Z53" i="16"/>
  <c r="E54" i="16"/>
  <c r="U54" i="16"/>
  <c r="Z54" i="16"/>
  <c r="E55" i="16"/>
  <c r="U55" i="16"/>
  <c r="Z55" i="16"/>
  <c r="E56" i="16"/>
  <c r="U56" i="16"/>
  <c r="Z56" i="16"/>
  <c r="E57" i="16"/>
  <c r="U57" i="16"/>
  <c r="Z57" i="16"/>
  <c r="E58" i="16"/>
  <c r="U58" i="16"/>
  <c r="Z58" i="16"/>
  <c r="E59" i="16"/>
  <c r="U59" i="16"/>
  <c r="Z59" i="16"/>
  <c r="E60" i="16"/>
  <c r="U60" i="16"/>
  <c r="Z60" i="16"/>
  <c r="E61" i="16"/>
  <c r="U61" i="16"/>
  <c r="Z61" i="16"/>
  <c r="E62" i="16"/>
  <c r="U62" i="16"/>
  <c r="Z62" i="16"/>
  <c r="E63" i="16"/>
  <c r="U63" i="16"/>
  <c r="Z63" i="16"/>
  <c r="E64" i="16"/>
  <c r="U64" i="16"/>
  <c r="Z64" i="16"/>
  <c r="E65" i="16"/>
  <c r="U65" i="16"/>
  <c r="Z65" i="16"/>
  <c r="E66" i="16"/>
  <c r="U66" i="16"/>
  <c r="Z66" i="16"/>
  <c r="E67" i="16"/>
  <c r="U67" i="16"/>
  <c r="Z67" i="16"/>
  <c r="E68" i="16"/>
  <c r="U68" i="16"/>
  <c r="Z68" i="16"/>
  <c r="E69" i="16"/>
  <c r="U69" i="16"/>
  <c r="Z69" i="16"/>
  <c r="E70" i="16"/>
  <c r="U70" i="16"/>
  <c r="Z70" i="16"/>
  <c r="E71" i="16"/>
  <c r="U71" i="16"/>
  <c r="Z71" i="16"/>
  <c r="E72" i="16"/>
  <c r="U72" i="16"/>
  <c r="Z72" i="16"/>
  <c r="E73" i="16"/>
  <c r="U73" i="16"/>
  <c r="Z73" i="16"/>
  <c r="E74" i="16"/>
  <c r="U74" i="16"/>
  <c r="Z74" i="16"/>
  <c r="E75" i="16"/>
  <c r="U75" i="16"/>
  <c r="Z75" i="16"/>
  <c r="E76" i="16"/>
  <c r="U76" i="16"/>
  <c r="Z76" i="16"/>
  <c r="E77" i="16"/>
  <c r="U77" i="16"/>
  <c r="Z77" i="16"/>
  <c r="E78" i="16"/>
  <c r="U78" i="16"/>
  <c r="Z78" i="16"/>
  <c r="E79" i="16"/>
  <c r="U79" i="16"/>
  <c r="Z79" i="16"/>
  <c r="E80" i="16"/>
  <c r="U80" i="16"/>
  <c r="Z80" i="16"/>
  <c r="E81" i="16"/>
  <c r="U81" i="16"/>
  <c r="Z81" i="16"/>
  <c r="E82" i="16"/>
  <c r="U82" i="16"/>
  <c r="Z82" i="16"/>
  <c r="AE82" i="26" l="1"/>
  <c r="AE80" i="26"/>
  <c r="AE78" i="26"/>
  <c r="AE76" i="26"/>
  <c r="AE74" i="26"/>
  <c r="AE72" i="26"/>
  <c r="AE70" i="26"/>
  <c r="AE68" i="26"/>
  <c r="AE66" i="26"/>
  <c r="AE64" i="26"/>
  <c r="AE62" i="26"/>
  <c r="AE60" i="26"/>
  <c r="AE58" i="26"/>
  <c r="AE56" i="26"/>
  <c r="AE54" i="26"/>
  <c r="AE52" i="26"/>
  <c r="AE49" i="26"/>
  <c r="AE45" i="26"/>
  <c r="AE43" i="26"/>
  <c r="AE41" i="26"/>
  <c r="AE39" i="26"/>
  <c r="AE37" i="26"/>
  <c r="AE35" i="26"/>
  <c r="AE33" i="26"/>
  <c r="AE31" i="26"/>
  <c r="AE29" i="26"/>
  <c r="AE27" i="26"/>
  <c r="AE22" i="26"/>
  <c r="AE19" i="26"/>
  <c r="AE17" i="26"/>
  <c r="AE14" i="26"/>
  <c r="AE81" i="26"/>
  <c r="AE79" i="26"/>
  <c r="AE77" i="26"/>
  <c r="AE75" i="26"/>
  <c r="AE73" i="26"/>
  <c r="AE71" i="26"/>
  <c r="AE69" i="26"/>
  <c r="AE67" i="26"/>
  <c r="AE65" i="26"/>
  <c r="AE63" i="26"/>
  <c r="AE61" i="26"/>
  <c r="AE59" i="26"/>
  <c r="AE57" i="26"/>
  <c r="AE55" i="26"/>
  <c r="AE53" i="26"/>
  <c r="AE51" i="26"/>
  <c r="AE48" i="26"/>
  <c r="AE44" i="26"/>
  <c r="AE42" i="26"/>
  <c r="AE40" i="26"/>
  <c r="AE38" i="26"/>
  <c r="AE36" i="26"/>
  <c r="AE34" i="26"/>
  <c r="AE32" i="26"/>
  <c r="AE30" i="26"/>
  <c r="AE28" i="26"/>
  <c r="AE26" i="26"/>
  <c r="AE24" i="26"/>
  <c r="AE20" i="26"/>
  <c r="AE18" i="26"/>
  <c r="AE13" i="26"/>
  <c r="AE12" i="26"/>
  <c r="AE12" i="14"/>
  <c r="AK32" i="1"/>
  <c r="BL32" i="2" s="1"/>
  <c r="BT32" i="2" s="1"/>
  <c r="BV32" i="2" s="1"/>
  <c r="AK62" i="1"/>
  <c r="BL62" i="2" s="1"/>
  <c r="BT62" i="2" s="1"/>
  <c r="BV62" i="2" s="1"/>
  <c r="AK44" i="1"/>
  <c r="BL44" i="2" s="1"/>
  <c r="BT44" i="2" s="1"/>
  <c r="BV44" i="2" s="1"/>
  <c r="AK40" i="1"/>
  <c r="BL40" i="2" s="1"/>
  <c r="BT40" i="2" s="1"/>
  <c r="BV40" i="2" s="1"/>
  <c r="AK36" i="1"/>
  <c r="BL36" i="2" s="1"/>
  <c r="BT36" i="2" s="1"/>
  <c r="BV36" i="2" s="1"/>
  <c r="AK34" i="1"/>
  <c r="BL34" i="2" s="1"/>
  <c r="BT34" i="2" s="1"/>
  <c r="BV34" i="2" s="1"/>
  <c r="AK33" i="1"/>
  <c r="BL33" i="2" s="1"/>
  <c r="BT33" i="2" s="1"/>
  <c r="BV33" i="2" s="1"/>
  <c r="AK18" i="1"/>
  <c r="BL18" i="2" s="1"/>
  <c r="BT18" i="2" s="1"/>
  <c r="BV18" i="2" s="1"/>
  <c r="AK13" i="1"/>
  <c r="BL13" i="2" s="1"/>
  <c r="BT13" i="2" s="1"/>
  <c r="BV13" i="2" s="1"/>
  <c r="AK12" i="1"/>
  <c r="BL12" i="2" s="1"/>
  <c r="BT12" i="2" s="1"/>
  <c r="BV12" i="2" s="1"/>
  <c r="AK71" i="1"/>
  <c r="AK64" i="1"/>
  <c r="BT65" i="2" s="1"/>
  <c r="BV65" i="2" s="1"/>
  <c r="AK63" i="1"/>
  <c r="BL63" i="2" s="1"/>
  <c r="BT63" i="2" s="1"/>
  <c r="BV63" i="2" s="1"/>
  <c r="AK86" i="1"/>
  <c r="AK83" i="1"/>
  <c r="BL83" i="2" s="1"/>
  <c r="AK74" i="1"/>
  <c r="AK73" i="1"/>
  <c r="AK72" i="1"/>
  <c r="BL72" i="2" s="1"/>
  <c r="BT72" i="2" s="1"/>
  <c r="BV72" i="2" s="1"/>
  <c r="AK52" i="1"/>
  <c r="BL52" i="2" s="1"/>
  <c r="BT52" i="2" s="1"/>
  <c r="BV52" i="2" s="1"/>
  <c r="AK48" i="1"/>
  <c r="BL48" i="2" s="1"/>
  <c r="BT48" i="2" s="1"/>
  <c r="BV48" i="2" s="1"/>
  <c r="AK45" i="1"/>
  <c r="BL45" i="2" s="1"/>
  <c r="BT45" i="2" s="1"/>
  <c r="BV45" i="2" s="1"/>
  <c r="AK89" i="1"/>
  <c r="BL89" i="2" s="1"/>
  <c r="AK88" i="1"/>
  <c r="BL88" i="2" s="1"/>
  <c r="BT88" i="2" s="1"/>
  <c r="BV88" i="2" s="1"/>
  <c r="AK87" i="1"/>
  <c r="AK68" i="1"/>
  <c r="BL68" i="2" s="1"/>
  <c r="BT68" i="2" s="1"/>
  <c r="BV68" i="2" s="1"/>
  <c r="AK67" i="1"/>
  <c r="BL67" i="2" s="1"/>
  <c r="AK54" i="1"/>
  <c r="BL54" i="2" s="1"/>
  <c r="BT54" i="2" s="1"/>
  <c r="BV54" i="2" s="1"/>
  <c r="AK53" i="1"/>
  <c r="BL53" i="2" s="1"/>
  <c r="BT53" i="2" s="1"/>
  <c r="BV53" i="2" s="1"/>
  <c r="AK42" i="1"/>
  <c r="BL42" i="2" s="1"/>
  <c r="BT42" i="2" s="1"/>
  <c r="BV42" i="2" s="1"/>
  <c r="AK41" i="1"/>
  <c r="BL41" i="2" s="1"/>
  <c r="BT41" i="2" s="1"/>
  <c r="BV41" i="2" s="1"/>
  <c r="AK30" i="1"/>
  <c r="BL30" i="2" s="1"/>
  <c r="BT30" i="2" s="1"/>
  <c r="BV30" i="2" s="1"/>
  <c r="AK26" i="1"/>
  <c r="BL26" i="2" s="1"/>
  <c r="BT26" i="2" s="1"/>
  <c r="BV26" i="2" s="1"/>
  <c r="AK20" i="1"/>
  <c r="BL20" i="2" s="1"/>
  <c r="BT20" i="2" s="1"/>
  <c r="BV20" i="2" s="1"/>
  <c r="AK19" i="1"/>
  <c r="BL19" i="2" s="1"/>
  <c r="BT19" i="2" s="1"/>
  <c r="BV19" i="2" s="1"/>
  <c r="AK91" i="1"/>
  <c r="BL91" i="2" s="1"/>
  <c r="BT91" i="2" s="1"/>
  <c r="BV91" i="2" s="1"/>
  <c r="AK90" i="1"/>
  <c r="BL90" i="2" s="1"/>
  <c r="AK85" i="1"/>
  <c r="AK84" i="1"/>
  <c r="AK70" i="1"/>
  <c r="AK69" i="1"/>
  <c r="BL69" i="2" s="1"/>
  <c r="AK66" i="1"/>
  <c r="BL66" i="2" s="1"/>
  <c r="BT66" i="2" s="1"/>
  <c r="BV66" i="2" s="1"/>
  <c r="AK55" i="1"/>
  <c r="BL55" i="2" s="1"/>
  <c r="BT55" i="2" s="1"/>
  <c r="BV55" i="2" s="1"/>
  <c r="AK51" i="1"/>
  <c r="BL51" i="2" s="1"/>
  <c r="BT51" i="2" s="1"/>
  <c r="BV51" i="2" s="1"/>
  <c r="AK49" i="1"/>
  <c r="BL49" i="2" s="1"/>
  <c r="BT49" i="2" s="1"/>
  <c r="BV49" i="2" s="1"/>
  <c r="AK43" i="1"/>
  <c r="BL43" i="2" s="1"/>
  <c r="BT43" i="2" s="1"/>
  <c r="BV43" i="2" s="1"/>
  <c r="AK37" i="1"/>
  <c r="BL37" i="2" s="1"/>
  <c r="BT37" i="2" s="1"/>
  <c r="BV37" i="2" s="1"/>
  <c r="AK31" i="1"/>
  <c r="BL31" i="2" s="1"/>
  <c r="BT31" i="2" s="1"/>
  <c r="BV31" i="2" s="1"/>
  <c r="AK22" i="1"/>
  <c r="BL22" i="2" s="1"/>
  <c r="BT22" i="2" s="1"/>
  <c r="BV22" i="2" s="1"/>
  <c r="AK14" i="1"/>
  <c r="BL14" i="2" s="1"/>
  <c r="BT14" i="2" s="1"/>
  <c r="BV14" i="2" s="1"/>
  <c r="AB71" i="16"/>
  <c r="AB58" i="16"/>
  <c r="AB30" i="16"/>
  <c r="AG71" i="15"/>
  <c r="AY71" i="17" s="1"/>
  <c r="BC71" i="17" s="1"/>
  <c r="BE71" i="17" s="1"/>
  <c r="AG63" i="15"/>
  <c r="AY63" i="17" s="1"/>
  <c r="BC63" i="17" s="1"/>
  <c r="BE63" i="17" s="1"/>
  <c r="AG51" i="15"/>
  <c r="AY51" i="17" s="1"/>
  <c r="BC51" i="17" s="1"/>
  <c r="BE51" i="17" s="1"/>
  <c r="AG55" i="15"/>
  <c r="AY55" i="17" s="1"/>
  <c r="BC55" i="17" s="1"/>
  <c r="BE55" i="17" s="1"/>
  <c r="AG53" i="15"/>
  <c r="AY53" i="17" s="1"/>
  <c r="BC53" i="17" s="1"/>
  <c r="BE53" i="17" s="1"/>
  <c r="AG52" i="15"/>
  <c r="AY52" i="17" s="1"/>
  <c r="BC52" i="17" s="1"/>
  <c r="BE52" i="17" s="1"/>
  <c r="AB28" i="16"/>
  <c r="AG81" i="15"/>
  <c r="AY81" i="17" s="1"/>
  <c r="BC81" i="17" s="1"/>
  <c r="BE81" i="17" s="1"/>
  <c r="AG75" i="15"/>
  <c r="AY75" i="17" s="1"/>
  <c r="BC75" i="17" s="1"/>
  <c r="BE75" i="17" s="1"/>
  <c r="AG73" i="15"/>
  <c r="AY73" i="17" s="1"/>
  <c r="BC73" i="17" s="1"/>
  <c r="BE73" i="17" s="1"/>
  <c r="AG72" i="15"/>
  <c r="AY72" i="17" s="1"/>
  <c r="BC72" i="17" s="1"/>
  <c r="BE72" i="17" s="1"/>
  <c r="AG35" i="15"/>
  <c r="AY35" i="17" s="1"/>
  <c r="BC35" i="17" s="1"/>
  <c r="BE35" i="17" s="1"/>
  <c r="AG20" i="15"/>
  <c r="AY20" i="17" s="1"/>
  <c r="BC20" i="17" s="1"/>
  <c r="BE20" i="17" s="1"/>
  <c r="AG19" i="15"/>
  <c r="AY19" i="17" s="1"/>
  <c r="BC19" i="17" s="1"/>
  <c r="BE19" i="17" s="1"/>
  <c r="AG18" i="15"/>
  <c r="AY18" i="17" s="1"/>
  <c r="BC18" i="17" s="1"/>
  <c r="BE18" i="17" s="1"/>
  <c r="AG17" i="15"/>
  <c r="AY17" i="17" s="1"/>
  <c r="BC17" i="17" s="1"/>
  <c r="BE17" i="17" s="1"/>
  <c r="AG14" i="15"/>
  <c r="AY14" i="17" s="1"/>
  <c r="BC14" i="17" s="1"/>
  <c r="BE14" i="17" s="1"/>
  <c r="AG13" i="15"/>
  <c r="AY13" i="17" s="1"/>
  <c r="BC13" i="17" s="1"/>
  <c r="BE13" i="17" s="1"/>
  <c r="AG12" i="15"/>
  <c r="AY12" i="17" s="1"/>
  <c r="BC12" i="17" s="1"/>
  <c r="BE12" i="17" s="1"/>
  <c r="AB34" i="16"/>
  <c r="AG85" i="15"/>
  <c r="AY85" i="17" s="1"/>
  <c r="BC85" i="17" s="1"/>
  <c r="BE85" i="17" s="1"/>
  <c r="AG84" i="15"/>
  <c r="AY84" i="17" s="1"/>
  <c r="BC84" i="17" s="1"/>
  <c r="BE84" i="17" s="1"/>
  <c r="AG83" i="15"/>
  <c r="AY83" i="17" s="1"/>
  <c r="BC83" i="17" s="1"/>
  <c r="BE83" i="17" s="1"/>
  <c r="AG67" i="15"/>
  <c r="AY67" i="17" s="1"/>
  <c r="BC67" i="17" s="1"/>
  <c r="BE67" i="17" s="1"/>
  <c r="AG65" i="15"/>
  <c r="AY65" i="17" s="1"/>
  <c r="BC65" i="17" s="1"/>
  <c r="BE65" i="17" s="1"/>
  <c r="AG64" i="15"/>
  <c r="AY64" i="17" s="1"/>
  <c r="BC64" i="17" s="1"/>
  <c r="BE64" i="17" s="1"/>
  <c r="AG43" i="15"/>
  <c r="AY43" i="17" s="1"/>
  <c r="BC43" i="17" s="1"/>
  <c r="BE43" i="17" s="1"/>
  <c r="AG42" i="15"/>
  <c r="AY42" i="17" s="1"/>
  <c r="BC42" i="17" s="1"/>
  <c r="BE42" i="17" s="1"/>
  <c r="AG41" i="15"/>
  <c r="AY41" i="17" s="1"/>
  <c r="BC41" i="17" s="1"/>
  <c r="BE41" i="17" s="1"/>
  <c r="AG40" i="15"/>
  <c r="AY40" i="17" s="1"/>
  <c r="BC40" i="17" s="1"/>
  <c r="BE40" i="17" s="1"/>
  <c r="AG39" i="15"/>
  <c r="AY39" i="17" s="1"/>
  <c r="BC39" i="17" s="1"/>
  <c r="BE39" i="17" s="1"/>
  <c r="AG38" i="15"/>
  <c r="AY38" i="17" s="1"/>
  <c r="BC38" i="17" s="1"/>
  <c r="BE38" i="17" s="1"/>
  <c r="AG37" i="15"/>
  <c r="AY37" i="17" s="1"/>
  <c r="BC37" i="17" s="1"/>
  <c r="BE37" i="17" s="1"/>
  <c r="AG36" i="15"/>
  <c r="AY36" i="17" s="1"/>
  <c r="BC36" i="17" s="1"/>
  <c r="BE36" i="17" s="1"/>
  <c r="AB75" i="16"/>
  <c r="AB39" i="16"/>
  <c r="AB35" i="16"/>
  <c r="AB29" i="16"/>
  <c r="AB14" i="16"/>
  <c r="AG87" i="15"/>
  <c r="AY87" i="17" s="1"/>
  <c r="BC87" i="17" s="1"/>
  <c r="BE87" i="17" s="1"/>
  <c r="AG80" i="15"/>
  <c r="AY80" i="17" s="1"/>
  <c r="BC80" i="17" s="1"/>
  <c r="BE80" i="17" s="1"/>
  <c r="AG79" i="15"/>
  <c r="AY79" i="17" s="1"/>
  <c r="BC79" i="17" s="1"/>
  <c r="BE79" i="17" s="1"/>
  <c r="AG77" i="15"/>
  <c r="AY77" i="17" s="1"/>
  <c r="BC77" i="17" s="1"/>
  <c r="BE77" i="17" s="1"/>
  <c r="AG76" i="15"/>
  <c r="AY76" i="17" s="1"/>
  <c r="BC76" i="17" s="1"/>
  <c r="BE76" i="17" s="1"/>
  <c r="AG69" i="15"/>
  <c r="AY69" i="17" s="1"/>
  <c r="BC69" i="17" s="1"/>
  <c r="BE69" i="17" s="1"/>
  <c r="AG68" i="15"/>
  <c r="AY68" i="17" s="1"/>
  <c r="BC68" i="17" s="1"/>
  <c r="BE68" i="17" s="1"/>
  <c r="AG61" i="15"/>
  <c r="AY61" i="17" s="1"/>
  <c r="BC61" i="17" s="1"/>
  <c r="BE61" i="17" s="1"/>
  <c r="AG60" i="15"/>
  <c r="AY60" i="17" s="1"/>
  <c r="BC60" i="17" s="1"/>
  <c r="BE60" i="17" s="1"/>
  <c r="AG57" i="15"/>
  <c r="AY57" i="17" s="1"/>
  <c r="BC57" i="17" s="1"/>
  <c r="BE57" i="17" s="1"/>
  <c r="AG56" i="15"/>
  <c r="AY56" i="17" s="1"/>
  <c r="BC56" i="17" s="1"/>
  <c r="BE56" i="17" s="1"/>
  <c r="AG48" i="15"/>
  <c r="AY48" i="17" s="1"/>
  <c r="BC48" i="17" s="1"/>
  <c r="BE48" i="17" s="1"/>
  <c r="AG45" i="15"/>
  <c r="AY45" i="17" s="1"/>
  <c r="BC45" i="17" s="1"/>
  <c r="BE45" i="17" s="1"/>
  <c r="AG34" i="15"/>
  <c r="AY34" i="17" s="1"/>
  <c r="BC34" i="17" s="1"/>
  <c r="BE34" i="17" s="1"/>
  <c r="AG33" i="15"/>
  <c r="AY33" i="17" s="1"/>
  <c r="BC33" i="17" s="1"/>
  <c r="BE33" i="17" s="1"/>
  <c r="AG32" i="15"/>
  <c r="AY32" i="17" s="1"/>
  <c r="BC32" i="17" s="1"/>
  <c r="BE32" i="17" s="1"/>
  <c r="AG31" i="15"/>
  <c r="AY31" i="17" s="1"/>
  <c r="BC31" i="17" s="1"/>
  <c r="BE31" i="17" s="1"/>
  <c r="AG30" i="15"/>
  <c r="AY30" i="17" s="1"/>
  <c r="BC30" i="17" s="1"/>
  <c r="BE30" i="17" s="1"/>
  <c r="AG29" i="15"/>
  <c r="AY29" i="17" s="1"/>
  <c r="BC29" i="17" s="1"/>
  <c r="BE29" i="17" s="1"/>
  <c r="AG28" i="15"/>
  <c r="AY28" i="17" s="1"/>
  <c r="BC28" i="17" s="1"/>
  <c r="BE28" i="17" s="1"/>
  <c r="AG27" i="15"/>
  <c r="AY27" i="17" s="1"/>
  <c r="BC27" i="17" s="1"/>
  <c r="BE27" i="17" s="1"/>
  <c r="AG26" i="15"/>
  <c r="AY26" i="17" s="1"/>
  <c r="BC26" i="17" s="1"/>
  <c r="BE26" i="17" s="1"/>
  <c r="BJ61" i="2"/>
  <c r="BJ60" i="2"/>
  <c r="AK82" i="1"/>
  <c r="BL82" i="2" s="1"/>
  <c r="AK81" i="1"/>
  <c r="BL81" i="2" s="1"/>
  <c r="AK80" i="1"/>
  <c r="AK79" i="1"/>
  <c r="BL79" i="2" s="1"/>
  <c r="AK78" i="1"/>
  <c r="BL78" i="2" s="1"/>
  <c r="AK77" i="1"/>
  <c r="BL77" i="2" s="1"/>
  <c r="AK76" i="1"/>
  <c r="BL76" i="2" s="1"/>
  <c r="AK75" i="1"/>
  <c r="BL75" i="2" s="1"/>
  <c r="AK56" i="1"/>
  <c r="AK38" i="1"/>
  <c r="BL38" i="2" s="1"/>
  <c r="BT38" i="2" s="1"/>
  <c r="BV38" i="2" s="1"/>
  <c r="AK27" i="1"/>
  <c r="BL27" i="2" s="1"/>
  <c r="BT27" i="2" s="1"/>
  <c r="BV27" i="2" s="1"/>
  <c r="AK24" i="1"/>
  <c r="BL24" i="2" s="1"/>
  <c r="AK17" i="1"/>
  <c r="BL17" i="2" s="1"/>
  <c r="BT17" i="2" s="1"/>
  <c r="BV17" i="2" s="1"/>
  <c r="AG86" i="15"/>
  <c r="AY86" i="17" s="1"/>
  <c r="BC86" i="17" s="1"/>
  <c r="BE86" i="17" s="1"/>
  <c r="AG82" i="15"/>
  <c r="AY82" i="17" s="1"/>
  <c r="BC82" i="17" s="1"/>
  <c r="BE82" i="17" s="1"/>
  <c r="AG78" i="15"/>
  <c r="AY78" i="17" s="1"/>
  <c r="BC78" i="17" s="1"/>
  <c r="BE78" i="17" s="1"/>
  <c r="AG74" i="15"/>
  <c r="AY74" i="17" s="1"/>
  <c r="BC74" i="17" s="1"/>
  <c r="BE74" i="17" s="1"/>
  <c r="AG70" i="15"/>
  <c r="AY70" i="17" s="1"/>
  <c r="BC70" i="17" s="1"/>
  <c r="BE70" i="17" s="1"/>
  <c r="AG66" i="15"/>
  <c r="AY66" i="17" s="1"/>
  <c r="BC66" i="17" s="1"/>
  <c r="BE66" i="17" s="1"/>
  <c r="AG62" i="15"/>
  <c r="AG59" i="15"/>
  <c r="AY59" i="17" s="1"/>
  <c r="BC59" i="17" s="1"/>
  <c r="BE59" i="17" s="1"/>
  <c r="AG58" i="15"/>
  <c r="AY58" i="17" s="1"/>
  <c r="BC58" i="17" s="1"/>
  <c r="BE58" i="17" s="1"/>
  <c r="AG54" i="15"/>
  <c r="AY54" i="17" s="1"/>
  <c r="BC54" i="17" s="1"/>
  <c r="BE54" i="17" s="1"/>
  <c r="AG49" i="15"/>
  <c r="AY49" i="17" s="1"/>
  <c r="BC49" i="17" s="1"/>
  <c r="BE49" i="17" s="1"/>
  <c r="AG44" i="15"/>
  <c r="AY44" i="17" s="1"/>
  <c r="BC44" i="17" s="1"/>
  <c r="BE44" i="17" s="1"/>
  <c r="AG24" i="15"/>
  <c r="AY24" i="17" s="1"/>
  <c r="BC24" i="17" s="1"/>
  <c r="BE24" i="17" s="1"/>
  <c r="AG22" i="15"/>
  <c r="AY22" i="17" s="1"/>
  <c r="BC22" i="17" s="1"/>
  <c r="BE22" i="17" s="1"/>
  <c r="AY62" i="17"/>
  <c r="BC62" i="17" s="1"/>
  <c r="BE62" i="17" s="1"/>
  <c r="AB15" i="16"/>
  <c r="AB67" i="16"/>
  <c r="AB33" i="16"/>
  <c r="AB25" i="16"/>
  <c r="AB21" i="16"/>
  <c r="AB69" i="16"/>
  <c r="AB68" i="16"/>
  <c r="AB57" i="16"/>
  <c r="AB56" i="16"/>
  <c r="AB55" i="16"/>
  <c r="AB54" i="16"/>
  <c r="AB53" i="16"/>
  <c r="AB52" i="16"/>
  <c r="AB51" i="16"/>
  <c r="AB48" i="16"/>
  <c r="AB45" i="16"/>
  <c r="AB44" i="16"/>
  <c r="AB43" i="16"/>
  <c r="AB37" i="16"/>
  <c r="AB36" i="16"/>
  <c r="AB27" i="16"/>
  <c r="AB26" i="16"/>
  <c r="AB20" i="16"/>
  <c r="AB19" i="16"/>
  <c r="AB18" i="16"/>
  <c r="AB17" i="16"/>
  <c r="AB13" i="16"/>
  <c r="AB82" i="16"/>
  <c r="AB79" i="16"/>
  <c r="AB78" i="16"/>
  <c r="AB76" i="16"/>
  <c r="AB70" i="16"/>
  <c r="AB65" i="16"/>
  <c r="AB64" i="16"/>
  <c r="AB63" i="16"/>
  <c r="AB62" i="16"/>
  <c r="AB61" i="16"/>
  <c r="AB60" i="16"/>
  <c r="AB59" i="16"/>
  <c r="AB40" i="16"/>
  <c r="AB31" i="16"/>
  <c r="AB24" i="16"/>
  <c r="AB22" i="16"/>
  <c r="AB80" i="16"/>
  <c r="AB66" i="16"/>
  <c r="AB77" i="16"/>
  <c r="AB72" i="16"/>
  <c r="AB49" i="16"/>
  <c r="AB41" i="16"/>
  <c r="AB38" i="16"/>
  <c r="AB32" i="16"/>
  <c r="AB12" i="16"/>
  <c r="AK61" i="1"/>
  <c r="AK60" i="1"/>
  <c r="AK59" i="1"/>
  <c r="BL59" i="2" s="1"/>
  <c r="AK58" i="1"/>
  <c r="AK57" i="1"/>
  <c r="AK39" i="1"/>
  <c r="AK35" i="1"/>
  <c r="AK29" i="1"/>
  <c r="AK28" i="1"/>
  <c r="AB81" i="16"/>
  <c r="AB74" i="16"/>
  <c r="AB73" i="16"/>
  <c r="AM597" i="22"/>
  <c r="AO574" i="22"/>
  <c r="BL574" i="25" s="1"/>
  <c r="BT574" i="25" s="1"/>
  <c r="BV574" i="25" s="1"/>
  <c r="AM546" i="22"/>
  <c r="AM324" i="22"/>
  <c r="AM194" i="22"/>
  <c r="AM192" i="22"/>
  <c r="AM174" i="22"/>
  <c r="AM153" i="22"/>
  <c r="AM154" i="22"/>
  <c r="BL178" i="25"/>
  <c r="BT178" i="25" s="1"/>
  <c r="BV178" i="25" s="1"/>
  <c r="BL64" i="2" l="1"/>
  <c r="BT64" i="2" s="1"/>
  <c r="BV64" i="2" s="1"/>
  <c r="BL61" i="2"/>
  <c r="BT61" i="2" s="1"/>
  <c r="BV61" i="2" s="1"/>
  <c r="BL28" i="2"/>
  <c r="BT28" i="2" s="1"/>
  <c r="BV28" i="2" s="1"/>
  <c r="BL70" i="2"/>
  <c r="BT70" i="2" s="1"/>
  <c r="BV70" i="2" s="1"/>
  <c r="BL74" i="2"/>
  <c r="BT74" i="2" s="1"/>
  <c r="BV74" i="2" s="1"/>
  <c r="BL86" i="2"/>
  <c r="BT86" i="2" s="1"/>
  <c r="BV86" i="2" s="1"/>
  <c r="BL39" i="2"/>
  <c r="BT39" i="2" s="1"/>
  <c r="BV39" i="2" s="1"/>
  <c r="BL58" i="2"/>
  <c r="BT58" i="2" s="1"/>
  <c r="BV58" i="2" s="1"/>
  <c r="BL29" i="2"/>
  <c r="BT29" i="2" s="1"/>
  <c r="BV29" i="2" s="1"/>
  <c r="BL56" i="2"/>
  <c r="BT56" i="2" s="1"/>
  <c r="BV56" i="2" s="1"/>
  <c r="BL85" i="2"/>
  <c r="BT85" i="2" s="1"/>
  <c r="BV85" i="2" s="1"/>
  <c r="BT59" i="2"/>
  <c r="BV59" i="2" s="1"/>
  <c r="BT24" i="2"/>
  <c r="BV24" i="2" s="1"/>
  <c r="BL60" i="2"/>
  <c r="BT60" i="2" s="1"/>
  <c r="BV60" i="2" s="1"/>
  <c r="BT69" i="2"/>
  <c r="BV69" i="2" s="1"/>
  <c r="BT90" i="2"/>
  <c r="BV90" i="2" s="1"/>
  <c r="BT67" i="2"/>
  <c r="BV67" i="2" s="1"/>
  <c r="BT89" i="2"/>
  <c r="BV89" i="2" s="1"/>
  <c r="BT83" i="2"/>
  <c r="BV83" i="2" s="1"/>
  <c r="BL57" i="2"/>
  <c r="BT57" i="2" s="1"/>
  <c r="BV57" i="2" s="1"/>
  <c r="BL80" i="2"/>
  <c r="BT80" i="2" s="1"/>
  <c r="BV80" i="2" s="1"/>
  <c r="BL84" i="2"/>
  <c r="BT84" i="2" s="1"/>
  <c r="BV84" i="2" s="1"/>
  <c r="BL35" i="2"/>
  <c r="BT35" i="2" s="1"/>
  <c r="BV35" i="2" s="1"/>
  <c r="BL71" i="2"/>
  <c r="BT71" i="2" s="1"/>
  <c r="BV71" i="2" s="1"/>
  <c r="BL87" i="2"/>
  <c r="BT87" i="2" s="1"/>
  <c r="BV87" i="2" s="1"/>
  <c r="BL73" i="2"/>
  <c r="BT73" i="2" s="1"/>
  <c r="BV73" i="2" s="1"/>
  <c r="BT78" i="2"/>
  <c r="BV78" i="2" s="1"/>
  <c r="BT82" i="2"/>
  <c r="BV82" i="2" s="1"/>
  <c r="BT77" i="2"/>
  <c r="BV77" i="2" s="1"/>
  <c r="BT81" i="2"/>
  <c r="BV81" i="2" s="1"/>
  <c r="BT75" i="2"/>
  <c r="BV75" i="2" s="1"/>
  <c r="BT79" i="2"/>
  <c r="BV79" i="2" s="1"/>
  <c r="BT76" i="2"/>
  <c r="BV76" i="2" s="1"/>
  <c r="AI597" i="1"/>
  <c r="AI118" i="1"/>
  <c r="AI324" i="1"/>
  <c r="AI192" i="1"/>
  <c r="AI193" i="1"/>
  <c r="AI194" i="1"/>
  <c r="AI195" i="1"/>
  <c r="Q186" i="10" l="1"/>
  <c r="T186" i="10"/>
  <c r="Q187" i="10"/>
  <c r="T187" i="10"/>
  <c r="Q188" i="10"/>
  <c r="T188" i="10"/>
  <c r="Q189" i="10"/>
  <c r="T189" i="10"/>
  <c r="W399" i="1" l="1"/>
  <c r="W400" i="1"/>
  <c r="Q412" i="10" l="1"/>
  <c r="Q411" i="10"/>
  <c r="Q410" i="10"/>
  <c r="Q409" i="10"/>
  <c r="AZ418" i="25"/>
  <c r="BJ418" i="25" s="1"/>
  <c r="AZ416" i="25"/>
  <c r="BJ416" i="25" s="1"/>
  <c r="AZ415" i="25"/>
  <c r="BJ415" i="25" s="1"/>
  <c r="AZ412" i="25"/>
  <c r="BJ412" i="25" s="1"/>
  <c r="AZ411" i="25"/>
  <c r="BJ411" i="25" s="1"/>
  <c r="AZ410" i="25"/>
  <c r="BJ410" i="25" s="1"/>
  <c r="AZ409" i="25"/>
  <c r="BJ409" i="25" s="1"/>
  <c r="AM418" i="22"/>
  <c r="W418" i="22"/>
  <c r="AM416" i="22"/>
  <c r="W416" i="22"/>
  <c r="AM415" i="22"/>
  <c r="W415" i="22"/>
  <c r="W412" i="22"/>
  <c r="W411" i="22"/>
  <c r="W410" i="22"/>
  <c r="W409" i="22"/>
  <c r="M418" i="26"/>
  <c r="I418" i="26"/>
  <c r="M416" i="26"/>
  <c r="I416" i="26"/>
  <c r="M415" i="26"/>
  <c r="I415" i="26"/>
  <c r="M412" i="26"/>
  <c r="I412" i="26"/>
  <c r="M411" i="26"/>
  <c r="I411" i="26"/>
  <c r="M410" i="26"/>
  <c r="I410" i="26"/>
  <c r="M409" i="26"/>
  <c r="I409" i="26"/>
  <c r="AZ414" i="2"/>
  <c r="BJ414" i="2" s="1"/>
  <c r="AZ419" i="2"/>
  <c r="BJ419" i="2" s="1"/>
  <c r="AZ418" i="2"/>
  <c r="BJ418" i="2" s="1"/>
  <c r="AZ416" i="2"/>
  <c r="BJ416" i="2" s="1"/>
  <c r="AZ415" i="2"/>
  <c r="BJ415" i="2" s="1"/>
  <c r="AZ412" i="2"/>
  <c r="BJ412" i="2" s="1"/>
  <c r="AZ411" i="2"/>
  <c r="BJ411" i="2" s="1"/>
  <c r="AZ410" i="2"/>
  <c r="BJ410" i="2" s="1"/>
  <c r="AZ409" i="2"/>
  <c r="BJ409" i="2" s="1"/>
  <c r="AI419" i="1"/>
  <c r="W419" i="1"/>
  <c r="AI418" i="1"/>
  <c r="W418" i="1"/>
  <c r="AI416" i="1"/>
  <c r="W416" i="1"/>
  <c r="AI415" i="1"/>
  <c r="W415" i="1"/>
  <c r="AI412" i="1"/>
  <c r="W412" i="1"/>
  <c r="AI411" i="1"/>
  <c r="W411" i="1"/>
  <c r="AI410" i="1"/>
  <c r="W410" i="1"/>
  <c r="AI409" i="1"/>
  <c r="W409" i="1"/>
  <c r="AW419" i="17"/>
  <c r="AW418" i="17"/>
  <c r="AW416" i="17"/>
  <c r="AW415" i="17"/>
  <c r="AW412" i="17"/>
  <c r="AW411" i="17"/>
  <c r="AW410" i="17"/>
  <c r="AW409" i="17"/>
  <c r="AW407" i="17"/>
  <c r="AE419" i="15"/>
  <c r="K419" i="15"/>
  <c r="AE418" i="15"/>
  <c r="K418" i="15"/>
  <c r="AE416" i="15"/>
  <c r="K416" i="15"/>
  <c r="AE415" i="15"/>
  <c r="K415" i="15"/>
  <c r="AE412" i="15"/>
  <c r="K412" i="15"/>
  <c r="AE411" i="15"/>
  <c r="K411" i="15"/>
  <c r="K410" i="15"/>
  <c r="AE409" i="15"/>
  <c r="K409" i="15"/>
  <c r="E419" i="16"/>
  <c r="E418" i="16"/>
  <c r="E416" i="16"/>
  <c r="E415" i="16"/>
  <c r="E412" i="16"/>
  <c r="E411" i="16"/>
  <c r="E410" i="16"/>
  <c r="E409" i="16"/>
  <c r="AZ432" i="25"/>
  <c r="BJ432" i="25" s="1"/>
  <c r="AZ431" i="25"/>
  <c r="BJ431" i="25" s="1"/>
  <c r="AZ430" i="25"/>
  <c r="BJ430" i="25" s="1"/>
  <c r="AZ429" i="25"/>
  <c r="BJ429" i="25" s="1"/>
  <c r="AZ428" i="25"/>
  <c r="BJ428" i="25" s="1"/>
  <c r="AZ413" i="25"/>
  <c r="BJ413" i="25" s="1"/>
  <c r="AZ406" i="25"/>
  <c r="BJ406" i="25" s="1"/>
  <c r="AZ405" i="25"/>
  <c r="BJ405" i="25" s="1"/>
  <c r="AZ404" i="25"/>
  <c r="BJ404" i="25" s="1"/>
  <c r="AZ403" i="25"/>
  <c r="BJ403" i="25" s="1"/>
  <c r="AZ402" i="25"/>
  <c r="BJ402" i="25" s="1"/>
  <c r="AM432" i="22"/>
  <c r="AM431" i="22"/>
  <c r="W431" i="22"/>
  <c r="AM430" i="22"/>
  <c r="AM429" i="22"/>
  <c r="W429" i="22"/>
  <c r="AM428" i="22"/>
  <c r="W413" i="22"/>
  <c r="W406" i="22"/>
  <c r="W405" i="22"/>
  <c r="W404" i="22"/>
  <c r="W403" i="22"/>
  <c r="AM402" i="22"/>
  <c r="W402" i="22"/>
  <c r="M432" i="26"/>
  <c r="I432" i="26"/>
  <c r="M431" i="26"/>
  <c r="I431" i="26"/>
  <c r="M430" i="26"/>
  <c r="I430" i="26"/>
  <c r="M429" i="26"/>
  <c r="I429" i="26"/>
  <c r="M428" i="26"/>
  <c r="I428" i="26"/>
  <c r="M414" i="26"/>
  <c r="I414" i="26"/>
  <c r="M413" i="26"/>
  <c r="I413" i="26"/>
  <c r="M406" i="26"/>
  <c r="I406" i="26"/>
  <c r="M405" i="26"/>
  <c r="I405" i="26"/>
  <c r="M404" i="26"/>
  <c r="I404" i="26"/>
  <c r="M403" i="26"/>
  <c r="I403" i="26"/>
  <c r="M402" i="26"/>
  <c r="I402" i="26"/>
  <c r="AZ432" i="2"/>
  <c r="BJ432" i="2" s="1"/>
  <c r="AZ431" i="2"/>
  <c r="BJ431" i="2" s="1"/>
  <c r="AZ430" i="2"/>
  <c r="BJ430" i="2" s="1"/>
  <c r="AZ429" i="2"/>
  <c r="BJ429" i="2" s="1"/>
  <c r="AZ428" i="2"/>
  <c r="BJ428" i="2" s="1"/>
  <c r="AZ413" i="2"/>
  <c r="BJ413" i="2" s="1"/>
  <c r="AZ406" i="2"/>
  <c r="BJ406" i="2" s="1"/>
  <c r="AZ405" i="2"/>
  <c r="BJ405" i="2" s="1"/>
  <c r="AZ404" i="2"/>
  <c r="BJ404" i="2" s="1"/>
  <c r="AZ403" i="2"/>
  <c r="BJ403" i="2" s="1"/>
  <c r="AZ402" i="2"/>
  <c r="BJ402" i="2" s="1"/>
  <c r="AI432" i="1"/>
  <c r="AI431" i="1"/>
  <c r="W431" i="1"/>
  <c r="AI430" i="1"/>
  <c r="AI429" i="1"/>
  <c r="W429" i="1"/>
  <c r="AI428" i="1"/>
  <c r="W428" i="1"/>
  <c r="AI414" i="1"/>
  <c r="W414" i="1"/>
  <c r="AI413" i="1"/>
  <c r="W413" i="1"/>
  <c r="AI406" i="1"/>
  <c r="W406" i="1"/>
  <c r="AI405" i="1"/>
  <c r="W405" i="1"/>
  <c r="AI404" i="1"/>
  <c r="W404" i="1"/>
  <c r="AI403" i="1"/>
  <c r="W403" i="1"/>
  <c r="AI402" i="1"/>
  <c r="W402" i="1"/>
  <c r="AW432" i="17"/>
  <c r="AW431" i="17"/>
  <c r="AW430" i="17"/>
  <c r="AW429" i="17"/>
  <c r="AW428" i="17"/>
  <c r="AW414" i="17"/>
  <c r="AW413" i="17"/>
  <c r="AW406" i="17"/>
  <c r="AW405" i="17"/>
  <c r="AW404" i="17"/>
  <c r="AW403" i="17"/>
  <c r="AW402" i="17"/>
  <c r="K432" i="15"/>
  <c r="K431" i="15"/>
  <c r="K430" i="15"/>
  <c r="K429" i="15"/>
  <c r="K428" i="15"/>
  <c r="K414" i="15"/>
  <c r="K413" i="15"/>
  <c r="K406" i="15"/>
  <c r="K405" i="15"/>
  <c r="K404" i="15"/>
  <c r="K403" i="15"/>
  <c r="K402" i="15"/>
  <c r="E432" i="16"/>
  <c r="E431" i="16"/>
  <c r="E430" i="16"/>
  <c r="E429" i="16"/>
  <c r="E428" i="16"/>
  <c r="E414" i="16"/>
  <c r="E413" i="16"/>
  <c r="E406" i="16"/>
  <c r="E405" i="16"/>
  <c r="E404" i="16"/>
  <c r="E403" i="16"/>
  <c r="E402" i="16"/>
  <c r="AE402" i="26" l="1"/>
  <c r="AE431" i="26"/>
  <c r="AE429" i="26"/>
  <c r="AE428" i="26"/>
  <c r="AE430" i="26"/>
  <c r="AE432" i="26"/>
  <c r="AE414" i="26"/>
  <c r="AE413" i="26"/>
  <c r="AE406" i="26"/>
  <c r="AE405" i="26"/>
  <c r="AE404" i="26"/>
  <c r="AE403" i="26"/>
  <c r="AE409" i="26"/>
  <c r="AE410" i="26"/>
  <c r="AE411" i="26"/>
  <c r="AE412" i="26"/>
  <c r="AE415" i="26"/>
  <c r="AE416" i="26"/>
  <c r="AE418" i="26"/>
  <c r="AO409" i="22"/>
  <c r="AO410" i="22"/>
  <c r="AO411" i="22"/>
  <c r="AO412" i="22"/>
  <c r="AO415" i="22"/>
  <c r="AO418" i="22"/>
  <c r="AO429" i="22"/>
  <c r="W430" i="1"/>
  <c r="W432" i="1"/>
  <c r="AO402" i="22"/>
  <c r="AO403" i="22"/>
  <c r="AO404" i="22"/>
  <c r="AO405" i="22"/>
  <c r="AO406" i="22"/>
  <c r="AO413" i="22"/>
  <c r="AO431" i="22"/>
  <c r="AO416" i="22"/>
  <c r="W428" i="22"/>
  <c r="AO428" i="22" s="1"/>
  <c r="W432" i="22"/>
  <c r="AO432" i="22" s="1"/>
  <c r="W430" i="22"/>
  <c r="AO430" i="22" s="1"/>
  <c r="AE410" i="15"/>
  <c r="AZ597" i="25"/>
  <c r="BJ597" i="25" s="1"/>
  <c r="M597" i="26"/>
  <c r="I597" i="26"/>
  <c r="AZ597" i="2"/>
  <c r="BJ597" i="2" s="1"/>
  <c r="AW597" i="17"/>
  <c r="AE597" i="15"/>
  <c r="K597" i="15"/>
  <c r="Z597" i="16"/>
  <c r="E597" i="16"/>
  <c r="T597" i="10"/>
  <c r="Q597" i="10"/>
  <c r="AE597" i="26" l="1"/>
  <c r="W597" i="22"/>
  <c r="W597" i="1"/>
  <c r="AK597" i="1" s="1"/>
  <c r="BL597" i="2" s="1"/>
  <c r="AG597" i="15"/>
  <c r="AB597" i="16"/>
  <c r="AY597" i="17" l="1"/>
  <c r="BC597" i="17" s="1"/>
  <c r="BE597" i="17" s="1"/>
  <c r="AO597" i="22"/>
  <c r="BL597" i="25" s="1"/>
  <c r="BT597" i="25" s="1"/>
  <c r="BV597" i="25" s="1"/>
  <c r="AZ511" i="25" l="1"/>
  <c r="BJ511" i="25" s="1"/>
  <c r="AM511" i="22"/>
  <c r="W511" i="22"/>
  <c r="I511" i="26"/>
  <c r="AE511" i="26" s="1"/>
  <c r="AZ511" i="2"/>
  <c r="BJ511" i="2" s="1"/>
  <c r="AI511" i="1"/>
  <c r="W511" i="1"/>
  <c r="AW511" i="17"/>
  <c r="AE511" i="15"/>
  <c r="K511" i="15"/>
  <c r="Z511" i="16"/>
  <c r="E511" i="16"/>
  <c r="T511" i="10"/>
  <c r="Q511" i="10"/>
  <c r="AO511" i="22" l="1"/>
  <c r="BL511" i="25" s="1"/>
  <c r="BT511" i="25" s="1"/>
  <c r="AK511" i="1"/>
  <c r="BL511" i="2" s="1"/>
  <c r="AG511" i="15"/>
  <c r="AB511" i="16"/>
  <c r="Z507" i="16"/>
  <c r="AZ496" i="25"/>
  <c r="W496" i="22"/>
  <c r="AO496" i="22" s="1"/>
  <c r="I496" i="26"/>
  <c r="AE496" i="26" s="1"/>
  <c r="AZ496" i="2"/>
  <c r="W496" i="1"/>
  <c r="AK496" i="1" s="1"/>
  <c r="AE496" i="15"/>
  <c r="K496" i="15"/>
  <c r="Z496" i="16"/>
  <c r="E496" i="16"/>
  <c r="T496" i="10"/>
  <c r="Q496" i="10"/>
  <c r="AB574" i="16"/>
  <c r="Z574" i="16"/>
  <c r="T574" i="10"/>
  <c r="Q574" i="10"/>
  <c r="AY511" i="17" l="1"/>
  <c r="BC511" i="17" s="1"/>
  <c r="BE511" i="17" s="1"/>
  <c r="BV511" i="25"/>
  <c r="BJ496" i="2"/>
  <c r="BL496" i="2" s="1"/>
  <c r="AW496" i="17"/>
  <c r="AG496" i="15"/>
  <c r="AB496" i="16"/>
  <c r="BJ496" i="25"/>
  <c r="BL496" i="25" s="1"/>
  <c r="BT496" i="25" s="1"/>
  <c r="AY496" i="17" l="1"/>
  <c r="BC496" i="17" s="1"/>
  <c r="BE496" i="17" s="1"/>
  <c r="BV496" i="25"/>
  <c r="W546" i="22" l="1"/>
  <c r="AO546" i="22" s="1"/>
  <c r="AI546" i="1"/>
  <c r="W546" i="1"/>
  <c r="M546" i="26"/>
  <c r="AE546" i="15"/>
  <c r="K546" i="15"/>
  <c r="Z546" i="16"/>
  <c r="E546" i="16"/>
  <c r="T546" i="10"/>
  <c r="Q546" i="10"/>
  <c r="AZ324" i="25"/>
  <c r="W324" i="22"/>
  <c r="AO324" i="22" s="1"/>
  <c r="M324" i="26"/>
  <c r="I324" i="26"/>
  <c r="AZ324" i="2"/>
  <c r="W324" i="1"/>
  <c r="AK324" i="1" s="1"/>
  <c r="AW324" i="17"/>
  <c r="AE324" i="15"/>
  <c r="K324" i="15"/>
  <c r="U324" i="16"/>
  <c r="Z324" i="16"/>
  <c r="E324" i="16"/>
  <c r="T324" i="10"/>
  <c r="Q324" i="10"/>
  <c r="K178" i="15"/>
  <c r="AW178" i="17"/>
  <c r="Z178" i="16"/>
  <c r="U178" i="16"/>
  <c r="E178" i="16"/>
  <c r="AE324" i="26" l="1"/>
  <c r="AE178" i="15"/>
  <c r="AG178" i="15" s="1"/>
  <c r="AY178" i="17" s="1"/>
  <c r="BC178" i="17" s="1"/>
  <c r="BE178" i="17" s="1"/>
  <c r="AZ546" i="2"/>
  <c r="BJ546" i="2" s="1"/>
  <c r="AG324" i="15"/>
  <c r="AY324" i="17" s="1"/>
  <c r="BC324" i="17" s="1"/>
  <c r="BE324" i="17" s="1"/>
  <c r="AG546" i="15"/>
  <c r="AB324" i="16"/>
  <c r="AB178" i="16"/>
  <c r="BJ324" i="2"/>
  <c r="BL324" i="2" s="1"/>
  <c r="AK546" i="1"/>
  <c r="BJ324" i="25"/>
  <c r="BL324" i="25" s="1"/>
  <c r="BT324" i="25" s="1"/>
  <c r="BV324" i="25" s="1"/>
  <c r="AZ546" i="25"/>
  <c r="BJ546" i="25" s="1"/>
  <c r="BL546" i="25" s="1"/>
  <c r="BT546" i="25" s="1"/>
  <c r="BV546" i="25" s="1"/>
  <c r="I546" i="26"/>
  <c r="AE546" i="26" s="1"/>
  <c r="AW546" i="17"/>
  <c r="AY546" i="17" s="1"/>
  <c r="AB546" i="16"/>
  <c r="BL546" i="2" l="1"/>
  <c r="BC546" i="17"/>
  <c r="BE546" i="17" s="1"/>
  <c r="AW550" i="17" l="1"/>
  <c r="E459" i="16" l="1"/>
  <c r="Q451" i="10" l="1"/>
  <c r="Q449" i="10"/>
  <c r="AZ448" i="25"/>
  <c r="BJ448" i="25" s="1"/>
  <c r="W448" i="22"/>
  <c r="AO448" i="22" s="1"/>
  <c r="I448" i="26"/>
  <c r="AE448" i="26" s="1"/>
  <c r="AZ448" i="2"/>
  <c r="BJ448" i="2" s="1"/>
  <c r="W448" i="1"/>
  <c r="AK448" i="1" s="1"/>
  <c r="AW448" i="17"/>
  <c r="K448" i="15"/>
  <c r="AE448" i="15"/>
  <c r="Z448" i="16"/>
  <c r="E448" i="16"/>
  <c r="T448" i="10"/>
  <c r="T449" i="10"/>
  <c r="T450" i="10"/>
  <c r="T451" i="10"/>
  <c r="T452" i="10"/>
  <c r="Q448" i="10"/>
  <c r="Q450" i="10"/>
  <c r="BL448" i="2" l="1"/>
  <c r="AG448" i="15"/>
  <c r="AB448" i="16"/>
  <c r="BL448" i="25"/>
  <c r="BT448" i="25" s="1"/>
  <c r="BV448" i="25" s="1"/>
  <c r="AY448" i="17" l="1"/>
  <c r="BC448" i="17" s="1"/>
  <c r="BE448" i="17" s="1"/>
  <c r="E355" i="16"/>
  <c r="AZ335" i="25" l="1"/>
  <c r="AZ336" i="25"/>
  <c r="W335" i="22"/>
  <c r="AO335" i="22" s="1"/>
  <c r="I335" i="26"/>
  <c r="AE335" i="26" s="1"/>
  <c r="AZ335" i="2"/>
  <c r="AZ336" i="2"/>
  <c r="W335" i="1"/>
  <c r="AK335" i="1" s="1"/>
  <c r="AW335" i="17"/>
  <c r="AE335" i="15"/>
  <c r="K335" i="15"/>
  <c r="Z335" i="16"/>
  <c r="U335" i="16"/>
  <c r="E335" i="16"/>
  <c r="BJ335" i="2" l="1"/>
  <c r="BL335" i="2" s="1"/>
  <c r="AG335" i="15"/>
  <c r="AY335" i="17" s="1"/>
  <c r="BC335" i="17" s="1"/>
  <c r="BE335" i="17" s="1"/>
  <c r="BJ335" i="25"/>
  <c r="BL335" i="25" s="1"/>
  <c r="BT335" i="25" s="1"/>
  <c r="AB335" i="16"/>
  <c r="T335" i="10"/>
  <c r="Q335" i="10"/>
  <c r="Q336" i="10"/>
  <c r="BV335" i="25" l="1"/>
  <c r="BJ336" i="25"/>
  <c r="Q323" i="10" l="1"/>
  <c r="AZ322" i="25"/>
  <c r="W322" i="22"/>
  <c r="AO322" i="22" s="1"/>
  <c r="I322" i="26"/>
  <c r="AE322" i="26" s="1"/>
  <c r="AZ323" i="2"/>
  <c r="AZ322" i="2"/>
  <c r="BJ322" i="2" s="1"/>
  <c r="AI322" i="1"/>
  <c r="W322" i="1"/>
  <c r="AE322" i="15"/>
  <c r="K322" i="15"/>
  <c r="Z322" i="16"/>
  <c r="U322" i="16"/>
  <c r="E322" i="16"/>
  <c r="T322" i="10"/>
  <c r="Q322" i="10"/>
  <c r="BJ322" i="25" l="1"/>
  <c r="BL322" i="25" s="1"/>
  <c r="BT322" i="25" s="1"/>
  <c r="BV322" i="25" s="1"/>
  <c r="AK322" i="1"/>
  <c r="BL322" i="2" s="1"/>
  <c r="AW322" i="17"/>
  <c r="AG322" i="15"/>
  <c r="AB322" i="16"/>
  <c r="AY322" i="17" l="1"/>
  <c r="BC322" i="17" s="1"/>
  <c r="BE322" i="17" s="1"/>
  <c r="AW308" i="17"/>
  <c r="AW309" i="17"/>
  <c r="AW310" i="17"/>
  <c r="AW313" i="17"/>
  <c r="AW314" i="17"/>
  <c r="AW315" i="17"/>
  <c r="AW311" i="17"/>
  <c r="AW312" i="17" l="1"/>
  <c r="Z306" i="16"/>
  <c r="Z307" i="16"/>
  <c r="Z308" i="16"/>
  <c r="Z309" i="16"/>
  <c r="Z310" i="16"/>
  <c r="Z311" i="16"/>
  <c r="Z312" i="16"/>
  <c r="Z313" i="16"/>
  <c r="Z314" i="16"/>
  <c r="Z315" i="16"/>
  <c r="Z316" i="16"/>
  <c r="Z317" i="16"/>
  <c r="Z318" i="16"/>
  <c r="U307" i="16"/>
  <c r="U308" i="16"/>
  <c r="U309" i="16"/>
  <c r="U310" i="16"/>
  <c r="U311" i="16"/>
  <c r="T305" i="10"/>
  <c r="T306" i="10"/>
  <c r="T307" i="10"/>
  <c r="T308" i="10"/>
  <c r="T309" i="10"/>
  <c r="T310" i="10"/>
  <c r="T311" i="10"/>
  <c r="Q306" i="10"/>
  <c r="W305" i="1"/>
  <c r="Q305" i="10"/>
  <c r="W304" i="22"/>
  <c r="AZ304" i="25"/>
  <c r="BJ304" i="25" s="1"/>
  <c r="AZ305" i="25"/>
  <c r="BJ305" i="25" s="1"/>
  <c r="AZ303" i="25"/>
  <c r="W303" i="22"/>
  <c r="AM303" i="22"/>
  <c r="AM304" i="22"/>
  <c r="AM305" i="22"/>
  <c r="I303" i="26"/>
  <c r="AE303" i="26" s="1"/>
  <c r="AZ304" i="2"/>
  <c r="BJ304" i="2" s="1"/>
  <c r="AZ305" i="2"/>
  <c r="BJ305" i="2" s="1"/>
  <c r="AZ303" i="2"/>
  <c r="W303" i="1"/>
  <c r="AI303" i="1"/>
  <c r="AI304" i="1"/>
  <c r="AI305" i="1"/>
  <c r="AW304" i="17"/>
  <c r="AW305" i="17"/>
  <c r="AW306" i="17"/>
  <c r="AW303" i="17"/>
  <c r="AE304" i="15"/>
  <c r="AE305" i="15"/>
  <c r="AE303" i="15"/>
  <c r="K303" i="15"/>
  <c r="Z303" i="16"/>
  <c r="Z304" i="16"/>
  <c r="Z305" i="16"/>
  <c r="U303" i="16"/>
  <c r="U304" i="16"/>
  <c r="U305" i="16"/>
  <c r="E303" i="16"/>
  <c r="E304" i="16"/>
  <c r="E305" i="16"/>
  <c r="E306" i="16"/>
  <c r="E307" i="16"/>
  <c r="T303" i="10"/>
  <c r="T304" i="10"/>
  <c r="Q303" i="10"/>
  <c r="Q304" i="10"/>
  <c r="AO303" i="22" l="1"/>
  <c r="AO304" i="22"/>
  <c r="BJ303" i="2"/>
  <c r="AG303" i="15"/>
  <c r="AY303" i="17" s="1"/>
  <c r="BC303" i="17" s="1"/>
  <c r="BE303" i="17" s="1"/>
  <c r="BJ303" i="25"/>
  <c r="AB305" i="16"/>
  <c r="AB303" i="16"/>
  <c r="AK303" i="1"/>
  <c r="W304" i="1"/>
  <c r="AK304" i="1" s="1"/>
  <c r="BL304" i="2" s="1"/>
  <c r="AK305" i="1"/>
  <c r="BL305" i="2" s="1"/>
  <c r="AB307" i="16"/>
  <c r="AB304" i="16"/>
  <c r="Q401" i="10"/>
  <c r="Q400" i="10"/>
  <c r="Q399" i="10"/>
  <c r="Q398" i="10"/>
  <c r="Q397" i="10"/>
  <c r="Q396" i="10"/>
  <c r="Q394" i="10"/>
  <c r="Q393" i="10"/>
  <c r="Q392" i="10"/>
  <c r="Q391" i="10"/>
  <c r="Q390" i="10"/>
  <c r="Q389" i="10"/>
  <c r="Q388" i="10"/>
  <c r="Q387" i="10"/>
  <c r="Q386" i="10"/>
  <c r="Q385" i="10"/>
  <c r="Q384" i="10"/>
  <c r="Q383" i="10"/>
  <c r="Q382" i="10"/>
  <c r="Q381" i="10"/>
  <c r="Q380" i="10"/>
  <c r="Q379" i="10"/>
  <c r="Q378" i="10"/>
  <c r="Q376" i="10"/>
  <c r="AZ401" i="25"/>
  <c r="BJ401" i="25" s="1"/>
  <c r="AZ400" i="25"/>
  <c r="BJ400" i="25" s="1"/>
  <c r="AZ399" i="25"/>
  <c r="BJ399" i="25" s="1"/>
  <c r="AZ398" i="25"/>
  <c r="BJ398" i="25" s="1"/>
  <c r="AZ397" i="25"/>
  <c r="BJ397" i="25" s="1"/>
  <c r="AZ396" i="25"/>
  <c r="BJ396" i="25" s="1"/>
  <c r="AZ395" i="25"/>
  <c r="BJ395" i="25" s="1"/>
  <c r="AZ394" i="25"/>
  <c r="BJ394" i="25" s="1"/>
  <c r="AZ393" i="25"/>
  <c r="BJ393" i="25" s="1"/>
  <c r="AZ392" i="25"/>
  <c r="BJ392" i="25" s="1"/>
  <c r="AZ391" i="25"/>
  <c r="BJ391" i="25" s="1"/>
  <c r="AZ390" i="25"/>
  <c r="BJ390" i="25" s="1"/>
  <c r="AZ389" i="25"/>
  <c r="BJ389" i="25" s="1"/>
  <c r="AZ388" i="25"/>
  <c r="BJ388" i="25" s="1"/>
  <c r="AZ387" i="25"/>
  <c r="BJ387" i="25" s="1"/>
  <c r="AZ386" i="25"/>
  <c r="BJ386" i="25" s="1"/>
  <c r="AZ385" i="25"/>
  <c r="BJ385" i="25" s="1"/>
  <c r="AZ384" i="25"/>
  <c r="BJ384" i="25" s="1"/>
  <c r="AZ382" i="25"/>
  <c r="BJ382" i="25" s="1"/>
  <c r="AZ381" i="25"/>
  <c r="BJ381" i="25" s="1"/>
  <c r="AZ380" i="25"/>
  <c r="BJ380" i="25" s="1"/>
  <c r="AZ379" i="25"/>
  <c r="BJ379" i="25" s="1"/>
  <c r="AZ378" i="25"/>
  <c r="BJ378" i="25" s="1"/>
  <c r="AZ377" i="25"/>
  <c r="BJ377" i="25" s="1"/>
  <c r="AZ376" i="25"/>
  <c r="BJ376" i="25" s="1"/>
  <c r="AZ374" i="25"/>
  <c r="BJ374" i="25" s="1"/>
  <c r="AM401" i="22"/>
  <c r="AM400" i="22"/>
  <c r="W400" i="22"/>
  <c r="AM399" i="22"/>
  <c r="W399" i="22"/>
  <c r="AM398" i="22"/>
  <c r="AM397" i="22"/>
  <c r="W397" i="22"/>
  <c r="AM396" i="22"/>
  <c r="W396" i="22"/>
  <c r="AM395" i="22"/>
  <c r="W395" i="22"/>
  <c r="AM394" i="22"/>
  <c r="W394" i="22"/>
  <c r="AM393" i="22"/>
  <c r="AM392" i="22"/>
  <c r="AM391" i="22"/>
  <c r="W391" i="22"/>
  <c r="AM390" i="22"/>
  <c r="AM389" i="22"/>
  <c r="W389" i="22"/>
  <c r="AM388" i="22"/>
  <c r="AM387" i="22"/>
  <c r="W387" i="22"/>
  <c r="AM386" i="22"/>
  <c r="W386" i="22"/>
  <c r="AM385" i="22"/>
  <c r="W385" i="22"/>
  <c r="AM384" i="22"/>
  <c r="W384" i="22"/>
  <c r="AM383" i="22"/>
  <c r="AM382" i="22"/>
  <c r="W382" i="22"/>
  <c r="AM381" i="22"/>
  <c r="AM380" i="22"/>
  <c r="W380" i="22"/>
  <c r="AM379" i="22"/>
  <c r="W379" i="22"/>
  <c r="AM378" i="22"/>
  <c r="W378" i="22"/>
  <c r="AM377" i="22"/>
  <c r="AM376" i="22"/>
  <c r="W376" i="22"/>
  <c r="AM374" i="22"/>
  <c r="W374" i="22"/>
  <c r="M401" i="26"/>
  <c r="I401" i="26"/>
  <c r="M400" i="26"/>
  <c r="I400" i="26"/>
  <c r="M399" i="26"/>
  <c r="I399" i="26"/>
  <c r="M398" i="26"/>
  <c r="I398" i="26"/>
  <c r="M397" i="26"/>
  <c r="I397" i="26"/>
  <c r="M396" i="26"/>
  <c r="I396" i="26"/>
  <c r="M395" i="26"/>
  <c r="I395" i="26"/>
  <c r="M394" i="26"/>
  <c r="I394" i="26"/>
  <c r="M393" i="26"/>
  <c r="I393" i="26"/>
  <c r="M392" i="26"/>
  <c r="I392" i="26"/>
  <c r="M391" i="26"/>
  <c r="I391" i="26"/>
  <c r="M390" i="26"/>
  <c r="I390" i="26"/>
  <c r="M389" i="26"/>
  <c r="I389" i="26"/>
  <c r="M388" i="26"/>
  <c r="I388" i="26"/>
  <c r="M387" i="26"/>
  <c r="I387" i="26"/>
  <c r="M386" i="26"/>
  <c r="I386" i="26"/>
  <c r="M385" i="26"/>
  <c r="I385" i="26"/>
  <c r="M384" i="26"/>
  <c r="I384" i="26"/>
  <c r="M383" i="26"/>
  <c r="I383" i="26"/>
  <c r="M382" i="26"/>
  <c r="I382" i="26"/>
  <c r="M381" i="26"/>
  <c r="I381" i="26"/>
  <c r="M380" i="26"/>
  <c r="I380" i="26"/>
  <c r="M379" i="26"/>
  <c r="I379" i="26"/>
  <c r="M378" i="26"/>
  <c r="I378" i="26"/>
  <c r="M377" i="26"/>
  <c r="I377" i="26"/>
  <c r="M376" i="26"/>
  <c r="I376" i="26"/>
  <c r="M374" i="26"/>
  <c r="I374" i="26"/>
  <c r="AZ401" i="2"/>
  <c r="BJ401" i="2" s="1"/>
  <c r="AZ400" i="2"/>
  <c r="BJ400" i="2" s="1"/>
  <c r="AZ399" i="2"/>
  <c r="BJ399" i="2" s="1"/>
  <c r="AZ398" i="2"/>
  <c r="BJ398" i="2" s="1"/>
  <c r="AZ397" i="2"/>
  <c r="BJ397" i="2" s="1"/>
  <c r="AZ396" i="2"/>
  <c r="BJ396" i="2" s="1"/>
  <c r="AZ395" i="2"/>
  <c r="BJ395" i="2" s="1"/>
  <c r="AZ394" i="2"/>
  <c r="BJ394" i="2" s="1"/>
  <c r="AZ393" i="2"/>
  <c r="BJ393" i="2" s="1"/>
  <c r="AZ392" i="2"/>
  <c r="BJ392" i="2" s="1"/>
  <c r="AZ391" i="2"/>
  <c r="BJ391" i="2" s="1"/>
  <c r="AZ390" i="2"/>
  <c r="BJ390" i="2" s="1"/>
  <c r="AZ389" i="2"/>
  <c r="BJ389" i="2" s="1"/>
  <c r="AZ388" i="2"/>
  <c r="BJ388" i="2" s="1"/>
  <c r="AZ387" i="2"/>
  <c r="BJ387" i="2" s="1"/>
  <c r="AZ386" i="2"/>
  <c r="BJ386" i="2" s="1"/>
  <c r="AZ385" i="2"/>
  <c r="BJ385" i="2" s="1"/>
  <c r="AZ384" i="2"/>
  <c r="BJ384" i="2" s="1"/>
  <c r="AZ382" i="2"/>
  <c r="BJ382" i="2" s="1"/>
  <c r="AZ381" i="2"/>
  <c r="BJ381" i="2" s="1"/>
  <c r="AZ380" i="2"/>
  <c r="BJ380" i="2" s="1"/>
  <c r="AZ379" i="2"/>
  <c r="BJ379" i="2" s="1"/>
  <c r="AZ378" i="2"/>
  <c r="BJ378" i="2" s="1"/>
  <c r="AZ377" i="2"/>
  <c r="BJ377" i="2" s="1"/>
  <c r="AZ376" i="2"/>
  <c r="BJ376" i="2" s="1"/>
  <c r="AZ374" i="2"/>
  <c r="BJ374" i="2" s="1"/>
  <c r="AI401" i="1"/>
  <c r="W401" i="1"/>
  <c r="AI400" i="1"/>
  <c r="AI399" i="1"/>
  <c r="AI398" i="1"/>
  <c r="W398" i="1"/>
  <c r="AI397" i="1"/>
  <c r="W397" i="1"/>
  <c r="AI396" i="1"/>
  <c r="W396" i="1"/>
  <c r="AI395" i="1"/>
  <c r="W395" i="1"/>
  <c r="AI394" i="1"/>
  <c r="W394" i="1"/>
  <c r="AI393" i="1"/>
  <c r="W393" i="1"/>
  <c r="AI392" i="1"/>
  <c r="AI391" i="1"/>
  <c r="W391" i="1"/>
  <c r="AI390" i="1"/>
  <c r="W390" i="1"/>
  <c r="W389" i="1"/>
  <c r="AK389" i="1" s="1"/>
  <c r="AI388" i="1"/>
  <c r="AI387" i="1"/>
  <c r="W387" i="1"/>
  <c r="AI386" i="1"/>
  <c r="W386" i="1"/>
  <c r="AI385" i="1"/>
  <c r="W385" i="1"/>
  <c r="AI384" i="1"/>
  <c r="W384" i="1"/>
  <c r="AI383" i="1"/>
  <c r="W383" i="1"/>
  <c r="AI382" i="1"/>
  <c r="W382" i="1"/>
  <c r="AI381" i="1"/>
  <c r="W381" i="1"/>
  <c r="AI380" i="1"/>
  <c r="W380" i="1"/>
  <c r="AI379" i="1"/>
  <c r="W379" i="1"/>
  <c r="AI378" i="1"/>
  <c r="W378" i="1"/>
  <c r="AI377" i="1"/>
  <c r="W377" i="1"/>
  <c r="AI376" i="1"/>
  <c r="W376" i="1"/>
  <c r="AI374" i="1"/>
  <c r="W374" i="1"/>
  <c r="AW401" i="17"/>
  <c r="AW400" i="17"/>
  <c r="AW399" i="17"/>
  <c r="AW398" i="17"/>
  <c r="AW397" i="17"/>
  <c r="AW396" i="17"/>
  <c r="AW395" i="17"/>
  <c r="AW394" i="17"/>
  <c r="AW393" i="17"/>
  <c r="AW392" i="17"/>
  <c r="AW391" i="17"/>
  <c r="AW390" i="17"/>
  <c r="AW389" i="17"/>
  <c r="AW388" i="17"/>
  <c r="AW387" i="17"/>
  <c r="AY387" i="17" s="1"/>
  <c r="AW386" i="17"/>
  <c r="AW385" i="17"/>
  <c r="AW384" i="17"/>
  <c r="AW383" i="17"/>
  <c r="AW382" i="17"/>
  <c r="AW381" i="17"/>
  <c r="AW380" i="17"/>
  <c r="AW379" i="17"/>
  <c r="AW378" i="17"/>
  <c r="AW377" i="17"/>
  <c r="AW376" i="17"/>
  <c r="AW374" i="17"/>
  <c r="K401" i="15"/>
  <c r="AE400" i="15"/>
  <c r="K400" i="15"/>
  <c r="AE399" i="15"/>
  <c r="K399" i="15"/>
  <c r="AE398" i="15"/>
  <c r="K398" i="15"/>
  <c r="AE397" i="15"/>
  <c r="K397" i="15"/>
  <c r="AE396" i="15"/>
  <c r="K396" i="15"/>
  <c r="AE395" i="15"/>
  <c r="K395" i="15"/>
  <c r="AE394" i="15"/>
  <c r="K394" i="15"/>
  <c r="K393" i="15"/>
  <c r="AE392" i="15"/>
  <c r="K392" i="15"/>
  <c r="AE391" i="15"/>
  <c r="K391" i="15"/>
  <c r="AE390" i="15"/>
  <c r="K390" i="15"/>
  <c r="AE389" i="15"/>
  <c r="K389" i="15"/>
  <c r="AE388" i="15"/>
  <c r="K388" i="15"/>
  <c r="AE386" i="15"/>
  <c r="K386" i="15"/>
  <c r="AE385" i="15"/>
  <c r="K385" i="15"/>
  <c r="AE384" i="15"/>
  <c r="K384" i="15"/>
  <c r="AE383" i="15"/>
  <c r="K383" i="15"/>
  <c r="AE382" i="15"/>
  <c r="K382" i="15"/>
  <c r="AE381" i="15"/>
  <c r="K381" i="15"/>
  <c r="AE380" i="15"/>
  <c r="K380" i="15"/>
  <c r="AE379" i="15"/>
  <c r="K379" i="15"/>
  <c r="AE378" i="15"/>
  <c r="K378" i="15"/>
  <c r="AE377" i="15"/>
  <c r="K377" i="15"/>
  <c r="AE376" i="15"/>
  <c r="K376" i="15"/>
  <c r="AE374" i="15"/>
  <c r="K374" i="15"/>
  <c r="E401" i="16"/>
  <c r="E400" i="16"/>
  <c r="E399" i="16"/>
  <c r="E398" i="16"/>
  <c r="E397" i="16"/>
  <c r="E396" i="16"/>
  <c r="E395" i="16"/>
  <c r="E394" i="16"/>
  <c r="E393" i="16"/>
  <c r="E392" i="16"/>
  <c r="E391" i="16"/>
  <c r="E390" i="16"/>
  <c r="E389" i="16"/>
  <c r="E388" i="16"/>
  <c r="E387" i="16"/>
  <c r="E386" i="16"/>
  <c r="E385" i="16"/>
  <c r="E384" i="16"/>
  <c r="E383" i="16"/>
  <c r="E382" i="16"/>
  <c r="E381" i="16"/>
  <c r="E380" i="16"/>
  <c r="U379" i="16"/>
  <c r="E379" i="16"/>
  <c r="U378" i="16"/>
  <c r="E378" i="16"/>
  <c r="U377" i="16"/>
  <c r="E377" i="16"/>
  <c r="U376" i="16"/>
  <c r="E376" i="16"/>
  <c r="U374" i="16"/>
  <c r="E374" i="16"/>
  <c r="AE374" i="26" l="1"/>
  <c r="AE377" i="26"/>
  <c r="AE379" i="26"/>
  <c r="AE381" i="26"/>
  <c r="AE383" i="26"/>
  <c r="AE385" i="26"/>
  <c r="AE389" i="26"/>
  <c r="AE393" i="26"/>
  <c r="AE395" i="26"/>
  <c r="AE399" i="26"/>
  <c r="AE397" i="26"/>
  <c r="AE387" i="26"/>
  <c r="AE376" i="26"/>
  <c r="AE378" i="26"/>
  <c r="AE380" i="26"/>
  <c r="AE382" i="26"/>
  <c r="AE384" i="26"/>
  <c r="AE386" i="26"/>
  <c r="AE388" i="26"/>
  <c r="AE390" i="26"/>
  <c r="AE392" i="26"/>
  <c r="AE394" i="26"/>
  <c r="AE398" i="26"/>
  <c r="AE400" i="26"/>
  <c r="BL303" i="2"/>
  <c r="AE401" i="26"/>
  <c r="AE396" i="26"/>
  <c r="AE391" i="26"/>
  <c r="BL389" i="2"/>
  <c r="BT304" i="2"/>
  <c r="BV304" i="2" s="1"/>
  <c r="BL303" i="25"/>
  <c r="BT303" i="25" s="1"/>
  <c r="BV303" i="25" s="1"/>
  <c r="AG374" i="15"/>
  <c r="AG378" i="15"/>
  <c r="AO374" i="22"/>
  <c r="AO376" i="22"/>
  <c r="AO382" i="22"/>
  <c r="AO389" i="22"/>
  <c r="AO399" i="22"/>
  <c r="AO378" i="22"/>
  <c r="AO379" i="22"/>
  <c r="AO380" i="22"/>
  <c r="W381" i="22"/>
  <c r="AO381" i="22" s="1"/>
  <c r="AO384" i="22"/>
  <c r="AO385" i="22"/>
  <c r="AO386" i="22"/>
  <c r="AO387" i="22"/>
  <c r="W388" i="22"/>
  <c r="AO388" i="22" s="1"/>
  <c r="AO391" i="22"/>
  <c r="W392" i="22"/>
  <c r="AO392" i="22" s="1"/>
  <c r="AO394" i="22"/>
  <c r="AO395" i="22"/>
  <c r="AO396" i="22"/>
  <c r="AO397" i="22"/>
  <c r="AO400" i="22"/>
  <c r="W401" i="22"/>
  <c r="AO401" i="22" s="1"/>
  <c r="AK374" i="1"/>
  <c r="BL374" i="2" s="1"/>
  <c r="AK378" i="1"/>
  <c r="BL378" i="2" s="1"/>
  <c r="AK379" i="1"/>
  <c r="BL379" i="2" s="1"/>
  <c r="AK383" i="1"/>
  <c r="AG380" i="15"/>
  <c r="AG381" i="15"/>
  <c r="AG382" i="15"/>
  <c r="AG383" i="15"/>
  <c r="AG384" i="15"/>
  <c r="AG385" i="15"/>
  <c r="AG386" i="15"/>
  <c r="AG388" i="15"/>
  <c r="AY388" i="17" s="1"/>
  <c r="AG395" i="15"/>
  <c r="AY395" i="17" s="1"/>
  <c r="AG396" i="15"/>
  <c r="AY396" i="17" s="1"/>
  <c r="AG397" i="15"/>
  <c r="AY397" i="17" s="1"/>
  <c r="AG398" i="15"/>
  <c r="AY398" i="17" s="1"/>
  <c r="AK391" i="1"/>
  <c r="BL391" i="2" s="1"/>
  <c r="Q374" i="10"/>
  <c r="Q395" i="10"/>
  <c r="W377" i="22"/>
  <c r="AO377" i="22" s="1"/>
  <c r="W393" i="22"/>
  <c r="AO393" i="22" s="1"/>
  <c r="AG399" i="15"/>
  <c r="AY399" i="17" s="1"/>
  <c r="AZ383" i="2"/>
  <c r="BJ383" i="2" s="1"/>
  <c r="AK380" i="1"/>
  <c r="BL380" i="2" s="1"/>
  <c r="AK381" i="1"/>
  <c r="BL381" i="2" s="1"/>
  <c r="AK386" i="1"/>
  <c r="BL386" i="2" s="1"/>
  <c r="W388" i="1"/>
  <c r="AK388" i="1" s="1"/>
  <c r="BL388" i="2" s="1"/>
  <c r="W392" i="1"/>
  <c r="AK392" i="1" s="1"/>
  <c r="BL392" i="2" s="1"/>
  <c r="AK394" i="1"/>
  <c r="BL394" i="2" s="1"/>
  <c r="AK395" i="1"/>
  <c r="BL395" i="2" s="1"/>
  <c r="AK397" i="1"/>
  <c r="BL397" i="2" s="1"/>
  <c r="AK398" i="1"/>
  <c r="BL398" i="2" s="1"/>
  <c r="AK400" i="1"/>
  <c r="BL400" i="2" s="1"/>
  <c r="AK401" i="1"/>
  <c r="BL401" i="2" s="1"/>
  <c r="AZ383" i="25"/>
  <c r="BJ383" i="25" s="1"/>
  <c r="Q377" i="10"/>
  <c r="W383" i="22"/>
  <c r="AO383" i="22" s="1"/>
  <c r="W390" i="22"/>
  <c r="AO390" i="22" s="1"/>
  <c r="W398" i="22"/>
  <c r="AO398" i="22" s="1"/>
  <c r="AK376" i="1"/>
  <c r="BL376" i="2" s="1"/>
  <c r="AK382" i="1"/>
  <c r="BL382" i="2" s="1"/>
  <c r="AK384" i="1"/>
  <c r="BL384" i="2" s="1"/>
  <c r="AK387" i="1"/>
  <c r="BL387" i="2" s="1"/>
  <c r="AK390" i="1"/>
  <c r="BL390" i="2" s="1"/>
  <c r="AK396" i="1"/>
  <c r="BL396" i="2" s="1"/>
  <c r="AK399" i="1"/>
  <c r="BL399" i="2" s="1"/>
  <c r="AK393" i="1"/>
  <c r="BL393" i="2" s="1"/>
  <c r="AG377" i="15"/>
  <c r="AG389" i="15"/>
  <c r="AY389" i="17" s="1"/>
  <c r="AG390" i="15"/>
  <c r="AY390" i="17" s="1"/>
  <c r="AG391" i="15"/>
  <c r="AY391" i="17" s="1"/>
  <c r="AG392" i="15"/>
  <c r="AY392" i="17" s="1"/>
  <c r="AE393" i="15"/>
  <c r="AG393" i="15" s="1"/>
  <c r="AY393" i="17" s="1"/>
  <c r="AG394" i="15"/>
  <c r="AY394" i="17" s="1"/>
  <c r="AG400" i="15"/>
  <c r="AY400" i="17" s="1"/>
  <c r="AE401" i="15"/>
  <c r="AG401" i="15" s="1"/>
  <c r="AY401" i="17" s="1"/>
  <c r="AG376" i="15"/>
  <c r="AG379" i="15"/>
  <c r="AK377" i="1"/>
  <c r="BL377" i="2" s="1"/>
  <c r="AK385" i="1"/>
  <c r="BL385" i="2" s="1"/>
  <c r="BL383" i="2" l="1"/>
  <c r="Q283" i="10"/>
  <c r="AZ282" i="25"/>
  <c r="BJ282" i="25" s="1"/>
  <c r="AZ283" i="25"/>
  <c r="BJ283" i="25" s="1"/>
  <c r="M282" i="26"/>
  <c r="M283" i="26"/>
  <c r="M284" i="26"/>
  <c r="I282" i="26"/>
  <c r="I283" i="26"/>
  <c r="I284" i="26"/>
  <c r="I285" i="26"/>
  <c r="AZ282" i="2"/>
  <c r="BJ282" i="2" s="1"/>
  <c r="AZ283" i="2"/>
  <c r="BJ283" i="2" s="1"/>
  <c r="AW282" i="17"/>
  <c r="AW283" i="17"/>
  <c r="AW284" i="17"/>
  <c r="AW285" i="17"/>
  <c r="AE282" i="15"/>
  <c r="AE283" i="15"/>
  <c r="AE284" i="15"/>
  <c r="K281" i="15"/>
  <c r="K282" i="15"/>
  <c r="K283" i="15"/>
  <c r="K284" i="15"/>
  <c r="K285" i="15"/>
  <c r="K286" i="15"/>
  <c r="K287" i="15"/>
  <c r="U283" i="16"/>
  <c r="U284" i="16"/>
  <c r="U285" i="16"/>
  <c r="U286" i="16"/>
  <c r="Q284" i="10"/>
  <c r="AE283" i="26" l="1"/>
  <c r="AE284" i="26"/>
  <c r="AE282" i="26"/>
  <c r="AG282" i="15"/>
  <c r="AY282" i="17" s="1"/>
  <c r="BC282" i="17" s="1"/>
  <c r="BE282" i="17" s="1"/>
  <c r="AG283" i="15"/>
  <c r="AY283" i="17" s="1"/>
  <c r="BC283" i="17" s="1"/>
  <c r="BE283" i="17" s="1"/>
  <c r="W282" i="22"/>
  <c r="W283" i="22"/>
  <c r="W284" i="22"/>
  <c r="W282" i="1"/>
  <c r="W283" i="1"/>
  <c r="W284" i="1"/>
  <c r="E280" i="16"/>
  <c r="E281" i="16"/>
  <c r="E282" i="16"/>
  <c r="E283" i="16"/>
  <c r="AB283" i="16" s="1"/>
  <c r="E284" i="16"/>
  <c r="AB284" i="16" s="1"/>
  <c r="Z278" i="16"/>
  <c r="Z279" i="16"/>
  <c r="Z280" i="16"/>
  <c r="Z281" i="16"/>
  <c r="Z282" i="16"/>
  <c r="Z283" i="16"/>
  <c r="T282" i="10"/>
  <c r="T283" i="10"/>
  <c r="T284" i="10"/>
  <c r="T285" i="10"/>
  <c r="T277" i="10"/>
  <c r="T278" i="10"/>
  <c r="T279" i="10"/>
  <c r="T280" i="10"/>
  <c r="T281" i="10" l="1"/>
  <c r="W273" i="22"/>
  <c r="AE273" i="15"/>
  <c r="T272" i="10"/>
  <c r="T275" i="10"/>
  <c r="T276" i="10"/>
  <c r="Q273" i="10"/>
  <c r="W272" i="1"/>
  <c r="AE272" i="15"/>
  <c r="AZ269" i="25"/>
  <c r="BJ269" i="25" s="1"/>
  <c r="AZ270" i="25"/>
  <c r="BJ270" i="25" s="1"/>
  <c r="AZ271" i="25"/>
  <c r="BJ271" i="25" s="1"/>
  <c r="AZ272" i="25"/>
  <c r="BJ272" i="25" s="1"/>
  <c r="AZ273" i="25"/>
  <c r="BJ273" i="25" s="1"/>
  <c r="W269" i="22"/>
  <c r="W270" i="22"/>
  <c r="AO270" i="22" s="1"/>
  <c r="M270" i="26"/>
  <c r="M271" i="26"/>
  <c r="M272" i="26"/>
  <c r="M273" i="26"/>
  <c r="M275" i="26"/>
  <c r="I269" i="26"/>
  <c r="I270" i="26"/>
  <c r="I271" i="26"/>
  <c r="I272" i="26"/>
  <c r="I273" i="26"/>
  <c r="I275" i="26"/>
  <c r="AZ269" i="2"/>
  <c r="BJ269" i="2" s="1"/>
  <c r="AZ270" i="2"/>
  <c r="BJ270" i="2" s="1"/>
  <c r="AZ271" i="2"/>
  <c r="BJ271" i="2" s="1"/>
  <c r="AZ272" i="2"/>
  <c r="W269" i="1"/>
  <c r="W270" i="1"/>
  <c r="AK270" i="1" s="1"/>
  <c r="BL270" i="2" s="1"/>
  <c r="W271" i="1"/>
  <c r="AW269" i="17"/>
  <c r="AW271" i="17"/>
  <c r="AW272" i="17"/>
  <c r="AW270" i="17"/>
  <c r="AE269" i="15"/>
  <c r="AE271" i="15"/>
  <c r="K269" i="15"/>
  <c r="K270" i="15"/>
  <c r="K271" i="15"/>
  <c r="K272" i="15"/>
  <c r="K273" i="15"/>
  <c r="Z269" i="16"/>
  <c r="Z270" i="16"/>
  <c r="Z271" i="16"/>
  <c r="Z272" i="16"/>
  <c r="Z273" i="16"/>
  <c r="Z275" i="16"/>
  <c r="Z276" i="16"/>
  <c r="U269" i="16"/>
  <c r="U270" i="16"/>
  <c r="U271" i="16"/>
  <c r="U272" i="16"/>
  <c r="U273" i="16"/>
  <c r="U275" i="16"/>
  <c r="E269" i="16"/>
  <c r="E270" i="16"/>
  <c r="E271" i="16"/>
  <c r="E272" i="16"/>
  <c r="E273" i="16"/>
  <c r="E275" i="16"/>
  <c r="E276" i="16"/>
  <c r="Q269" i="10"/>
  <c r="Q270" i="10"/>
  <c r="Q271" i="10"/>
  <c r="Q272" i="10"/>
  <c r="Q275" i="10"/>
  <c r="Q276" i="10"/>
  <c r="Q277" i="10"/>
  <c r="Q278" i="10"/>
  <c r="T269" i="10"/>
  <c r="T270" i="10"/>
  <c r="T271" i="10"/>
  <c r="W268" i="1"/>
  <c r="AZ267" i="25"/>
  <c r="BJ267" i="25" s="1"/>
  <c r="AZ268" i="25"/>
  <c r="BJ268" i="25" s="1"/>
  <c r="W267" i="22"/>
  <c r="M268" i="26"/>
  <c r="M269" i="26"/>
  <c r="I268" i="26"/>
  <c r="AZ267" i="2"/>
  <c r="BJ267" i="2" s="1"/>
  <c r="AZ268" i="2"/>
  <c r="BJ268" i="2" s="1"/>
  <c r="W267" i="1"/>
  <c r="AW267" i="17"/>
  <c r="AW268" i="17"/>
  <c r="AE268" i="15"/>
  <c r="K268" i="15"/>
  <c r="Z268" i="16"/>
  <c r="U268" i="16"/>
  <c r="E268" i="16"/>
  <c r="T268" i="10"/>
  <c r="T257" i="10"/>
  <c r="T258" i="10"/>
  <c r="T259" i="10"/>
  <c r="T260" i="10"/>
  <c r="T261" i="10"/>
  <c r="T262" i="10"/>
  <c r="T263" i="10"/>
  <c r="T264" i="10"/>
  <c r="T265" i="10"/>
  <c r="T266" i="10"/>
  <c r="T267" i="10"/>
  <c r="W261" i="1"/>
  <c r="W260" i="22"/>
  <c r="W260" i="1"/>
  <c r="AW260" i="17"/>
  <c r="AZ260" i="25"/>
  <c r="AZ259" i="25"/>
  <c r="BJ259" i="25" s="1"/>
  <c r="M259" i="26"/>
  <c r="M260" i="26"/>
  <c r="I259" i="26"/>
  <c r="I260" i="26"/>
  <c r="AZ259" i="2"/>
  <c r="AZ260" i="2"/>
  <c r="W259" i="1"/>
  <c r="AK259" i="1" s="1"/>
  <c r="AW259" i="17"/>
  <c r="AE260" i="15"/>
  <c r="AE259" i="15"/>
  <c r="K259" i="15"/>
  <c r="Z259" i="16"/>
  <c r="Z260" i="16"/>
  <c r="U259" i="16"/>
  <c r="U260" i="16"/>
  <c r="E259" i="16"/>
  <c r="E260" i="16"/>
  <c r="E261" i="16"/>
  <c r="E262" i="16"/>
  <c r="T256" i="10"/>
  <c r="AW237" i="17"/>
  <c r="K238" i="15"/>
  <c r="U238" i="16"/>
  <c r="E238" i="16"/>
  <c r="W237" i="22"/>
  <c r="AZ237" i="2"/>
  <c r="BJ237" i="2" s="1"/>
  <c r="W237" i="1"/>
  <c r="AE237" i="15"/>
  <c r="K237" i="15"/>
  <c r="T237" i="10"/>
  <c r="Q237" i="10"/>
  <c r="W238" i="1"/>
  <c r="M233" i="26"/>
  <c r="M234" i="26"/>
  <c r="AW233" i="17"/>
  <c r="W231" i="22"/>
  <c r="AZ231" i="25"/>
  <c r="AZ231" i="2"/>
  <c r="BJ231" i="2" s="1"/>
  <c r="AW231" i="17"/>
  <c r="AE231" i="15"/>
  <c r="T231" i="10"/>
  <c r="Q231" i="10"/>
  <c r="AZ232" i="25"/>
  <c r="AE232" i="15"/>
  <c r="Q251" i="10"/>
  <c r="Q252" i="10"/>
  <c r="AZ217" i="2"/>
  <c r="W217" i="1"/>
  <c r="AW217" i="17"/>
  <c r="AE217" i="15"/>
  <c r="T217" i="10"/>
  <c r="Q217" i="10"/>
  <c r="W214" i="1"/>
  <c r="AZ214" i="25"/>
  <c r="BJ214" i="25" s="1"/>
  <c r="I214" i="26"/>
  <c r="AZ214" i="2"/>
  <c r="BJ214" i="2" s="1"/>
  <c r="AE214" i="15"/>
  <c r="Q214" i="10"/>
  <c r="T214" i="10"/>
  <c r="I215" i="26"/>
  <c r="Q215" i="10"/>
  <c r="W205" i="22"/>
  <c r="AZ205" i="25"/>
  <c r="BJ205" i="25" s="1"/>
  <c r="M205" i="26"/>
  <c r="I205" i="26"/>
  <c r="AZ205" i="2"/>
  <c r="AW205" i="17"/>
  <c r="AE205" i="15"/>
  <c r="Q205" i="10"/>
  <c r="T205" i="10"/>
  <c r="I204" i="26"/>
  <c r="AZ204" i="2"/>
  <c r="BJ204" i="2" s="1"/>
  <c r="W204" i="1"/>
  <c r="AZ203" i="25"/>
  <c r="AZ204" i="25"/>
  <c r="BJ204" i="25" s="1"/>
  <c r="W203" i="22"/>
  <c r="AO203" i="22" s="1"/>
  <c r="M203" i="26"/>
  <c r="M204" i="26"/>
  <c r="I203" i="26"/>
  <c r="AZ203" i="2"/>
  <c r="AZ206" i="2"/>
  <c r="BJ206" i="2" s="1"/>
  <c r="W203" i="1"/>
  <c r="AK203" i="1" s="1"/>
  <c r="AW203" i="17"/>
  <c r="AW204" i="17"/>
  <c r="AE203" i="15"/>
  <c r="AE204" i="15"/>
  <c r="K204" i="15"/>
  <c r="Z204" i="16"/>
  <c r="U204" i="16"/>
  <c r="U205" i="16"/>
  <c r="E204" i="16"/>
  <c r="E203" i="16"/>
  <c r="T203" i="10"/>
  <c r="T204" i="10"/>
  <c r="Q203" i="10"/>
  <c r="Q204" i="10"/>
  <c r="W196" i="1"/>
  <c r="AZ195" i="25"/>
  <c r="BJ195" i="25" s="1"/>
  <c r="AZ194" i="25"/>
  <c r="BJ194" i="25" s="1"/>
  <c r="W194" i="22"/>
  <c r="AO194" i="22" s="1"/>
  <c r="M194" i="26"/>
  <c r="I194" i="26"/>
  <c r="I195" i="26"/>
  <c r="AZ194" i="2"/>
  <c r="BJ194" i="2" s="1"/>
  <c r="AZ195" i="2"/>
  <c r="BJ195" i="2" s="1"/>
  <c r="W195" i="1"/>
  <c r="W194" i="1"/>
  <c r="AK194" i="1" s="1"/>
  <c r="AW194" i="17"/>
  <c r="AW195" i="17"/>
  <c r="AE194" i="15"/>
  <c r="K194" i="15"/>
  <c r="U194" i="16"/>
  <c r="Z194" i="16"/>
  <c r="E194" i="16"/>
  <c r="Q194" i="10"/>
  <c r="Q195" i="10"/>
  <c r="T194" i="10"/>
  <c r="T195" i="10"/>
  <c r="AZ192" i="25"/>
  <c r="BJ192" i="25" s="1"/>
  <c r="W192" i="22"/>
  <c r="AO192" i="22" s="1"/>
  <c r="M192" i="26"/>
  <c r="I192" i="26"/>
  <c r="AZ192" i="2"/>
  <c r="W192" i="1"/>
  <c r="AK192" i="1" s="1"/>
  <c r="AW192" i="17"/>
  <c r="AW193" i="17"/>
  <c r="AE193" i="15"/>
  <c r="AE192" i="15"/>
  <c r="K192" i="15"/>
  <c r="T192" i="10"/>
  <c r="T193" i="10"/>
  <c r="Q192" i="10"/>
  <c r="Z192" i="16"/>
  <c r="U192" i="16"/>
  <c r="U193" i="16"/>
  <c r="E192" i="16"/>
  <c r="E193" i="16"/>
  <c r="E188" i="16"/>
  <c r="W185" i="22"/>
  <c r="W185" i="1"/>
  <c r="AE185" i="15"/>
  <c r="T185" i="10"/>
  <c r="AZ185" i="25"/>
  <c r="AZ186" i="25"/>
  <c r="M185" i="26"/>
  <c r="I185" i="26"/>
  <c r="I186" i="26"/>
  <c r="AZ185" i="2"/>
  <c r="BJ185" i="2" s="1"/>
  <c r="AW185" i="17"/>
  <c r="AE268" i="26" l="1"/>
  <c r="AE270" i="26"/>
  <c r="AE275" i="26"/>
  <c r="AE260" i="26"/>
  <c r="AB259" i="16"/>
  <c r="AE203" i="26"/>
  <c r="AE259" i="26"/>
  <c r="AE272" i="26"/>
  <c r="AE204" i="26"/>
  <c r="AE273" i="26"/>
  <c r="AE271" i="26"/>
  <c r="AE205" i="26"/>
  <c r="BL194" i="2"/>
  <c r="AE185" i="26"/>
  <c r="AE192" i="26"/>
  <c r="AE194" i="26"/>
  <c r="AE269" i="26"/>
  <c r="W214" i="22"/>
  <c r="AG194" i="15"/>
  <c r="AY194" i="17" s="1"/>
  <c r="BC194" i="17" s="1"/>
  <c r="BE194" i="17" s="1"/>
  <c r="BJ192" i="2"/>
  <c r="BL192" i="2" s="1"/>
  <c r="BJ272" i="2"/>
  <c r="U203" i="16"/>
  <c r="AB203" i="16" s="1"/>
  <c r="W271" i="22"/>
  <c r="W272" i="22"/>
  <c r="BJ231" i="25"/>
  <c r="AB269" i="16"/>
  <c r="W259" i="22"/>
  <c r="BJ203" i="2"/>
  <c r="BL203" i="2" s="1"/>
  <c r="BJ205" i="2"/>
  <c r="BJ260" i="2"/>
  <c r="AE270" i="15"/>
  <c r="AG270" i="15" s="1"/>
  <c r="AY270" i="17" s="1"/>
  <c r="BC270" i="17" s="1"/>
  <c r="BE270" i="17" s="1"/>
  <c r="BJ203" i="25"/>
  <c r="BL203" i="25" s="1"/>
  <c r="BT203" i="25" s="1"/>
  <c r="BV203" i="25" s="1"/>
  <c r="AG259" i="15"/>
  <c r="AY259" i="17" s="1"/>
  <c r="BC259" i="17" s="1"/>
  <c r="BE259" i="17" s="1"/>
  <c r="W268" i="22"/>
  <c r="BJ259" i="2"/>
  <c r="BL259" i="2" s="1"/>
  <c r="K203" i="15"/>
  <c r="AG203" i="15" s="1"/>
  <c r="AY203" i="17" s="1"/>
  <c r="BC203" i="17" s="1"/>
  <c r="BE203" i="17" s="1"/>
  <c r="AG204" i="15"/>
  <c r="AY204" i="17" s="1"/>
  <c r="BC204" i="17" s="1"/>
  <c r="BE204" i="17" s="1"/>
  <c r="AB275" i="16"/>
  <c r="Q268" i="10"/>
  <c r="BJ260" i="25"/>
  <c r="AG192" i="15"/>
  <c r="AY192" i="17" s="1"/>
  <c r="BC192" i="17" s="1"/>
  <c r="BE192" i="17" s="1"/>
  <c r="AG237" i="15"/>
  <c r="AY237" i="17" s="1"/>
  <c r="BC237" i="17" s="1"/>
  <c r="BE237" i="17" s="1"/>
  <c r="AG269" i="15"/>
  <c r="AY269" i="17" s="1"/>
  <c r="BC269" i="17" s="1"/>
  <c r="BE269" i="17" s="1"/>
  <c r="AB273" i="16"/>
  <c r="T273" i="10"/>
  <c r="BL270" i="25"/>
  <c r="BT270" i="25" s="1"/>
  <c r="BV270" i="25" s="1"/>
  <c r="AG272" i="15"/>
  <c r="AY272" i="17" s="1"/>
  <c r="BC272" i="17" s="1"/>
  <c r="BE272" i="17" s="1"/>
  <c r="AG273" i="15"/>
  <c r="Z203" i="16"/>
  <c r="AB192" i="16"/>
  <c r="AB194" i="16"/>
  <c r="AB270" i="16"/>
  <c r="AB272" i="16"/>
  <c r="AG271" i="15"/>
  <c r="AY271" i="17" s="1"/>
  <c r="BC271" i="17" s="1"/>
  <c r="BE271" i="17" s="1"/>
  <c r="AB271" i="16"/>
  <c r="AG268" i="15"/>
  <c r="AY268" i="17" s="1"/>
  <c r="BC268" i="17" s="1"/>
  <c r="BE268" i="17" s="1"/>
  <c r="AB268" i="16"/>
  <c r="AB260" i="16"/>
  <c r="BL194" i="25"/>
  <c r="BT194" i="25" s="1"/>
  <c r="BL192" i="25"/>
  <c r="BT192" i="25" s="1"/>
  <c r="AB204" i="16"/>
  <c r="K185" i="15"/>
  <c r="AG185" i="15" s="1"/>
  <c r="AY185" i="17" s="1"/>
  <c r="BC185" i="17" s="1"/>
  <c r="BE185" i="17" s="1"/>
  <c r="E185" i="16"/>
  <c r="Q101" i="10"/>
  <c r="AE184" i="15"/>
  <c r="AE186" i="15"/>
  <c r="AE187" i="15"/>
  <c r="AW183" i="17"/>
  <c r="AW184" i="17"/>
  <c r="AW186" i="17"/>
  <c r="AW187" i="17"/>
  <c r="AW188" i="17"/>
  <c r="Q181" i="10"/>
  <c r="W180" i="22"/>
  <c r="W180" i="1"/>
  <c r="AZ179" i="25"/>
  <c r="W179" i="22"/>
  <c r="AW179" i="17"/>
  <c r="Q179" i="10"/>
  <c r="AZ177" i="25"/>
  <c r="W177" i="22"/>
  <c r="AO177" i="22" s="1"/>
  <c r="M177" i="26"/>
  <c r="M179" i="26"/>
  <c r="I177" i="26"/>
  <c r="I179" i="26"/>
  <c r="I180" i="26"/>
  <c r="I181" i="26"/>
  <c r="AZ177" i="2"/>
  <c r="AZ179" i="2"/>
  <c r="AZ180" i="2"/>
  <c r="W177" i="1"/>
  <c r="AK177" i="1" s="1"/>
  <c r="AW177" i="17"/>
  <c r="AE179" i="15"/>
  <c r="AE180" i="15"/>
  <c r="AE181" i="15"/>
  <c r="AE177" i="15"/>
  <c r="K177" i="15"/>
  <c r="Z177" i="16"/>
  <c r="U177" i="16"/>
  <c r="U179" i="16"/>
  <c r="E177" i="16"/>
  <c r="Q177" i="10"/>
  <c r="T177" i="10"/>
  <c r="T179" i="10"/>
  <c r="W179" i="1"/>
  <c r="Q171" i="10"/>
  <c r="W169" i="22"/>
  <c r="W169" i="1"/>
  <c r="AZ170" i="25"/>
  <c r="BJ170" i="25" s="1"/>
  <c r="W170" i="22"/>
  <c r="M169" i="26"/>
  <c r="M170" i="26"/>
  <c r="M171" i="26"/>
  <c r="AZ169" i="2"/>
  <c r="BJ169" i="2" s="1"/>
  <c r="AZ170" i="2"/>
  <c r="W170" i="1"/>
  <c r="AW169" i="17"/>
  <c r="AW170" i="17"/>
  <c r="AE169" i="15"/>
  <c r="AE170" i="15"/>
  <c r="Z169" i="16"/>
  <c r="U169" i="16"/>
  <c r="U170" i="16"/>
  <c r="U171" i="16"/>
  <c r="E169" i="16"/>
  <c r="E170" i="16"/>
  <c r="T169" i="10"/>
  <c r="T170" i="10"/>
  <c r="Q169" i="10"/>
  <c r="Q168" i="10"/>
  <c r="W164" i="22"/>
  <c r="W164" i="1"/>
  <c r="AZ163" i="25"/>
  <c r="BJ163" i="25" s="1"/>
  <c r="AZ163" i="2"/>
  <c r="W163" i="1"/>
  <c r="AW163" i="17"/>
  <c r="AZ162" i="25"/>
  <c r="W163" i="22"/>
  <c r="W162" i="22"/>
  <c r="AO162" i="22" s="1"/>
  <c r="M162" i="26"/>
  <c r="M163" i="26"/>
  <c r="I162" i="26"/>
  <c r="AZ162" i="2"/>
  <c r="BJ162" i="2" s="1"/>
  <c r="AZ164" i="2"/>
  <c r="W162" i="1"/>
  <c r="AK162" i="1" s="1"/>
  <c r="AW162" i="17"/>
  <c r="AE162" i="15"/>
  <c r="K162" i="15"/>
  <c r="Z162" i="16"/>
  <c r="Z163" i="16"/>
  <c r="U162" i="16"/>
  <c r="U163" i="16"/>
  <c r="Q162" i="10"/>
  <c r="E162" i="16"/>
  <c r="E163" i="16"/>
  <c r="E164" i="16"/>
  <c r="E165" i="16"/>
  <c r="E166" i="16"/>
  <c r="E167" i="16"/>
  <c r="T162" i="10"/>
  <c r="T163" i="10"/>
  <c r="T164" i="10"/>
  <c r="Q163" i="10"/>
  <c r="W157" i="1"/>
  <c r="W156" i="22"/>
  <c r="W156" i="1"/>
  <c r="W155" i="22"/>
  <c r="AZ155" i="25"/>
  <c r="BJ155" i="25" s="1"/>
  <c r="AZ156" i="25"/>
  <c r="BJ156" i="25" s="1"/>
  <c r="AZ154" i="25"/>
  <c r="BJ154" i="25" s="1"/>
  <c r="W154" i="22"/>
  <c r="AO154" i="22" s="1"/>
  <c r="M154" i="26"/>
  <c r="M155" i="26"/>
  <c r="M156" i="26"/>
  <c r="M157" i="26"/>
  <c r="I154" i="26"/>
  <c r="I155" i="26"/>
  <c r="AE155" i="26" s="1"/>
  <c r="I156" i="26"/>
  <c r="AE156" i="26" s="1"/>
  <c r="I157" i="26"/>
  <c r="AE157" i="26" s="1"/>
  <c r="I158" i="26"/>
  <c r="AZ155" i="2"/>
  <c r="BJ155" i="2" s="1"/>
  <c r="AZ156" i="2"/>
  <c r="BJ156" i="2" s="1"/>
  <c r="AZ154" i="2"/>
  <c r="BJ154" i="2" s="1"/>
  <c r="W155" i="1"/>
  <c r="W154" i="1"/>
  <c r="AK154" i="1" s="1"/>
  <c r="AW154" i="17"/>
  <c r="AW155" i="17"/>
  <c r="AE154" i="15"/>
  <c r="AE155" i="15"/>
  <c r="K154" i="15"/>
  <c r="U154" i="16"/>
  <c r="Z154" i="16"/>
  <c r="E154" i="16"/>
  <c r="T154" i="10"/>
  <c r="T155" i="10"/>
  <c r="T156" i="10"/>
  <c r="Q154" i="10"/>
  <c r="Q155" i="10"/>
  <c r="Q156" i="10"/>
  <c r="Q153" i="10"/>
  <c r="W153" i="1"/>
  <c r="AZ151" i="25"/>
  <c r="W151" i="22"/>
  <c r="W151" i="1"/>
  <c r="W150" i="22"/>
  <c r="T150" i="10"/>
  <c r="T151" i="10"/>
  <c r="AZ150" i="25"/>
  <c r="AZ152" i="25"/>
  <c r="BJ152" i="25" s="1"/>
  <c r="M150" i="26"/>
  <c r="M151" i="26"/>
  <c r="I150" i="26"/>
  <c r="I151" i="26"/>
  <c r="I152" i="26"/>
  <c r="I153" i="26"/>
  <c r="W150" i="1"/>
  <c r="W152" i="1"/>
  <c r="AZ150" i="2"/>
  <c r="BJ150" i="2" s="1"/>
  <c r="AW150" i="17"/>
  <c r="AW151" i="17"/>
  <c r="AE150" i="15"/>
  <c r="AE151" i="15"/>
  <c r="K150" i="15"/>
  <c r="U150" i="16"/>
  <c r="Q149" i="10"/>
  <c r="W149" i="22"/>
  <c r="AZ148" i="25"/>
  <c r="BJ148" i="25" s="1"/>
  <c r="W148" i="22"/>
  <c r="W148" i="1"/>
  <c r="W146" i="22"/>
  <c r="U143" i="16"/>
  <c r="AZ147" i="25"/>
  <c r="BJ147" i="25" s="1"/>
  <c r="M147" i="26"/>
  <c r="M148" i="26"/>
  <c r="M149" i="26"/>
  <c r="I147" i="26"/>
  <c r="I148" i="26"/>
  <c r="I149" i="26"/>
  <c r="AZ147" i="2"/>
  <c r="BJ147" i="2" s="1"/>
  <c r="AW147" i="17"/>
  <c r="K147" i="15"/>
  <c r="T147" i="10"/>
  <c r="AZ145" i="25"/>
  <c r="BJ145" i="25" s="1"/>
  <c r="AZ146" i="25"/>
  <c r="M145" i="26"/>
  <c r="M146" i="26"/>
  <c r="I145" i="26"/>
  <c r="I146" i="26"/>
  <c r="AZ145" i="2"/>
  <c r="AW145" i="17"/>
  <c r="AE145" i="15"/>
  <c r="AE146" i="15"/>
  <c r="AE147" i="15"/>
  <c r="AE148" i="15"/>
  <c r="AE149" i="15"/>
  <c r="Q142" i="10"/>
  <c r="AZ142" i="25"/>
  <c r="BJ142" i="25" s="1"/>
  <c r="W142" i="22"/>
  <c r="AO142" i="22" s="1"/>
  <c r="M142" i="26"/>
  <c r="I142" i="26"/>
  <c r="AZ142" i="2"/>
  <c r="W142" i="1"/>
  <c r="AK142" i="1" s="1"/>
  <c r="AE142" i="15"/>
  <c r="K142" i="15"/>
  <c r="U142" i="16"/>
  <c r="T142" i="10"/>
  <c r="T143" i="10"/>
  <c r="Q130" i="10"/>
  <c r="W129" i="22"/>
  <c r="AO129" i="22" s="1"/>
  <c r="Q124" i="10"/>
  <c r="T124" i="10"/>
  <c r="AZ124" i="25"/>
  <c r="W124" i="22"/>
  <c r="AO124" i="22" s="1"/>
  <c r="M124" i="26"/>
  <c r="I124" i="26"/>
  <c r="AZ124" i="2"/>
  <c r="W124" i="1"/>
  <c r="AK124" i="1" s="1"/>
  <c r="AW124" i="17"/>
  <c r="AE124" i="15"/>
  <c r="K124" i="15"/>
  <c r="U124" i="16"/>
  <c r="T118" i="10"/>
  <c r="AZ118" i="25"/>
  <c r="BJ118" i="25" s="1"/>
  <c r="W118" i="22"/>
  <c r="AO118" i="22" s="1"/>
  <c r="M118" i="26"/>
  <c r="I118" i="26"/>
  <c r="AZ118" i="2"/>
  <c r="BJ118" i="2" s="1"/>
  <c r="W118" i="1"/>
  <c r="AK118" i="1" s="1"/>
  <c r="AW118" i="17"/>
  <c r="AE118" i="15"/>
  <c r="K118" i="15"/>
  <c r="U118" i="16"/>
  <c r="Q118" i="10"/>
  <c r="AE150" i="26" l="1"/>
  <c r="AE146" i="26"/>
  <c r="AE154" i="26"/>
  <c r="AE151" i="26"/>
  <c r="AE177" i="26"/>
  <c r="BL162" i="2"/>
  <c r="AE145" i="26"/>
  <c r="AE162" i="26"/>
  <c r="AE118" i="26"/>
  <c r="AE148" i="26"/>
  <c r="BL118" i="2"/>
  <c r="BT118" i="2" s="1"/>
  <c r="BV118" i="2" s="1"/>
  <c r="AE179" i="26"/>
  <c r="BL154" i="2"/>
  <c r="AG147" i="15"/>
  <c r="AE124" i="26"/>
  <c r="AE142" i="26"/>
  <c r="AE149" i="26"/>
  <c r="AE147" i="26"/>
  <c r="BV192" i="25"/>
  <c r="BV194" i="25"/>
  <c r="AO259" i="22"/>
  <c r="BL259" i="25" s="1"/>
  <c r="BT259" i="25" s="1"/>
  <c r="BV259" i="25" s="1"/>
  <c r="BJ151" i="25"/>
  <c r="W147" i="1"/>
  <c r="W145" i="1"/>
  <c r="BJ163" i="2"/>
  <c r="BJ179" i="25"/>
  <c r="BJ179" i="2"/>
  <c r="BJ177" i="2"/>
  <c r="AG124" i="15"/>
  <c r="AY124" i="17" s="1"/>
  <c r="BC124" i="17" s="1"/>
  <c r="BE124" i="17" s="1"/>
  <c r="Q180" i="10"/>
  <c r="T180" i="10"/>
  <c r="AG177" i="15"/>
  <c r="AY177" i="17" s="1"/>
  <c r="BC177" i="17" s="1"/>
  <c r="BE177" i="17" s="1"/>
  <c r="BJ124" i="25"/>
  <c r="BL124" i="25" s="1"/>
  <c r="BT124" i="25" s="1"/>
  <c r="BV124" i="25" s="1"/>
  <c r="W147" i="22"/>
  <c r="BJ142" i="2"/>
  <c r="BL142" i="2" s="1"/>
  <c r="AW142" i="17"/>
  <c r="BJ146" i="25"/>
  <c r="W145" i="22"/>
  <c r="AG162" i="15"/>
  <c r="AY162" i="17" s="1"/>
  <c r="BC162" i="17" s="1"/>
  <c r="BE162" i="17" s="1"/>
  <c r="BJ162" i="25"/>
  <c r="BL162" i="25" s="1"/>
  <c r="BT162" i="25" s="1"/>
  <c r="BV162" i="25" s="1"/>
  <c r="BJ177" i="25"/>
  <c r="BL177" i="25" s="1"/>
  <c r="BT177" i="25" s="1"/>
  <c r="AB162" i="16"/>
  <c r="AB170" i="16"/>
  <c r="AB177" i="16"/>
  <c r="AB154" i="16"/>
  <c r="AG142" i="15"/>
  <c r="AG118" i="15"/>
  <c r="AY118" i="17" s="1"/>
  <c r="BC118" i="17" s="1"/>
  <c r="BE118" i="17" s="1"/>
  <c r="AG154" i="15"/>
  <c r="AY154" i="17" s="1"/>
  <c r="BC154" i="17" s="1"/>
  <c r="BE154" i="17" s="1"/>
  <c r="AB169" i="16"/>
  <c r="BL154" i="25"/>
  <c r="BT154" i="25" s="1"/>
  <c r="BJ150" i="25"/>
  <c r="AB163" i="16"/>
  <c r="AG150" i="15"/>
  <c r="AY150" i="17" s="1"/>
  <c r="BC150" i="17" s="1"/>
  <c r="BE150" i="17" s="1"/>
  <c r="BL142" i="25"/>
  <c r="BT142" i="25" s="1"/>
  <c r="BV142" i="25" s="1"/>
  <c r="BL118" i="25"/>
  <c r="BT118" i="25" s="1"/>
  <c r="BJ124" i="2"/>
  <c r="BL124" i="2" s="1"/>
  <c r="BL177" i="2" l="1"/>
  <c r="BT124" i="2"/>
  <c r="BV124" i="2" s="1"/>
  <c r="AY142" i="17"/>
  <c r="BC142" i="17" s="1"/>
  <c r="BE142" i="17" s="1"/>
  <c r="BV177" i="25"/>
  <c r="BV154" i="25"/>
  <c r="BV118" i="25"/>
  <c r="U114" i="16"/>
  <c r="AE114" i="15" l="1"/>
  <c r="Q114" i="10"/>
  <c r="W100" i="22"/>
  <c r="AO100" i="22" s="1"/>
  <c r="AZ99" i="25"/>
  <c r="BJ99" i="25" s="1"/>
  <c r="T88" i="10"/>
  <c r="T89" i="10"/>
  <c r="M88" i="26"/>
  <c r="I88" i="26"/>
  <c r="AE88" i="15"/>
  <c r="I87" i="26"/>
  <c r="E278" i="16"/>
  <c r="E223" i="16"/>
  <c r="Q267" i="10"/>
  <c r="Q266" i="10"/>
  <c r="Q265" i="10"/>
  <c r="Q264" i="10"/>
  <c r="Q263" i="10"/>
  <c r="Q262" i="10"/>
  <c r="Q261" i="10"/>
  <c r="Q260" i="10"/>
  <c r="Q258" i="10"/>
  <c r="Q257" i="10"/>
  <c r="Q256" i="10"/>
  <c r="AZ266" i="25"/>
  <c r="BJ266" i="25" s="1"/>
  <c r="AZ265" i="25"/>
  <c r="BJ265" i="25" s="1"/>
  <c r="AZ264" i="25"/>
  <c r="BJ264" i="25" s="1"/>
  <c r="AZ263" i="25"/>
  <c r="BJ263" i="25" s="1"/>
  <c r="AZ262" i="25"/>
  <c r="BJ262" i="25" s="1"/>
  <c r="AZ261" i="25"/>
  <c r="BJ261" i="25" s="1"/>
  <c r="AZ258" i="25"/>
  <c r="BJ258" i="25" s="1"/>
  <c r="AZ257" i="25"/>
  <c r="BJ257" i="25" s="1"/>
  <c r="AZ256" i="25"/>
  <c r="BJ256" i="25" s="1"/>
  <c r="AM269" i="22"/>
  <c r="AM268" i="22"/>
  <c r="AM267" i="22"/>
  <c r="AM266" i="22"/>
  <c r="W266" i="22"/>
  <c r="AM265" i="22"/>
  <c r="W265" i="22"/>
  <c r="AM264" i="22"/>
  <c r="W264" i="22"/>
  <c r="AM263" i="22"/>
  <c r="W263" i="22"/>
  <c r="AM262" i="22"/>
  <c r="W262" i="22"/>
  <c r="AM261" i="22"/>
  <c r="W261" i="22"/>
  <c r="AM260" i="22"/>
  <c r="AM258" i="22"/>
  <c r="W258" i="22"/>
  <c r="AM257" i="22"/>
  <c r="W257" i="22"/>
  <c r="AM256" i="22"/>
  <c r="W256" i="22"/>
  <c r="M267" i="26"/>
  <c r="I267" i="26"/>
  <c r="M266" i="26"/>
  <c r="I266" i="26"/>
  <c r="M265" i="26"/>
  <c r="M264" i="26"/>
  <c r="I264" i="26"/>
  <c r="M263" i="26"/>
  <c r="I263" i="26"/>
  <c r="M262" i="26"/>
  <c r="I262" i="26"/>
  <c r="M261" i="26"/>
  <c r="I261" i="26"/>
  <c r="M258" i="26"/>
  <c r="M257" i="26"/>
  <c r="I257" i="26"/>
  <c r="M256" i="26"/>
  <c r="I256" i="26"/>
  <c r="AZ266" i="2"/>
  <c r="BJ266" i="2" s="1"/>
  <c r="AZ265" i="2"/>
  <c r="BJ265" i="2" s="1"/>
  <c r="AZ264" i="2"/>
  <c r="BJ264" i="2" s="1"/>
  <c r="AZ263" i="2"/>
  <c r="BJ263" i="2" s="1"/>
  <c r="AZ262" i="2"/>
  <c r="BJ262" i="2" s="1"/>
  <c r="AZ261" i="2"/>
  <c r="BJ261" i="2" s="1"/>
  <c r="AZ258" i="2"/>
  <c r="BJ258" i="2" s="1"/>
  <c r="AZ257" i="2"/>
  <c r="BJ257" i="2" s="1"/>
  <c r="AZ256" i="2"/>
  <c r="BJ256" i="2" s="1"/>
  <c r="AI269" i="1"/>
  <c r="AK269" i="1" s="1"/>
  <c r="AI268" i="1"/>
  <c r="AK268" i="1" s="1"/>
  <c r="BL268" i="2" s="1"/>
  <c r="AI267" i="1"/>
  <c r="AK267" i="1" s="1"/>
  <c r="BL267" i="2" s="1"/>
  <c r="AI266" i="1"/>
  <c r="W266" i="1"/>
  <c r="AI265" i="1"/>
  <c r="W265" i="1"/>
  <c r="AI264" i="1"/>
  <c r="W264" i="1"/>
  <c r="AI263" i="1"/>
  <c r="W263" i="1"/>
  <c r="AI262" i="1"/>
  <c r="W262" i="1"/>
  <c r="AI261" i="1"/>
  <c r="AK261" i="1" s="1"/>
  <c r="AI260" i="1"/>
  <c r="AK260" i="1" s="1"/>
  <c r="BL260" i="2" s="1"/>
  <c r="AI258" i="1"/>
  <c r="W258" i="1"/>
  <c r="AI257" i="1"/>
  <c r="W257" i="1"/>
  <c r="AI256" i="1"/>
  <c r="W256" i="1"/>
  <c r="AW266" i="17"/>
  <c r="AW265" i="17"/>
  <c r="AW264" i="17"/>
  <c r="AW263" i="17"/>
  <c r="AW262" i="17"/>
  <c r="AW261" i="17"/>
  <c r="AW258" i="17"/>
  <c r="AW257" i="17"/>
  <c r="AW256" i="17"/>
  <c r="AE267" i="15"/>
  <c r="K267" i="15"/>
  <c r="AE266" i="15"/>
  <c r="K266" i="15"/>
  <c r="AE265" i="15"/>
  <c r="K265" i="15"/>
  <c r="AE264" i="15"/>
  <c r="K264" i="15"/>
  <c r="AE263" i="15"/>
  <c r="K263" i="15"/>
  <c r="AE262" i="15"/>
  <c r="K262" i="15"/>
  <c r="AE261" i="15"/>
  <c r="K261" i="15"/>
  <c r="K260" i="15"/>
  <c r="AG260" i="15" s="1"/>
  <c r="AY260" i="17" s="1"/>
  <c r="BC260" i="17" s="1"/>
  <c r="BE260" i="17" s="1"/>
  <c r="AE258" i="15"/>
  <c r="K258" i="15"/>
  <c r="AE256" i="15"/>
  <c r="K256" i="15"/>
  <c r="Z264" i="16"/>
  <c r="U264" i="16"/>
  <c r="E264" i="16"/>
  <c r="Z263" i="16"/>
  <c r="U263" i="16"/>
  <c r="E263" i="16"/>
  <c r="Z262" i="16"/>
  <c r="U262" i="16"/>
  <c r="Z261" i="16"/>
  <c r="U261" i="16"/>
  <c r="Z258" i="16"/>
  <c r="U258" i="16"/>
  <c r="E258" i="16"/>
  <c r="Z256" i="16"/>
  <c r="U256" i="16"/>
  <c r="E256" i="16"/>
  <c r="I258" i="26"/>
  <c r="I265" i="26"/>
  <c r="W583" i="22"/>
  <c r="E583" i="16"/>
  <c r="AB583" i="16" s="1"/>
  <c r="E255" i="16"/>
  <c r="E253" i="16"/>
  <c r="E252" i="16"/>
  <c r="W251" i="1"/>
  <c r="W250" i="22"/>
  <c r="E248" i="16"/>
  <c r="AZ246" i="2"/>
  <c r="BJ246" i="2" s="1"/>
  <c r="E246" i="16"/>
  <c r="E245" i="16"/>
  <c r="E237" i="16"/>
  <c r="E236" i="16"/>
  <c r="E215" i="16"/>
  <c r="Q223" i="10"/>
  <c r="Z223" i="16"/>
  <c r="E229" i="16"/>
  <c r="E212" i="16"/>
  <c r="T510" i="10"/>
  <c r="E509" i="16"/>
  <c r="E504" i="16"/>
  <c r="AB504" i="16" s="1"/>
  <c r="E608" i="16"/>
  <c r="E213" i="16"/>
  <c r="AW236" i="17"/>
  <c r="E241" i="16"/>
  <c r="AE240" i="15"/>
  <c r="E329" i="16"/>
  <c r="E607" i="16"/>
  <c r="AB607" i="16" s="1"/>
  <c r="W594" i="22"/>
  <c r="E515" i="16"/>
  <c r="AB515" i="16" s="1"/>
  <c r="T531" i="10"/>
  <c r="E531" i="16"/>
  <c r="E247" i="16"/>
  <c r="E291" i="16"/>
  <c r="T96" i="10"/>
  <c r="T95" i="10"/>
  <c r="T93" i="10"/>
  <c r="T94" i="10"/>
  <c r="T92" i="10"/>
  <c r="T91" i="10"/>
  <c r="T90" i="10"/>
  <c r="T87" i="10"/>
  <c r="T86" i="10"/>
  <c r="T85" i="10"/>
  <c r="T84" i="10"/>
  <c r="T83" i="10"/>
  <c r="Q87" i="10"/>
  <c r="Q86" i="10"/>
  <c r="Q85" i="10"/>
  <c r="Q84" i="10"/>
  <c r="Q83" i="10"/>
  <c r="M87" i="26"/>
  <c r="M86" i="26"/>
  <c r="I86" i="26"/>
  <c r="BV85" i="25"/>
  <c r="M85" i="26"/>
  <c r="I85" i="26"/>
  <c r="BV84" i="25"/>
  <c r="M84" i="26"/>
  <c r="I84" i="26"/>
  <c r="BV83" i="25"/>
  <c r="M83" i="26"/>
  <c r="I83" i="26"/>
  <c r="Z87" i="16"/>
  <c r="U87" i="16"/>
  <c r="E87" i="16"/>
  <c r="Z86" i="16"/>
  <c r="U86" i="16"/>
  <c r="E86" i="16"/>
  <c r="Z85" i="16"/>
  <c r="U85" i="16"/>
  <c r="E85" i="16"/>
  <c r="Z84" i="16"/>
  <c r="U84" i="16"/>
  <c r="E84" i="16"/>
  <c r="Z83" i="16"/>
  <c r="U83" i="16"/>
  <c r="E83" i="16"/>
  <c r="Q537" i="10"/>
  <c r="Q536" i="10"/>
  <c r="Q535" i="10"/>
  <c r="Q534" i="10"/>
  <c r="Q533" i="10"/>
  <c r="Q532" i="10"/>
  <c r="Q531" i="10"/>
  <c r="Q530" i="10"/>
  <c r="Q529" i="10"/>
  <c r="Q528" i="10"/>
  <c r="Q527" i="10"/>
  <c r="Q526" i="10"/>
  <c r="Q525" i="10"/>
  <c r="Q524" i="10"/>
  <c r="Q523" i="10"/>
  <c r="Q522" i="10"/>
  <c r="Q521" i="10"/>
  <c r="Q520" i="10"/>
  <c r="Q519" i="10"/>
  <c r="Q518" i="10"/>
  <c r="Q517" i="10"/>
  <c r="Q516" i="10"/>
  <c r="Q515" i="10"/>
  <c r="Q514" i="10"/>
  <c r="Q513" i="10"/>
  <c r="Q512" i="10"/>
  <c r="Q510" i="10"/>
  <c r="Q509" i="10"/>
  <c r="Q508" i="10"/>
  <c r="Q507" i="10"/>
  <c r="Q506" i="10"/>
  <c r="Q505" i="10"/>
  <c r="Q504" i="10"/>
  <c r="Q503" i="10"/>
  <c r="Q502" i="10"/>
  <c r="Q501" i="10"/>
  <c r="Q500" i="10"/>
  <c r="Q499" i="10"/>
  <c r="Q498" i="10"/>
  <c r="Q497" i="10"/>
  <c r="Q495" i="10"/>
  <c r="Q494" i="10"/>
  <c r="Q493" i="10"/>
  <c r="Q492" i="10"/>
  <c r="Q491" i="10"/>
  <c r="Q488" i="10"/>
  <c r="AZ537" i="25"/>
  <c r="BJ537" i="25" s="1"/>
  <c r="AZ535" i="25"/>
  <c r="BJ535" i="25" s="1"/>
  <c r="AZ534" i="25"/>
  <c r="BJ534" i="25" s="1"/>
  <c r="AZ533" i="25"/>
  <c r="BJ533" i="25" s="1"/>
  <c r="AZ532" i="25"/>
  <c r="BJ532" i="25" s="1"/>
  <c r="AZ531" i="25"/>
  <c r="BJ531" i="25" s="1"/>
  <c r="AZ530" i="25"/>
  <c r="BJ530" i="25" s="1"/>
  <c r="AZ529" i="25"/>
  <c r="BJ529" i="25" s="1"/>
  <c r="AZ528" i="25"/>
  <c r="BJ528" i="25" s="1"/>
  <c r="AZ527" i="25"/>
  <c r="BJ527" i="25" s="1"/>
  <c r="AZ526" i="25"/>
  <c r="BJ526" i="25" s="1"/>
  <c r="AZ525" i="25"/>
  <c r="BJ525" i="25" s="1"/>
  <c r="AZ524" i="25"/>
  <c r="BJ524" i="25" s="1"/>
  <c r="AZ523" i="25"/>
  <c r="BJ523" i="25" s="1"/>
  <c r="AZ522" i="25"/>
  <c r="BJ522" i="25" s="1"/>
  <c r="AZ521" i="25"/>
  <c r="BJ521" i="25" s="1"/>
  <c r="AZ520" i="25"/>
  <c r="BJ520" i="25" s="1"/>
  <c r="AZ519" i="25"/>
  <c r="BJ519" i="25" s="1"/>
  <c r="AZ518" i="25"/>
  <c r="BJ518" i="25" s="1"/>
  <c r="AZ517" i="25"/>
  <c r="BJ517" i="25" s="1"/>
  <c r="AZ516" i="25"/>
  <c r="BJ516" i="25" s="1"/>
  <c r="AZ515" i="25"/>
  <c r="BJ515" i="25" s="1"/>
  <c r="AZ514" i="25"/>
  <c r="BJ514" i="25" s="1"/>
  <c r="AZ513" i="25"/>
  <c r="BJ513" i="25" s="1"/>
  <c r="AZ512" i="25"/>
  <c r="BJ512" i="25" s="1"/>
  <c r="AZ510" i="25"/>
  <c r="BJ510" i="25" s="1"/>
  <c r="AZ509" i="25"/>
  <c r="BJ509" i="25" s="1"/>
  <c r="AZ508" i="25"/>
  <c r="BJ508" i="25" s="1"/>
  <c r="AZ507" i="25"/>
  <c r="BJ507" i="25" s="1"/>
  <c r="AZ506" i="25"/>
  <c r="BJ506" i="25" s="1"/>
  <c r="AZ505" i="25"/>
  <c r="BJ505" i="25" s="1"/>
  <c r="AZ504" i="25"/>
  <c r="BJ504" i="25" s="1"/>
  <c r="AZ503" i="25"/>
  <c r="BJ503" i="25" s="1"/>
  <c r="AZ502" i="25"/>
  <c r="BJ502" i="25" s="1"/>
  <c r="AZ501" i="25"/>
  <c r="BJ501" i="25" s="1"/>
  <c r="AZ500" i="25"/>
  <c r="BJ500" i="25" s="1"/>
  <c r="AZ499" i="25"/>
  <c r="BJ499" i="25" s="1"/>
  <c r="AZ498" i="25"/>
  <c r="BJ498" i="25" s="1"/>
  <c r="AZ497" i="25"/>
  <c r="BJ497" i="25" s="1"/>
  <c r="AZ495" i="25"/>
  <c r="BJ495" i="25" s="1"/>
  <c r="AZ494" i="25"/>
  <c r="BJ494" i="25" s="1"/>
  <c r="AZ493" i="25"/>
  <c r="BJ493" i="25" s="1"/>
  <c r="AZ492" i="25"/>
  <c r="BJ492" i="25" s="1"/>
  <c r="AZ491" i="25"/>
  <c r="BJ491" i="25" s="1"/>
  <c r="AZ488" i="25"/>
  <c r="BJ488" i="25" s="1"/>
  <c r="AM537" i="22"/>
  <c r="W537" i="22"/>
  <c r="AM536" i="22"/>
  <c r="AM534" i="22"/>
  <c r="W534" i="22"/>
  <c r="AM533" i="22"/>
  <c r="W533" i="22"/>
  <c r="AM532" i="22"/>
  <c r="W532" i="22"/>
  <c r="AM531" i="22"/>
  <c r="W531" i="22"/>
  <c r="AM530" i="22"/>
  <c r="W530" i="22"/>
  <c r="AM529" i="22"/>
  <c r="W529" i="22"/>
  <c r="AM528" i="22"/>
  <c r="W528" i="22"/>
  <c r="AM527" i="22"/>
  <c r="W527" i="22"/>
  <c r="AM526" i="22"/>
  <c r="W526" i="22"/>
  <c r="AM525" i="22"/>
  <c r="W525" i="22"/>
  <c r="AM524" i="22"/>
  <c r="W524" i="22"/>
  <c r="AM523" i="22"/>
  <c r="W523" i="22"/>
  <c r="AM522" i="22"/>
  <c r="W522" i="22"/>
  <c r="AM521" i="22"/>
  <c r="W521" i="22"/>
  <c r="AM520" i="22"/>
  <c r="W520" i="22"/>
  <c r="AM519" i="22"/>
  <c r="W519" i="22"/>
  <c r="AM518" i="22"/>
  <c r="W518" i="22"/>
  <c r="AM517" i="22"/>
  <c r="W517" i="22"/>
  <c r="AM516" i="22"/>
  <c r="W516" i="22"/>
  <c r="AM515" i="22"/>
  <c r="W515" i="22"/>
  <c r="AM514" i="22"/>
  <c r="W514" i="22"/>
  <c r="AM513" i="22"/>
  <c r="W513" i="22"/>
  <c r="AM512" i="22"/>
  <c r="W512" i="22"/>
  <c r="AM510" i="22"/>
  <c r="W510" i="22"/>
  <c r="AM509" i="22"/>
  <c r="W509" i="22"/>
  <c r="AM508" i="22"/>
  <c r="W508" i="22"/>
  <c r="AM507" i="22"/>
  <c r="W507" i="22"/>
  <c r="AM506" i="22"/>
  <c r="W506" i="22"/>
  <c r="AM505" i="22"/>
  <c r="W505" i="22"/>
  <c r="AM504" i="22"/>
  <c r="W504" i="22"/>
  <c r="AM503" i="22"/>
  <c r="W503" i="22"/>
  <c r="AM502" i="22"/>
  <c r="W502" i="22"/>
  <c r="AM501" i="22"/>
  <c r="W501" i="22"/>
  <c r="AM500" i="22"/>
  <c r="AM499" i="22"/>
  <c r="W499" i="22"/>
  <c r="AM498" i="22"/>
  <c r="W498" i="22"/>
  <c r="AM497" i="22"/>
  <c r="W497" i="22"/>
  <c r="AM495" i="22"/>
  <c r="W495" i="22"/>
  <c r="AM494" i="22"/>
  <c r="W494" i="22"/>
  <c r="AM493" i="22"/>
  <c r="W493" i="22"/>
  <c r="AM492" i="22"/>
  <c r="W492" i="22"/>
  <c r="AM491" i="22"/>
  <c r="W491" i="22"/>
  <c r="W488" i="22"/>
  <c r="M537" i="26"/>
  <c r="I537" i="26"/>
  <c r="M536" i="26"/>
  <c r="I536" i="26"/>
  <c r="M535" i="26"/>
  <c r="I535" i="26"/>
  <c r="M534" i="26"/>
  <c r="I534" i="26"/>
  <c r="M533" i="26"/>
  <c r="I533" i="26"/>
  <c r="M532" i="26"/>
  <c r="I532" i="26"/>
  <c r="M531" i="26"/>
  <c r="I531" i="26"/>
  <c r="M530" i="26"/>
  <c r="I530" i="26"/>
  <c r="M529" i="26"/>
  <c r="I529" i="26"/>
  <c r="M528" i="26"/>
  <c r="I528" i="26"/>
  <c r="M527" i="26"/>
  <c r="I527" i="26"/>
  <c r="M526" i="26"/>
  <c r="M525" i="26"/>
  <c r="I525" i="26"/>
  <c r="M524" i="26"/>
  <c r="I524" i="26"/>
  <c r="M523" i="26"/>
  <c r="I523" i="26"/>
  <c r="M522" i="26"/>
  <c r="I522" i="26"/>
  <c r="M521" i="26"/>
  <c r="I521" i="26"/>
  <c r="M520" i="26"/>
  <c r="I520" i="26"/>
  <c r="M519" i="26"/>
  <c r="I519" i="26"/>
  <c r="M518" i="26"/>
  <c r="I518" i="26"/>
  <c r="M517" i="26"/>
  <c r="I517" i="26"/>
  <c r="M516" i="26"/>
  <c r="I516" i="26"/>
  <c r="M515" i="26"/>
  <c r="I515" i="26"/>
  <c r="M514" i="26"/>
  <c r="I514" i="26"/>
  <c r="M513" i="26"/>
  <c r="I513" i="26"/>
  <c r="M512" i="26"/>
  <c r="M510" i="26"/>
  <c r="I510" i="26"/>
  <c r="M509" i="26"/>
  <c r="I509" i="26"/>
  <c r="M508" i="26"/>
  <c r="I508" i="26"/>
  <c r="M507" i="26"/>
  <c r="I507" i="26"/>
  <c r="M506" i="26"/>
  <c r="I506" i="26"/>
  <c r="M505" i="26"/>
  <c r="I505" i="26"/>
  <c r="M504" i="26"/>
  <c r="I504" i="26"/>
  <c r="M503" i="26"/>
  <c r="I503" i="26"/>
  <c r="M502" i="26"/>
  <c r="I502" i="26"/>
  <c r="M501" i="26"/>
  <c r="I501" i="26"/>
  <c r="M500" i="26"/>
  <c r="I500" i="26"/>
  <c r="M499" i="26"/>
  <c r="I499" i="26"/>
  <c r="M498" i="26"/>
  <c r="I498" i="26"/>
  <c r="M497" i="26"/>
  <c r="I497" i="26"/>
  <c r="M495" i="26"/>
  <c r="I495" i="26"/>
  <c r="M494" i="26"/>
  <c r="I494" i="26"/>
  <c r="M493" i="26"/>
  <c r="I493" i="26"/>
  <c r="M492" i="26"/>
  <c r="I492" i="26"/>
  <c r="M491" i="26"/>
  <c r="I491" i="26"/>
  <c r="M488" i="26"/>
  <c r="I488" i="26"/>
  <c r="AZ537" i="2"/>
  <c r="BJ537" i="2" s="1"/>
  <c r="AZ536" i="2"/>
  <c r="BJ536" i="2" s="1"/>
  <c r="AZ535" i="2"/>
  <c r="BJ535" i="2" s="1"/>
  <c r="AZ534" i="2"/>
  <c r="BJ534" i="2" s="1"/>
  <c r="AZ533" i="2"/>
  <c r="BJ533" i="2" s="1"/>
  <c r="AZ532" i="2"/>
  <c r="BJ532" i="2" s="1"/>
  <c r="AZ531" i="2"/>
  <c r="BJ531" i="2" s="1"/>
  <c r="AZ530" i="2"/>
  <c r="BJ530" i="2" s="1"/>
  <c r="AZ529" i="2"/>
  <c r="BJ529" i="2" s="1"/>
  <c r="AZ528" i="2"/>
  <c r="BJ528" i="2" s="1"/>
  <c r="AZ527" i="2"/>
  <c r="BJ527" i="2" s="1"/>
  <c r="AZ526" i="2"/>
  <c r="BJ526" i="2" s="1"/>
  <c r="AZ525" i="2"/>
  <c r="BJ525" i="2" s="1"/>
  <c r="AZ524" i="2"/>
  <c r="BJ524" i="2" s="1"/>
  <c r="AZ523" i="2"/>
  <c r="BJ523" i="2" s="1"/>
  <c r="AZ522" i="2"/>
  <c r="BJ522" i="2" s="1"/>
  <c r="AZ521" i="2"/>
  <c r="BJ521" i="2" s="1"/>
  <c r="AZ520" i="2"/>
  <c r="BJ520" i="2" s="1"/>
  <c r="AZ519" i="2"/>
  <c r="BJ519" i="2" s="1"/>
  <c r="AZ518" i="2"/>
  <c r="BJ518" i="2" s="1"/>
  <c r="AZ517" i="2"/>
  <c r="BJ517" i="2" s="1"/>
  <c r="AZ516" i="2"/>
  <c r="BJ516" i="2" s="1"/>
  <c r="AZ515" i="2"/>
  <c r="BJ515" i="2" s="1"/>
  <c r="AZ514" i="2"/>
  <c r="BJ514" i="2" s="1"/>
  <c r="AZ513" i="2"/>
  <c r="BJ513" i="2" s="1"/>
  <c r="AZ512" i="2"/>
  <c r="BJ512" i="2" s="1"/>
  <c r="AZ510" i="2"/>
  <c r="BJ510" i="2" s="1"/>
  <c r="AZ509" i="2"/>
  <c r="BJ509" i="2" s="1"/>
  <c r="AZ508" i="2"/>
  <c r="BJ508" i="2" s="1"/>
  <c r="AZ507" i="2"/>
  <c r="BJ507" i="2" s="1"/>
  <c r="AZ506" i="2"/>
  <c r="BJ506" i="2" s="1"/>
  <c r="AZ505" i="2"/>
  <c r="BJ505" i="2" s="1"/>
  <c r="AZ504" i="2"/>
  <c r="BJ504" i="2" s="1"/>
  <c r="AZ503" i="2"/>
  <c r="BJ503" i="2" s="1"/>
  <c r="AZ502" i="2"/>
  <c r="BJ502" i="2" s="1"/>
  <c r="AZ501" i="2"/>
  <c r="BJ501" i="2" s="1"/>
  <c r="AZ500" i="2"/>
  <c r="BJ500" i="2" s="1"/>
  <c r="AZ499" i="2"/>
  <c r="BJ499" i="2" s="1"/>
  <c r="AZ498" i="2"/>
  <c r="BJ498" i="2" s="1"/>
  <c r="AZ497" i="2"/>
  <c r="BJ497" i="2" s="1"/>
  <c r="AZ495" i="2"/>
  <c r="BJ495" i="2" s="1"/>
  <c r="AZ494" i="2"/>
  <c r="BJ494" i="2" s="1"/>
  <c r="AZ493" i="2"/>
  <c r="BJ493" i="2" s="1"/>
  <c r="AZ492" i="2"/>
  <c r="BJ492" i="2" s="1"/>
  <c r="AZ491" i="2"/>
  <c r="BJ491" i="2" s="1"/>
  <c r="AZ488" i="2"/>
  <c r="BJ488" i="2" s="1"/>
  <c r="AI537" i="1"/>
  <c r="W537" i="1"/>
  <c r="AI536" i="1"/>
  <c r="W536" i="1"/>
  <c r="AI535" i="1"/>
  <c r="W535" i="1"/>
  <c r="AI534" i="1"/>
  <c r="W534" i="1"/>
  <c r="AI533" i="1"/>
  <c r="W533" i="1"/>
  <c r="AI532" i="1"/>
  <c r="W532" i="1"/>
  <c r="AI531" i="1"/>
  <c r="W531" i="1"/>
  <c r="AI530" i="1"/>
  <c r="W530" i="1"/>
  <c r="AI529" i="1"/>
  <c r="W529" i="1"/>
  <c r="AI528" i="1"/>
  <c r="W528" i="1"/>
  <c r="AI527" i="1"/>
  <c r="W527" i="1"/>
  <c r="W526" i="1"/>
  <c r="AI525" i="1"/>
  <c r="W525" i="1"/>
  <c r="AI524" i="1"/>
  <c r="W524" i="1"/>
  <c r="AI523" i="1"/>
  <c r="W523" i="1"/>
  <c r="W522" i="1"/>
  <c r="AI521" i="1"/>
  <c r="W521" i="1"/>
  <c r="AI520" i="1"/>
  <c r="W520" i="1"/>
  <c r="AI519" i="1"/>
  <c r="W519" i="1"/>
  <c r="AI518" i="1"/>
  <c r="W518" i="1"/>
  <c r="AI517" i="1"/>
  <c r="W517" i="1"/>
  <c r="AI516" i="1"/>
  <c r="W516" i="1"/>
  <c r="AI515" i="1"/>
  <c r="W515" i="1"/>
  <c r="AI514" i="1"/>
  <c r="W514" i="1"/>
  <c r="AI513" i="1"/>
  <c r="W513" i="1"/>
  <c r="AI512" i="1"/>
  <c r="W512" i="1"/>
  <c r="AI510" i="1"/>
  <c r="W510" i="1"/>
  <c r="AI509" i="1"/>
  <c r="W509" i="1"/>
  <c r="AI508" i="1"/>
  <c r="W508" i="1"/>
  <c r="AI507" i="1"/>
  <c r="W507" i="1"/>
  <c r="AI506" i="1"/>
  <c r="W506" i="1"/>
  <c r="AI505" i="1"/>
  <c r="W505" i="1"/>
  <c r="AI504" i="1"/>
  <c r="W504" i="1"/>
  <c r="AI503" i="1"/>
  <c r="W503" i="1"/>
  <c r="AI502" i="1"/>
  <c r="W502" i="1"/>
  <c r="AI501" i="1"/>
  <c r="W501" i="1"/>
  <c r="AI500" i="1"/>
  <c r="W500" i="1"/>
  <c r="AI499" i="1"/>
  <c r="W499" i="1"/>
  <c r="AI498" i="1"/>
  <c r="W498" i="1"/>
  <c r="AI497" i="1"/>
  <c r="W497" i="1"/>
  <c r="AI495" i="1"/>
  <c r="W495" i="1"/>
  <c r="AI494" i="1"/>
  <c r="W494" i="1"/>
  <c r="AI493" i="1"/>
  <c r="W493" i="1"/>
  <c r="AI492" i="1"/>
  <c r="W492" i="1"/>
  <c r="AI491" i="1"/>
  <c r="W491" i="1"/>
  <c r="AI488" i="1"/>
  <c r="W488" i="1"/>
  <c r="Z510" i="16"/>
  <c r="AW510" i="17"/>
  <c r="AW536" i="17"/>
  <c r="AW529" i="17"/>
  <c r="AW513" i="17"/>
  <c r="AW488" i="17"/>
  <c r="AW491" i="17"/>
  <c r="AW492" i="17"/>
  <c r="AW493" i="17"/>
  <c r="AW494" i="17"/>
  <c r="AW495" i="17"/>
  <c r="AW497" i="17"/>
  <c r="AW498" i="17"/>
  <c r="AW499" i="17"/>
  <c r="AW500" i="17"/>
  <c r="AW501" i="17"/>
  <c r="AW502" i="17"/>
  <c r="AW503" i="17"/>
  <c r="AW504" i="17"/>
  <c r="AW505" i="17"/>
  <c r="AW506" i="17"/>
  <c r="AW507" i="17"/>
  <c r="AW508" i="17"/>
  <c r="AW509" i="17"/>
  <c r="AW512" i="17"/>
  <c r="AW514" i="17"/>
  <c r="AW515" i="17"/>
  <c r="AW516" i="17"/>
  <c r="AW517" i="17"/>
  <c r="AW518" i="17"/>
  <c r="AW519" i="17"/>
  <c r="AW520" i="17"/>
  <c r="AW521" i="17"/>
  <c r="AW522" i="17"/>
  <c r="AW523" i="17"/>
  <c r="AW524" i="17"/>
  <c r="AW525" i="17"/>
  <c r="AW526" i="17"/>
  <c r="AW527" i="17"/>
  <c r="AW528" i="17"/>
  <c r="AW530" i="17"/>
  <c r="AW531" i="17"/>
  <c r="AW532" i="17"/>
  <c r="AW533" i="17"/>
  <c r="AW534" i="17"/>
  <c r="AW535" i="17"/>
  <c r="AW537" i="17"/>
  <c r="K537" i="15"/>
  <c r="K536" i="15"/>
  <c r="K535" i="15"/>
  <c r="K534" i="15"/>
  <c r="K533" i="15"/>
  <c r="K532" i="15"/>
  <c r="K531" i="15"/>
  <c r="K530" i="15"/>
  <c r="K529" i="15"/>
  <c r="K528" i="15"/>
  <c r="K527" i="15"/>
  <c r="K526" i="15"/>
  <c r="K525" i="15"/>
  <c r="K524" i="15"/>
  <c r="K523" i="15"/>
  <c r="K522" i="15"/>
  <c r="K521" i="15"/>
  <c r="K520" i="15"/>
  <c r="K519" i="15"/>
  <c r="K518" i="15"/>
  <c r="K517" i="15"/>
  <c r="K516" i="15"/>
  <c r="K515" i="15"/>
  <c r="K514" i="15"/>
  <c r="K513" i="15"/>
  <c r="AE512" i="15"/>
  <c r="K512" i="15"/>
  <c r="AE510" i="15"/>
  <c r="K510" i="15"/>
  <c r="K509" i="15"/>
  <c r="K508" i="15"/>
  <c r="AE507" i="15"/>
  <c r="K507" i="15"/>
  <c r="K506" i="15"/>
  <c r="AE505" i="15"/>
  <c r="K505" i="15"/>
  <c r="K504" i="15"/>
  <c r="K503" i="15"/>
  <c r="AE502" i="15"/>
  <c r="K502" i="15"/>
  <c r="K501" i="15"/>
  <c r="K500" i="15"/>
  <c r="K499" i="15"/>
  <c r="AE498" i="15"/>
  <c r="K498" i="15"/>
  <c r="K497" i="15"/>
  <c r="K495" i="15"/>
  <c r="AE494" i="15"/>
  <c r="K494" i="15"/>
  <c r="K493" i="15"/>
  <c r="AE492" i="15"/>
  <c r="K492" i="15"/>
  <c r="AE491" i="15"/>
  <c r="K491" i="15"/>
  <c r="K488" i="15"/>
  <c r="AE488" i="15"/>
  <c r="AE493" i="15"/>
  <c r="AE495" i="15"/>
  <c r="AE497" i="15"/>
  <c r="AE499" i="15"/>
  <c r="AE500" i="15"/>
  <c r="AE501" i="15"/>
  <c r="AE503" i="15"/>
  <c r="AE504" i="15"/>
  <c r="AE506" i="15"/>
  <c r="AE508" i="15"/>
  <c r="AE509" i="15"/>
  <c r="AE513" i="15"/>
  <c r="AE514" i="15"/>
  <c r="AE515" i="15"/>
  <c r="AE516" i="15"/>
  <c r="AE517" i="15"/>
  <c r="AE518" i="15"/>
  <c r="AE519" i="15"/>
  <c r="AE520" i="15"/>
  <c r="AE521" i="15"/>
  <c r="AE522" i="15"/>
  <c r="AE523" i="15"/>
  <c r="AE524" i="15"/>
  <c r="AE525" i="15"/>
  <c r="AE526" i="15"/>
  <c r="AE527" i="15"/>
  <c r="AE528" i="15"/>
  <c r="AE529" i="15"/>
  <c r="AE530" i="15"/>
  <c r="AE531" i="15"/>
  <c r="AE532" i="15"/>
  <c r="AE533" i="15"/>
  <c r="AE534" i="15"/>
  <c r="AE535" i="15"/>
  <c r="AE536" i="15"/>
  <c r="AE537" i="15"/>
  <c r="K538" i="15"/>
  <c r="AE538" i="15"/>
  <c r="K539" i="15"/>
  <c r="AE539" i="15"/>
  <c r="E537" i="16"/>
  <c r="E536" i="16"/>
  <c r="E535" i="16"/>
  <c r="AB535" i="16" s="1"/>
  <c r="E534" i="16"/>
  <c r="E533" i="16"/>
  <c r="E532" i="16"/>
  <c r="E530" i="16"/>
  <c r="E529" i="16"/>
  <c r="E528" i="16"/>
  <c r="AB528" i="16" s="1"/>
  <c r="E527" i="16"/>
  <c r="AB527" i="16" s="1"/>
  <c r="E526" i="16"/>
  <c r="E525" i="16"/>
  <c r="E524" i="16"/>
  <c r="E523" i="16"/>
  <c r="E522" i="16"/>
  <c r="E521" i="16"/>
  <c r="E520" i="16"/>
  <c r="AB520" i="16" s="1"/>
  <c r="E519" i="16"/>
  <c r="E518" i="16"/>
  <c r="E517" i="16"/>
  <c r="E516" i="16"/>
  <c r="E514" i="16"/>
  <c r="E513" i="16"/>
  <c r="E512" i="16"/>
  <c r="E510" i="16"/>
  <c r="E508" i="16"/>
  <c r="E507" i="16"/>
  <c r="E506" i="16"/>
  <c r="E505" i="16"/>
  <c r="E503" i="16"/>
  <c r="AB503" i="16" s="1"/>
  <c r="E502" i="16"/>
  <c r="AB502" i="16" s="1"/>
  <c r="E501" i="16"/>
  <c r="AB501" i="16" s="1"/>
  <c r="E500" i="16"/>
  <c r="E499" i="16"/>
  <c r="E498" i="16"/>
  <c r="AB498" i="16" s="1"/>
  <c r="E497" i="16"/>
  <c r="AB497" i="16" s="1"/>
  <c r="E495" i="16"/>
  <c r="E494" i="16"/>
  <c r="E493" i="16"/>
  <c r="AB493" i="16" s="1"/>
  <c r="E492" i="16"/>
  <c r="E491" i="16"/>
  <c r="AB489" i="16"/>
  <c r="E488" i="16"/>
  <c r="Q210" i="10"/>
  <c r="Q209" i="10"/>
  <c r="Q208" i="10"/>
  <c r="Q207" i="10"/>
  <c r="Q206" i="10"/>
  <c r="Q202" i="10"/>
  <c r="Q201" i="10"/>
  <c r="Q200" i="10"/>
  <c r="Q199" i="10"/>
  <c r="Q198" i="10"/>
  <c r="Q197" i="10"/>
  <c r="Q196" i="10"/>
  <c r="Q193" i="10"/>
  <c r="Q191" i="10"/>
  <c r="Q190" i="10"/>
  <c r="Q185" i="10"/>
  <c r="Q184" i="10"/>
  <c r="Q183" i="10"/>
  <c r="Q182" i="10"/>
  <c r="AZ210" i="25"/>
  <c r="BJ210" i="25" s="1"/>
  <c r="AZ209" i="25"/>
  <c r="BJ209" i="25" s="1"/>
  <c r="AZ208" i="25"/>
  <c r="BJ208" i="25" s="1"/>
  <c r="AZ207" i="25"/>
  <c r="BJ207" i="25" s="1"/>
  <c r="AZ206" i="25"/>
  <c r="BJ206" i="25" s="1"/>
  <c r="AZ202" i="25"/>
  <c r="BJ202" i="25" s="1"/>
  <c r="AZ201" i="25"/>
  <c r="BJ201" i="25" s="1"/>
  <c r="AZ200" i="25"/>
  <c r="BJ200" i="25" s="1"/>
  <c r="AZ199" i="25"/>
  <c r="BJ199" i="25" s="1"/>
  <c r="AZ198" i="25"/>
  <c r="BJ198" i="25" s="1"/>
  <c r="AZ197" i="25"/>
  <c r="BJ197" i="25" s="1"/>
  <c r="AZ196" i="25"/>
  <c r="BJ196" i="25" s="1"/>
  <c r="AZ193" i="25"/>
  <c r="BJ193" i="25" s="1"/>
  <c r="AZ191" i="25"/>
  <c r="BJ191" i="25" s="1"/>
  <c r="AZ190" i="25"/>
  <c r="BJ190" i="25" s="1"/>
  <c r="AZ189" i="25"/>
  <c r="BJ189" i="25" s="1"/>
  <c r="AZ188" i="25"/>
  <c r="BJ188" i="25" s="1"/>
  <c r="AZ187" i="25"/>
  <c r="BJ187" i="25" s="1"/>
  <c r="BJ186" i="25"/>
  <c r="AZ184" i="25"/>
  <c r="BJ184" i="25" s="1"/>
  <c r="AZ183" i="25"/>
  <c r="BJ183" i="25" s="1"/>
  <c r="AZ182" i="25"/>
  <c r="BJ182" i="25" s="1"/>
  <c r="W210" i="22"/>
  <c r="W209" i="22"/>
  <c r="W208" i="22"/>
  <c r="W207" i="22"/>
  <c r="W206" i="22"/>
  <c r="W204" i="22"/>
  <c r="W202" i="22"/>
  <c r="W201" i="22"/>
  <c r="W200" i="22"/>
  <c r="W199" i="22"/>
  <c r="W198" i="22"/>
  <c r="W197" i="22"/>
  <c r="W196" i="22"/>
  <c r="W195" i="22"/>
  <c r="W193" i="22"/>
  <c r="W191" i="22"/>
  <c r="W190" i="22"/>
  <c r="W189" i="22"/>
  <c r="W188" i="22"/>
  <c r="W187" i="22"/>
  <c r="W184" i="22"/>
  <c r="W183" i="22"/>
  <c r="W182" i="22"/>
  <c r="M210" i="26"/>
  <c r="I210" i="26"/>
  <c r="M209" i="26"/>
  <c r="I209" i="26"/>
  <c r="M208" i="26"/>
  <c r="I208" i="26"/>
  <c r="M207" i="26"/>
  <c r="I207" i="26"/>
  <c r="M206" i="26"/>
  <c r="I206" i="26"/>
  <c r="M202" i="26"/>
  <c r="I202" i="26"/>
  <c r="M201" i="26"/>
  <c r="I201" i="26"/>
  <c r="M200" i="26"/>
  <c r="I200" i="26"/>
  <c r="M199" i="26"/>
  <c r="I199" i="26"/>
  <c r="M198" i="26"/>
  <c r="I198" i="26"/>
  <c r="M197" i="26"/>
  <c r="I197" i="26"/>
  <c r="M196" i="26"/>
  <c r="I196" i="26"/>
  <c r="M195" i="26"/>
  <c r="AE195" i="26" s="1"/>
  <c r="M193" i="26"/>
  <c r="I193" i="26"/>
  <c r="M191" i="26"/>
  <c r="I191" i="26"/>
  <c r="M190" i="26"/>
  <c r="I190" i="26"/>
  <c r="M189" i="26"/>
  <c r="I189" i="26"/>
  <c r="M188" i="26"/>
  <c r="I188" i="26"/>
  <c r="M187" i="26"/>
  <c r="I187" i="26"/>
  <c r="M186" i="26"/>
  <c r="AE186" i="26" s="1"/>
  <c r="M184" i="26"/>
  <c r="I184" i="26"/>
  <c r="M183" i="26"/>
  <c r="I183" i="26"/>
  <c r="M182" i="26"/>
  <c r="I182" i="26"/>
  <c r="AZ210" i="2"/>
  <c r="BJ210" i="2" s="1"/>
  <c r="AZ209" i="2"/>
  <c r="BJ209" i="2" s="1"/>
  <c r="AZ208" i="2"/>
  <c r="BJ208" i="2" s="1"/>
  <c r="AZ207" i="2"/>
  <c r="BJ207" i="2" s="1"/>
  <c r="AZ202" i="2"/>
  <c r="BJ202" i="2" s="1"/>
  <c r="BT203" i="2" s="1"/>
  <c r="BV203" i="2" s="1"/>
  <c r="AZ201" i="2"/>
  <c r="BJ201" i="2" s="1"/>
  <c r="AZ200" i="2"/>
  <c r="BJ200" i="2" s="1"/>
  <c r="AZ199" i="2"/>
  <c r="BJ199" i="2" s="1"/>
  <c r="AZ198" i="2"/>
  <c r="BJ198" i="2" s="1"/>
  <c r="AZ197" i="2"/>
  <c r="BJ197" i="2" s="1"/>
  <c r="AZ196" i="2"/>
  <c r="BJ196" i="2" s="1"/>
  <c r="AZ193" i="2"/>
  <c r="BJ193" i="2" s="1"/>
  <c r="AZ191" i="2"/>
  <c r="BJ191" i="2" s="1"/>
  <c r="AZ190" i="2"/>
  <c r="BJ190" i="2" s="1"/>
  <c r="AZ189" i="2"/>
  <c r="BJ189" i="2" s="1"/>
  <c r="AZ188" i="2"/>
  <c r="BJ188" i="2" s="1"/>
  <c r="AZ187" i="2"/>
  <c r="BJ187" i="2" s="1"/>
  <c r="AZ186" i="2"/>
  <c r="BJ186" i="2" s="1"/>
  <c r="AZ184" i="2"/>
  <c r="BJ184" i="2" s="1"/>
  <c r="AZ183" i="2"/>
  <c r="BJ183" i="2" s="1"/>
  <c r="AZ182" i="2"/>
  <c r="BJ182" i="2" s="1"/>
  <c r="W210" i="1"/>
  <c r="W209" i="1"/>
  <c r="W208" i="1"/>
  <c r="W207" i="1"/>
  <c r="W206" i="1"/>
  <c r="W205" i="1"/>
  <c r="W202" i="1"/>
  <c r="W201" i="1"/>
  <c r="W200" i="1"/>
  <c r="W199" i="1"/>
  <c r="W198" i="1"/>
  <c r="W197" i="1"/>
  <c r="W193" i="1"/>
  <c r="AK193" i="1" s="1"/>
  <c r="W191" i="1"/>
  <c r="W190" i="1"/>
  <c r="W189" i="1"/>
  <c r="W188" i="1"/>
  <c r="W187" i="1"/>
  <c r="W186" i="1"/>
  <c r="W184" i="1"/>
  <c r="W183" i="1"/>
  <c r="W182" i="1"/>
  <c r="K210" i="15"/>
  <c r="K209" i="15"/>
  <c r="K208" i="15"/>
  <c r="K207" i="15"/>
  <c r="K205" i="15"/>
  <c r="AG205" i="15" s="1"/>
  <c r="AY205" i="17" s="1"/>
  <c r="BC205" i="17" s="1"/>
  <c r="BE205" i="17" s="1"/>
  <c r="K202" i="15"/>
  <c r="K201" i="15"/>
  <c r="K200" i="15"/>
  <c r="K199" i="15"/>
  <c r="K198" i="15"/>
  <c r="K197" i="15"/>
  <c r="K196" i="15"/>
  <c r="K195" i="15"/>
  <c r="K193" i="15"/>
  <c r="AG193" i="15" s="1"/>
  <c r="AY193" i="17" s="1"/>
  <c r="BC193" i="17" s="1"/>
  <c r="BE193" i="17" s="1"/>
  <c r="K191" i="15"/>
  <c r="K190" i="15"/>
  <c r="K189" i="15"/>
  <c r="K188" i="15"/>
  <c r="K187" i="15"/>
  <c r="AG187" i="15" s="1"/>
  <c r="AY187" i="17" s="1"/>
  <c r="BC187" i="17" s="1"/>
  <c r="BE187" i="17" s="1"/>
  <c r="K186" i="15"/>
  <c r="AG186" i="15" s="1"/>
  <c r="AY186" i="17" s="1"/>
  <c r="BC186" i="17" s="1"/>
  <c r="BE186" i="17" s="1"/>
  <c r="K184" i="15"/>
  <c r="AG184" i="15" s="1"/>
  <c r="AY184" i="17" s="1"/>
  <c r="BC184" i="17" s="1"/>
  <c r="BE184" i="17" s="1"/>
  <c r="K183" i="15"/>
  <c r="K182" i="15"/>
  <c r="U210" i="16"/>
  <c r="U209" i="16"/>
  <c r="U208" i="16"/>
  <c r="U207" i="16"/>
  <c r="U206" i="16"/>
  <c r="U202" i="16"/>
  <c r="U201" i="16"/>
  <c r="U200" i="16"/>
  <c r="U199" i="16"/>
  <c r="U198" i="16"/>
  <c r="U197" i="16"/>
  <c r="U196" i="16"/>
  <c r="U195" i="16"/>
  <c r="U191" i="16"/>
  <c r="U190" i="16"/>
  <c r="U189" i="16"/>
  <c r="U188" i="16"/>
  <c r="U187" i="16"/>
  <c r="U186" i="16"/>
  <c r="U185" i="16"/>
  <c r="U184" i="16"/>
  <c r="U183" i="16"/>
  <c r="U182" i="16"/>
  <c r="U88" i="16"/>
  <c r="U89" i="16"/>
  <c r="E596" i="16"/>
  <c r="E595" i="16"/>
  <c r="E594" i="16"/>
  <c r="E593" i="16"/>
  <c r="E592" i="16"/>
  <c r="E591" i="16"/>
  <c r="E590" i="16"/>
  <c r="E589" i="16"/>
  <c r="E588" i="16"/>
  <c r="E587" i="16"/>
  <c r="E586" i="16"/>
  <c r="E585" i="16"/>
  <c r="AB585" i="16" s="1"/>
  <c r="E584" i="16"/>
  <c r="E582" i="16"/>
  <c r="E581" i="16"/>
  <c r="E580" i="16"/>
  <c r="AB580" i="16" s="1"/>
  <c r="E576" i="16"/>
  <c r="K596" i="15"/>
  <c r="K595" i="15"/>
  <c r="K594" i="15"/>
  <c r="AE593" i="15"/>
  <c r="K593" i="15"/>
  <c r="AE592" i="15"/>
  <c r="K592" i="15"/>
  <c r="K591" i="15"/>
  <c r="K590" i="15"/>
  <c r="K589" i="15"/>
  <c r="AE588" i="15"/>
  <c r="K588" i="15"/>
  <c r="AE587" i="15"/>
  <c r="K587" i="15"/>
  <c r="AE586" i="15"/>
  <c r="K586" i="15"/>
  <c r="AE585" i="15"/>
  <c r="K585" i="15"/>
  <c r="AE584" i="15"/>
  <c r="K584" i="15"/>
  <c r="AE583" i="15"/>
  <c r="K583" i="15"/>
  <c r="K582" i="15"/>
  <c r="K581" i="15"/>
  <c r="K580" i="15"/>
  <c r="K576" i="15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6" i="1"/>
  <c r="AZ596" i="2"/>
  <c r="BJ596" i="2" s="1"/>
  <c r="AZ595" i="2"/>
  <c r="BJ595" i="2" s="1"/>
  <c r="AZ594" i="2"/>
  <c r="BJ594" i="2" s="1"/>
  <c r="AZ593" i="2"/>
  <c r="BJ593" i="2" s="1"/>
  <c r="AZ592" i="2"/>
  <c r="BJ592" i="2" s="1"/>
  <c r="AZ591" i="2"/>
  <c r="BJ591" i="2" s="1"/>
  <c r="AZ590" i="2"/>
  <c r="BJ590" i="2" s="1"/>
  <c r="AZ589" i="2"/>
  <c r="BJ589" i="2" s="1"/>
  <c r="AZ588" i="2"/>
  <c r="BJ588" i="2" s="1"/>
  <c r="AZ587" i="2"/>
  <c r="BJ587" i="2" s="1"/>
  <c r="AZ586" i="2"/>
  <c r="BJ586" i="2" s="1"/>
  <c r="AZ585" i="2"/>
  <c r="BJ585" i="2" s="1"/>
  <c r="AZ584" i="2"/>
  <c r="BJ584" i="2" s="1"/>
  <c r="AZ583" i="2"/>
  <c r="BJ583" i="2" s="1"/>
  <c r="AZ582" i="2"/>
  <c r="BJ582" i="2" s="1"/>
  <c r="AZ581" i="2"/>
  <c r="BJ581" i="2" s="1"/>
  <c r="AZ580" i="2"/>
  <c r="BJ580" i="2" s="1"/>
  <c r="AZ576" i="2"/>
  <c r="BJ576" i="2" s="1"/>
  <c r="M596" i="26"/>
  <c r="I596" i="26"/>
  <c r="M595" i="26"/>
  <c r="I595" i="26"/>
  <c r="M594" i="26"/>
  <c r="I594" i="26"/>
  <c r="M593" i="26"/>
  <c r="I593" i="26"/>
  <c r="M592" i="26"/>
  <c r="I592" i="26"/>
  <c r="M591" i="26"/>
  <c r="I591" i="26"/>
  <c r="M590" i="26"/>
  <c r="I590" i="26"/>
  <c r="M589" i="26"/>
  <c r="I589" i="26"/>
  <c r="M588" i="26"/>
  <c r="I588" i="26"/>
  <c r="M587" i="26"/>
  <c r="I587" i="26"/>
  <c r="M586" i="26"/>
  <c r="I586" i="26"/>
  <c r="M585" i="26"/>
  <c r="I585" i="26"/>
  <c r="M584" i="26"/>
  <c r="I584" i="26"/>
  <c r="M583" i="26"/>
  <c r="I583" i="26"/>
  <c r="M582" i="26"/>
  <c r="I582" i="26"/>
  <c r="M581" i="26"/>
  <c r="I581" i="26"/>
  <c r="M580" i="26"/>
  <c r="I580" i="26"/>
  <c r="M576" i="26"/>
  <c r="I576" i="26"/>
  <c r="W596" i="22"/>
  <c r="W595" i="22"/>
  <c r="W593" i="22"/>
  <c r="W592" i="22"/>
  <c r="W591" i="22"/>
  <c r="W590" i="22"/>
  <c r="W589" i="22"/>
  <c r="W588" i="22"/>
  <c r="AO588" i="22" s="1"/>
  <c r="W587" i="22"/>
  <c r="W586" i="22"/>
  <c r="W585" i="22"/>
  <c r="W584" i="22"/>
  <c r="W582" i="22"/>
  <c r="W581" i="22"/>
  <c r="W580" i="22"/>
  <c r="W576" i="22"/>
  <c r="AZ596" i="25"/>
  <c r="BJ596" i="25" s="1"/>
  <c r="AZ595" i="25"/>
  <c r="BJ595" i="25" s="1"/>
  <c r="AZ594" i="25"/>
  <c r="BJ594" i="25" s="1"/>
  <c r="AZ593" i="25"/>
  <c r="BJ593" i="25" s="1"/>
  <c r="AZ592" i="25"/>
  <c r="BJ592" i="25" s="1"/>
  <c r="AZ591" i="25"/>
  <c r="BJ591" i="25" s="1"/>
  <c r="AZ590" i="25"/>
  <c r="BJ590" i="25" s="1"/>
  <c r="AZ589" i="25"/>
  <c r="BJ589" i="25" s="1"/>
  <c r="AZ588" i="25"/>
  <c r="BJ588" i="25" s="1"/>
  <c r="AZ587" i="25"/>
  <c r="BJ587" i="25" s="1"/>
  <c r="AZ586" i="25"/>
  <c r="BJ586" i="25" s="1"/>
  <c r="AZ585" i="25"/>
  <c r="BJ585" i="25" s="1"/>
  <c r="AZ584" i="25"/>
  <c r="BJ584" i="25" s="1"/>
  <c r="AZ583" i="25"/>
  <c r="BJ583" i="25" s="1"/>
  <c r="AZ582" i="25"/>
  <c r="BJ582" i="25" s="1"/>
  <c r="AZ581" i="25"/>
  <c r="BJ581" i="25" s="1"/>
  <c r="AZ580" i="25"/>
  <c r="BJ580" i="25" s="1"/>
  <c r="AZ576" i="25"/>
  <c r="BJ576" i="25" s="1"/>
  <c r="BJ185" i="25"/>
  <c r="AZ436" i="25"/>
  <c r="BJ436" i="25" s="1"/>
  <c r="AZ435" i="25"/>
  <c r="BJ435" i="25" s="1"/>
  <c r="AZ434" i="25"/>
  <c r="BJ434" i="25" s="1"/>
  <c r="AZ433" i="25"/>
  <c r="BJ433" i="25" s="1"/>
  <c r="AZ427" i="25"/>
  <c r="BJ427" i="25" s="1"/>
  <c r="AZ426" i="25"/>
  <c r="BJ426" i="25" s="1"/>
  <c r="AZ425" i="25"/>
  <c r="BJ425" i="25" s="1"/>
  <c r="AZ424" i="25"/>
  <c r="BJ424" i="25" s="1"/>
  <c r="W436" i="22"/>
  <c r="W435" i="22"/>
  <c r="W434" i="22"/>
  <c r="W433" i="22"/>
  <c r="W427" i="22"/>
  <c r="W426" i="22"/>
  <c r="W425" i="22"/>
  <c r="W424" i="22"/>
  <c r="M436" i="26"/>
  <c r="I436" i="26"/>
  <c r="M435" i="26"/>
  <c r="I435" i="26"/>
  <c r="M434" i="26"/>
  <c r="I434" i="26"/>
  <c r="M433" i="26"/>
  <c r="I433" i="26"/>
  <c r="M427" i="26"/>
  <c r="I427" i="26"/>
  <c r="M426" i="26"/>
  <c r="I426" i="26"/>
  <c r="M425" i="26"/>
  <c r="I425" i="26"/>
  <c r="M424" i="26"/>
  <c r="I424" i="26"/>
  <c r="AZ436" i="2"/>
  <c r="BJ436" i="2" s="1"/>
  <c r="AZ435" i="2"/>
  <c r="BJ435" i="2" s="1"/>
  <c r="AZ434" i="2"/>
  <c r="BJ434" i="2" s="1"/>
  <c r="AZ433" i="2"/>
  <c r="BJ433" i="2" s="1"/>
  <c r="AZ427" i="2"/>
  <c r="BJ427" i="2" s="1"/>
  <c r="AZ426" i="2"/>
  <c r="BJ426" i="2" s="1"/>
  <c r="AZ425" i="2"/>
  <c r="BJ425" i="2" s="1"/>
  <c r="AZ424" i="2"/>
  <c r="BJ424" i="2" s="1"/>
  <c r="W436" i="1"/>
  <c r="W435" i="1"/>
  <c r="W434" i="1"/>
  <c r="W433" i="1"/>
  <c r="W427" i="1"/>
  <c r="W426" i="1"/>
  <c r="W425" i="1"/>
  <c r="W424" i="1"/>
  <c r="AE436" i="15"/>
  <c r="K436" i="15"/>
  <c r="AE435" i="15"/>
  <c r="K435" i="15"/>
  <c r="AE434" i="15"/>
  <c r="K434" i="15"/>
  <c r="AE433" i="15"/>
  <c r="K433" i="15"/>
  <c r="K427" i="15"/>
  <c r="K426" i="15"/>
  <c r="K425" i="15"/>
  <c r="K424" i="15"/>
  <c r="E436" i="16"/>
  <c r="E435" i="16"/>
  <c r="E434" i="16"/>
  <c r="E433" i="16"/>
  <c r="E427" i="16"/>
  <c r="E426" i="16"/>
  <c r="AB426" i="16" s="1"/>
  <c r="E425" i="16"/>
  <c r="E424" i="16"/>
  <c r="Q159" i="10"/>
  <c r="Q158" i="10"/>
  <c r="Q157" i="10"/>
  <c r="Q152" i="10"/>
  <c r="Q151" i="10"/>
  <c r="Q150" i="10"/>
  <c r="Q148" i="10"/>
  <c r="Q147" i="10"/>
  <c r="AZ159" i="25"/>
  <c r="BJ159" i="25" s="1"/>
  <c r="AZ158" i="25"/>
  <c r="BJ158" i="25" s="1"/>
  <c r="AZ157" i="25"/>
  <c r="BJ157" i="25" s="1"/>
  <c r="AZ153" i="25"/>
  <c r="BJ153" i="25" s="1"/>
  <c r="AZ149" i="25"/>
  <c r="BJ149" i="25" s="1"/>
  <c r="W159" i="22"/>
  <c r="W158" i="22"/>
  <c r="W157" i="22"/>
  <c r="AO157" i="22" s="1"/>
  <c r="W153" i="22"/>
  <c r="AO153" i="22" s="1"/>
  <c r="W152" i="22"/>
  <c r="M159" i="26"/>
  <c r="I159" i="26"/>
  <c r="M158" i="26"/>
  <c r="AE158" i="26" s="1"/>
  <c r="M153" i="26"/>
  <c r="AE153" i="26" s="1"/>
  <c r="M152" i="26"/>
  <c r="AE152" i="26" s="1"/>
  <c r="AZ159" i="2"/>
  <c r="BJ159" i="2" s="1"/>
  <c r="AZ158" i="2"/>
  <c r="BJ158" i="2" s="1"/>
  <c r="AZ157" i="2"/>
  <c r="BJ157" i="2" s="1"/>
  <c r="AZ153" i="2"/>
  <c r="BJ153" i="2" s="1"/>
  <c r="BT154" i="2" s="1"/>
  <c r="BV154" i="2" s="1"/>
  <c r="AZ152" i="2"/>
  <c r="BJ152" i="2" s="1"/>
  <c r="AZ151" i="2"/>
  <c r="BJ151" i="2" s="1"/>
  <c r="AZ149" i="2"/>
  <c r="BJ149" i="2" s="1"/>
  <c r="AZ148" i="2"/>
  <c r="BJ148" i="2" s="1"/>
  <c r="W159" i="1"/>
  <c r="W158" i="1"/>
  <c r="W149" i="1"/>
  <c r="AE153" i="15"/>
  <c r="BV97" i="25"/>
  <c r="BV95" i="25"/>
  <c r="BV91" i="25"/>
  <c r="BV89" i="25"/>
  <c r="M630" i="26"/>
  <c r="M629" i="26"/>
  <c r="M628" i="26"/>
  <c r="M627" i="26"/>
  <c r="M625" i="26"/>
  <c r="M624" i="26"/>
  <c r="M623" i="26"/>
  <c r="M622" i="26"/>
  <c r="M621" i="26"/>
  <c r="M620" i="26"/>
  <c r="M619" i="26"/>
  <c r="M618" i="26"/>
  <c r="M617" i="26"/>
  <c r="M616" i="26"/>
  <c r="M615" i="26"/>
  <c r="M614" i="26"/>
  <c r="M613" i="26"/>
  <c r="M612" i="26"/>
  <c r="M611" i="26"/>
  <c r="M610" i="26"/>
  <c r="M609" i="26"/>
  <c r="M608" i="26"/>
  <c r="M607" i="26"/>
  <c r="M606" i="26"/>
  <c r="M605" i="26"/>
  <c r="M604" i="26"/>
  <c r="M603" i="26"/>
  <c r="M602" i="26"/>
  <c r="M601" i="26"/>
  <c r="M600" i="26"/>
  <c r="M599" i="26"/>
  <c r="M598" i="26"/>
  <c r="M575" i="26"/>
  <c r="M572" i="26"/>
  <c r="M571" i="26"/>
  <c r="M570" i="26"/>
  <c r="M568" i="26"/>
  <c r="M567" i="26"/>
  <c r="M566" i="26"/>
  <c r="M565" i="26"/>
  <c r="M564" i="26"/>
  <c r="M563" i="26"/>
  <c r="M562" i="26"/>
  <c r="M561" i="26"/>
  <c r="M560" i="26"/>
  <c r="M559" i="26"/>
  <c r="M558" i="26"/>
  <c r="M557" i="26"/>
  <c r="M556" i="26"/>
  <c r="M555" i="26"/>
  <c r="M554" i="26"/>
  <c r="M553" i="26"/>
  <c r="M552" i="26"/>
  <c r="M551" i="26"/>
  <c r="M550" i="26"/>
  <c r="M549" i="26"/>
  <c r="M548" i="26"/>
  <c r="M547" i="26"/>
  <c r="M545" i="26"/>
  <c r="M544" i="26"/>
  <c r="M543" i="26"/>
  <c r="M542" i="26"/>
  <c r="M541" i="26"/>
  <c r="M540" i="26"/>
  <c r="M539" i="26"/>
  <c r="M538" i="26"/>
  <c r="M487" i="26"/>
  <c r="M486" i="26"/>
  <c r="M485" i="26"/>
  <c r="M484" i="26"/>
  <c r="M483" i="26"/>
  <c r="M482" i="26"/>
  <c r="M481" i="26"/>
  <c r="M480" i="26"/>
  <c r="M479" i="26"/>
  <c r="M478" i="26"/>
  <c r="M477" i="26"/>
  <c r="M476" i="26"/>
  <c r="M475" i="26"/>
  <c r="M474" i="26"/>
  <c r="M473" i="26"/>
  <c r="M472" i="26"/>
  <c r="M471" i="26"/>
  <c r="M470" i="26"/>
  <c r="M469" i="26"/>
  <c r="M468" i="26"/>
  <c r="M467" i="26"/>
  <c r="M466" i="26"/>
  <c r="M465" i="26"/>
  <c r="M463" i="26"/>
  <c r="M462" i="26"/>
  <c r="M461" i="26"/>
  <c r="M460" i="26"/>
  <c r="M459" i="26"/>
  <c r="M458" i="26"/>
  <c r="M457" i="26"/>
  <c r="M456" i="26"/>
  <c r="M455" i="26"/>
  <c r="M454" i="26"/>
  <c r="M453" i="26"/>
  <c r="M452" i="26"/>
  <c r="M451" i="26"/>
  <c r="M450" i="26"/>
  <c r="M449" i="26"/>
  <c r="M447" i="26"/>
  <c r="M446" i="26"/>
  <c r="M445" i="26"/>
  <c r="M444" i="26"/>
  <c r="M443" i="26"/>
  <c r="M442" i="26"/>
  <c r="M441" i="26"/>
  <c r="M440" i="26"/>
  <c r="M439" i="26"/>
  <c r="M438" i="26"/>
  <c r="M437" i="26"/>
  <c r="M422" i="26"/>
  <c r="M420" i="26"/>
  <c r="M419" i="26"/>
  <c r="M407" i="26"/>
  <c r="M373" i="26"/>
  <c r="M372" i="26"/>
  <c r="M371" i="26"/>
  <c r="M370" i="26"/>
  <c r="M369" i="26"/>
  <c r="M368" i="26"/>
  <c r="M367" i="26"/>
  <c r="M366" i="26"/>
  <c r="M365" i="26"/>
  <c r="M364" i="26"/>
  <c r="M363" i="26"/>
  <c r="M362" i="26"/>
  <c r="M361" i="26"/>
  <c r="M360" i="26"/>
  <c r="M359" i="26"/>
  <c r="M358" i="26"/>
  <c r="M357" i="26"/>
  <c r="M356" i="26"/>
  <c r="M355" i="26"/>
  <c r="M353" i="26"/>
  <c r="M352" i="26"/>
  <c r="M351" i="26"/>
  <c r="M350" i="26"/>
  <c r="M349" i="26"/>
  <c r="M348" i="26"/>
  <c r="M347" i="26"/>
  <c r="M346" i="26"/>
  <c r="M345" i="26"/>
  <c r="M344" i="26"/>
  <c r="M343" i="26"/>
  <c r="M342" i="26"/>
  <c r="M341" i="26"/>
  <c r="M340" i="26"/>
  <c r="M339" i="26"/>
  <c r="M338" i="26"/>
  <c r="M337" i="26"/>
  <c r="M336" i="26"/>
  <c r="M334" i="26"/>
  <c r="M333" i="26"/>
  <c r="M332" i="26"/>
  <c r="M331" i="26"/>
  <c r="M330" i="26"/>
  <c r="M329" i="26"/>
  <c r="M328" i="26"/>
  <c r="M327" i="26"/>
  <c r="M325" i="26"/>
  <c r="M323" i="26"/>
  <c r="M321" i="26"/>
  <c r="M320" i="26"/>
  <c r="M319" i="26"/>
  <c r="M318" i="26"/>
  <c r="M317" i="26"/>
  <c r="M316" i="26"/>
  <c r="M315" i="26"/>
  <c r="M314" i="26"/>
  <c r="M313" i="26"/>
  <c r="M312" i="26"/>
  <c r="M311" i="26"/>
  <c r="M310" i="26"/>
  <c r="M309" i="26"/>
  <c r="M308" i="26"/>
  <c r="M307" i="26"/>
  <c r="M306" i="26"/>
  <c r="M305" i="26"/>
  <c r="M304" i="26"/>
  <c r="M302" i="26"/>
  <c r="M301" i="26"/>
  <c r="M297" i="26"/>
  <c r="M300" i="26"/>
  <c r="M299" i="26"/>
  <c r="M298" i="26"/>
  <c r="M296" i="26"/>
  <c r="M295" i="26"/>
  <c r="M293" i="26"/>
  <c r="M292" i="26"/>
  <c r="M291" i="26"/>
  <c r="M290" i="26"/>
  <c r="M289" i="26"/>
  <c r="M288" i="26"/>
  <c r="M287" i="26"/>
  <c r="M286" i="26"/>
  <c r="M285" i="26"/>
  <c r="AE285" i="26" s="1"/>
  <c r="M281" i="26"/>
  <c r="M280" i="26"/>
  <c r="M279" i="26"/>
  <c r="M278" i="26"/>
  <c r="M277" i="26"/>
  <c r="M276" i="26"/>
  <c r="M255" i="26"/>
  <c r="M254" i="26"/>
  <c r="M253" i="26"/>
  <c r="M252" i="26"/>
  <c r="M251" i="26"/>
  <c r="M250" i="26"/>
  <c r="M248" i="26"/>
  <c r="M247" i="26"/>
  <c r="M245" i="26"/>
  <c r="M244" i="26"/>
  <c r="M243" i="26"/>
  <c r="M242" i="26"/>
  <c r="M241" i="26"/>
  <c r="M240" i="26"/>
  <c r="M239" i="26"/>
  <c r="M238" i="26"/>
  <c r="M237" i="26"/>
  <c r="M236" i="26"/>
  <c r="M235" i="26"/>
  <c r="M232" i="26"/>
  <c r="M231" i="26"/>
  <c r="M230" i="26"/>
  <c r="M229" i="26"/>
  <c r="M228" i="26"/>
  <c r="M227" i="26"/>
  <c r="M226" i="26"/>
  <c r="M225" i="26"/>
  <c r="M224" i="26"/>
  <c r="M223" i="26"/>
  <c r="M222" i="26"/>
  <c r="M221" i="26"/>
  <c r="M220" i="26"/>
  <c r="M219" i="26"/>
  <c r="M218" i="26"/>
  <c r="M217" i="26"/>
  <c r="M216" i="26"/>
  <c r="M215" i="26"/>
  <c r="AE215" i="26" s="1"/>
  <c r="M214" i="26"/>
  <c r="M213" i="26"/>
  <c r="M212" i="26"/>
  <c r="M211" i="26"/>
  <c r="M181" i="26"/>
  <c r="AE181" i="26" s="1"/>
  <c r="M180" i="26"/>
  <c r="AE180" i="26" s="1"/>
  <c r="M175" i="26"/>
  <c r="M174" i="26"/>
  <c r="M172" i="26"/>
  <c r="M168" i="26"/>
  <c r="M167" i="26"/>
  <c r="M166" i="26"/>
  <c r="M165" i="26"/>
  <c r="M164" i="26"/>
  <c r="M161" i="26"/>
  <c r="M160" i="26"/>
  <c r="M144" i="26"/>
  <c r="M143" i="26"/>
  <c r="M141" i="26"/>
  <c r="M140" i="26"/>
  <c r="M139" i="26"/>
  <c r="M138" i="26"/>
  <c r="M137" i="26"/>
  <c r="M136" i="26"/>
  <c r="M135" i="26"/>
  <c r="M134" i="26"/>
  <c r="M133" i="26"/>
  <c r="M132" i="26"/>
  <c r="M131" i="26"/>
  <c r="M130" i="26"/>
  <c r="M129" i="26"/>
  <c r="M128" i="26"/>
  <c r="M127" i="26"/>
  <c r="M126" i="26"/>
  <c r="M125" i="26"/>
  <c r="M123" i="26"/>
  <c r="M122" i="26"/>
  <c r="M121" i="26"/>
  <c r="M120" i="26"/>
  <c r="M119" i="26"/>
  <c r="M117" i="26"/>
  <c r="M116" i="26"/>
  <c r="M115" i="26"/>
  <c r="M114" i="26"/>
  <c r="M113" i="26"/>
  <c r="M112" i="26"/>
  <c r="M111" i="26"/>
  <c r="M110" i="26"/>
  <c r="M109" i="26"/>
  <c r="M108" i="26"/>
  <c r="M107" i="26"/>
  <c r="M106" i="26"/>
  <c r="M105" i="26"/>
  <c r="M104" i="26"/>
  <c r="M103" i="26"/>
  <c r="M102" i="26"/>
  <c r="M101" i="26"/>
  <c r="M100" i="26"/>
  <c r="M99" i="26"/>
  <c r="M98" i="26"/>
  <c r="M97" i="26"/>
  <c r="M96" i="26"/>
  <c r="M95" i="26"/>
  <c r="M93" i="26"/>
  <c r="M94" i="26"/>
  <c r="M92" i="26"/>
  <c r="M91" i="26"/>
  <c r="M90" i="26"/>
  <c r="M89" i="26"/>
  <c r="I630" i="26"/>
  <c r="I629" i="26"/>
  <c r="I628" i="26"/>
  <c r="I627" i="26"/>
  <c r="I625" i="26"/>
  <c r="I624" i="26"/>
  <c r="I623" i="26"/>
  <c r="I622" i="26"/>
  <c r="I621" i="26"/>
  <c r="I620" i="26"/>
  <c r="I619" i="26"/>
  <c r="I618" i="26"/>
  <c r="I617" i="26"/>
  <c r="I616" i="26"/>
  <c r="I615" i="26"/>
  <c r="I614" i="26"/>
  <c r="I613" i="26"/>
  <c r="I612" i="26"/>
  <c r="I611" i="26"/>
  <c r="I610" i="26"/>
  <c r="I609" i="26"/>
  <c r="I608" i="26"/>
  <c r="I607" i="26"/>
  <c r="I606" i="26"/>
  <c r="I605" i="26"/>
  <c r="I604" i="26"/>
  <c r="I603" i="26"/>
  <c r="I602" i="26"/>
  <c r="I601" i="26"/>
  <c r="I600" i="26"/>
  <c r="I599" i="26"/>
  <c r="I598" i="26"/>
  <c r="I575" i="26"/>
  <c r="I572" i="26"/>
  <c r="I571" i="26"/>
  <c r="I570" i="26"/>
  <c r="I569" i="26"/>
  <c r="AE569" i="26" s="1"/>
  <c r="I568" i="26"/>
  <c r="I567" i="26"/>
  <c r="I566" i="26"/>
  <c r="I565" i="26"/>
  <c r="I564" i="26"/>
  <c r="I563" i="26"/>
  <c r="I562" i="26"/>
  <c r="I561" i="26"/>
  <c r="I560" i="26"/>
  <c r="I559" i="26"/>
  <c r="I558" i="26"/>
  <c r="I557" i="26"/>
  <c r="I556" i="26"/>
  <c r="I555" i="26"/>
  <c r="I554" i="26"/>
  <c r="I553" i="26"/>
  <c r="I552" i="26"/>
  <c r="I551" i="26"/>
  <c r="I550" i="26"/>
  <c r="I549" i="26"/>
  <c r="I548" i="26"/>
  <c r="I547" i="26"/>
  <c r="I545" i="26"/>
  <c r="I544" i="26"/>
  <c r="I543" i="26"/>
  <c r="I542" i="26"/>
  <c r="I541" i="26"/>
  <c r="I540" i="26"/>
  <c r="I539" i="26"/>
  <c r="I538" i="26"/>
  <c r="I487" i="26"/>
  <c r="I486" i="26"/>
  <c r="I485" i="26"/>
  <c r="I484" i="26"/>
  <c r="I483" i="26"/>
  <c r="I482" i="26"/>
  <c r="I481" i="26"/>
  <c r="I480" i="26"/>
  <c r="I479" i="26"/>
  <c r="I478" i="26"/>
  <c r="I477" i="26"/>
  <c r="I476" i="26"/>
  <c r="I475" i="26"/>
  <c r="I474" i="26"/>
  <c r="I473" i="26"/>
  <c r="I472" i="26"/>
  <c r="I471" i="26"/>
  <c r="I470" i="26"/>
  <c r="I469" i="26"/>
  <c r="I468" i="26"/>
  <c r="I467" i="26"/>
  <c r="I466" i="26"/>
  <c r="I465" i="26"/>
  <c r="I463" i="26"/>
  <c r="I462" i="26"/>
  <c r="I461" i="26"/>
  <c r="I460" i="26"/>
  <c r="I459" i="26"/>
  <c r="I458" i="26"/>
  <c r="I457" i="26"/>
  <c r="I456" i="26"/>
  <c r="I455" i="26"/>
  <c r="I454" i="26"/>
  <c r="I453" i="26"/>
  <c r="I452" i="26"/>
  <c r="I451" i="26"/>
  <c r="I450" i="26"/>
  <c r="I449" i="26"/>
  <c r="I447" i="26"/>
  <c r="I446" i="26"/>
  <c r="I445" i="26"/>
  <c r="I444" i="26"/>
  <c r="I443" i="26"/>
  <c r="I442" i="26"/>
  <c r="I441" i="26"/>
  <c r="I440" i="26"/>
  <c r="I439" i="26"/>
  <c r="I438" i="26"/>
  <c r="I437" i="26"/>
  <c r="I422" i="26"/>
  <c r="I420" i="26"/>
  <c r="I419" i="26"/>
  <c r="I407" i="26"/>
  <c r="I373" i="26"/>
  <c r="I372" i="26"/>
  <c r="I371" i="26"/>
  <c r="I370" i="26"/>
  <c r="I369" i="26"/>
  <c r="I368" i="26"/>
  <c r="I367" i="26"/>
  <c r="I366" i="26"/>
  <c r="I365" i="26"/>
  <c r="I364" i="26"/>
  <c r="I363" i="26"/>
  <c r="I362" i="26"/>
  <c r="I361" i="26"/>
  <c r="I360" i="26"/>
  <c r="I359" i="26"/>
  <c r="I358" i="26"/>
  <c r="I357" i="26"/>
  <c r="I356" i="26"/>
  <c r="I355" i="26"/>
  <c r="I353" i="26"/>
  <c r="I352" i="26"/>
  <c r="I351" i="26"/>
  <c r="I350" i="26"/>
  <c r="I349" i="26"/>
  <c r="I348" i="26"/>
  <c r="I347" i="26"/>
  <c r="I346" i="26"/>
  <c r="I345" i="26"/>
  <c r="I344" i="26"/>
  <c r="I343" i="26"/>
  <c r="I342" i="26"/>
  <c r="I341" i="26"/>
  <c r="I340" i="26"/>
  <c r="I339" i="26"/>
  <c r="I338" i="26"/>
  <c r="I337" i="26"/>
  <c r="I336" i="26"/>
  <c r="I334" i="26"/>
  <c r="I333" i="26"/>
  <c r="I332" i="26"/>
  <c r="I331" i="26"/>
  <c r="I330" i="26"/>
  <c r="I329" i="26"/>
  <c r="I328" i="26"/>
  <c r="I327" i="26"/>
  <c r="I325" i="26"/>
  <c r="I323" i="26"/>
  <c r="I321" i="26"/>
  <c r="I320" i="26"/>
  <c r="I319" i="26"/>
  <c r="I318" i="26"/>
  <c r="I317" i="26"/>
  <c r="I316" i="26"/>
  <c r="I315" i="26"/>
  <c r="I314" i="26"/>
  <c r="I313" i="26"/>
  <c r="I312" i="26"/>
  <c r="I311" i="26"/>
  <c r="I310" i="26"/>
  <c r="I309" i="26"/>
  <c r="I308" i="26"/>
  <c r="I307" i="26"/>
  <c r="I306" i="26"/>
  <c r="I305" i="26"/>
  <c r="I304" i="26"/>
  <c r="I302" i="26"/>
  <c r="I301" i="26"/>
  <c r="I297" i="26"/>
  <c r="I300" i="26"/>
  <c r="I299" i="26"/>
  <c r="I298" i="26"/>
  <c r="I296" i="26"/>
  <c r="I295" i="26"/>
  <c r="I293" i="26"/>
  <c r="I292" i="26"/>
  <c r="I291" i="26"/>
  <c r="I290" i="26"/>
  <c r="I289" i="26"/>
  <c r="I288" i="26"/>
  <c r="I287" i="26"/>
  <c r="I286" i="26"/>
  <c r="I281" i="26"/>
  <c r="I280" i="26"/>
  <c r="AE280" i="26" s="1"/>
  <c r="I279" i="26"/>
  <c r="I278" i="26"/>
  <c r="I277" i="26"/>
  <c r="I276" i="26"/>
  <c r="AE276" i="26" s="1"/>
  <c r="I255" i="26"/>
  <c r="I254" i="26"/>
  <c r="I253" i="26"/>
  <c r="I252" i="26"/>
  <c r="AE252" i="26" s="1"/>
  <c r="I251" i="26"/>
  <c r="I250" i="26"/>
  <c r="I248" i="26"/>
  <c r="I247" i="26"/>
  <c r="AE247" i="26" s="1"/>
  <c r="I246" i="26"/>
  <c r="I245" i="26"/>
  <c r="I244" i="26"/>
  <c r="I243" i="26"/>
  <c r="I242" i="26"/>
  <c r="I241" i="26"/>
  <c r="I240" i="26"/>
  <c r="I239" i="26"/>
  <c r="I238" i="26"/>
  <c r="I237" i="26"/>
  <c r="I236" i="26"/>
  <c r="I235" i="26"/>
  <c r="I234" i="26"/>
  <c r="AE234" i="26" s="1"/>
  <c r="I233" i="26"/>
  <c r="AE233" i="26" s="1"/>
  <c r="I232" i="26"/>
  <c r="I231" i="26"/>
  <c r="AE231" i="26" s="1"/>
  <c r="I230" i="26"/>
  <c r="AE230" i="26" s="1"/>
  <c r="I229" i="26"/>
  <c r="AE229" i="26" s="1"/>
  <c r="I228" i="26"/>
  <c r="AE228" i="26" s="1"/>
  <c r="I227" i="26"/>
  <c r="AE227" i="26" s="1"/>
  <c r="I226" i="26"/>
  <c r="AE226" i="26" s="1"/>
  <c r="I225" i="26"/>
  <c r="AE225" i="26" s="1"/>
  <c r="I224" i="26"/>
  <c r="AE224" i="26" s="1"/>
  <c r="I223" i="26"/>
  <c r="AE223" i="26" s="1"/>
  <c r="I222" i="26"/>
  <c r="AE222" i="26" s="1"/>
  <c r="I221" i="26"/>
  <c r="AE221" i="26" s="1"/>
  <c r="I220" i="26"/>
  <c r="AE220" i="26" s="1"/>
  <c r="I219" i="26"/>
  <c r="AE219" i="26" s="1"/>
  <c r="I218" i="26"/>
  <c r="AE218" i="26" s="1"/>
  <c r="I217" i="26"/>
  <c r="AE217" i="26" s="1"/>
  <c r="I216" i="26"/>
  <c r="AE216" i="26" s="1"/>
  <c r="I213" i="26"/>
  <c r="I212" i="26"/>
  <c r="I211" i="26"/>
  <c r="I175" i="26"/>
  <c r="AE175" i="26" s="1"/>
  <c r="I174" i="26"/>
  <c r="AE174" i="26" s="1"/>
  <c r="I172" i="26"/>
  <c r="AE172" i="26" s="1"/>
  <c r="I171" i="26"/>
  <c r="AE171" i="26" s="1"/>
  <c r="I170" i="26"/>
  <c r="AE170" i="26" s="1"/>
  <c r="I169" i="26"/>
  <c r="AE169" i="26" s="1"/>
  <c r="I168" i="26"/>
  <c r="I167" i="26"/>
  <c r="I166" i="26"/>
  <c r="I165" i="26"/>
  <c r="I164" i="26"/>
  <c r="I163" i="26"/>
  <c r="AE163" i="26" s="1"/>
  <c r="I161" i="26"/>
  <c r="AE161" i="26" s="1"/>
  <c r="I160" i="26"/>
  <c r="AE160" i="26" s="1"/>
  <c r="I144" i="26"/>
  <c r="AE144" i="26" s="1"/>
  <c r="I143" i="26"/>
  <c r="AE143" i="26" s="1"/>
  <c r="I141" i="26"/>
  <c r="AE141" i="26" s="1"/>
  <c r="I140" i="26"/>
  <c r="AE140" i="26" s="1"/>
  <c r="I139" i="26"/>
  <c r="AE139" i="26" s="1"/>
  <c r="I138" i="26"/>
  <c r="AE138" i="26" s="1"/>
  <c r="I137" i="26"/>
  <c r="AE137" i="26" s="1"/>
  <c r="I136" i="26"/>
  <c r="AE136" i="26" s="1"/>
  <c r="I135" i="26"/>
  <c r="AE135" i="26" s="1"/>
  <c r="I134" i="26"/>
  <c r="AE134" i="26" s="1"/>
  <c r="I133" i="26"/>
  <c r="AE133" i="26" s="1"/>
  <c r="I132" i="26"/>
  <c r="AE132" i="26" s="1"/>
  <c r="I131" i="26"/>
  <c r="AE131" i="26" s="1"/>
  <c r="I130" i="26"/>
  <c r="AE130" i="26" s="1"/>
  <c r="I129" i="26"/>
  <c r="AE129" i="26" s="1"/>
  <c r="I128" i="26"/>
  <c r="AE128" i="26" s="1"/>
  <c r="I127" i="26"/>
  <c r="AE127" i="26" s="1"/>
  <c r="I126" i="26"/>
  <c r="AE126" i="26" s="1"/>
  <c r="I125" i="26"/>
  <c r="AE125" i="26" s="1"/>
  <c r="I123" i="26"/>
  <c r="AE123" i="26" s="1"/>
  <c r="I122" i="26"/>
  <c r="AE122" i="26" s="1"/>
  <c r="I121" i="26"/>
  <c r="AE121" i="26" s="1"/>
  <c r="I120" i="26"/>
  <c r="AE120" i="26" s="1"/>
  <c r="I119" i="26"/>
  <c r="AE119" i="26" s="1"/>
  <c r="I117" i="26"/>
  <c r="AE117" i="26" s="1"/>
  <c r="I116" i="26"/>
  <c r="AE116" i="26" s="1"/>
  <c r="I115" i="26"/>
  <c r="AE115" i="26" s="1"/>
  <c r="I114" i="26"/>
  <c r="AE114" i="26" s="1"/>
  <c r="I113" i="26"/>
  <c r="AE113" i="26" s="1"/>
  <c r="I112" i="26"/>
  <c r="AE112" i="26" s="1"/>
  <c r="I111" i="26"/>
  <c r="AE111" i="26" s="1"/>
  <c r="I110" i="26"/>
  <c r="AE110" i="26" s="1"/>
  <c r="I109" i="26"/>
  <c r="AE109" i="26" s="1"/>
  <c r="I108" i="26"/>
  <c r="AE108" i="26" s="1"/>
  <c r="I107" i="26"/>
  <c r="AE107" i="26" s="1"/>
  <c r="I106" i="26"/>
  <c r="AE106" i="26" s="1"/>
  <c r="I105" i="26"/>
  <c r="AE105" i="26" s="1"/>
  <c r="I104" i="26"/>
  <c r="AE104" i="26" s="1"/>
  <c r="I103" i="26"/>
  <c r="AE103" i="26" s="1"/>
  <c r="I102" i="26"/>
  <c r="AE102" i="26" s="1"/>
  <c r="I101" i="26"/>
  <c r="AE101" i="26" s="1"/>
  <c r="I100" i="26"/>
  <c r="AE100" i="26" s="1"/>
  <c r="I99" i="26"/>
  <c r="AE99" i="26" s="1"/>
  <c r="I98" i="26"/>
  <c r="AE98" i="26" s="1"/>
  <c r="I97" i="26"/>
  <c r="AE97" i="26" s="1"/>
  <c r="I96" i="26"/>
  <c r="AE96" i="26" s="1"/>
  <c r="I95" i="26"/>
  <c r="AE95" i="26" s="1"/>
  <c r="I93" i="26"/>
  <c r="AE93" i="26" s="1"/>
  <c r="I94" i="26"/>
  <c r="AE94" i="26" s="1"/>
  <c r="I92" i="26"/>
  <c r="AE92" i="26" s="1"/>
  <c r="I91" i="26"/>
  <c r="AE91" i="26" s="1"/>
  <c r="I90" i="26"/>
  <c r="AE90" i="26" s="1"/>
  <c r="I89" i="26"/>
  <c r="AE89" i="26" s="1"/>
  <c r="AZ630" i="25"/>
  <c r="BJ630" i="25" s="1"/>
  <c r="AZ629" i="25"/>
  <c r="BJ629" i="25" s="1"/>
  <c r="AZ628" i="25"/>
  <c r="BJ628" i="25" s="1"/>
  <c r="AZ627" i="25"/>
  <c r="BJ627" i="25" s="1"/>
  <c r="AZ625" i="25"/>
  <c r="BJ625" i="25" s="1"/>
  <c r="AZ624" i="25"/>
  <c r="BJ624" i="25" s="1"/>
  <c r="AZ623" i="25"/>
  <c r="BJ623" i="25" s="1"/>
  <c r="AZ622" i="25"/>
  <c r="BJ622" i="25" s="1"/>
  <c r="AZ621" i="25"/>
  <c r="BJ621" i="25" s="1"/>
  <c r="AZ620" i="25"/>
  <c r="BJ620" i="25" s="1"/>
  <c r="AZ619" i="25"/>
  <c r="BJ619" i="25" s="1"/>
  <c r="AZ618" i="25"/>
  <c r="BJ618" i="25" s="1"/>
  <c r="AZ617" i="25"/>
  <c r="BJ617" i="25" s="1"/>
  <c r="AZ616" i="25"/>
  <c r="BJ616" i="25" s="1"/>
  <c r="AZ615" i="25"/>
  <c r="BJ615" i="25" s="1"/>
  <c r="AZ614" i="25"/>
  <c r="BJ614" i="25" s="1"/>
  <c r="AZ613" i="25"/>
  <c r="BJ613" i="25" s="1"/>
  <c r="AZ612" i="25"/>
  <c r="BJ612" i="25" s="1"/>
  <c r="AZ611" i="25"/>
  <c r="BJ611" i="25" s="1"/>
  <c r="AZ610" i="25"/>
  <c r="BJ610" i="25" s="1"/>
  <c r="AZ609" i="25"/>
  <c r="BJ609" i="25" s="1"/>
  <c r="AZ608" i="25"/>
  <c r="BJ608" i="25" s="1"/>
  <c r="AZ607" i="25"/>
  <c r="BJ607" i="25" s="1"/>
  <c r="AZ606" i="25"/>
  <c r="BJ606" i="25" s="1"/>
  <c r="AZ605" i="25"/>
  <c r="BJ605" i="25" s="1"/>
  <c r="AZ604" i="25"/>
  <c r="BJ604" i="25" s="1"/>
  <c r="AZ603" i="25"/>
  <c r="BJ603" i="25" s="1"/>
  <c r="AZ602" i="25"/>
  <c r="BJ602" i="25" s="1"/>
  <c r="AZ601" i="25"/>
  <c r="BJ601" i="25" s="1"/>
  <c r="AZ600" i="25"/>
  <c r="BJ600" i="25" s="1"/>
  <c r="AZ599" i="25"/>
  <c r="BJ599" i="25" s="1"/>
  <c r="AZ598" i="25"/>
  <c r="BJ598" i="25" s="1"/>
  <c r="AZ575" i="25"/>
  <c r="BJ575" i="25" s="1"/>
  <c r="AZ573" i="25"/>
  <c r="BJ573" i="25" s="1"/>
  <c r="AZ572" i="25"/>
  <c r="BJ572" i="25" s="1"/>
  <c r="AZ571" i="25"/>
  <c r="BJ571" i="25" s="1"/>
  <c r="AZ570" i="25"/>
  <c r="BJ570" i="25" s="1"/>
  <c r="AZ569" i="25"/>
  <c r="BJ569" i="25" s="1"/>
  <c r="AZ568" i="25"/>
  <c r="BJ568" i="25" s="1"/>
  <c r="AZ567" i="25"/>
  <c r="BJ567" i="25" s="1"/>
  <c r="AZ566" i="25"/>
  <c r="BJ566" i="25" s="1"/>
  <c r="AZ565" i="25"/>
  <c r="BJ565" i="25" s="1"/>
  <c r="AZ564" i="25"/>
  <c r="BJ564" i="25" s="1"/>
  <c r="AZ563" i="25"/>
  <c r="BJ563" i="25" s="1"/>
  <c r="AZ562" i="25"/>
  <c r="BJ562" i="25" s="1"/>
  <c r="AZ561" i="25"/>
  <c r="BJ561" i="25" s="1"/>
  <c r="AZ560" i="25"/>
  <c r="BJ560" i="25" s="1"/>
  <c r="AZ559" i="25"/>
  <c r="BJ559" i="25" s="1"/>
  <c r="AZ558" i="25"/>
  <c r="BJ558" i="25" s="1"/>
  <c r="AZ557" i="25"/>
  <c r="BJ557" i="25" s="1"/>
  <c r="AZ556" i="25"/>
  <c r="BJ556" i="25" s="1"/>
  <c r="AZ555" i="25"/>
  <c r="BJ555" i="25" s="1"/>
  <c r="AZ554" i="25"/>
  <c r="BJ554" i="25" s="1"/>
  <c r="AZ553" i="25"/>
  <c r="BJ553" i="25" s="1"/>
  <c r="AZ552" i="25"/>
  <c r="BJ552" i="25" s="1"/>
  <c r="AZ551" i="25"/>
  <c r="BJ551" i="25" s="1"/>
  <c r="AZ550" i="25"/>
  <c r="BJ550" i="25" s="1"/>
  <c r="AZ549" i="25"/>
  <c r="BJ549" i="25" s="1"/>
  <c r="AZ548" i="25"/>
  <c r="BJ548" i="25" s="1"/>
  <c r="AZ547" i="25"/>
  <c r="BJ547" i="25" s="1"/>
  <c r="AZ545" i="25"/>
  <c r="BJ545" i="25" s="1"/>
  <c r="AZ544" i="25"/>
  <c r="BJ544" i="25" s="1"/>
  <c r="AZ543" i="25"/>
  <c r="BJ543" i="25" s="1"/>
  <c r="AZ542" i="25"/>
  <c r="BJ542" i="25" s="1"/>
  <c r="AZ541" i="25"/>
  <c r="BJ541" i="25" s="1"/>
  <c r="AZ540" i="25"/>
  <c r="BJ540" i="25" s="1"/>
  <c r="AZ539" i="25"/>
  <c r="BJ539" i="25" s="1"/>
  <c r="AZ538" i="25"/>
  <c r="BJ538" i="25" s="1"/>
  <c r="AZ487" i="25"/>
  <c r="BJ487" i="25" s="1"/>
  <c r="AZ486" i="25"/>
  <c r="BJ486" i="25" s="1"/>
  <c r="AZ485" i="25"/>
  <c r="BJ485" i="25" s="1"/>
  <c r="AZ484" i="25"/>
  <c r="BJ484" i="25" s="1"/>
  <c r="AZ483" i="25"/>
  <c r="BJ483" i="25" s="1"/>
  <c r="AZ482" i="25"/>
  <c r="BJ482" i="25" s="1"/>
  <c r="AZ481" i="25"/>
  <c r="BJ481" i="25" s="1"/>
  <c r="AZ480" i="25"/>
  <c r="BJ480" i="25" s="1"/>
  <c r="AZ479" i="25"/>
  <c r="BJ479" i="25" s="1"/>
  <c r="AZ478" i="25"/>
  <c r="BJ478" i="25" s="1"/>
  <c r="AZ477" i="25"/>
  <c r="BJ477" i="25" s="1"/>
  <c r="AZ476" i="25"/>
  <c r="BJ476" i="25" s="1"/>
  <c r="AZ475" i="25"/>
  <c r="BJ475" i="25" s="1"/>
  <c r="AZ474" i="25"/>
  <c r="BJ474" i="25" s="1"/>
  <c r="AZ473" i="25"/>
  <c r="BJ473" i="25" s="1"/>
  <c r="AZ472" i="25"/>
  <c r="BJ472" i="25" s="1"/>
  <c r="AZ471" i="25"/>
  <c r="BJ471" i="25" s="1"/>
  <c r="AZ470" i="25"/>
  <c r="BJ470" i="25" s="1"/>
  <c r="AZ469" i="25"/>
  <c r="BJ469" i="25" s="1"/>
  <c r="AZ468" i="25"/>
  <c r="BJ468" i="25" s="1"/>
  <c r="AZ467" i="25"/>
  <c r="BJ467" i="25" s="1"/>
  <c r="AZ466" i="25"/>
  <c r="BJ466" i="25" s="1"/>
  <c r="AZ465" i="25"/>
  <c r="BJ465" i="25" s="1"/>
  <c r="AZ463" i="25"/>
  <c r="BJ463" i="25" s="1"/>
  <c r="AZ462" i="25"/>
  <c r="BJ462" i="25" s="1"/>
  <c r="AZ461" i="25"/>
  <c r="BJ461" i="25" s="1"/>
  <c r="AZ460" i="25"/>
  <c r="BJ460" i="25" s="1"/>
  <c r="AZ459" i="25"/>
  <c r="BJ459" i="25" s="1"/>
  <c r="AZ458" i="25"/>
  <c r="BJ458" i="25" s="1"/>
  <c r="AZ457" i="25"/>
  <c r="BJ457" i="25" s="1"/>
  <c r="AZ456" i="25"/>
  <c r="BJ456" i="25" s="1"/>
  <c r="AZ455" i="25"/>
  <c r="BJ455" i="25" s="1"/>
  <c r="AZ454" i="25"/>
  <c r="BJ454" i="25" s="1"/>
  <c r="AZ453" i="25"/>
  <c r="BJ453" i="25" s="1"/>
  <c r="AZ452" i="25"/>
  <c r="BJ452" i="25" s="1"/>
  <c r="AZ451" i="25"/>
  <c r="BJ451" i="25" s="1"/>
  <c r="AZ450" i="25"/>
  <c r="BJ450" i="25" s="1"/>
  <c r="AZ449" i="25"/>
  <c r="BJ449" i="25" s="1"/>
  <c r="AZ447" i="25"/>
  <c r="BJ447" i="25" s="1"/>
  <c r="AZ446" i="25"/>
  <c r="BJ446" i="25" s="1"/>
  <c r="AZ445" i="25"/>
  <c r="BJ445" i="25" s="1"/>
  <c r="AZ444" i="25"/>
  <c r="BJ444" i="25" s="1"/>
  <c r="AZ443" i="25"/>
  <c r="BJ443" i="25" s="1"/>
  <c r="AZ442" i="25"/>
  <c r="BJ442" i="25" s="1"/>
  <c r="AZ441" i="25"/>
  <c r="BJ441" i="25" s="1"/>
  <c r="AZ440" i="25"/>
  <c r="BJ440" i="25" s="1"/>
  <c r="AZ439" i="25"/>
  <c r="BJ439" i="25" s="1"/>
  <c r="AZ438" i="25"/>
  <c r="BJ438" i="25" s="1"/>
  <c r="AZ437" i="25"/>
  <c r="BJ437" i="25" s="1"/>
  <c r="AZ422" i="25"/>
  <c r="BJ422" i="25" s="1"/>
  <c r="AZ420" i="25"/>
  <c r="BJ420" i="25" s="1"/>
  <c r="AZ419" i="25"/>
  <c r="BJ419" i="25" s="1"/>
  <c r="AZ414" i="25"/>
  <c r="BJ414" i="25" s="1"/>
  <c r="AZ407" i="25"/>
  <c r="BJ407" i="25" s="1"/>
  <c r="AZ373" i="25"/>
  <c r="BJ373" i="25" s="1"/>
  <c r="AZ372" i="25"/>
  <c r="BJ372" i="25" s="1"/>
  <c r="AZ371" i="25"/>
  <c r="BJ371" i="25" s="1"/>
  <c r="AZ370" i="25"/>
  <c r="BJ370" i="25" s="1"/>
  <c r="AZ369" i="25"/>
  <c r="BJ369" i="25" s="1"/>
  <c r="AZ368" i="25"/>
  <c r="BJ368" i="25" s="1"/>
  <c r="AZ367" i="25"/>
  <c r="BJ367" i="25" s="1"/>
  <c r="AZ366" i="25"/>
  <c r="BJ366" i="25" s="1"/>
  <c r="AZ365" i="25"/>
  <c r="BJ365" i="25" s="1"/>
  <c r="AZ364" i="25"/>
  <c r="BJ364" i="25" s="1"/>
  <c r="AZ363" i="25"/>
  <c r="BJ363" i="25" s="1"/>
  <c r="AZ362" i="25"/>
  <c r="BJ362" i="25" s="1"/>
  <c r="AZ361" i="25"/>
  <c r="BJ361" i="25" s="1"/>
  <c r="AZ360" i="25"/>
  <c r="BJ360" i="25" s="1"/>
  <c r="AZ359" i="25"/>
  <c r="BJ359" i="25" s="1"/>
  <c r="AZ358" i="25"/>
  <c r="BJ358" i="25" s="1"/>
  <c r="AZ357" i="25"/>
  <c r="BJ357" i="25" s="1"/>
  <c r="AZ356" i="25"/>
  <c r="BJ356" i="25" s="1"/>
  <c r="AZ355" i="25"/>
  <c r="BJ355" i="25" s="1"/>
  <c r="AZ353" i="25"/>
  <c r="BJ353" i="25" s="1"/>
  <c r="AZ352" i="25"/>
  <c r="BJ352" i="25" s="1"/>
  <c r="AZ351" i="25"/>
  <c r="BJ351" i="25" s="1"/>
  <c r="AZ350" i="25"/>
  <c r="BJ350" i="25" s="1"/>
  <c r="AZ349" i="25"/>
  <c r="BJ349" i="25" s="1"/>
  <c r="AZ348" i="25"/>
  <c r="BJ348" i="25" s="1"/>
  <c r="AZ347" i="25"/>
  <c r="BJ347" i="25" s="1"/>
  <c r="AZ346" i="25"/>
  <c r="BJ346" i="25" s="1"/>
  <c r="AZ345" i="25"/>
  <c r="BJ345" i="25" s="1"/>
  <c r="AZ344" i="25"/>
  <c r="BJ344" i="25" s="1"/>
  <c r="AZ343" i="25"/>
  <c r="BJ343" i="25" s="1"/>
  <c r="AZ342" i="25"/>
  <c r="BJ342" i="25" s="1"/>
  <c r="AZ341" i="25"/>
  <c r="BJ341" i="25" s="1"/>
  <c r="AZ340" i="25"/>
  <c r="BJ340" i="25" s="1"/>
  <c r="AZ339" i="25"/>
  <c r="BJ339" i="25" s="1"/>
  <c r="AZ338" i="25"/>
  <c r="BJ338" i="25" s="1"/>
  <c r="AZ337" i="25"/>
  <c r="BJ337" i="25" s="1"/>
  <c r="AZ334" i="25"/>
  <c r="BJ334" i="25" s="1"/>
  <c r="AZ333" i="25"/>
  <c r="BJ333" i="25" s="1"/>
  <c r="AZ332" i="25"/>
  <c r="BJ332" i="25" s="1"/>
  <c r="AZ331" i="25"/>
  <c r="BJ331" i="25" s="1"/>
  <c r="AZ330" i="25"/>
  <c r="BJ330" i="25" s="1"/>
  <c r="AZ329" i="25"/>
  <c r="BJ329" i="25" s="1"/>
  <c r="AZ328" i="25"/>
  <c r="BJ328" i="25" s="1"/>
  <c r="AZ327" i="25"/>
  <c r="BJ327" i="25" s="1"/>
  <c r="AZ325" i="25"/>
  <c r="BJ325" i="25" s="1"/>
  <c r="AZ323" i="25"/>
  <c r="BJ323" i="25" s="1"/>
  <c r="AZ321" i="25"/>
  <c r="BJ321" i="25" s="1"/>
  <c r="AZ320" i="25"/>
  <c r="BJ320" i="25" s="1"/>
  <c r="AZ319" i="25"/>
  <c r="BJ319" i="25" s="1"/>
  <c r="AZ318" i="25"/>
  <c r="BJ318" i="25" s="1"/>
  <c r="AZ317" i="25"/>
  <c r="BJ317" i="25" s="1"/>
  <c r="AZ316" i="25"/>
  <c r="BJ316" i="25" s="1"/>
  <c r="AZ315" i="25"/>
  <c r="BJ315" i="25" s="1"/>
  <c r="AZ314" i="25"/>
  <c r="BJ314" i="25" s="1"/>
  <c r="AZ313" i="25"/>
  <c r="BJ313" i="25" s="1"/>
  <c r="AZ312" i="25"/>
  <c r="BJ312" i="25" s="1"/>
  <c r="AZ311" i="25"/>
  <c r="BJ311" i="25" s="1"/>
  <c r="AZ310" i="25"/>
  <c r="BJ310" i="25" s="1"/>
  <c r="AZ309" i="25"/>
  <c r="BJ309" i="25" s="1"/>
  <c r="AZ308" i="25"/>
  <c r="BJ308" i="25" s="1"/>
  <c r="AZ307" i="25"/>
  <c r="BJ307" i="25" s="1"/>
  <c r="AZ306" i="25"/>
  <c r="BJ306" i="25" s="1"/>
  <c r="BL304" i="25"/>
  <c r="BT304" i="25" s="1"/>
  <c r="BV304" i="25" s="1"/>
  <c r="AZ302" i="25"/>
  <c r="BJ302" i="25" s="1"/>
  <c r="AZ301" i="25"/>
  <c r="BJ301" i="25" s="1"/>
  <c r="AZ297" i="25"/>
  <c r="BJ297" i="25" s="1"/>
  <c r="AZ300" i="25"/>
  <c r="BJ300" i="25" s="1"/>
  <c r="AZ299" i="25"/>
  <c r="BJ299" i="25" s="1"/>
  <c r="AZ298" i="25"/>
  <c r="BJ298" i="25" s="1"/>
  <c r="AZ296" i="25"/>
  <c r="BJ296" i="25" s="1"/>
  <c r="AZ295" i="25"/>
  <c r="BJ295" i="25" s="1"/>
  <c r="AZ293" i="25"/>
  <c r="BJ293" i="25" s="1"/>
  <c r="AZ292" i="25"/>
  <c r="BJ292" i="25" s="1"/>
  <c r="AZ291" i="25"/>
  <c r="BJ291" i="25" s="1"/>
  <c r="AZ290" i="25"/>
  <c r="BJ290" i="25" s="1"/>
  <c r="AZ289" i="25"/>
  <c r="BJ289" i="25" s="1"/>
  <c r="AZ288" i="25"/>
  <c r="BJ288" i="25" s="1"/>
  <c r="AZ287" i="25"/>
  <c r="BJ287" i="25" s="1"/>
  <c r="AZ286" i="25"/>
  <c r="BJ286" i="25" s="1"/>
  <c r="AZ285" i="25"/>
  <c r="BJ285" i="25" s="1"/>
  <c r="AZ284" i="25"/>
  <c r="BJ284" i="25" s="1"/>
  <c r="AZ281" i="25"/>
  <c r="BJ281" i="25" s="1"/>
  <c r="AZ280" i="25"/>
  <c r="BJ280" i="25" s="1"/>
  <c r="AZ279" i="25"/>
  <c r="BJ279" i="25" s="1"/>
  <c r="AZ278" i="25"/>
  <c r="BJ278" i="25" s="1"/>
  <c r="AZ277" i="25"/>
  <c r="BJ277" i="25" s="1"/>
  <c r="AZ276" i="25"/>
  <c r="BJ276" i="25" s="1"/>
  <c r="AZ275" i="25"/>
  <c r="BJ275" i="25" s="1"/>
  <c r="AZ255" i="25"/>
  <c r="BJ255" i="25" s="1"/>
  <c r="AZ254" i="25"/>
  <c r="BJ254" i="25" s="1"/>
  <c r="AZ253" i="25"/>
  <c r="BJ253" i="25" s="1"/>
  <c r="AZ252" i="25"/>
  <c r="BJ252" i="25" s="1"/>
  <c r="AZ251" i="25"/>
  <c r="BJ251" i="25" s="1"/>
  <c r="AZ250" i="25"/>
  <c r="BJ250" i="25" s="1"/>
  <c r="AZ248" i="25"/>
  <c r="BJ248" i="25" s="1"/>
  <c r="AZ247" i="25"/>
  <c r="BJ247" i="25" s="1"/>
  <c r="AZ246" i="25"/>
  <c r="BJ246" i="25" s="1"/>
  <c r="AZ245" i="25"/>
  <c r="BJ245" i="25" s="1"/>
  <c r="AZ244" i="25"/>
  <c r="BJ244" i="25" s="1"/>
  <c r="AZ243" i="25"/>
  <c r="BJ243" i="25" s="1"/>
  <c r="AZ242" i="25"/>
  <c r="BJ242" i="25" s="1"/>
  <c r="AZ241" i="25"/>
  <c r="BJ241" i="25" s="1"/>
  <c r="AZ240" i="25"/>
  <c r="BJ240" i="25" s="1"/>
  <c r="AZ239" i="25"/>
  <c r="BJ239" i="25" s="1"/>
  <c r="AZ238" i="25"/>
  <c r="BJ238" i="25" s="1"/>
  <c r="AZ237" i="25"/>
  <c r="BJ237" i="25" s="1"/>
  <c r="AZ236" i="25"/>
  <c r="BJ236" i="25" s="1"/>
  <c r="AZ235" i="25"/>
  <c r="BJ235" i="25" s="1"/>
  <c r="AZ234" i="25"/>
  <c r="BJ234" i="25" s="1"/>
  <c r="AZ233" i="25"/>
  <c r="BJ233" i="25" s="1"/>
  <c r="BJ232" i="25"/>
  <c r="AZ230" i="25"/>
  <c r="BJ230" i="25" s="1"/>
  <c r="AZ229" i="25"/>
  <c r="BJ229" i="25" s="1"/>
  <c r="AZ228" i="25"/>
  <c r="BJ228" i="25" s="1"/>
  <c r="AZ227" i="25"/>
  <c r="BJ227" i="25" s="1"/>
  <c r="AZ226" i="25"/>
  <c r="BJ226" i="25" s="1"/>
  <c r="AZ225" i="25"/>
  <c r="BJ225" i="25" s="1"/>
  <c r="AZ224" i="25"/>
  <c r="BJ224" i="25" s="1"/>
  <c r="AZ223" i="25"/>
  <c r="BJ223" i="25" s="1"/>
  <c r="AZ222" i="25"/>
  <c r="BJ222" i="25" s="1"/>
  <c r="AZ221" i="25"/>
  <c r="BJ221" i="25" s="1"/>
  <c r="AZ220" i="25"/>
  <c r="BJ220" i="25" s="1"/>
  <c r="AZ219" i="25"/>
  <c r="BJ219" i="25" s="1"/>
  <c r="AZ218" i="25"/>
  <c r="BJ218" i="25" s="1"/>
  <c r="AZ217" i="25"/>
  <c r="BJ217" i="25" s="1"/>
  <c r="AZ216" i="25"/>
  <c r="BJ216" i="25" s="1"/>
  <c r="AZ215" i="25"/>
  <c r="BJ215" i="25" s="1"/>
  <c r="AZ213" i="25"/>
  <c r="BJ213" i="25" s="1"/>
  <c r="AZ212" i="25"/>
  <c r="BJ212" i="25" s="1"/>
  <c r="AZ211" i="25"/>
  <c r="BJ211" i="25" s="1"/>
  <c r="AZ181" i="25"/>
  <c r="BJ181" i="25" s="1"/>
  <c r="AZ180" i="25"/>
  <c r="BJ180" i="25" s="1"/>
  <c r="AZ175" i="25"/>
  <c r="BJ175" i="25" s="1"/>
  <c r="AZ174" i="25"/>
  <c r="BJ174" i="25" s="1"/>
  <c r="AZ172" i="25"/>
  <c r="BJ172" i="25" s="1"/>
  <c r="AZ171" i="25"/>
  <c r="BJ171" i="25" s="1"/>
  <c r="AZ168" i="25"/>
  <c r="BJ168" i="25" s="1"/>
  <c r="AZ167" i="25"/>
  <c r="BJ167" i="25" s="1"/>
  <c r="AZ166" i="25"/>
  <c r="BJ166" i="25" s="1"/>
  <c r="AZ165" i="25"/>
  <c r="BJ165" i="25" s="1"/>
  <c r="AZ164" i="25"/>
  <c r="BJ164" i="25" s="1"/>
  <c r="AZ161" i="25"/>
  <c r="BJ161" i="25" s="1"/>
  <c r="AZ160" i="25"/>
  <c r="BJ160" i="25" s="1"/>
  <c r="AZ144" i="25"/>
  <c r="BJ144" i="25" s="1"/>
  <c r="AZ143" i="25"/>
  <c r="BJ143" i="25" s="1"/>
  <c r="AZ141" i="25"/>
  <c r="BJ141" i="25" s="1"/>
  <c r="AZ140" i="25"/>
  <c r="BJ140" i="25" s="1"/>
  <c r="AZ139" i="25"/>
  <c r="BJ139" i="25" s="1"/>
  <c r="AZ138" i="25"/>
  <c r="BJ138" i="25" s="1"/>
  <c r="AZ137" i="25"/>
  <c r="BJ137" i="25" s="1"/>
  <c r="AZ136" i="25"/>
  <c r="BJ136" i="25" s="1"/>
  <c r="AZ135" i="25"/>
  <c r="BJ135" i="25" s="1"/>
  <c r="AZ134" i="25"/>
  <c r="BJ134" i="25" s="1"/>
  <c r="AZ133" i="25"/>
  <c r="BJ133" i="25" s="1"/>
  <c r="AZ132" i="25"/>
  <c r="BJ132" i="25" s="1"/>
  <c r="AZ131" i="25"/>
  <c r="BJ131" i="25" s="1"/>
  <c r="AZ130" i="25"/>
  <c r="BJ130" i="25" s="1"/>
  <c r="AZ129" i="25"/>
  <c r="BJ129" i="25" s="1"/>
  <c r="AZ128" i="25"/>
  <c r="BJ128" i="25" s="1"/>
  <c r="AZ127" i="25"/>
  <c r="BJ127" i="25" s="1"/>
  <c r="AZ126" i="25"/>
  <c r="BJ126" i="25" s="1"/>
  <c r="AZ125" i="25"/>
  <c r="BJ125" i="25" s="1"/>
  <c r="AZ123" i="25"/>
  <c r="BJ123" i="25" s="1"/>
  <c r="AZ122" i="25"/>
  <c r="BJ122" i="25" s="1"/>
  <c r="AZ121" i="25"/>
  <c r="BJ121" i="25" s="1"/>
  <c r="AZ120" i="25"/>
  <c r="BJ120" i="25" s="1"/>
  <c r="AZ119" i="25"/>
  <c r="BJ119" i="25" s="1"/>
  <c r="AZ117" i="25"/>
  <c r="BJ117" i="25" s="1"/>
  <c r="AZ116" i="25"/>
  <c r="BJ116" i="25" s="1"/>
  <c r="AZ115" i="25"/>
  <c r="BJ115" i="25" s="1"/>
  <c r="AZ114" i="25"/>
  <c r="BJ114" i="25" s="1"/>
  <c r="AZ113" i="25"/>
  <c r="BJ113" i="25" s="1"/>
  <c r="AZ112" i="25"/>
  <c r="BJ112" i="25" s="1"/>
  <c r="AZ111" i="25"/>
  <c r="BJ111" i="25" s="1"/>
  <c r="AZ110" i="25"/>
  <c r="BJ110" i="25" s="1"/>
  <c r="AZ109" i="25"/>
  <c r="AZ108" i="25"/>
  <c r="BJ108" i="25" s="1"/>
  <c r="AZ107" i="25"/>
  <c r="AZ106" i="25"/>
  <c r="BJ106" i="25" s="1"/>
  <c r="AZ105" i="25"/>
  <c r="BJ105" i="25" s="1"/>
  <c r="AZ104" i="25"/>
  <c r="BJ104" i="25" s="1"/>
  <c r="AZ103" i="25"/>
  <c r="BJ103" i="25" s="1"/>
  <c r="AZ102" i="25"/>
  <c r="BJ102" i="25" s="1"/>
  <c r="AZ101" i="25"/>
  <c r="BJ101" i="25" s="1"/>
  <c r="AZ100" i="25"/>
  <c r="BJ100" i="25" s="1"/>
  <c r="AZ98" i="25"/>
  <c r="BJ98" i="25" s="1"/>
  <c r="AM630" i="22"/>
  <c r="AM629" i="22"/>
  <c r="AM628" i="22"/>
  <c r="AM627" i="22"/>
  <c r="AM625" i="22"/>
  <c r="AM624" i="22"/>
  <c r="AM623" i="22"/>
  <c r="AM622" i="22"/>
  <c r="AM621" i="22"/>
  <c r="AM620" i="22"/>
  <c r="AM619" i="22"/>
  <c r="AM618" i="22"/>
  <c r="AM617" i="22"/>
  <c r="AM616" i="22"/>
  <c r="AM615" i="22"/>
  <c r="AM614" i="22"/>
  <c r="AM613" i="22"/>
  <c r="AM612" i="22"/>
  <c r="AM611" i="22"/>
  <c r="AM610" i="22"/>
  <c r="AM609" i="22"/>
  <c r="AM608" i="22"/>
  <c r="AM607" i="22"/>
  <c r="AM605" i="22"/>
  <c r="AM604" i="22"/>
  <c r="AM603" i="22"/>
  <c r="AM602" i="22"/>
  <c r="AM601" i="22"/>
  <c r="AM600" i="22"/>
  <c r="AM599" i="22"/>
  <c r="AM598" i="22"/>
  <c r="AM596" i="22"/>
  <c r="AM595" i="22"/>
  <c r="AM594" i="22"/>
  <c r="AM593" i="22"/>
  <c r="AM592" i="22"/>
  <c r="AM591" i="22"/>
  <c r="AM590" i="22"/>
  <c r="AM589" i="22"/>
  <c r="AM587" i="22"/>
  <c r="AM586" i="22"/>
  <c r="AM585" i="22"/>
  <c r="AM584" i="22"/>
  <c r="AM583" i="22"/>
  <c r="AO583" i="22" s="1"/>
  <c r="AM582" i="22"/>
  <c r="AM581" i="22"/>
  <c r="AM580" i="22"/>
  <c r="AM576" i="22"/>
  <c r="AM575" i="22"/>
  <c r="AM573" i="22"/>
  <c r="AM572" i="22"/>
  <c r="AM571" i="22"/>
  <c r="AM570" i="22"/>
  <c r="AM569" i="22"/>
  <c r="AM567" i="22"/>
  <c r="AM566" i="22"/>
  <c r="AM565" i="22"/>
  <c r="AM564" i="22"/>
  <c r="AM563" i="22"/>
  <c r="AM562" i="22"/>
  <c r="AM561" i="22"/>
  <c r="AM560" i="22"/>
  <c r="AM559" i="22"/>
  <c r="AM558" i="22"/>
  <c r="AM557" i="22"/>
  <c r="AM556" i="22"/>
  <c r="AM555" i="22"/>
  <c r="AM554" i="22"/>
  <c r="AM553" i="22"/>
  <c r="AM552" i="22"/>
  <c r="AM551" i="22"/>
  <c r="AM550" i="22"/>
  <c r="AM549" i="22"/>
  <c r="AM548" i="22"/>
  <c r="AM547" i="22"/>
  <c r="AM545" i="22"/>
  <c r="AM544" i="22"/>
  <c r="AM543" i="22"/>
  <c r="AM542" i="22"/>
  <c r="AM541" i="22"/>
  <c r="AM540" i="22"/>
  <c r="AM539" i="22"/>
  <c r="AM538" i="22"/>
  <c r="AM487" i="22"/>
  <c r="AM486" i="22"/>
  <c r="AM485" i="22"/>
  <c r="AM484" i="22"/>
  <c r="AM483" i="22"/>
  <c r="AM482" i="22"/>
  <c r="AM481" i="22"/>
  <c r="AM480" i="22"/>
  <c r="AM479" i="22"/>
  <c r="AM478" i="22"/>
  <c r="AM477" i="22"/>
  <c r="AM476" i="22"/>
  <c r="AM475" i="22"/>
  <c r="AM474" i="22"/>
  <c r="AM473" i="22"/>
  <c r="AM472" i="22"/>
  <c r="AM471" i="22"/>
  <c r="AM470" i="22"/>
  <c r="AM469" i="22"/>
  <c r="AM468" i="22"/>
  <c r="AM467" i="22"/>
  <c r="AM466" i="22"/>
  <c r="AM465" i="22"/>
  <c r="AM463" i="22"/>
  <c r="AM462" i="22"/>
  <c r="AM461" i="22"/>
  <c r="AM460" i="22"/>
  <c r="AM459" i="22"/>
  <c r="AM458" i="22"/>
  <c r="AM457" i="22"/>
  <c r="AM456" i="22"/>
  <c r="AM455" i="22"/>
  <c r="AM454" i="22"/>
  <c r="AM453" i="22"/>
  <c r="AM452" i="22"/>
  <c r="AM451" i="22"/>
  <c r="AM450" i="22"/>
  <c r="AM449" i="22"/>
  <c r="AM447" i="22"/>
  <c r="AM446" i="22"/>
  <c r="AM445" i="22"/>
  <c r="AM443" i="22"/>
  <c r="AM442" i="22"/>
  <c r="AM441" i="22"/>
  <c r="AM440" i="22"/>
  <c r="AM439" i="22"/>
  <c r="AM438" i="22"/>
  <c r="AM437" i="22"/>
  <c r="AM436" i="22"/>
  <c r="AM435" i="22"/>
  <c r="AM434" i="22"/>
  <c r="AM433" i="22"/>
  <c r="AM427" i="22"/>
  <c r="AM426" i="22"/>
  <c r="AM425" i="22"/>
  <c r="AM424" i="22"/>
  <c r="AM422" i="22"/>
  <c r="AM420" i="22"/>
  <c r="AM419" i="22"/>
  <c r="AM373" i="22"/>
  <c r="AM372" i="22"/>
  <c r="AM371" i="22"/>
  <c r="AM370" i="22"/>
  <c r="AM369" i="22"/>
  <c r="AM368" i="22"/>
  <c r="AM367" i="22"/>
  <c r="AM366" i="22"/>
  <c r="AM365" i="22"/>
  <c r="AM364" i="22"/>
  <c r="AM363" i="22"/>
  <c r="AM362" i="22"/>
  <c r="AM361" i="22"/>
  <c r="AM360" i="22"/>
  <c r="AM359" i="22"/>
  <c r="AM358" i="22"/>
  <c r="AM357" i="22"/>
  <c r="AM356" i="22"/>
  <c r="AM355" i="22"/>
  <c r="AM352" i="22"/>
  <c r="AM351" i="22"/>
  <c r="AM350" i="22"/>
  <c r="AM349" i="22"/>
  <c r="AM348" i="22"/>
  <c r="AM347" i="22"/>
  <c r="AM346" i="22"/>
  <c r="AM345" i="22"/>
  <c r="AM344" i="22"/>
  <c r="AM343" i="22"/>
  <c r="AM342" i="22"/>
  <c r="AM341" i="22"/>
  <c r="AM340" i="22"/>
  <c r="AM339" i="22"/>
  <c r="AM338" i="22"/>
  <c r="AM337" i="22"/>
  <c r="AM336" i="22"/>
  <c r="AM334" i="22"/>
  <c r="AM333" i="22"/>
  <c r="AM332" i="22"/>
  <c r="AM331" i="22"/>
  <c r="AM330" i="22"/>
  <c r="AM325" i="22"/>
  <c r="AM323" i="22"/>
  <c r="AM321" i="22"/>
  <c r="AM320" i="22"/>
  <c r="AM319" i="22"/>
  <c r="AM318" i="22"/>
  <c r="AM317" i="22"/>
  <c r="AM316" i="22"/>
  <c r="AM315" i="22"/>
  <c r="AM314" i="22"/>
  <c r="AM313" i="22"/>
  <c r="AM312" i="22"/>
  <c r="AM311" i="22"/>
  <c r="AM310" i="22"/>
  <c r="AM309" i="22"/>
  <c r="AM308" i="22"/>
  <c r="AM307" i="22"/>
  <c r="AM306" i="22"/>
  <c r="AM302" i="22"/>
  <c r="AM301" i="22"/>
  <c r="AM297" i="22"/>
  <c r="AM300" i="22"/>
  <c r="AM299" i="22"/>
  <c r="AM298" i="22"/>
  <c r="AM296" i="22"/>
  <c r="AM295" i="22"/>
  <c r="AM293" i="22"/>
  <c r="AM292" i="22"/>
  <c r="AM291" i="22"/>
  <c r="AM290" i="22"/>
  <c r="AM289" i="22"/>
  <c r="AM288" i="22"/>
  <c r="AM287" i="22"/>
  <c r="AM286" i="22"/>
  <c r="AM285" i="22"/>
  <c r="AM284" i="22"/>
  <c r="AO284" i="22" s="1"/>
  <c r="AM283" i="22"/>
  <c r="AM282" i="22"/>
  <c r="AM281" i="22"/>
  <c r="AM280" i="22"/>
  <c r="AM279" i="22"/>
  <c r="AM278" i="22"/>
  <c r="AM277" i="22"/>
  <c r="AM276" i="22"/>
  <c r="AM275" i="22"/>
  <c r="AM273" i="22"/>
  <c r="AM272" i="22"/>
  <c r="AM271" i="22"/>
  <c r="AM255" i="22"/>
  <c r="AM254" i="22"/>
  <c r="AM253" i="22"/>
  <c r="AM252" i="22"/>
  <c r="AM251" i="22"/>
  <c r="AM250" i="22"/>
  <c r="AM248" i="22"/>
  <c r="AM247" i="22"/>
  <c r="AM246" i="22"/>
  <c r="AM244" i="22"/>
  <c r="AM243" i="22"/>
  <c r="AM242" i="22"/>
  <c r="AM241" i="22"/>
  <c r="AM240" i="22"/>
  <c r="AM239" i="22"/>
  <c r="AM238" i="22"/>
  <c r="AM237" i="22"/>
  <c r="AO237" i="22" s="1"/>
  <c r="AM236" i="22"/>
  <c r="AM235" i="22"/>
  <c r="AM234" i="22"/>
  <c r="AM233" i="22"/>
  <c r="AM232" i="22"/>
  <c r="AM231" i="22"/>
  <c r="AM230" i="22"/>
  <c r="AM229" i="22"/>
  <c r="AM228" i="22"/>
  <c r="AM227" i="22"/>
  <c r="AM226" i="22"/>
  <c r="AM225" i="22"/>
  <c r="AM224" i="22"/>
  <c r="AM223" i="22"/>
  <c r="AM222" i="22"/>
  <c r="AM221" i="22"/>
  <c r="AM220" i="22"/>
  <c r="AM219" i="22"/>
  <c r="AM218" i="22"/>
  <c r="AM217" i="22"/>
  <c r="AM216" i="22"/>
  <c r="AM215" i="22"/>
  <c r="AM214" i="22"/>
  <c r="AM213" i="22"/>
  <c r="AM211" i="22"/>
  <c r="AM210" i="22"/>
  <c r="AM208" i="22"/>
  <c r="AM207" i="22"/>
  <c r="AM206" i="22"/>
  <c r="AM204" i="22"/>
  <c r="AO204" i="22" s="1"/>
  <c r="AM202" i="22"/>
  <c r="AM201" i="22"/>
  <c r="AM200" i="22"/>
  <c r="AM198" i="22"/>
  <c r="AM197" i="22"/>
  <c r="AM196" i="22"/>
  <c r="AM195" i="22"/>
  <c r="AM193" i="22"/>
  <c r="AM191" i="22"/>
  <c r="AM190" i="22"/>
  <c r="AM189" i="22"/>
  <c r="AM188" i="22"/>
  <c r="AM186" i="22"/>
  <c r="AM185" i="22"/>
  <c r="AO185" i="22" s="1"/>
  <c r="AM184" i="22"/>
  <c r="AM183" i="22"/>
  <c r="AM182" i="22"/>
  <c r="AM181" i="22"/>
  <c r="AM180" i="22"/>
  <c r="AO180" i="22" s="1"/>
  <c r="AM175" i="22"/>
  <c r="AM172" i="22"/>
  <c r="AM171" i="22"/>
  <c r="AM169" i="22"/>
  <c r="AM168" i="22"/>
  <c r="AM167" i="22"/>
  <c r="AM166" i="22"/>
  <c r="AM165" i="22"/>
  <c r="AM164" i="22"/>
  <c r="AO164" i="22" s="1"/>
  <c r="AM163" i="22"/>
  <c r="AM161" i="22"/>
  <c r="AM159" i="22"/>
  <c r="AM158" i="22"/>
  <c r="AM156" i="22"/>
  <c r="AM155" i="22"/>
  <c r="AM152" i="22"/>
  <c r="AM151" i="22"/>
  <c r="AO149" i="22"/>
  <c r="AO148" i="22"/>
  <c r="W630" i="22"/>
  <c r="W629" i="22"/>
  <c r="W628" i="22"/>
  <c r="W627" i="22"/>
  <c r="W625" i="22"/>
  <c r="W624" i="22"/>
  <c r="W623" i="22"/>
  <c r="W622" i="22"/>
  <c r="W621" i="22"/>
  <c r="W620" i="22"/>
  <c r="W619" i="22"/>
  <c r="W618" i="22"/>
  <c r="W617" i="22"/>
  <c r="W616" i="22"/>
  <c r="W615" i="22"/>
  <c r="W614" i="22"/>
  <c r="W613" i="22"/>
  <c r="W612" i="22"/>
  <c r="W611" i="22"/>
  <c r="W610" i="22"/>
  <c r="W609" i="22"/>
  <c r="W608" i="22"/>
  <c r="W607" i="22"/>
  <c r="W606" i="22"/>
  <c r="W605" i="22"/>
  <c r="W604" i="22"/>
  <c r="W603" i="22"/>
  <c r="W602" i="22"/>
  <c r="W601" i="22"/>
  <c r="W600" i="22"/>
  <c r="W599" i="22"/>
  <c r="W598" i="22"/>
  <c r="W575" i="22"/>
  <c r="W573" i="22"/>
  <c r="W572" i="22"/>
  <c r="AO572" i="22" s="1"/>
  <c r="W571" i="22"/>
  <c r="W570" i="22"/>
  <c r="W569" i="22"/>
  <c r="W568" i="22"/>
  <c r="AO568" i="22" s="1"/>
  <c r="W567" i="22"/>
  <c r="W566" i="22"/>
  <c r="W565" i="22"/>
  <c r="W564" i="22"/>
  <c r="AO564" i="22" s="1"/>
  <c r="W563" i="22"/>
  <c r="W562" i="22"/>
  <c r="W561" i="22"/>
  <c r="W560" i="22"/>
  <c r="W559" i="22"/>
  <c r="W558" i="22"/>
  <c r="W557" i="22"/>
  <c r="W556" i="22"/>
  <c r="W555" i="22"/>
  <c r="W554" i="22"/>
  <c r="W553" i="22"/>
  <c r="W552" i="22"/>
  <c r="AO552" i="22" s="1"/>
  <c r="W551" i="22"/>
  <c r="W550" i="22"/>
  <c r="W549" i="22"/>
  <c r="W548" i="22"/>
  <c r="W547" i="22"/>
  <c r="W545" i="22"/>
  <c r="W544" i="22"/>
  <c r="W543" i="22"/>
  <c r="W542" i="22"/>
  <c r="W541" i="22"/>
  <c r="W540" i="22"/>
  <c r="W539" i="22"/>
  <c r="W538" i="22"/>
  <c r="W487" i="22"/>
  <c r="W486" i="22"/>
  <c r="W485" i="22"/>
  <c r="W484" i="22"/>
  <c r="W483" i="22"/>
  <c r="W482" i="22"/>
  <c r="W481" i="22"/>
  <c r="W480" i="22"/>
  <c r="W479" i="22"/>
  <c r="W478" i="22"/>
  <c r="W477" i="22"/>
  <c r="W476" i="22"/>
  <c r="W475" i="22"/>
  <c r="W474" i="22"/>
  <c r="W473" i="22"/>
  <c r="W472" i="22"/>
  <c r="W471" i="22"/>
  <c r="W470" i="22"/>
  <c r="W469" i="22"/>
  <c r="W468" i="22"/>
  <c r="W467" i="22"/>
  <c r="W466" i="22"/>
  <c r="W465" i="22"/>
  <c r="W463" i="22"/>
  <c r="W462" i="22"/>
  <c r="W461" i="22"/>
  <c r="W460" i="22"/>
  <c r="W459" i="22"/>
  <c r="W458" i="22"/>
  <c r="W457" i="22"/>
  <c r="W456" i="22"/>
  <c r="AO456" i="22" s="1"/>
  <c r="W455" i="22"/>
  <c r="W454" i="22"/>
  <c r="W453" i="22"/>
  <c r="W452" i="22"/>
  <c r="W451" i="22"/>
  <c r="W450" i="22"/>
  <c r="W449" i="22"/>
  <c r="W447" i="22"/>
  <c r="W446" i="22"/>
  <c r="W445" i="22"/>
  <c r="W444" i="22"/>
  <c r="W443" i="22"/>
  <c r="W442" i="22"/>
  <c r="W441" i="22"/>
  <c r="W440" i="22"/>
  <c r="W439" i="22"/>
  <c r="W438" i="22"/>
  <c r="W437" i="22"/>
  <c r="W422" i="22"/>
  <c r="W420" i="22"/>
  <c r="W419" i="22"/>
  <c r="W414" i="22"/>
  <c r="AO414" i="22" s="1"/>
  <c r="W407" i="22"/>
  <c r="W373" i="22"/>
  <c r="W372" i="22"/>
  <c r="W371" i="22"/>
  <c r="W370" i="22"/>
  <c r="W369" i="22"/>
  <c r="W368" i="22"/>
  <c r="W367" i="22"/>
  <c r="W366" i="22"/>
  <c r="W365" i="22"/>
  <c r="W364" i="22"/>
  <c r="AO364" i="22" s="1"/>
  <c r="W363" i="22"/>
  <c r="W362" i="22"/>
  <c r="W361" i="22"/>
  <c r="W360" i="22"/>
  <c r="W359" i="22"/>
  <c r="AO359" i="22" s="1"/>
  <c r="W358" i="22"/>
  <c r="W357" i="22"/>
  <c r="W356" i="22"/>
  <c r="W355" i="22"/>
  <c r="W353" i="22"/>
  <c r="W352" i="22"/>
  <c r="W351" i="22"/>
  <c r="W350" i="22"/>
  <c r="W349" i="22"/>
  <c r="W348" i="22"/>
  <c r="W347" i="22"/>
  <c r="W346" i="22"/>
  <c r="W345" i="22"/>
  <c r="W344" i="22"/>
  <c r="W343" i="22"/>
  <c r="W342" i="22"/>
  <c r="W341" i="22"/>
  <c r="W340" i="22"/>
  <c r="W339" i="22"/>
  <c r="W338" i="22"/>
  <c r="W337" i="22"/>
  <c r="W336" i="22"/>
  <c r="W334" i="22"/>
  <c r="W333" i="22"/>
  <c r="W332" i="22"/>
  <c r="W331" i="22"/>
  <c r="W330" i="22"/>
  <c r="W329" i="22"/>
  <c r="W328" i="22"/>
  <c r="W327" i="22"/>
  <c r="W325" i="22"/>
  <c r="W323" i="22"/>
  <c r="W321" i="22"/>
  <c r="W320" i="22"/>
  <c r="W319" i="22"/>
  <c r="W318" i="22"/>
  <c r="W317" i="22"/>
  <c r="AO317" i="22" s="1"/>
  <c r="W316" i="22"/>
  <c r="W315" i="22"/>
  <c r="W314" i="22"/>
  <c r="W313" i="22"/>
  <c r="W312" i="22"/>
  <c r="W311" i="22"/>
  <c r="W310" i="22"/>
  <c r="W309" i="22"/>
  <c r="W308" i="22"/>
  <c r="W307" i="22"/>
  <c r="W306" i="22"/>
  <c r="W305" i="22"/>
  <c r="W302" i="22"/>
  <c r="W301" i="22"/>
  <c r="W297" i="22"/>
  <c r="W300" i="22"/>
  <c r="W299" i="22"/>
  <c r="W298" i="22"/>
  <c r="W296" i="22"/>
  <c r="W295" i="22"/>
  <c r="W293" i="22"/>
  <c r="W292" i="22"/>
  <c r="W291" i="22"/>
  <c r="W290" i="22"/>
  <c r="W289" i="22"/>
  <c r="W288" i="22"/>
  <c r="W287" i="22"/>
  <c r="W286" i="22"/>
  <c r="W285" i="22"/>
  <c r="W281" i="22"/>
  <c r="W280" i="22"/>
  <c r="W279" i="22"/>
  <c r="W278" i="22"/>
  <c r="W277" i="22"/>
  <c r="W276" i="22"/>
  <c r="W275" i="22"/>
  <c r="W255" i="22"/>
  <c r="W254" i="22"/>
  <c r="W253" i="22"/>
  <c r="W252" i="22"/>
  <c r="W251" i="22"/>
  <c r="W248" i="22"/>
  <c r="W247" i="22"/>
  <c r="W246" i="22"/>
  <c r="W245" i="22"/>
  <c r="W244" i="22"/>
  <c r="W243" i="22"/>
  <c r="W242" i="22"/>
  <c r="W241" i="22"/>
  <c r="W240" i="22"/>
  <c r="W239" i="22"/>
  <c r="W238" i="22"/>
  <c r="W236" i="22"/>
  <c r="W235" i="22"/>
  <c r="W234" i="22"/>
  <c r="W233" i="22"/>
  <c r="W232" i="22"/>
  <c r="W230" i="22"/>
  <c r="W229" i="22"/>
  <c r="W228" i="22"/>
  <c r="W227" i="22"/>
  <c r="W226" i="22"/>
  <c r="W225" i="22"/>
  <c r="W224" i="22"/>
  <c r="W223" i="22"/>
  <c r="W222" i="22"/>
  <c r="W221" i="22"/>
  <c r="W220" i="22"/>
  <c r="W219" i="22"/>
  <c r="W218" i="22"/>
  <c r="W217" i="22"/>
  <c r="W216" i="22"/>
  <c r="W215" i="22"/>
  <c r="W213" i="22"/>
  <c r="W212" i="22"/>
  <c r="W211" i="22"/>
  <c r="W181" i="22"/>
  <c r="W175" i="22"/>
  <c r="W174" i="22"/>
  <c r="AO174" i="22" s="1"/>
  <c r="W172" i="22"/>
  <c r="W171" i="22"/>
  <c r="W168" i="22"/>
  <c r="W167" i="22"/>
  <c r="W166" i="22"/>
  <c r="W165" i="22"/>
  <c r="W161" i="22"/>
  <c r="W160" i="22"/>
  <c r="W144" i="22"/>
  <c r="W143" i="22"/>
  <c r="W141" i="22"/>
  <c r="W140" i="22"/>
  <c r="W139" i="22"/>
  <c r="W138" i="22"/>
  <c r="W137" i="22"/>
  <c r="W136" i="22"/>
  <c r="W135" i="22"/>
  <c r="W134" i="22"/>
  <c r="W133" i="22"/>
  <c r="W132" i="22"/>
  <c r="W131" i="22"/>
  <c r="W130" i="22"/>
  <c r="W128" i="22"/>
  <c r="W127" i="22"/>
  <c r="W126" i="22"/>
  <c r="W125" i="22"/>
  <c r="W123" i="22"/>
  <c r="W122" i="22"/>
  <c r="W121" i="22"/>
  <c r="AO121" i="22" s="1"/>
  <c r="W120" i="22"/>
  <c r="W119" i="22"/>
  <c r="W117" i="22"/>
  <c r="W116" i="22"/>
  <c r="W115" i="22"/>
  <c r="W114" i="22"/>
  <c r="W113" i="22"/>
  <c r="W112" i="22"/>
  <c r="W111" i="22"/>
  <c r="W110" i="22"/>
  <c r="AO110" i="22" s="1"/>
  <c r="W109" i="22"/>
  <c r="AO109" i="22" s="1"/>
  <c r="W108" i="22"/>
  <c r="AO108" i="22" s="1"/>
  <c r="W107" i="22"/>
  <c r="AO107" i="22" s="1"/>
  <c r="W106" i="22"/>
  <c r="AO106" i="22" s="1"/>
  <c r="W105" i="22"/>
  <c r="AO105" i="22" s="1"/>
  <c r="W104" i="22"/>
  <c r="AO104" i="22" s="1"/>
  <c r="W103" i="22"/>
  <c r="AO103" i="22" s="1"/>
  <c r="W102" i="22"/>
  <c r="AO102" i="22" s="1"/>
  <c r="W101" i="22"/>
  <c r="AO101" i="22" s="1"/>
  <c r="W99" i="22"/>
  <c r="AO99" i="22" s="1"/>
  <c r="W98" i="22"/>
  <c r="AO98" i="22" s="1"/>
  <c r="AE413" i="15"/>
  <c r="AE406" i="15"/>
  <c r="AE404" i="15"/>
  <c r="AE403" i="15"/>
  <c r="Z388" i="16"/>
  <c r="Z385" i="16"/>
  <c r="AE318" i="15"/>
  <c r="AE312" i="15"/>
  <c r="AE306" i="15"/>
  <c r="AE301" i="15"/>
  <c r="AE300" i="15"/>
  <c r="AE298" i="15"/>
  <c r="AE296" i="15"/>
  <c r="AE288" i="15"/>
  <c r="AE286" i="15"/>
  <c r="AE276" i="15"/>
  <c r="AE140" i="15"/>
  <c r="AE135" i="15"/>
  <c r="K131" i="15"/>
  <c r="AE128" i="15"/>
  <c r="AE117" i="15"/>
  <c r="AE104" i="15"/>
  <c r="E100" i="16"/>
  <c r="AE96" i="15"/>
  <c r="AE94" i="15"/>
  <c r="AE93" i="15"/>
  <c r="AE89" i="15"/>
  <c r="AE573" i="15"/>
  <c r="AE569" i="15"/>
  <c r="AE561" i="15"/>
  <c r="AE559" i="15"/>
  <c r="AE549" i="15"/>
  <c r="AE548" i="15"/>
  <c r="AE544" i="15"/>
  <c r="AZ541" i="2"/>
  <c r="BJ541" i="2" s="1"/>
  <c r="AE541" i="15"/>
  <c r="AE481" i="15"/>
  <c r="AE480" i="15"/>
  <c r="Q479" i="10"/>
  <c r="AE477" i="15"/>
  <c r="E477" i="16"/>
  <c r="AE475" i="15"/>
  <c r="AE474" i="15"/>
  <c r="AE472" i="15"/>
  <c r="AE468" i="15"/>
  <c r="AE463" i="15"/>
  <c r="AE459" i="15"/>
  <c r="AE457" i="15"/>
  <c r="AE455" i="15"/>
  <c r="AE453" i="15"/>
  <c r="AE452" i="15"/>
  <c r="AE450" i="15"/>
  <c r="W447" i="1"/>
  <c r="AE447" i="15"/>
  <c r="AI444" i="1"/>
  <c r="E439" i="16"/>
  <c r="E88" i="16"/>
  <c r="E89" i="16"/>
  <c r="E91" i="16"/>
  <c r="E92" i="16"/>
  <c r="E93" i="16"/>
  <c r="E96" i="16"/>
  <c r="E99" i="16"/>
  <c r="E102" i="16"/>
  <c r="K88" i="15"/>
  <c r="AW89" i="17"/>
  <c r="K89" i="15"/>
  <c r="AW90" i="17"/>
  <c r="AW91" i="17"/>
  <c r="AE91" i="15"/>
  <c r="K91" i="15"/>
  <c r="AW92" i="17"/>
  <c r="AE92" i="15"/>
  <c r="K92" i="15"/>
  <c r="AW94" i="17"/>
  <c r="K94" i="15"/>
  <c r="AW93" i="17"/>
  <c r="K93" i="15"/>
  <c r="AW95" i="17"/>
  <c r="AE95" i="15"/>
  <c r="K95" i="15"/>
  <c r="AW96" i="17"/>
  <c r="K96" i="15"/>
  <c r="AW97" i="17"/>
  <c r="AE97" i="15"/>
  <c r="K97" i="15"/>
  <c r="AW98" i="17"/>
  <c r="AE98" i="15"/>
  <c r="K98" i="15"/>
  <c r="AW99" i="17"/>
  <c r="AE99" i="15"/>
  <c r="K99" i="15"/>
  <c r="AW100" i="17"/>
  <c r="AE100" i="15"/>
  <c r="K100" i="15"/>
  <c r="AW101" i="17"/>
  <c r="AE101" i="15"/>
  <c r="K101" i="15"/>
  <c r="AW102" i="17"/>
  <c r="AE102" i="15"/>
  <c r="K102" i="15"/>
  <c r="AW103" i="17"/>
  <c r="AE103" i="15"/>
  <c r="K103" i="15"/>
  <c r="AW104" i="17"/>
  <c r="K104" i="15"/>
  <c r="AW105" i="17"/>
  <c r="AE105" i="15"/>
  <c r="K105" i="15"/>
  <c r="AW106" i="17"/>
  <c r="AE106" i="15"/>
  <c r="K106" i="15"/>
  <c r="AW107" i="17"/>
  <c r="AE107" i="15"/>
  <c r="K107" i="15"/>
  <c r="AW108" i="17"/>
  <c r="AE108" i="15"/>
  <c r="K108" i="15"/>
  <c r="AW109" i="17"/>
  <c r="AE109" i="15"/>
  <c r="K109" i="15"/>
  <c r="AW110" i="17"/>
  <c r="AE110" i="15"/>
  <c r="K110" i="15"/>
  <c r="AW111" i="17"/>
  <c r="AE111" i="15"/>
  <c r="K111" i="15"/>
  <c r="AW112" i="17"/>
  <c r="AE112" i="15"/>
  <c r="K112" i="15"/>
  <c r="AW113" i="17"/>
  <c r="AE113" i="15"/>
  <c r="K113" i="15"/>
  <c r="AW114" i="17"/>
  <c r="K114" i="15"/>
  <c r="AW115" i="17"/>
  <c r="AE115" i="15"/>
  <c r="K115" i="15"/>
  <c r="AW116" i="17"/>
  <c r="AE116" i="15"/>
  <c r="K116" i="15"/>
  <c r="AW117" i="17"/>
  <c r="K117" i="15"/>
  <c r="AW119" i="17"/>
  <c r="AE119" i="15"/>
  <c r="K119" i="15"/>
  <c r="AW120" i="17"/>
  <c r="AE120" i="15"/>
  <c r="K120" i="15"/>
  <c r="AW121" i="17"/>
  <c r="AE121" i="15"/>
  <c r="K121" i="15"/>
  <c r="AW122" i="17"/>
  <c r="AE122" i="15"/>
  <c r="K122" i="15"/>
  <c r="AW123" i="17"/>
  <c r="AE123" i="15"/>
  <c r="K123" i="15"/>
  <c r="AW125" i="17"/>
  <c r="AE125" i="15"/>
  <c r="K125" i="15"/>
  <c r="AW126" i="17"/>
  <c r="AE126" i="15"/>
  <c r="K126" i="15"/>
  <c r="AW127" i="17"/>
  <c r="AE127" i="15"/>
  <c r="K127" i="15"/>
  <c r="AW128" i="17"/>
  <c r="K128" i="15"/>
  <c r="AW129" i="17"/>
  <c r="AE129" i="15"/>
  <c r="K129" i="15"/>
  <c r="AW130" i="17"/>
  <c r="AE130" i="15"/>
  <c r="K130" i="15"/>
  <c r="AW131" i="17"/>
  <c r="AE131" i="15"/>
  <c r="AW132" i="17"/>
  <c r="AE132" i="15"/>
  <c r="K132" i="15"/>
  <c r="AW133" i="17"/>
  <c r="AE133" i="15"/>
  <c r="K133" i="15"/>
  <c r="AW134" i="17"/>
  <c r="AE134" i="15"/>
  <c r="K134" i="15"/>
  <c r="AW135" i="17"/>
  <c r="K135" i="15"/>
  <c r="AW136" i="17"/>
  <c r="AE136" i="15"/>
  <c r="K136" i="15"/>
  <c r="AW137" i="17"/>
  <c r="AE137" i="15"/>
  <c r="K137" i="15"/>
  <c r="AW138" i="17"/>
  <c r="AE138" i="15"/>
  <c r="K138" i="15"/>
  <c r="AW139" i="17"/>
  <c r="AE139" i="15"/>
  <c r="K139" i="15"/>
  <c r="AW140" i="17"/>
  <c r="K140" i="15"/>
  <c r="AW141" i="17"/>
  <c r="AE141" i="15"/>
  <c r="K141" i="15"/>
  <c r="AW143" i="17"/>
  <c r="AE143" i="15"/>
  <c r="K143" i="15"/>
  <c r="AW144" i="17"/>
  <c r="AE144" i="15"/>
  <c r="K144" i="15"/>
  <c r="K145" i="15"/>
  <c r="AG145" i="15" s="1"/>
  <c r="AY145" i="17" s="1"/>
  <c r="BC145" i="17" s="1"/>
  <c r="BE145" i="17" s="1"/>
  <c r="AW146" i="17"/>
  <c r="K146" i="15"/>
  <c r="AG146" i="15" s="1"/>
  <c r="AW148" i="17"/>
  <c r="K148" i="15"/>
  <c r="AG148" i="15" s="1"/>
  <c r="AW149" i="17"/>
  <c r="K149" i="15"/>
  <c r="K151" i="15"/>
  <c r="AG151" i="15" s="1"/>
  <c r="AW152" i="17"/>
  <c r="AE152" i="15"/>
  <c r="K152" i="15"/>
  <c r="AW153" i="17"/>
  <c r="K153" i="15"/>
  <c r="K155" i="15"/>
  <c r="AG155" i="15" s="1"/>
  <c r="AY155" i="17" s="1"/>
  <c r="BC155" i="17" s="1"/>
  <c r="BE155" i="17" s="1"/>
  <c r="AW156" i="17"/>
  <c r="AE156" i="15"/>
  <c r="K156" i="15"/>
  <c r="AW157" i="17"/>
  <c r="AE157" i="15"/>
  <c r="K157" i="15"/>
  <c r="AW158" i="17"/>
  <c r="AE158" i="15"/>
  <c r="K158" i="15"/>
  <c r="AW159" i="17"/>
  <c r="AE159" i="15"/>
  <c r="K159" i="15"/>
  <c r="AW160" i="17"/>
  <c r="AE160" i="15"/>
  <c r="K160" i="15"/>
  <c r="AW161" i="17"/>
  <c r="AE161" i="15"/>
  <c r="K161" i="15"/>
  <c r="AE163" i="15"/>
  <c r="K163" i="15"/>
  <c r="AW164" i="17"/>
  <c r="AE164" i="15"/>
  <c r="K164" i="15"/>
  <c r="AW165" i="17"/>
  <c r="AE165" i="15"/>
  <c r="K165" i="15"/>
  <c r="AW166" i="17"/>
  <c r="AE166" i="15"/>
  <c r="K166" i="15"/>
  <c r="AW167" i="17"/>
  <c r="AE167" i="15"/>
  <c r="K167" i="15"/>
  <c r="AW168" i="17"/>
  <c r="AE168" i="15"/>
  <c r="K168" i="15"/>
  <c r="K169" i="15"/>
  <c r="AG169" i="15" s="1"/>
  <c r="AY169" i="17" s="1"/>
  <c r="BC169" i="17" s="1"/>
  <c r="BE169" i="17" s="1"/>
  <c r="K170" i="15"/>
  <c r="AG170" i="15" s="1"/>
  <c r="AY170" i="17" s="1"/>
  <c r="BC170" i="17" s="1"/>
  <c r="BE170" i="17" s="1"/>
  <c r="AW171" i="17"/>
  <c r="AE171" i="15"/>
  <c r="K171" i="15"/>
  <c r="AW172" i="17"/>
  <c r="AE172" i="15"/>
  <c r="K172" i="15"/>
  <c r="AW174" i="17"/>
  <c r="AE174" i="15"/>
  <c r="K174" i="15"/>
  <c r="AW175" i="17"/>
  <c r="AE175" i="15"/>
  <c r="K175" i="15"/>
  <c r="K179" i="15"/>
  <c r="AG179" i="15" s="1"/>
  <c r="AY179" i="17" s="1"/>
  <c r="BC179" i="17" s="1"/>
  <c r="BE179" i="17" s="1"/>
  <c r="AW180" i="17"/>
  <c r="K180" i="15"/>
  <c r="AG180" i="15" s="1"/>
  <c r="AW181" i="17"/>
  <c r="K181" i="15"/>
  <c r="AG181" i="15" s="1"/>
  <c r="AW182" i="17"/>
  <c r="AE182" i="15"/>
  <c r="AE183" i="15"/>
  <c r="AE188" i="15"/>
  <c r="AW189" i="17"/>
  <c r="AE189" i="15"/>
  <c r="AW190" i="17"/>
  <c r="AE190" i="15"/>
  <c r="AW191" i="17"/>
  <c r="AE191" i="15"/>
  <c r="AE195" i="15"/>
  <c r="AW196" i="17"/>
  <c r="AE196" i="15"/>
  <c r="AW197" i="17"/>
  <c r="AE197" i="15"/>
  <c r="AE198" i="15"/>
  <c r="AW199" i="17"/>
  <c r="AE199" i="15"/>
  <c r="AW200" i="17"/>
  <c r="AE200" i="15"/>
  <c r="AW201" i="17"/>
  <c r="AE201" i="15"/>
  <c r="AW202" i="17"/>
  <c r="AE202" i="15"/>
  <c r="AW206" i="17"/>
  <c r="AW207" i="17"/>
  <c r="AE207" i="15"/>
  <c r="AW208" i="17"/>
  <c r="AE208" i="15"/>
  <c r="AW209" i="17"/>
  <c r="AE209" i="15"/>
  <c r="AW210" i="17"/>
  <c r="AE210" i="15"/>
  <c r="AW211" i="17"/>
  <c r="AE211" i="15"/>
  <c r="K211" i="15"/>
  <c r="AW212" i="17"/>
  <c r="AE212" i="15"/>
  <c r="K212" i="15"/>
  <c r="AW213" i="17"/>
  <c r="AE213" i="15"/>
  <c r="K213" i="15"/>
  <c r="AW214" i="17"/>
  <c r="K214" i="15"/>
  <c r="AG214" i="15" s="1"/>
  <c r="AW215" i="17"/>
  <c r="AE215" i="15"/>
  <c r="K215" i="15"/>
  <c r="AW216" i="17"/>
  <c r="AE216" i="15"/>
  <c r="K216" i="15"/>
  <c r="K217" i="15"/>
  <c r="AG217" i="15" s="1"/>
  <c r="AY217" i="17" s="1"/>
  <c r="BC217" i="17" s="1"/>
  <c r="BE217" i="17" s="1"/>
  <c r="AW218" i="17"/>
  <c r="AE218" i="15"/>
  <c r="K218" i="15"/>
  <c r="AW219" i="17"/>
  <c r="AE219" i="15"/>
  <c r="K219" i="15"/>
  <c r="AW220" i="17"/>
  <c r="AE220" i="15"/>
  <c r="K220" i="15"/>
  <c r="AW221" i="17"/>
  <c r="AE221" i="15"/>
  <c r="K221" i="15"/>
  <c r="AW222" i="17"/>
  <c r="AE222" i="15"/>
  <c r="K222" i="15"/>
  <c r="AW223" i="17"/>
  <c r="AE223" i="15"/>
  <c r="K223" i="15"/>
  <c r="AW224" i="17"/>
  <c r="AE224" i="15"/>
  <c r="K224" i="15"/>
  <c r="AW225" i="17"/>
  <c r="AE225" i="15"/>
  <c r="K225" i="15"/>
  <c r="AW226" i="17"/>
  <c r="AE226" i="15"/>
  <c r="K226" i="15"/>
  <c r="AW227" i="17"/>
  <c r="AE227" i="15"/>
  <c r="K227" i="15"/>
  <c r="AW228" i="17"/>
  <c r="AE228" i="15"/>
  <c r="K228" i="15"/>
  <c r="AW229" i="17"/>
  <c r="AE229" i="15"/>
  <c r="K229" i="15"/>
  <c r="AW230" i="17"/>
  <c r="AE230" i="15"/>
  <c r="K230" i="15"/>
  <c r="K231" i="15"/>
  <c r="AG231" i="15" s="1"/>
  <c r="AY231" i="17" s="1"/>
  <c r="BC231" i="17" s="1"/>
  <c r="BE231" i="17" s="1"/>
  <c r="AW232" i="17"/>
  <c r="K232" i="15"/>
  <c r="AG232" i="15" s="1"/>
  <c r="AE233" i="15"/>
  <c r="K233" i="15"/>
  <c r="AW234" i="17"/>
  <c r="AE234" i="15"/>
  <c r="K234" i="15"/>
  <c r="AW235" i="17"/>
  <c r="AE235" i="15"/>
  <c r="K235" i="15"/>
  <c r="AE236" i="15"/>
  <c r="K236" i="15"/>
  <c r="AW238" i="17"/>
  <c r="AE238" i="15"/>
  <c r="AG238" i="15" s="1"/>
  <c r="AW239" i="17"/>
  <c r="AE239" i="15"/>
  <c r="K239" i="15"/>
  <c r="AW240" i="17"/>
  <c r="K240" i="15"/>
  <c r="AW241" i="17"/>
  <c r="AE241" i="15"/>
  <c r="K241" i="15"/>
  <c r="AW242" i="17"/>
  <c r="AE242" i="15"/>
  <c r="K242" i="15"/>
  <c r="AW243" i="17"/>
  <c r="AE243" i="15"/>
  <c r="K243" i="15"/>
  <c r="AW244" i="17"/>
  <c r="AE244" i="15"/>
  <c r="K244" i="15"/>
  <c r="AW245" i="17"/>
  <c r="AE245" i="15"/>
  <c r="K245" i="15"/>
  <c r="AW246" i="17"/>
  <c r="AE246" i="15"/>
  <c r="K246" i="15"/>
  <c r="AW247" i="17"/>
  <c r="AE247" i="15"/>
  <c r="K247" i="15"/>
  <c r="AW248" i="17"/>
  <c r="K248" i="15"/>
  <c r="AW250" i="17"/>
  <c r="AE250" i="15"/>
  <c r="K250" i="15"/>
  <c r="AW251" i="17"/>
  <c r="AE251" i="15"/>
  <c r="K251" i="15"/>
  <c r="AW252" i="17"/>
  <c r="AE252" i="15"/>
  <c r="K252" i="15"/>
  <c r="AW253" i="17"/>
  <c r="AE253" i="15"/>
  <c r="K253" i="15"/>
  <c r="AW254" i="17"/>
  <c r="AE254" i="15"/>
  <c r="K254" i="15"/>
  <c r="AW255" i="17"/>
  <c r="AE255" i="15"/>
  <c r="K255" i="15"/>
  <c r="AE257" i="15"/>
  <c r="K257" i="15"/>
  <c r="AW273" i="17"/>
  <c r="AW275" i="17"/>
  <c r="AE275" i="15"/>
  <c r="K275" i="15"/>
  <c r="AW276" i="17"/>
  <c r="K276" i="15"/>
  <c r="AW277" i="17"/>
  <c r="AE277" i="15"/>
  <c r="K277" i="15"/>
  <c r="AW278" i="17"/>
  <c r="AE278" i="15"/>
  <c r="K278" i="15"/>
  <c r="AW279" i="17"/>
  <c r="AE279" i="15"/>
  <c r="K279" i="15"/>
  <c r="AW280" i="17"/>
  <c r="AE280" i="15"/>
  <c r="K280" i="15"/>
  <c r="AW281" i="17"/>
  <c r="AE281" i="15"/>
  <c r="AG284" i="15"/>
  <c r="AY284" i="17" s="1"/>
  <c r="BC284" i="17" s="1"/>
  <c r="BE284" i="17" s="1"/>
  <c r="AE285" i="15"/>
  <c r="AW286" i="17"/>
  <c r="AW287" i="17"/>
  <c r="AE287" i="15"/>
  <c r="AG287" i="15" s="1"/>
  <c r="AW288" i="17"/>
  <c r="K288" i="15"/>
  <c r="AW289" i="17"/>
  <c r="K289" i="15"/>
  <c r="AW290" i="17"/>
  <c r="AE290" i="15"/>
  <c r="K290" i="15"/>
  <c r="AW291" i="17"/>
  <c r="AE291" i="15"/>
  <c r="K291" i="15"/>
  <c r="AW292" i="17"/>
  <c r="AE292" i="15"/>
  <c r="K292" i="15"/>
  <c r="AW293" i="17"/>
  <c r="AE293" i="15"/>
  <c r="K293" i="15"/>
  <c r="AW295" i="17"/>
  <c r="AE295" i="15"/>
  <c r="K295" i="15"/>
  <c r="AW296" i="17"/>
  <c r="K296" i="15"/>
  <c r="AW298" i="17"/>
  <c r="K298" i="15"/>
  <c r="AW299" i="17"/>
  <c r="AE299" i="15"/>
  <c r="K299" i="15"/>
  <c r="AW300" i="17"/>
  <c r="K300" i="15"/>
  <c r="AW297" i="17"/>
  <c r="AE297" i="15"/>
  <c r="K297" i="15"/>
  <c r="AW301" i="17"/>
  <c r="K301" i="15"/>
  <c r="AW302" i="17"/>
  <c r="AE302" i="15"/>
  <c r="K302" i="15"/>
  <c r="K304" i="15"/>
  <c r="AG304" i="15" s="1"/>
  <c r="AY304" i="17" s="1"/>
  <c r="BC304" i="17" s="1"/>
  <c r="BE304" i="17" s="1"/>
  <c r="K305" i="15"/>
  <c r="AG305" i="15" s="1"/>
  <c r="AY305" i="17" s="1"/>
  <c r="BC305" i="17" s="1"/>
  <c r="BE305" i="17" s="1"/>
  <c r="K306" i="15"/>
  <c r="AW307" i="17"/>
  <c r="AE307" i="15"/>
  <c r="K307" i="15"/>
  <c r="AE308" i="15"/>
  <c r="K308" i="15"/>
  <c r="AE309" i="15"/>
  <c r="K309" i="15"/>
  <c r="AE310" i="15"/>
  <c r="K310" i="15"/>
  <c r="AE311" i="15"/>
  <c r="K311" i="15"/>
  <c r="K312" i="15"/>
  <c r="AE313" i="15"/>
  <c r="K313" i="15"/>
  <c r="AE314" i="15"/>
  <c r="K314" i="15"/>
  <c r="AE315" i="15"/>
  <c r="K315" i="15"/>
  <c r="AW316" i="17"/>
  <c r="AE316" i="15"/>
  <c r="K316" i="15"/>
  <c r="AW317" i="17"/>
  <c r="AE317" i="15"/>
  <c r="K317" i="15"/>
  <c r="AW318" i="17"/>
  <c r="K318" i="15"/>
  <c r="AW319" i="17"/>
  <c r="AE319" i="15"/>
  <c r="K319" i="15"/>
  <c r="AW320" i="17"/>
  <c r="AE320" i="15"/>
  <c r="K320" i="15"/>
  <c r="AW321" i="17"/>
  <c r="AE321" i="15"/>
  <c r="K321" i="15"/>
  <c r="AW323" i="17"/>
  <c r="AE323" i="15"/>
  <c r="K323" i="15"/>
  <c r="AW325" i="17"/>
  <c r="AE325" i="15"/>
  <c r="K325" i="15"/>
  <c r="AW327" i="17"/>
  <c r="AE327" i="15"/>
  <c r="K327" i="15"/>
  <c r="AW328" i="17"/>
  <c r="AE328" i="15"/>
  <c r="K328" i="15"/>
  <c r="AW329" i="17"/>
  <c r="AE329" i="15"/>
  <c r="K329" i="15"/>
  <c r="AW330" i="17"/>
  <c r="AE330" i="15"/>
  <c r="K330" i="15"/>
  <c r="AW331" i="17"/>
  <c r="AE331" i="15"/>
  <c r="K331" i="15"/>
  <c r="AW332" i="17"/>
  <c r="AE332" i="15"/>
  <c r="K332" i="15"/>
  <c r="AW333" i="17"/>
  <c r="AE333" i="15"/>
  <c r="K333" i="15"/>
  <c r="AW334" i="17"/>
  <c r="AE334" i="15"/>
  <c r="K334" i="15"/>
  <c r="AW336" i="17"/>
  <c r="AE336" i="15"/>
  <c r="K336" i="15"/>
  <c r="AW337" i="17"/>
  <c r="AE337" i="15"/>
  <c r="K337" i="15"/>
  <c r="AW338" i="17"/>
  <c r="AE338" i="15"/>
  <c r="K338" i="15"/>
  <c r="AW339" i="17"/>
  <c r="AE339" i="15"/>
  <c r="K339" i="15"/>
  <c r="AW340" i="17"/>
  <c r="AE340" i="15"/>
  <c r="K340" i="15"/>
  <c r="AW341" i="17"/>
  <c r="AE341" i="15"/>
  <c r="K341" i="15"/>
  <c r="AW342" i="17"/>
  <c r="AE342" i="15"/>
  <c r="K342" i="15"/>
  <c r="AW343" i="17"/>
  <c r="AE343" i="15"/>
  <c r="K343" i="15"/>
  <c r="AE344" i="15"/>
  <c r="K344" i="15"/>
  <c r="AW345" i="17"/>
  <c r="AE345" i="15"/>
  <c r="K345" i="15"/>
  <c r="AW346" i="17"/>
  <c r="AE346" i="15"/>
  <c r="K346" i="15"/>
  <c r="AW347" i="17"/>
  <c r="AE347" i="15"/>
  <c r="K347" i="15"/>
  <c r="AW348" i="17"/>
  <c r="AE348" i="15"/>
  <c r="K348" i="15"/>
  <c r="AW349" i="17"/>
  <c r="AE349" i="15"/>
  <c r="K349" i="15"/>
  <c r="AW350" i="17"/>
  <c r="AE350" i="15"/>
  <c r="K350" i="15"/>
  <c r="AW351" i="17"/>
  <c r="AE351" i="15"/>
  <c r="K351" i="15"/>
  <c r="AW352" i="17"/>
  <c r="AE352" i="15"/>
  <c r="K352" i="15"/>
  <c r="AW353" i="17"/>
  <c r="AE353" i="15"/>
  <c r="K353" i="15"/>
  <c r="AW355" i="17"/>
  <c r="AE355" i="15"/>
  <c r="K355" i="15"/>
  <c r="AW356" i="17"/>
  <c r="AE356" i="15"/>
  <c r="K356" i="15"/>
  <c r="AW357" i="17"/>
  <c r="AE357" i="15"/>
  <c r="K357" i="15"/>
  <c r="AW358" i="17"/>
  <c r="AE358" i="15"/>
  <c r="K358" i="15"/>
  <c r="AW359" i="17"/>
  <c r="AE359" i="15"/>
  <c r="K359" i="15"/>
  <c r="AW360" i="17"/>
  <c r="AE360" i="15"/>
  <c r="K360" i="15"/>
  <c r="AW361" i="17"/>
  <c r="AE361" i="15"/>
  <c r="K361" i="15"/>
  <c r="AW362" i="17"/>
  <c r="AE362" i="15"/>
  <c r="K362" i="15"/>
  <c r="AW363" i="17"/>
  <c r="AE363" i="15"/>
  <c r="K363" i="15"/>
  <c r="AW364" i="17"/>
  <c r="AE364" i="15"/>
  <c r="K364" i="15"/>
  <c r="AW365" i="17"/>
  <c r="AE365" i="15"/>
  <c r="K365" i="15"/>
  <c r="AW366" i="17"/>
  <c r="AE366" i="15"/>
  <c r="K366" i="15"/>
  <c r="AW367" i="17"/>
  <c r="AE367" i="15"/>
  <c r="K367" i="15"/>
  <c r="AW368" i="17"/>
  <c r="AE368" i="15"/>
  <c r="K368" i="15"/>
  <c r="AW369" i="17"/>
  <c r="AE369" i="15"/>
  <c r="K369" i="15"/>
  <c r="AW370" i="17"/>
  <c r="AE370" i="15"/>
  <c r="K370" i="15"/>
  <c r="AW371" i="17"/>
  <c r="AE371" i="15"/>
  <c r="K371" i="15"/>
  <c r="AW372" i="17"/>
  <c r="AE372" i="15"/>
  <c r="K372" i="15"/>
  <c r="AW373" i="17"/>
  <c r="AE373" i="15"/>
  <c r="K373" i="15"/>
  <c r="AE402" i="15"/>
  <c r="AE405" i="15"/>
  <c r="AE407" i="15"/>
  <c r="K407" i="15"/>
  <c r="AG412" i="15"/>
  <c r="AY412" i="17" s="1"/>
  <c r="AE414" i="15"/>
  <c r="AW420" i="17"/>
  <c r="AE420" i="15"/>
  <c r="K420" i="15"/>
  <c r="AW422" i="17"/>
  <c r="AE422" i="15"/>
  <c r="K422" i="15"/>
  <c r="AW424" i="17"/>
  <c r="AE424" i="15"/>
  <c r="AW425" i="17"/>
  <c r="AE425" i="15"/>
  <c r="AW426" i="17"/>
  <c r="AE426" i="15"/>
  <c r="AW427" i="17"/>
  <c r="AE427" i="15"/>
  <c r="AE428" i="15"/>
  <c r="AG428" i="15" s="1"/>
  <c r="AE429" i="15"/>
  <c r="AE430" i="15"/>
  <c r="AG430" i="15" s="1"/>
  <c r="AY430" i="17" s="1"/>
  <c r="AE431" i="15"/>
  <c r="AE432" i="15"/>
  <c r="AG432" i="15" s="1"/>
  <c r="AY432" i="17" s="1"/>
  <c r="AW433" i="17"/>
  <c r="AW434" i="17"/>
  <c r="AW435" i="17"/>
  <c r="AW436" i="17"/>
  <c r="AW437" i="17"/>
  <c r="AE437" i="15"/>
  <c r="K437" i="15"/>
  <c r="AW438" i="17"/>
  <c r="AE438" i="15"/>
  <c r="K438" i="15"/>
  <c r="AW439" i="17"/>
  <c r="AE439" i="15"/>
  <c r="K439" i="15"/>
  <c r="AW440" i="17"/>
  <c r="AE440" i="15"/>
  <c r="K440" i="15"/>
  <c r="AW441" i="17"/>
  <c r="AE441" i="15"/>
  <c r="K441" i="15"/>
  <c r="AW442" i="17"/>
  <c r="AE442" i="15"/>
  <c r="K442" i="15"/>
  <c r="AW443" i="17"/>
  <c r="AE443" i="15"/>
  <c r="K443" i="15"/>
  <c r="AW444" i="17"/>
  <c r="AE444" i="15"/>
  <c r="K444" i="15"/>
  <c r="AW445" i="17"/>
  <c r="AE445" i="15"/>
  <c r="K445" i="15"/>
  <c r="AW446" i="17"/>
  <c r="AE446" i="15"/>
  <c r="K446" i="15"/>
  <c r="AW447" i="17"/>
  <c r="K447" i="15"/>
  <c r="AW449" i="17"/>
  <c r="AE449" i="15"/>
  <c r="K449" i="15"/>
  <c r="AW450" i="17"/>
  <c r="K450" i="15"/>
  <c r="AW451" i="17"/>
  <c r="AE451" i="15"/>
  <c r="K451" i="15"/>
  <c r="AW452" i="17"/>
  <c r="K452" i="15"/>
  <c r="AW453" i="17"/>
  <c r="K453" i="15"/>
  <c r="AW454" i="17"/>
  <c r="AE454" i="15"/>
  <c r="K454" i="15"/>
  <c r="AW455" i="17"/>
  <c r="K455" i="15"/>
  <c r="AW456" i="17"/>
  <c r="AE456" i="15"/>
  <c r="K456" i="15"/>
  <c r="AW457" i="17"/>
  <c r="K457" i="15"/>
  <c r="AW458" i="17"/>
  <c r="AE458" i="15"/>
  <c r="K458" i="15"/>
  <c r="AW459" i="17"/>
  <c r="K459" i="15"/>
  <c r="AW460" i="17"/>
  <c r="AE460" i="15"/>
  <c r="K460" i="15"/>
  <c r="AW461" i="17"/>
  <c r="AE461" i="15"/>
  <c r="K461" i="15"/>
  <c r="AW462" i="17"/>
  <c r="AE462" i="15"/>
  <c r="K462" i="15"/>
  <c r="AW463" i="17"/>
  <c r="K463" i="15"/>
  <c r="AW465" i="17"/>
  <c r="AE465" i="15"/>
  <c r="K465" i="15"/>
  <c r="AW466" i="17"/>
  <c r="AE466" i="15"/>
  <c r="K466" i="15"/>
  <c r="AW467" i="17"/>
  <c r="AE467" i="15"/>
  <c r="K467" i="15"/>
  <c r="AW468" i="17"/>
  <c r="K468" i="15"/>
  <c r="AW469" i="17"/>
  <c r="AE469" i="15"/>
  <c r="K469" i="15"/>
  <c r="AW470" i="17"/>
  <c r="AE470" i="15"/>
  <c r="K470" i="15"/>
  <c r="AW471" i="17"/>
  <c r="AE471" i="15"/>
  <c r="K471" i="15"/>
  <c r="AW472" i="17"/>
  <c r="K472" i="15"/>
  <c r="AW473" i="17"/>
  <c r="AE473" i="15"/>
  <c r="K473" i="15"/>
  <c r="AW474" i="17"/>
  <c r="K474" i="15"/>
  <c r="AW475" i="17"/>
  <c r="K475" i="15"/>
  <c r="AW476" i="17"/>
  <c r="AE476" i="15"/>
  <c r="K476" i="15"/>
  <c r="AW477" i="17"/>
  <c r="K477" i="15"/>
  <c r="AW478" i="17"/>
  <c r="K478" i="15"/>
  <c r="AW479" i="17"/>
  <c r="AE479" i="15"/>
  <c r="K479" i="15"/>
  <c r="AW480" i="17"/>
  <c r="K480" i="15"/>
  <c r="AW481" i="17"/>
  <c r="K481" i="15"/>
  <c r="AW482" i="17"/>
  <c r="AE482" i="15"/>
  <c r="K482" i="15"/>
  <c r="AW483" i="17"/>
  <c r="AE483" i="15"/>
  <c r="K483" i="15"/>
  <c r="AW484" i="17"/>
  <c r="AE484" i="15"/>
  <c r="K484" i="15"/>
  <c r="AW485" i="17"/>
  <c r="AE485" i="15"/>
  <c r="K485" i="15"/>
  <c r="AW486" i="17"/>
  <c r="AE486" i="15"/>
  <c r="K486" i="15"/>
  <c r="AW487" i="17"/>
  <c r="AE487" i="15"/>
  <c r="K487" i="15"/>
  <c r="AW538" i="17"/>
  <c r="AW539" i="17"/>
  <c r="AW540" i="17"/>
  <c r="AE540" i="15"/>
  <c r="K540" i="15"/>
  <c r="AW541" i="17"/>
  <c r="K541" i="15"/>
  <c r="AW542" i="17"/>
  <c r="AE542" i="15"/>
  <c r="K542" i="15"/>
  <c r="AW543" i="17"/>
  <c r="AE543" i="15"/>
  <c r="K543" i="15"/>
  <c r="AW544" i="17"/>
  <c r="K544" i="15"/>
  <c r="AW545" i="17"/>
  <c r="AE545" i="15"/>
  <c r="K545" i="15"/>
  <c r="AW547" i="17"/>
  <c r="AE547" i="15"/>
  <c r="K547" i="15"/>
  <c r="AW548" i="17"/>
  <c r="K548" i="15"/>
  <c r="AW549" i="17"/>
  <c r="K549" i="15"/>
  <c r="AE550" i="15"/>
  <c r="K550" i="15"/>
  <c r="AW551" i="17"/>
  <c r="AE551" i="15"/>
  <c r="K551" i="15"/>
  <c r="AW552" i="17"/>
  <c r="AE552" i="15"/>
  <c r="K552" i="15"/>
  <c r="AW553" i="17"/>
  <c r="AE553" i="15"/>
  <c r="K553" i="15"/>
  <c r="AW554" i="17"/>
  <c r="AE554" i="15"/>
  <c r="K554" i="15"/>
  <c r="AW555" i="17"/>
  <c r="AE555" i="15"/>
  <c r="K555" i="15"/>
  <c r="AW556" i="17"/>
  <c r="AE556" i="15"/>
  <c r="K556" i="15"/>
  <c r="AW557" i="17"/>
  <c r="AE557" i="15"/>
  <c r="K557" i="15"/>
  <c r="AW558" i="17"/>
  <c r="AE558" i="15"/>
  <c r="K558" i="15"/>
  <c r="AW559" i="17"/>
  <c r="K559" i="15"/>
  <c r="AW560" i="17"/>
  <c r="AE560" i="15"/>
  <c r="K560" i="15"/>
  <c r="AW561" i="17"/>
  <c r="K561" i="15"/>
  <c r="AW562" i="17"/>
  <c r="AE562" i="15"/>
  <c r="K562" i="15"/>
  <c r="AW563" i="17"/>
  <c r="AE563" i="15"/>
  <c r="K563" i="15"/>
  <c r="AW564" i="17"/>
  <c r="AE564" i="15"/>
  <c r="K564" i="15"/>
  <c r="AW565" i="17"/>
  <c r="AE565" i="15"/>
  <c r="K565" i="15"/>
  <c r="AW566" i="17"/>
  <c r="AE566" i="15"/>
  <c r="K566" i="15"/>
  <c r="AW567" i="17"/>
  <c r="AE567" i="15"/>
  <c r="K567" i="15"/>
  <c r="AW568" i="17"/>
  <c r="AE568" i="15"/>
  <c r="K568" i="15"/>
  <c r="AW569" i="17"/>
  <c r="K569" i="15"/>
  <c r="AW570" i="17"/>
  <c r="AE570" i="15"/>
  <c r="K570" i="15"/>
  <c r="AW571" i="17"/>
  <c r="AE571" i="15"/>
  <c r="K571" i="15"/>
  <c r="AW572" i="17"/>
  <c r="AE572" i="15"/>
  <c r="K572" i="15"/>
  <c r="AW573" i="17"/>
  <c r="K573" i="15"/>
  <c r="AW575" i="17"/>
  <c r="AE575" i="15"/>
  <c r="K575" i="15"/>
  <c r="AW576" i="17"/>
  <c r="AE576" i="15"/>
  <c r="AW580" i="17"/>
  <c r="AE580" i="15"/>
  <c r="AW581" i="17"/>
  <c r="AE581" i="15"/>
  <c r="AW582" i="17"/>
  <c r="AE582" i="15"/>
  <c r="AW583" i="17"/>
  <c r="AW584" i="17"/>
  <c r="AW585" i="17"/>
  <c r="AW586" i="17"/>
  <c r="AW587" i="17"/>
  <c r="AW588" i="17"/>
  <c r="AW589" i="17"/>
  <c r="AE589" i="15"/>
  <c r="AW590" i="17"/>
  <c r="AE590" i="15"/>
  <c r="AW591" i="17"/>
  <c r="AE591" i="15"/>
  <c r="AW592" i="17"/>
  <c r="AW593" i="17"/>
  <c r="AW594" i="17"/>
  <c r="AE594" i="15"/>
  <c r="AW595" i="17"/>
  <c r="AE595" i="15"/>
  <c r="AW596" i="17"/>
  <c r="AE596" i="15"/>
  <c r="AW598" i="17"/>
  <c r="AE598" i="15"/>
  <c r="K598" i="15"/>
  <c r="AW599" i="17"/>
  <c r="AE599" i="15"/>
  <c r="K599" i="15"/>
  <c r="AW600" i="17"/>
  <c r="AE600" i="15"/>
  <c r="K600" i="15"/>
  <c r="AW601" i="17"/>
  <c r="AE601" i="15"/>
  <c r="K601" i="15"/>
  <c r="AW602" i="17"/>
  <c r="AE602" i="15"/>
  <c r="K602" i="15"/>
  <c r="AW603" i="17"/>
  <c r="AE603" i="15"/>
  <c r="K603" i="15"/>
  <c r="AW604" i="17"/>
  <c r="AE604" i="15"/>
  <c r="K604" i="15"/>
  <c r="AW605" i="17"/>
  <c r="AE605" i="15"/>
  <c r="K605" i="15"/>
  <c r="AW606" i="17"/>
  <c r="AE606" i="15"/>
  <c r="K606" i="15"/>
  <c r="AW607" i="17"/>
  <c r="AE607" i="15"/>
  <c r="K607" i="15"/>
  <c r="AW608" i="17"/>
  <c r="AE608" i="15"/>
  <c r="K608" i="15"/>
  <c r="AW609" i="17"/>
  <c r="AE609" i="15"/>
  <c r="K609" i="15"/>
  <c r="AW610" i="17"/>
  <c r="AE610" i="15"/>
  <c r="K610" i="15"/>
  <c r="AW611" i="17"/>
  <c r="AE611" i="15"/>
  <c r="K611" i="15"/>
  <c r="AW612" i="17"/>
  <c r="AE612" i="15"/>
  <c r="K612" i="15"/>
  <c r="AW613" i="17"/>
  <c r="AE613" i="15"/>
  <c r="K613" i="15"/>
  <c r="AW614" i="17"/>
  <c r="AE614" i="15"/>
  <c r="K614" i="15"/>
  <c r="AW615" i="17"/>
  <c r="AE615" i="15"/>
  <c r="K615" i="15"/>
  <c r="AW616" i="17"/>
  <c r="AE616" i="15"/>
  <c r="K616" i="15"/>
  <c r="AW617" i="17"/>
  <c r="AE617" i="15"/>
  <c r="K617" i="15"/>
  <c r="AW618" i="17"/>
  <c r="AE618" i="15"/>
  <c r="K618" i="15"/>
  <c r="AW619" i="17"/>
  <c r="AE619" i="15"/>
  <c r="K619" i="15"/>
  <c r="AW620" i="17"/>
  <c r="AE620" i="15"/>
  <c r="K620" i="15"/>
  <c r="AW621" i="17"/>
  <c r="AE621" i="15"/>
  <c r="K621" i="15"/>
  <c r="AW622" i="17"/>
  <c r="AE622" i="15"/>
  <c r="K622" i="15"/>
  <c r="AW623" i="17"/>
  <c r="AE623" i="15"/>
  <c r="K623" i="15"/>
  <c r="AW624" i="17"/>
  <c r="AE624" i="15"/>
  <c r="K624" i="15"/>
  <c r="AW625" i="17"/>
  <c r="AE625" i="15"/>
  <c r="K625" i="15"/>
  <c r="AW627" i="17"/>
  <c r="AE627" i="15"/>
  <c r="K627" i="15"/>
  <c r="AW628" i="17"/>
  <c r="AE628" i="15"/>
  <c r="K628" i="15"/>
  <c r="AW629" i="17"/>
  <c r="AE629" i="15"/>
  <c r="K629" i="15"/>
  <c r="AW630" i="17"/>
  <c r="AE630" i="15"/>
  <c r="K630" i="15"/>
  <c r="T575" i="10"/>
  <c r="T573" i="10"/>
  <c r="T572" i="10"/>
  <c r="T571" i="10"/>
  <c r="T570" i="10"/>
  <c r="T569" i="10"/>
  <c r="T568" i="10"/>
  <c r="T567" i="10"/>
  <c r="T566" i="10"/>
  <c r="T565" i="10"/>
  <c r="T564" i="10"/>
  <c r="T563" i="10"/>
  <c r="T562" i="10"/>
  <c r="T561" i="10"/>
  <c r="T560" i="10"/>
  <c r="T559" i="10"/>
  <c r="T558" i="10"/>
  <c r="T557" i="10"/>
  <c r="T556" i="10"/>
  <c r="T555" i="10"/>
  <c r="T554" i="10"/>
  <c r="T553" i="10"/>
  <c r="T552" i="10"/>
  <c r="T551" i="10"/>
  <c r="T550" i="10"/>
  <c r="T549" i="10"/>
  <c r="T548" i="10"/>
  <c r="T547" i="10"/>
  <c r="T545" i="10"/>
  <c r="T544" i="10"/>
  <c r="T543" i="10"/>
  <c r="T542" i="10"/>
  <c r="T541" i="10"/>
  <c r="T540" i="10"/>
  <c r="T539" i="10"/>
  <c r="T538" i="10"/>
  <c r="T537" i="10"/>
  <c r="T536" i="10"/>
  <c r="T535" i="10"/>
  <c r="T534" i="10"/>
  <c r="T533" i="10"/>
  <c r="T532" i="10"/>
  <c r="T530" i="10"/>
  <c r="T529" i="10"/>
  <c r="T528" i="10"/>
  <c r="T527" i="10"/>
  <c r="T526" i="10"/>
  <c r="Q575" i="10"/>
  <c r="Q573" i="10"/>
  <c r="Q572" i="10"/>
  <c r="Q571" i="10"/>
  <c r="Q570" i="10"/>
  <c r="Q569" i="10"/>
  <c r="Q568" i="10"/>
  <c r="Q567" i="10"/>
  <c r="Q566" i="10"/>
  <c r="Q565" i="10"/>
  <c r="Q564" i="10"/>
  <c r="Q563" i="10"/>
  <c r="Q562" i="10"/>
  <c r="Q561" i="10"/>
  <c r="Q560" i="10"/>
  <c r="Q559" i="10"/>
  <c r="Q558" i="10"/>
  <c r="Q557" i="10"/>
  <c r="Q556" i="10"/>
  <c r="Q555" i="10"/>
  <c r="Q554" i="10"/>
  <c r="Q553" i="10"/>
  <c r="Q552" i="10"/>
  <c r="Q551" i="10"/>
  <c r="Q550" i="10"/>
  <c r="Q549" i="10"/>
  <c r="Q547" i="10"/>
  <c r="Q545" i="10"/>
  <c r="Q544" i="10"/>
  <c r="Q543" i="10"/>
  <c r="Q542" i="10"/>
  <c r="Q541" i="10"/>
  <c r="Q540" i="10"/>
  <c r="Q539" i="10"/>
  <c r="Q538" i="10"/>
  <c r="T523" i="10"/>
  <c r="T522" i="10"/>
  <c r="T521" i="10"/>
  <c r="T520" i="10"/>
  <c r="T519" i="10"/>
  <c r="T518" i="10"/>
  <c r="T517" i="10"/>
  <c r="T516" i="10"/>
  <c r="T515" i="10"/>
  <c r="T514" i="10"/>
  <c r="T513" i="10"/>
  <c r="T512" i="10"/>
  <c r="T509" i="10"/>
  <c r="T508" i="10"/>
  <c r="T507" i="10"/>
  <c r="T506" i="10"/>
  <c r="T505" i="10"/>
  <c r="T504" i="10"/>
  <c r="T503" i="10"/>
  <c r="T502" i="10"/>
  <c r="T501" i="10"/>
  <c r="T500" i="10"/>
  <c r="T499" i="10"/>
  <c r="T498" i="10"/>
  <c r="T497" i="10"/>
  <c r="T495" i="10"/>
  <c r="T494" i="10"/>
  <c r="T493" i="10"/>
  <c r="T492" i="10"/>
  <c r="T491" i="10"/>
  <c r="T490" i="10"/>
  <c r="T489" i="10"/>
  <c r="T488" i="10"/>
  <c r="T487" i="10"/>
  <c r="T486" i="10"/>
  <c r="T485" i="10"/>
  <c r="T484" i="10"/>
  <c r="T483" i="10"/>
  <c r="T482" i="10"/>
  <c r="T481" i="10"/>
  <c r="T480" i="10"/>
  <c r="T479" i="10"/>
  <c r="T478" i="10"/>
  <c r="T477" i="10"/>
  <c r="T476" i="10"/>
  <c r="T475" i="10"/>
  <c r="T474" i="10"/>
  <c r="T473" i="10"/>
  <c r="T472" i="10"/>
  <c r="T471" i="10"/>
  <c r="T470" i="10"/>
  <c r="T469" i="10"/>
  <c r="T468" i="10"/>
  <c r="T467" i="10"/>
  <c r="T466" i="10"/>
  <c r="T465" i="10"/>
  <c r="T463" i="10"/>
  <c r="T462" i="10"/>
  <c r="T461" i="10"/>
  <c r="T460" i="10"/>
  <c r="T459" i="10"/>
  <c r="T458" i="10"/>
  <c r="T457" i="10"/>
  <c r="T456" i="10"/>
  <c r="T455" i="10"/>
  <c r="T454" i="10"/>
  <c r="T453" i="10"/>
  <c r="T447" i="10"/>
  <c r="T446" i="10"/>
  <c r="T445" i="10"/>
  <c r="T444" i="10"/>
  <c r="T443" i="10"/>
  <c r="T442" i="10"/>
  <c r="T441" i="10"/>
  <c r="T440" i="10"/>
  <c r="T439" i="10"/>
  <c r="T438" i="10"/>
  <c r="T437" i="10"/>
  <c r="Q487" i="10"/>
  <c r="Q486" i="10"/>
  <c r="Q485" i="10"/>
  <c r="Q484" i="10"/>
  <c r="Q483" i="10"/>
  <c r="Q482" i="10"/>
  <c r="Q481" i="10"/>
  <c r="Q480" i="10"/>
  <c r="Q478" i="10"/>
  <c r="Q477" i="10"/>
  <c r="Q476" i="10"/>
  <c r="Q475" i="10"/>
  <c r="Q474" i="10"/>
  <c r="Q473" i="10"/>
  <c r="Q472" i="10"/>
  <c r="Q471" i="10"/>
  <c r="Q470" i="10"/>
  <c r="Q469" i="10"/>
  <c r="Q468" i="10"/>
  <c r="Q467" i="10"/>
  <c r="Q466" i="10"/>
  <c r="Q465" i="10"/>
  <c r="Q463" i="10"/>
  <c r="Q462" i="10"/>
  <c r="Q461" i="10"/>
  <c r="Q460" i="10"/>
  <c r="Q459" i="10"/>
  <c r="Q458" i="10"/>
  <c r="Q457" i="10"/>
  <c r="Q456" i="10"/>
  <c r="Q455" i="10"/>
  <c r="Q454" i="10"/>
  <c r="Q453" i="10"/>
  <c r="Q452" i="10"/>
  <c r="Q447" i="10"/>
  <c r="Q446" i="10"/>
  <c r="Q445" i="10"/>
  <c r="Q444" i="10"/>
  <c r="Q443" i="10"/>
  <c r="Q442" i="10"/>
  <c r="Q441" i="10"/>
  <c r="Q440" i="10"/>
  <c r="Q439" i="10"/>
  <c r="AI487" i="1"/>
  <c r="W487" i="1"/>
  <c r="AZ487" i="2"/>
  <c r="BJ487" i="2" s="1"/>
  <c r="AI575" i="1"/>
  <c r="W575" i="1"/>
  <c r="AZ575" i="2"/>
  <c r="BJ575" i="2" s="1"/>
  <c r="AI573" i="1"/>
  <c r="W573" i="1"/>
  <c r="AZ573" i="2"/>
  <c r="BJ573" i="2" s="1"/>
  <c r="AZ572" i="2"/>
  <c r="BJ572" i="2" s="1"/>
  <c r="AI572" i="1"/>
  <c r="W572" i="1"/>
  <c r="AI571" i="1"/>
  <c r="W571" i="1"/>
  <c r="AZ571" i="2"/>
  <c r="BJ571" i="2" s="1"/>
  <c r="AZ570" i="2"/>
  <c r="BJ570" i="2" s="1"/>
  <c r="AI570" i="1"/>
  <c r="W570" i="1"/>
  <c r="AI569" i="1"/>
  <c r="W569" i="1"/>
  <c r="AZ569" i="2"/>
  <c r="BJ569" i="2" s="1"/>
  <c r="AI568" i="1"/>
  <c r="W568" i="1"/>
  <c r="AZ568" i="2"/>
  <c r="BJ568" i="2" s="1"/>
  <c r="AI567" i="1"/>
  <c r="W567" i="1"/>
  <c r="AZ567" i="2"/>
  <c r="BJ567" i="2" s="1"/>
  <c r="AI566" i="1"/>
  <c r="W566" i="1"/>
  <c r="AZ566" i="2"/>
  <c r="BJ566" i="2" s="1"/>
  <c r="AI565" i="1"/>
  <c r="W565" i="1"/>
  <c r="AZ565" i="2"/>
  <c r="BJ565" i="2" s="1"/>
  <c r="AI564" i="1"/>
  <c r="W564" i="1"/>
  <c r="AZ564" i="2"/>
  <c r="BJ564" i="2" s="1"/>
  <c r="AI563" i="1"/>
  <c r="W563" i="1"/>
  <c r="AZ563" i="2"/>
  <c r="BJ563" i="2" s="1"/>
  <c r="AZ562" i="2"/>
  <c r="BJ562" i="2" s="1"/>
  <c r="AI562" i="1"/>
  <c r="W562" i="1"/>
  <c r="AI561" i="1"/>
  <c r="W561" i="1"/>
  <c r="AZ561" i="2"/>
  <c r="BJ561" i="2" s="1"/>
  <c r="AI560" i="1"/>
  <c r="W560" i="1"/>
  <c r="AZ560" i="2"/>
  <c r="BJ560" i="2" s="1"/>
  <c r="AI559" i="1"/>
  <c r="W559" i="1"/>
  <c r="AZ559" i="2"/>
  <c r="BJ559" i="2" s="1"/>
  <c r="AI558" i="1"/>
  <c r="W558" i="1"/>
  <c r="AZ558" i="2"/>
  <c r="BJ558" i="2" s="1"/>
  <c r="AI557" i="1"/>
  <c r="W557" i="1"/>
  <c r="AZ557" i="2"/>
  <c r="BJ557" i="2" s="1"/>
  <c r="AI556" i="1"/>
  <c r="W556" i="1"/>
  <c r="AZ556" i="2"/>
  <c r="BJ556" i="2" s="1"/>
  <c r="AI555" i="1"/>
  <c r="W555" i="1"/>
  <c r="AZ555" i="2"/>
  <c r="BJ555" i="2" s="1"/>
  <c r="AI554" i="1"/>
  <c r="W554" i="1"/>
  <c r="AZ554" i="2"/>
  <c r="BJ554" i="2" s="1"/>
  <c r="AI553" i="1"/>
  <c r="W553" i="1"/>
  <c r="AZ553" i="2"/>
  <c r="BJ553" i="2" s="1"/>
  <c r="AI552" i="1"/>
  <c r="W552" i="1"/>
  <c r="AZ552" i="2"/>
  <c r="BJ552" i="2" s="1"/>
  <c r="AI551" i="1"/>
  <c r="W551" i="1"/>
  <c r="AZ551" i="2"/>
  <c r="BJ551" i="2" s="1"/>
  <c r="AI550" i="1"/>
  <c r="W550" i="1"/>
  <c r="AZ550" i="2"/>
  <c r="BJ550" i="2" s="1"/>
  <c r="AI549" i="1"/>
  <c r="W549" i="1"/>
  <c r="AZ549" i="2"/>
  <c r="BJ549" i="2" s="1"/>
  <c r="AI548" i="1"/>
  <c r="W548" i="1"/>
  <c r="AZ548" i="2"/>
  <c r="BJ548" i="2" s="1"/>
  <c r="AI547" i="1"/>
  <c r="W547" i="1"/>
  <c r="AZ547" i="2"/>
  <c r="BJ547" i="2" s="1"/>
  <c r="AI545" i="1"/>
  <c r="W545" i="1"/>
  <c r="AZ545" i="2"/>
  <c r="BJ545" i="2" s="1"/>
  <c r="AI544" i="1"/>
  <c r="W544" i="1"/>
  <c r="AZ544" i="2"/>
  <c r="BJ544" i="2" s="1"/>
  <c r="AI543" i="1"/>
  <c r="W543" i="1"/>
  <c r="AZ543" i="2"/>
  <c r="BJ543" i="2" s="1"/>
  <c r="AI542" i="1"/>
  <c r="W542" i="1"/>
  <c r="AZ542" i="2"/>
  <c r="BJ542" i="2" s="1"/>
  <c r="AI541" i="1"/>
  <c r="W541" i="1"/>
  <c r="AI540" i="1"/>
  <c r="W540" i="1"/>
  <c r="AZ540" i="2"/>
  <c r="BJ540" i="2" s="1"/>
  <c r="AI539" i="1"/>
  <c r="W539" i="1"/>
  <c r="AZ539" i="2"/>
  <c r="BJ539" i="2" s="1"/>
  <c r="AI538" i="1"/>
  <c r="W538" i="1"/>
  <c r="AZ538" i="2"/>
  <c r="BJ538" i="2" s="1"/>
  <c r="AI485" i="1"/>
  <c r="W485" i="1"/>
  <c r="AZ485" i="2"/>
  <c r="BJ485" i="2" s="1"/>
  <c r="AI484" i="1"/>
  <c r="W484" i="1"/>
  <c r="BJ484" i="2"/>
  <c r="AZ483" i="2"/>
  <c r="BJ483" i="2" s="1"/>
  <c r="AI483" i="1"/>
  <c r="W483" i="1"/>
  <c r="AI482" i="1"/>
  <c r="W482" i="1"/>
  <c r="AZ482" i="2"/>
  <c r="BJ482" i="2" s="1"/>
  <c r="AI481" i="1"/>
  <c r="W481" i="1"/>
  <c r="AZ481" i="2"/>
  <c r="BJ481" i="2" s="1"/>
  <c r="AI480" i="1"/>
  <c r="AZ480" i="2"/>
  <c r="BJ480" i="2" s="1"/>
  <c r="AI479" i="1"/>
  <c r="W479" i="1"/>
  <c r="AZ479" i="2"/>
  <c r="BJ479" i="2" s="1"/>
  <c r="AI478" i="1"/>
  <c r="W478" i="1"/>
  <c r="AZ478" i="2"/>
  <c r="BJ478" i="2" s="1"/>
  <c r="AI477" i="1"/>
  <c r="W477" i="1"/>
  <c r="AZ477" i="2"/>
  <c r="BJ477" i="2" s="1"/>
  <c r="AI476" i="1"/>
  <c r="W476" i="1"/>
  <c r="AZ476" i="2"/>
  <c r="BJ476" i="2" s="1"/>
  <c r="AI475" i="1"/>
  <c r="W475" i="1"/>
  <c r="AZ475" i="2"/>
  <c r="BJ475" i="2" s="1"/>
  <c r="AI474" i="1"/>
  <c r="W474" i="1"/>
  <c r="AZ474" i="2"/>
  <c r="BJ474" i="2" s="1"/>
  <c r="AI473" i="1"/>
  <c r="W473" i="1"/>
  <c r="AZ473" i="2"/>
  <c r="BJ473" i="2" s="1"/>
  <c r="AI472" i="1"/>
  <c r="W472" i="1"/>
  <c r="AZ472" i="2"/>
  <c r="BJ472" i="2" s="1"/>
  <c r="AI471" i="1"/>
  <c r="W471" i="1"/>
  <c r="AZ471" i="2"/>
  <c r="BJ471" i="2" s="1"/>
  <c r="AI470" i="1"/>
  <c r="W470" i="1"/>
  <c r="AZ470" i="2"/>
  <c r="BJ470" i="2" s="1"/>
  <c r="AI469" i="1"/>
  <c r="W469" i="1"/>
  <c r="AZ469" i="2"/>
  <c r="BJ469" i="2" s="1"/>
  <c r="AI468" i="1"/>
  <c r="W468" i="1"/>
  <c r="AZ468" i="2"/>
  <c r="BJ468" i="2" s="1"/>
  <c r="AZ467" i="2"/>
  <c r="BJ467" i="2" s="1"/>
  <c r="AI467" i="1"/>
  <c r="W467" i="1"/>
  <c r="AI466" i="1"/>
  <c r="W466" i="1"/>
  <c r="AZ466" i="2"/>
  <c r="BJ466" i="2" s="1"/>
  <c r="AI465" i="1"/>
  <c r="W465" i="1"/>
  <c r="AZ465" i="2"/>
  <c r="BJ465" i="2" s="1"/>
  <c r="AI463" i="1"/>
  <c r="W463" i="1"/>
  <c r="AZ463" i="2"/>
  <c r="BJ463" i="2" s="1"/>
  <c r="AI462" i="1"/>
  <c r="W462" i="1"/>
  <c r="AZ462" i="2"/>
  <c r="BJ462" i="2" s="1"/>
  <c r="AZ461" i="2"/>
  <c r="BJ461" i="2" s="1"/>
  <c r="AI461" i="1"/>
  <c r="W461" i="1"/>
  <c r="AI460" i="1"/>
  <c r="W460" i="1"/>
  <c r="AZ460" i="2"/>
  <c r="BJ460" i="2" s="1"/>
  <c r="AI459" i="1"/>
  <c r="W459" i="1"/>
  <c r="AZ459" i="2"/>
  <c r="BJ459" i="2" s="1"/>
  <c r="AI458" i="1"/>
  <c r="W458" i="1"/>
  <c r="AZ458" i="2"/>
  <c r="BJ458" i="2" s="1"/>
  <c r="AI457" i="1"/>
  <c r="W457" i="1"/>
  <c r="AZ457" i="2"/>
  <c r="BJ457" i="2" s="1"/>
  <c r="AI456" i="1"/>
  <c r="W456" i="1"/>
  <c r="AZ456" i="2"/>
  <c r="BJ456" i="2" s="1"/>
  <c r="AI455" i="1"/>
  <c r="W455" i="1"/>
  <c r="AZ455" i="2"/>
  <c r="BJ455" i="2" s="1"/>
  <c r="AI454" i="1"/>
  <c r="W454" i="1"/>
  <c r="AZ454" i="2"/>
  <c r="BJ454" i="2" s="1"/>
  <c r="AI453" i="1"/>
  <c r="W453" i="1"/>
  <c r="AZ453" i="2"/>
  <c r="BJ453" i="2" s="1"/>
  <c r="AI452" i="1"/>
  <c r="W452" i="1"/>
  <c r="AZ452" i="2"/>
  <c r="BJ452" i="2" s="1"/>
  <c r="AI451" i="1"/>
  <c r="W451" i="1"/>
  <c r="AZ451" i="2"/>
  <c r="BJ451" i="2" s="1"/>
  <c r="AI450" i="1"/>
  <c r="W450" i="1"/>
  <c r="AZ450" i="2"/>
  <c r="BJ450" i="2" s="1"/>
  <c r="AZ449" i="2"/>
  <c r="BJ449" i="2" s="1"/>
  <c r="AI449" i="1"/>
  <c r="W449" i="1"/>
  <c r="AI447" i="1"/>
  <c r="AZ447" i="2"/>
  <c r="BJ447" i="2" s="1"/>
  <c r="AZ446" i="2"/>
  <c r="BJ446" i="2" s="1"/>
  <c r="AI446" i="1"/>
  <c r="W446" i="1"/>
  <c r="AI445" i="1"/>
  <c r="W445" i="1"/>
  <c r="AZ445" i="2"/>
  <c r="BJ445" i="2" s="1"/>
  <c r="W444" i="1"/>
  <c r="AZ444" i="2"/>
  <c r="BJ444" i="2" s="1"/>
  <c r="AI443" i="1"/>
  <c r="W443" i="1"/>
  <c r="AZ443" i="2"/>
  <c r="BJ443" i="2" s="1"/>
  <c r="AI442" i="1"/>
  <c r="W442" i="1"/>
  <c r="AZ442" i="2"/>
  <c r="BJ442" i="2" s="1"/>
  <c r="AZ441" i="2"/>
  <c r="BJ441" i="2" s="1"/>
  <c r="AI441" i="1"/>
  <c r="W441" i="1"/>
  <c r="AZ440" i="2"/>
  <c r="BJ440" i="2" s="1"/>
  <c r="AI440" i="1"/>
  <c r="W440" i="1"/>
  <c r="AI439" i="1"/>
  <c r="W439" i="1"/>
  <c r="AZ439" i="2"/>
  <c r="BJ439" i="2" s="1"/>
  <c r="AI486" i="1"/>
  <c r="W486" i="1"/>
  <c r="E575" i="16"/>
  <c r="Z575" i="16"/>
  <c r="E573" i="16"/>
  <c r="Z573" i="16"/>
  <c r="E572" i="16"/>
  <c r="Z572" i="16"/>
  <c r="E571" i="16"/>
  <c r="Z571" i="16"/>
  <c r="E570" i="16"/>
  <c r="Z570" i="16"/>
  <c r="E569" i="16"/>
  <c r="Z569" i="16"/>
  <c r="E568" i="16"/>
  <c r="Z568" i="16"/>
  <c r="E567" i="16"/>
  <c r="Z567" i="16"/>
  <c r="E566" i="16"/>
  <c r="Z566" i="16"/>
  <c r="E565" i="16"/>
  <c r="Z565" i="16"/>
  <c r="E564" i="16"/>
  <c r="Z564" i="16"/>
  <c r="E563" i="16"/>
  <c r="AB563" i="16" s="1"/>
  <c r="Z563" i="16"/>
  <c r="E562" i="16"/>
  <c r="AB562" i="16" s="1"/>
  <c r="Z562" i="16"/>
  <c r="E561" i="16"/>
  <c r="Z561" i="16"/>
  <c r="E560" i="16"/>
  <c r="Z560" i="16"/>
  <c r="E559" i="16"/>
  <c r="Z559" i="16"/>
  <c r="E558" i="16"/>
  <c r="Z558" i="16"/>
  <c r="E557" i="16"/>
  <c r="Z557" i="16"/>
  <c r="E556" i="16"/>
  <c r="Z556" i="16"/>
  <c r="E555" i="16"/>
  <c r="Z555" i="16"/>
  <c r="E554" i="16"/>
  <c r="Z554" i="16"/>
  <c r="E553" i="16"/>
  <c r="AB553" i="16" s="1"/>
  <c r="Z553" i="16"/>
  <c r="E552" i="16"/>
  <c r="AB552" i="16" s="1"/>
  <c r="Z552" i="16"/>
  <c r="E551" i="16"/>
  <c r="Z551" i="16"/>
  <c r="E550" i="16"/>
  <c r="Z550" i="16"/>
  <c r="E549" i="16"/>
  <c r="Z549" i="16"/>
  <c r="E548" i="16"/>
  <c r="Z548" i="16"/>
  <c r="E547" i="16"/>
  <c r="Z547" i="16"/>
  <c r="E545" i="16"/>
  <c r="Z545" i="16"/>
  <c r="E544" i="16"/>
  <c r="Z544" i="16"/>
  <c r="E543" i="16"/>
  <c r="Z543" i="16"/>
  <c r="E542" i="16"/>
  <c r="Z542" i="16"/>
  <c r="E541" i="16"/>
  <c r="Z541" i="16"/>
  <c r="E540" i="16"/>
  <c r="Z540" i="16"/>
  <c r="E539" i="16"/>
  <c r="Z539" i="16"/>
  <c r="E538" i="16"/>
  <c r="Z538" i="16"/>
  <c r="Z537" i="16"/>
  <c r="Z536" i="16"/>
  <c r="Z535" i="16"/>
  <c r="Z534" i="16"/>
  <c r="Z533" i="16"/>
  <c r="Z532" i="16"/>
  <c r="Z531" i="16"/>
  <c r="Z530" i="16"/>
  <c r="Z529" i="16"/>
  <c r="Z528" i="16"/>
  <c r="Z527" i="16"/>
  <c r="Z526" i="16"/>
  <c r="Z525" i="16"/>
  <c r="Z524" i="16"/>
  <c r="Z523" i="16"/>
  <c r="Z522" i="16"/>
  <c r="Z521" i="16"/>
  <c r="Z520" i="16"/>
  <c r="Z519" i="16"/>
  <c r="Z518" i="16"/>
  <c r="Z517" i="16"/>
  <c r="Z516" i="16"/>
  <c r="Z515" i="16"/>
  <c r="Z514" i="16"/>
  <c r="Z513" i="16"/>
  <c r="Z512" i="16"/>
  <c r="Z509" i="16"/>
  <c r="Z508" i="16"/>
  <c r="Z506" i="16"/>
  <c r="Z505" i="16"/>
  <c r="Z504" i="16"/>
  <c r="Z503" i="16"/>
  <c r="Z502" i="16"/>
  <c r="Z501" i="16"/>
  <c r="Z500" i="16"/>
  <c r="Z499" i="16"/>
  <c r="Z498" i="16"/>
  <c r="Z497" i="16"/>
  <c r="Z495" i="16"/>
  <c r="Z494" i="16"/>
  <c r="Z493" i="16"/>
  <c r="Z492" i="16"/>
  <c r="Z491" i="16"/>
  <c r="Z490" i="16"/>
  <c r="Z489" i="16"/>
  <c r="Z488" i="16"/>
  <c r="E487" i="16"/>
  <c r="Z487" i="16"/>
  <c r="E486" i="16"/>
  <c r="Z486" i="16"/>
  <c r="E485" i="16"/>
  <c r="Z485" i="16"/>
  <c r="E484" i="16"/>
  <c r="AB484" i="16" s="1"/>
  <c r="Z484" i="16"/>
  <c r="E483" i="16"/>
  <c r="AB483" i="16" s="1"/>
  <c r="Z483" i="16"/>
  <c r="E482" i="16"/>
  <c r="Z482" i="16"/>
  <c r="E481" i="16"/>
  <c r="Z481" i="16"/>
  <c r="E480" i="16"/>
  <c r="Z480" i="16"/>
  <c r="E479" i="16"/>
  <c r="Z479" i="16"/>
  <c r="E478" i="16"/>
  <c r="Z478" i="16"/>
  <c r="Z477" i="16"/>
  <c r="E476" i="16"/>
  <c r="Z476" i="16"/>
  <c r="E475" i="16"/>
  <c r="Z475" i="16"/>
  <c r="E474" i="16"/>
  <c r="Z474" i="16"/>
  <c r="E473" i="16"/>
  <c r="Z473" i="16"/>
  <c r="E472" i="16"/>
  <c r="Z472" i="16"/>
  <c r="E471" i="16"/>
  <c r="Z471" i="16"/>
  <c r="E470" i="16"/>
  <c r="Z470" i="16"/>
  <c r="E469" i="16"/>
  <c r="AB469" i="16" s="1"/>
  <c r="Z469" i="16"/>
  <c r="E468" i="16"/>
  <c r="Z468" i="16"/>
  <c r="E467" i="16"/>
  <c r="AB467" i="16" s="1"/>
  <c r="Z467" i="16"/>
  <c r="E466" i="16"/>
  <c r="Z466" i="16"/>
  <c r="E465" i="16"/>
  <c r="Z465" i="16"/>
  <c r="E463" i="16"/>
  <c r="AB463" i="16" s="1"/>
  <c r="Z463" i="16"/>
  <c r="E462" i="16"/>
  <c r="Z462" i="16"/>
  <c r="E461" i="16"/>
  <c r="Z461" i="16"/>
  <c r="E460" i="16"/>
  <c r="Z460" i="16"/>
  <c r="Z459" i="16"/>
  <c r="E458" i="16"/>
  <c r="Z458" i="16"/>
  <c r="E457" i="16"/>
  <c r="Z457" i="16"/>
  <c r="E456" i="16"/>
  <c r="Z456" i="16"/>
  <c r="E455" i="16"/>
  <c r="Z455" i="16"/>
  <c r="E454" i="16"/>
  <c r="AB454" i="16" s="1"/>
  <c r="Z454" i="16"/>
  <c r="E453" i="16"/>
  <c r="Z453" i="16"/>
  <c r="E452" i="16"/>
  <c r="AB452" i="16" s="1"/>
  <c r="Z452" i="16"/>
  <c r="E451" i="16"/>
  <c r="Z451" i="16"/>
  <c r="E450" i="16"/>
  <c r="Z450" i="16"/>
  <c r="E449" i="16"/>
  <c r="Z449" i="16"/>
  <c r="E447" i="16"/>
  <c r="Z447" i="16"/>
  <c r="E446" i="16"/>
  <c r="Z446" i="16"/>
  <c r="E445" i="16"/>
  <c r="Z445" i="16"/>
  <c r="E444" i="16"/>
  <c r="Z444" i="16"/>
  <c r="E443" i="16"/>
  <c r="Z443" i="16"/>
  <c r="E442" i="16"/>
  <c r="AB442" i="16" s="1"/>
  <c r="Z442" i="16"/>
  <c r="E441" i="16"/>
  <c r="Z441" i="16"/>
  <c r="E440" i="16"/>
  <c r="Z440" i="16"/>
  <c r="Z439" i="16"/>
  <c r="AI438" i="1"/>
  <c r="W438" i="1"/>
  <c r="AZ438" i="2"/>
  <c r="BJ438" i="2" s="1"/>
  <c r="AI437" i="1"/>
  <c r="W437" i="1"/>
  <c r="AZ437" i="2"/>
  <c r="BJ437" i="2" s="1"/>
  <c r="AI436" i="1"/>
  <c r="AI435" i="1"/>
  <c r="AI434" i="1"/>
  <c r="AI433" i="1"/>
  <c r="AK431" i="1"/>
  <c r="BL431" i="2" s="1"/>
  <c r="T395" i="10"/>
  <c r="T385" i="10"/>
  <c r="T436" i="10"/>
  <c r="T435" i="10"/>
  <c r="T434" i="10"/>
  <c r="T433" i="10"/>
  <c r="T432" i="10"/>
  <c r="T431" i="10"/>
  <c r="T430" i="10"/>
  <c r="T429" i="10"/>
  <c r="T428" i="10"/>
  <c r="T427" i="10"/>
  <c r="T426" i="10"/>
  <c r="T425" i="10"/>
  <c r="T424" i="10"/>
  <c r="T422" i="10"/>
  <c r="T420" i="10"/>
  <c r="T419" i="10"/>
  <c r="T418" i="10"/>
  <c r="T416" i="10"/>
  <c r="T415" i="10"/>
  <c r="T414" i="10"/>
  <c r="T413" i="10"/>
  <c r="T412" i="10"/>
  <c r="T411" i="10"/>
  <c r="T410" i="10"/>
  <c r="T409" i="10"/>
  <c r="T407" i="10"/>
  <c r="T406" i="10"/>
  <c r="T405" i="10"/>
  <c r="T404" i="10"/>
  <c r="T403" i="10"/>
  <c r="T402" i="10"/>
  <c r="T401" i="10"/>
  <c r="T400" i="10"/>
  <c r="T399" i="10"/>
  <c r="T398" i="10"/>
  <c r="T397" i="10"/>
  <c r="T396" i="10"/>
  <c r="T394" i="10"/>
  <c r="T393" i="10"/>
  <c r="T392" i="10"/>
  <c r="T391" i="10"/>
  <c r="T390" i="10"/>
  <c r="T389" i="10"/>
  <c r="T388" i="10"/>
  <c r="T387" i="10"/>
  <c r="T386" i="10"/>
  <c r="T384" i="10"/>
  <c r="T382" i="10"/>
  <c r="T381" i="10"/>
  <c r="T380" i="10"/>
  <c r="T383" i="10"/>
  <c r="T379" i="10"/>
  <c r="T378" i="10"/>
  <c r="T377" i="10"/>
  <c r="T376" i="10"/>
  <c r="T374" i="10"/>
  <c r="T337" i="10"/>
  <c r="T372" i="10"/>
  <c r="T371" i="10"/>
  <c r="T370" i="10"/>
  <c r="T369" i="10"/>
  <c r="T368" i="10"/>
  <c r="T367" i="10"/>
  <c r="T366" i="10"/>
  <c r="T365" i="10"/>
  <c r="T364" i="10"/>
  <c r="T363" i="10"/>
  <c r="T362" i="10"/>
  <c r="T361" i="10"/>
  <c r="T360" i="10"/>
  <c r="T359" i="10"/>
  <c r="T358" i="10"/>
  <c r="T357" i="10"/>
  <c r="T356" i="10"/>
  <c r="T355" i="10"/>
  <c r="T353" i="10"/>
  <c r="T352" i="10"/>
  <c r="T351" i="10"/>
  <c r="T350" i="10"/>
  <c r="T349" i="10"/>
  <c r="T348" i="10"/>
  <c r="T347" i="10"/>
  <c r="T346" i="10"/>
  <c r="T345" i="10"/>
  <c r="T344" i="10"/>
  <c r="T343" i="10"/>
  <c r="T342" i="10"/>
  <c r="T341" i="10"/>
  <c r="T340" i="10"/>
  <c r="T339" i="10"/>
  <c r="T338" i="10"/>
  <c r="T336" i="10"/>
  <c r="T334" i="10"/>
  <c r="T333" i="10"/>
  <c r="T332" i="10"/>
  <c r="T331" i="10"/>
  <c r="T330" i="10"/>
  <c r="T329" i="10"/>
  <c r="T328" i="10"/>
  <c r="T327" i="10"/>
  <c r="T325" i="10"/>
  <c r="T323" i="10"/>
  <c r="W255" i="1"/>
  <c r="W254" i="1"/>
  <c r="AI254" i="1"/>
  <c r="AZ254" i="2"/>
  <c r="BJ254" i="2" s="1"/>
  <c r="W253" i="1"/>
  <c r="E251" i="16"/>
  <c r="W248" i="1"/>
  <c r="W247" i="1"/>
  <c r="W245" i="1"/>
  <c r="W243" i="1"/>
  <c r="W236" i="1"/>
  <c r="AI236" i="1"/>
  <c r="AZ236" i="2"/>
  <c r="BJ236" i="2" s="1"/>
  <c r="AI255" i="1"/>
  <c r="AZ255" i="2"/>
  <c r="BJ255" i="2" s="1"/>
  <c r="AI253" i="1"/>
  <c r="AZ253" i="2"/>
  <c r="BJ253" i="2" s="1"/>
  <c r="W252" i="1"/>
  <c r="AI252" i="1"/>
  <c r="AZ252" i="2"/>
  <c r="BJ252" i="2" s="1"/>
  <c r="AI251" i="1"/>
  <c r="AZ251" i="2"/>
  <c r="BJ251" i="2" s="1"/>
  <c r="W250" i="1"/>
  <c r="AI250" i="1"/>
  <c r="AZ250" i="2"/>
  <c r="BJ250" i="2" s="1"/>
  <c r="AI248" i="1"/>
  <c r="AZ248" i="2"/>
  <c r="BJ248" i="2" s="1"/>
  <c r="AI247" i="1"/>
  <c r="AZ247" i="2"/>
  <c r="BJ247" i="2" s="1"/>
  <c r="AI246" i="1"/>
  <c r="W246" i="1"/>
  <c r="AI245" i="1"/>
  <c r="AZ245" i="2"/>
  <c r="BJ245" i="2" s="1"/>
  <c r="W244" i="1"/>
  <c r="AI244" i="1"/>
  <c r="AZ244" i="2"/>
  <c r="BJ244" i="2" s="1"/>
  <c r="AI243" i="1"/>
  <c r="AZ243" i="2"/>
  <c r="BJ243" i="2" s="1"/>
  <c r="AI242" i="1"/>
  <c r="W242" i="1"/>
  <c r="AZ242" i="2"/>
  <c r="BJ242" i="2" s="1"/>
  <c r="W241" i="1"/>
  <c r="AI241" i="1"/>
  <c r="AZ241" i="2"/>
  <c r="BJ241" i="2" s="1"/>
  <c r="W240" i="1"/>
  <c r="AI240" i="1"/>
  <c r="AZ240" i="2"/>
  <c r="BJ240" i="2" s="1"/>
  <c r="W239" i="1"/>
  <c r="AI239" i="1"/>
  <c r="AZ239" i="2"/>
  <c r="BJ239" i="2" s="1"/>
  <c r="AI238" i="1"/>
  <c r="AZ238" i="2"/>
  <c r="BJ238" i="2" s="1"/>
  <c r="AI237" i="1"/>
  <c r="AK237" i="1" s="1"/>
  <c r="BL237" i="2" s="1"/>
  <c r="W235" i="1"/>
  <c r="AI235" i="1"/>
  <c r="AZ235" i="2"/>
  <c r="BJ235" i="2" s="1"/>
  <c r="AZ234" i="2"/>
  <c r="BJ234" i="2" s="1"/>
  <c r="AI234" i="1"/>
  <c r="W234" i="1"/>
  <c r="AI233" i="1"/>
  <c r="W233" i="1"/>
  <c r="AZ233" i="2"/>
  <c r="BJ233" i="2" s="1"/>
  <c r="AZ232" i="2"/>
  <c r="BJ232" i="2" s="1"/>
  <c r="AI232" i="1"/>
  <c r="W232" i="1"/>
  <c r="T373" i="10"/>
  <c r="Q373" i="10"/>
  <c r="Q372" i="10"/>
  <c r="Q371" i="10"/>
  <c r="Q370" i="10"/>
  <c r="Q369" i="10"/>
  <c r="Q368" i="10"/>
  <c r="Q367" i="10"/>
  <c r="Q366" i="10"/>
  <c r="Q365" i="10"/>
  <c r="Q364" i="10"/>
  <c r="Q363" i="10"/>
  <c r="Q362" i="10"/>
  <c r="AI373" i="1"/>
  <c r="W373" i="1"/>
  <c r="AZ373" i="2"/>
  <c r="BJ373" i="2" s="1"/>
  <c r="AI372" i="1"/>
  <c r="W372" i="1"/>
  <c r="AZ372" i="2"/>
  <c r="BJ372" i="2" s="1"/>
  <c r="AI371" i="1"/>
  <c r="W371" i="1"/>
  <c r="AZ371" i="2"/>
  <c r="BJ371" i="2" s="1"/>
  <c r="AI370" i="1"/>
  <c r="W370" i="1"/>
  <c r="AZ370" i="2"/>
  <c r="BJ370" i="2" s="1"/>
  <c r="AI369" i="1"/>
  <c r="W369" i="1"/>
  <c r="AZ369" i="2"/>
  <c r="BJ369" i="2" s="1"/>
  <c r="AI368" i="1"/>
  <c r="W368" i="1"/>
  <c r="AZ368" i="2"/>
  <c r="BJ368" i="2" s="1"/>
  <c r="AI367" i="1"/>
  <c r="W367" i="1"/>
  <c r="AZ367" i="2"/>
  <c r="BJ367" i="2" s="1"/>
  <c r="AI366" i="1"/>
  <c r="W366" i="1"/>
  <c r="AZ366" i="2"/>
  <c r="BJ366" i="2" s="1"/>
  <c r="AI365" i="1"/>
  <c r="W365" i="1"/>
  <c r="AZ365" i="2"/>
  <c r="BJ365" i="2" s="1"/>
  <c r="AI364" i="1"/>
  <c r="W364" i="1"/>
  <c r="AZ364" i="2"/>
  <c r="BJ364" i="2" s="1"/>
  <c r="AI363" i="1"/>
  <c r="W363" i="1"/>
  <c r="AZ363" i="2"/>
  <c r="BJ363" i="2" s="1"/>
  <c r="AI362" i="1"/>
  <c r="W362" i="1"/>
  <c r="AZ362" i="2"/>
  <c r="BJ362" i="2" s="1"/>
  <c r="W361" i="1"/>
  <c r="AI361" i="1"/>
  <c r="AZ361" i="2"/>
  <c r="BJ361" i="2" s="1"/>
  <c r="W360" i="1"/>
  <c r="AI360" i="1"/>
  <c r="AZ360" i="2"/>
  <c r="BJ360" i="2" s="1"/>
  <c r="AI359" i="1"/>
  <c r="W359" i="1"/>
  <c r="AZ359" i="2"/>
  <c r="BJ359" i="2" s="1"/>
  <c r="AI358" i="1"/>
  <c r="W358" i="1"/>
  <c r="AZ358" i="2"/>
  <c r="BJ358" i="2" s="1"/>
  <c r="W357" i="1"/>
  <c r="AI357" i="1"/>
  <c r="AZ357" i="2"/>
  <c r="BJ357" i="2" s="1"/>
  <c r="W356" i="1"/>
  <c r="AI356" i="1"/>
  <c r="AZ356" i="2"/>
  <c r="BJ356" i="2" s="1"/>
  <c r="W355" i="1"/>
  <c r="AI355" i="1"/>
  <c r="AZ355" i="2"/>
  <c r="BJ355" i="2" s="1"/>
  <c r="W353" i="1"/>
  <c r="AI353" i="1"/>
  <c r="AZ353" i="2"/>
  <c r="BJ353" i="2" s="1"/>
  <c r="W352" i="1"/>
  <c r="AI352" i="1"/>
  <c r="AZ352" i="2"/>
  <c r="BJ352" i="2" s="1"/>
  <c r="W351" i="1"/>
  <c r="AI351" i="1"/>
  <c r="AZ351" i="2"/>
  <c r="BJ351" i="2" s="1"/>
  <c r="W350" i="1"/>
  <c r="AI350" i="1"/>
  <c r="AZ350" i="2"/>
  <c r="BJ350" i="2" s="1"/>
  <c r="W349" i="1"/>
  <c r="AI349" i="1"/>
  <c r="AZ349" i="2"/>
  <c r="BJ349" i="2" s="1"/>
  <c r="W348" i="1"/>
  <c r="AI348" i="1"/>
  <c r="AZ348" i="2"/>
  <c r="BJ348" i="2" s="1"/>
  <c r="W347" i="1"/>
  <c r="AI347" i="1"/>
  <c r="AZ347" i="2"/>
  <c r="BJ347" i="2" s="1"/>
  <c r="AI346" i="1"/>
  <c r="W346" i="1"/>
  <c r="AZ346" i="2"/>
  <c r="BJ346" i="2" s="1"/>
  <c r="AI345" i="1"/>
  <c r="W345" i="1"/>
  <c r="AZ345" i="2"/>
  <c r="BJ345" i="2" s="1"/>
  <c r="U373" i="16"/>
  <c r="E373" i="16"/>
  <c r="U372" i="16"/>
  <c r="E372" i="16"/>
  <c r="U371" i="16"/>
  <c r="E371" i="16"/>
  <c r="U370" i="16"/>
  <c r="E370" i="16"/>
  <c r="U369" i="16"/>
  <c r="E369" i="16"/>
  <c r="U368" i="16"/>
  <c r="E368" i="16"/>
  <c r="U367" i="16"/>
  <c r="E367" i="16"/>
  <c r="U366" i="16"/>
  <c r="E366" i="16"/>
  <c r="U365" i="16"/>
  <c r="E365" i="16"/>
  <c r="U364" i="16"/>
  <c r="E364" i="16"/>
  <c r="U363" i="16"/>
  <c r="E363" i="16"/>
  <c r="U362" i="16"/>
  <c r="E362" i="16"/>
  <c r="Z362" i="16"/>
  <c r="Z363" i="16"/>
  <c r="Z364" i="16"/>
  <c r="Z365" i="16"/>
  <c r="Z366" i="16"/>
  <c r="Z367" i="16"/>
  <c r="Z368" i="16"/>
  <c r="Z369" i="16"/>
  <c r="Z370" i="16"/>
  <c r="Z371" i="16"/>
  <c r="Z372" i="16"/>
  <c r="Z373" i="16"/>
  <c r="T255" i="10"/>
  <c r="T254" i="10"/>
  <c r="T253" i="10"/>
  <c r="T252" i="10"/>
  <c r="T251" i="10"/>
  <c r="T250" i="10"/>
  <c r="T248" i="10"/>
  <c r="T247" i="10"/>
  <c r="T246" i="10"/>
  <c r="T245" i="10"/>
  <c r="T244" i="10"/>
  <c r="T243" i="10"/>
  <c r="T242" i="10"/>
  <c r="T241" i="10"/>
  <c r="T240" i="10"/>
  <c r="T239" i="10"/>
  <c r="T238" i="10"/>
  <c r="T236" i="10"/>
  <c r="T235" i="10"/>
  <c r="T234" i="10"/>
  <c r="T233" i="10"/>
  <c r="T232" i="10"/>
  <c r="T230" i="10"/>
  <c r="T229" i="10"/>
  <c r="T228" i="10"/>
  <c r="T227" i="10"/>
  <c r="T226" i="10"/>
  <c r="T225" i="10"/>
  <c r="W224" i="1"/>
  <c r="AI224" i="1"/>
  <c r="AZ224" i="2"/>
  <c r="BJ224" i="2" s="1"/>
  <c r="AI223" i="1"/>
  <c r="W223" i="1"/>
  <c r="AZ223" i="2"/>
  <c r="BJ223" i="2" s="1"/>
  <c r="T224" i="10"/>
  <c r="T223" i="10"/>
  <c r="T222" i="10"/>
  <c r="U223" i="16"/>
  <c r="E222" i="16"/>
  <c r="U222" i="16"/>
  <c r="AB222" i="16" s="1"/>
  <c r="Z222" i="16"/>
  <c r="E218" i="16"/>
  <c r="U218" i="16"/>
  <c r="Z218" i="16"/>
  <c r="AI208" i="1"/>
  <c r="T183" i="10"/>
  <c r="AI183" i="1"/>
  <c r="E183" i="16"/>
  <c r="Z183" i="16"/>
  <c r="AI202" i="1"/>
  <c r="AI201" i="1"/>
  <c r="AI200" i="1"/>
  <c r="AI199" i="1"/>
  <c r="AI198" i="1"/>
  <c r="AI197" i="1"/>
  <c r="AI196" i="1"/>
  <c r="AK196" i="1" s="1"/>
  <c r="AK195" i="1"/>
  <c r="BL195" i="2" s="1"/>
  <c r="AI191" i="1"/>
  <c r="AI190" i="1"/>
  <c r="AI189" i="1"/>
  <c r="AI188" i="1"/>
  <c r="AI187" i="1"/>
  <c r="AI186" i="1"/>
  <c r="AI185" i="1"/>
  <c r="AK185" i="1" s="1"/>
  <c r="BL185" i="2" s="1"/>
  <c r="AI184" i="1"/>
  <c r="AI182" i="1"/>
  <c r="AI181" i="1"/>
  <c r="W181" i="1"/>
  <c r="AZ181" i="2"/>
  <c r="BJ181" i="2" s="1"/>
  <c r="AI180" i="1"/>
  <c r="AK180" i="1" s="1"/>
  <c r="BJ180" i="2"/>
  <c r="AI179" i="1"/>
  <c r="AK179" i="1" s="1"/>
  <c r="BL179" i="2" s="1"/>
  <c r="T221" i="10"/>
  <c r="T220" i="10"/>
  <c r="T219" i="10"/>
  <c r="T218" i="10"/>
  <c r="T216" i="10"/>
  <c r="T215" i="10"/>
  <c r="T213" i="10"/>
  <c r="T212" i="10"/>
  <c r="T211" i="10"/>
  <c r="T210" i="10"/>
  <c r="T209" i="10"/>
  <c r="T208" i="10"/>
  <c r="T207" i="10"/>
  <c r="T206" i="10"/>
  <c r="T202" i="10"/>
  <c r="T201" i="10"/>
  <c r="T200" i="10"/>
  <c r="T199" i="10"/>
  <c r="T198" i="10"/>
  <c r="T197" i="10"/>
  <c r="T196" i="10"/>
  <c r="T191" i="10"/>
  <c r="T190" i="10"/>
  <c r="T184" i="10"/>
  <c r="T182" i="10"/>
  <c r="T181" i="10"/>
  <c r="T175" i="10"/>
  <c r="T172" i="10"/>
  <c r="T171" i="10"/>
  <c r="T168" i="10"/>
  <c r="T167" i="10"/>
  <c r="T166" i="10"/>
  <c r="T165" i="10"/>
  <c r="T161" i="10"/>
  <c r="T160" i="10"/>
  <c r="T159" i="10"/>
  <c r="T158" i="10"/>
  <c r="T157" i="10"/>
  <c r="T153" i="10"/>
  <c r="T152" i="10"/>
  <c r="T149" i="10"/>
  <c r="T148" i="10"/>
  <c r="T603" i="10"/>
  <c r="T602" i="10"/>
  <c r="T601" i="10"/>
  <c r="T630" i="10"/>
  <c r="T629" i="10"/>
  <c r="T628" i="10"/>
  <c r="T627" i="10"/>
  <c r="T625" i="10"/>
  <c r="T624" i="10"/>
  <c r="T623" i="10"/>
  <c r="T622" i="10"/>
  <c r="T621" i="10"/>
  <c r="T620" i="10"/>
  <c r="T619" i="10"/>
  <c r="T618" i="10"/>
  <c r="T617" i="10"/>
  <c r="T616" i="10"/>
  <c r="T615" i="10"/>
  <c r="T614" i="10"/>
  <c r="T613" i="10"/>
  <c r="T612" i="10"/>
  <c r="T611" i="10"/>
  <c r="T610" i="10"/>
  <c r="T609" i="10"/>
  <c r="T608" i="10"/>
  <c r="T607" i="10"/>
  <c r="T606" i="10"/>
  <c r="T605" i="10"/>
  <c r="T604" i="10"/>
  <c r="T600" i="10"/>
  <c r="T599" i="10"/>
  <c r="T598" i="10"/>
  <c r="T596" i="10"/>
  <c r="T595" i="10"/>
  <c r="T594" i="10"/>
  <c r="T593" i="10"/>
  <c r="T592" i="10"/>
  <c r="T591" i="10"/>
  <c r="T590" i="10"/>
  <c r="T589" i="10"/>
  <c r="T588" i="10"/>
  <c r="T587" i="10"/>
  <c r="T586" i="10"/>
  <c r="T585" i="10"/>
  <c r="T584" i="10"/>
  <c r="T583" i="10"/>
  <c r="T582" i="10"/>
  <c r="T581" i="10"/>
  <c r="T580" i="10"/>
  <c r="T576" i="10"/>
  <c r="Q630" i="10"/>
  <c r="Q629" i="10"/>
  <c r="Q628" i="10"/>
  <c r="Q627" i="10"/>
  <c r="Q625" i="10"/>
  <c r="Q624" i="10"/>
  <c r="Q623" i="10"/>
  <c r="Q622" i="10"/>
  <c r="Q621" i="10"/>
  <c r="Q620" i="10"/>
  <c r="Q619" i="10"/>
  <c r="Q618" i="10"/>
  <c r="Q617" i="10"/>
  <c r="Q616" i="10"/>
  <c r="Q615" i="10"/>
  <c r="Q614" i="10"/>
  <c r="Q613" i="10"/>
  <c r="Q612" i="10"/>
  <c r="Q611" i="10"/>
  <c r="Q610" i="10"/>
  <c r="Q609" i="10"/>
  <c r="Q608" i="10"/>
  <c r="Q607" i="10"/>
  <c r="Q606" i="10"/>
  <c r="Q605" i="10"/>
  <c r="Q604" i="10"/>
  <c r="Q603" i="10"/>
  <c r="Q602" i="10"/>
  <c r="Q601" i="10"/>
  <c r="Q600" i="10"/>
  <c r="Q599" i="10"/>
  <c r="Q598" i="10"/>
  <c r="Q596" i="10"/>
  <c r="Q595" i="10"/>
  <c r="Q594" i="10"/>
  <c r="Q593" i="10"/>
  <c r="Q592" i="10"/>
  <c r="Q591" i="10"/>
  <c r="Q590" i="10"/>
  <c r="Q589" i="10"/>
  <c r="Q588" i="10"/>
  <c r="Q587" i="10"/>
  <c r="Q586" i="10"/>
  <c r="Q585" i="10"/>
  <c r="Q584" i="10"/>
  <c r="Q583" i="10"/>
  <c r="Q582" i="10"/>
  <c r="Q581" i="10"/>
  <c r="Q580" i="10"/>
  <c r="Q576" i="10"/>
  <c r="AI630" i="1"/>
  <c r="W630" i="1"/>
  <c r="AZ630" i="2"/>
  <c r="BJ630" i="2" s="1"/>
  <c r="AI629" i="1"/>
  <c r="W629" i="1"/>
  <c r="AZ629" i="2"/>
  <c r="BJ629" i="2" s="1"/>
  <c r="AI628" i="1"/>
  <c r="W628" i="1"/>
  <c r="AZ628" i="2"/>
  <c r="BJ628" i="2" s="1"/>
  <c r="AI627" i="1"/>
  <c r="W627" i="1"/>
  <c r="AZ627" i="2"/>
  <c r="BJ627" i="2" s="1"/>
  <c r="AI625" i="1"/>
  <c r="W625" i="1"/>
  <c r="AZ625" i="2"/>
  <c r="BJ625" i="2" s="1"/>
  <c r="AI624" i="1"/>
  <c r="W624" i="1"/>
  <c r="AZ624" i="2"/>
  <c r="BJ624" i="2" s="1"/>
  <c r="AZ623" i="2"/>
  <c r="BJ623" i="2" s="1"/>
  <c r="AI623" i="1"/>
  <c r="W623" i="1"/>
  <c r="AI622" i="1"/>
  <c r="W622" i="1"/>
  <c r="AZ622" i="2"/>
  <c r="BJ622" i="2" s="1"/>
  <c r="AI621" i="1"/>
  <c r="W621" i="1"/>
  <c r="AZ621" i="2"/>
  <c r="BJ621" i="2" s="1"/>
  <c r="AI620" i="1"/>
  <c r="W620" i="1"/>
  <c r="AZ620" i="2"/>
  <c r="BJ620" i="2" s="1"/>
  <c r="AI619" i="1"/>
  <c r="W619" i="1"/>
  <c r="AZ619" i="2"/>
  <c r="BJ619" i="2" s="1"/>
  <c r="AI618" i="1"/>
  <c r="W618" i="1"/>
  <c r="AZ618" i="2"/>
  <c r="BJ618" i="2" s="1"/>
  <c r="AI617" i="1"/>
  <c r="W617" i="1"/>
  <c r="AZ617" i="2"/>
  <c r="BJ617" i="2" s="1"/>
  <c r="AI616" i="1"/>
  <c r="W616" i="1"/>
  <c r="AZ616" i="2"/>
  <c r="BJ616" i="2" s="1"/>
  <c r="AI615" i="1"/>
  <c r="W615" i="1"/>
  <c r="AZ615" i="2"/>
  <c r="BJ615" i="2" s="1"/>
  <c r="AI614" i="1"/>
  <c r="W614" i="1"/>
  <c r="AZ614" i="2"/>
  <c r="BJ614" i="2" s="1"/>
  <c r="AI613" i="1"/>
  <c r="W613" i="1"/>
  <c r="AZ613" i="2"/>
  <c r="BJ613" i="2" s="1"/>
  <c r="AI612" i="1"/>
  <c r="W612" i="1"/>
  <c r="AZ612" i="2"/>
  <c r="BJ612" i="2" s="1"/>
  <c r="AI611" i="1"/>
  <c r="W611" i="1"/>
  <c r="AZ611" i="2"/>
  <c r="BJ611" i="2" s="1"/>
  <c r="AI610" i="1"/>
  <c r="W610" i="1"/>
  <c r="AZ610" i="2"/>
  <c r="BJ610" i="2" s="1"/>
  <c r="AI609" i="1"/>
  <c r="W609" i="1"/>
  <c r="AZ609" i="2"/>
  <c r="BJ609" i="2" s="1"/>
  <c r="AZ608" i="2"/>
  <c r="BJ608" i="2" s="1"/>
  <c r="AI608" i="1"/>
  <c r="W608" i="1"/>
  <c r="AI607" i="1"/>
  <c r="W607" i="1"/>
  <c r="AZ607" i="2"/>
  <c r="BJ607" i="2" s="1"/>
  <c r="AI606" i="1"/>
  <c r="W606" i="1"/>
  <c r="AZ606" i="2"/>
  <c r="BJ606" i="2" s="1"/>
  <c r="AI605" i="1"/>
  <c r="W605" i="1"/>
  <c r="AZ605" i="2"/>
  <c r="BJ605" i="2" s="1"/>
  <c r="AI604" i="1"/>
  <c r="W604" i="1"/>
  <c r="AZ604" i="2"/>
  <c r="BJ604" i="2" s="1"/>
  <c r="AI603" i="1"/>
  <c r="W603" i="1"/>
  <c r="AZ603" i="2"/>
  <c r="BJ603" i="2" s="1"/>
  <c r="AI602" i="1"/>
  <c r="W602" i="1"/>
  <c r="AZ602" i="2"/>
  <c r="BJ602" i="2" s="1"/>
  <c r="AI601" i="1"/>
  <c r="W601" i="1"/>
  <c r="AZ601" i="2"/>
  <c r="BJ601" i="2" s="1"/>
  <c r="AI600" i="1"/>
  <c r="W600" i="1"/>
  <c r="AZ600" i="2"/>
  <c r="BJ600" i="2" s="1"/>
  <c r="AI599" i="1"/>
  <c r="W599" i="1"/>
  <c r="AZ599" i="2"/>
  <c r="BJ599" i="2" s="1"/>
  <c r="AI598" i="1"/>
  <c r="W598" i="1"/>
  <c r="AZ598" i="2"/>
  <c r="BJ598" i="2" s="1"/>
  <c r="AI596" i="1"/>
  <c r="AI595" i="1"/>
  <c r="AI594" i="1"/>
  <c r="AI593" i="1"/>
  <c r="AI592" i="1"/>
  <c r="AI591" i="1"/>
  <c r="AI590" i="1"/>
  <c r="AI589" i="1"/>
  <c r="AI588" i="1"/>
  <c r="AI587" i="1"/>
  <c r="AI586" i="1"/>
  <c r="AI585" i="1"/>
  <c r="AI584" i="1"/>
  <c r="AI583" i="1"/>
  <c r="AI582" i="1"/>
  <c r="AI580" i="1"/>
  <c r="AI576" i="1"/>
  <c r="AI581" i="1"/>
  <c r="E630" i="16"/>
  <c r="Z630" i="16"/>
  <c r="E629" i="16"/>
  <c r="AB629" i="16" s="1"/>
  <c r="Z629" i="16"/>
  <c r="E628" i="16"/>
  <c r="Z628" i="16"/>
  <c r="E627" i="16"/>
  <c r="Z627" i="16"/>
  <c r="E625" i="16"/>
  <c r="Z625" i="16"/>
  <c r="E624" i="16"/>
  <c r="Z624" i="16"/>
  <c r="E623" i="16"/>
  <c r="Z623" i="16"/>
  <c r="E622" i="16"/>
  <c r="Z622" i="16"/>
  <c r="E621" i="16"/>
  <c r="Z621" i="16"/>
  <c r="E620" i="16"/>
  <c r="AB620" i="16" s="1"/>
  <c r="Z620" i="16"/>
  <c r="E619" i="16"/>
  <c r="Z619" i="16"/>
  <c r="E618" i="16"/>
  <c r="Z618" i="16"/>
  <c r="E617" i="16"/>
  <c r="Z617" i="16"/>
  <c r="E616" i="16"/>
  <c r="Z616" i="16"/>
  <c r="E615" i="16"/>
  <c r="Z615" i="16"/>
  <c r="E614" i="16"/>
  <c r="Z614" i="16"/>
  <c r="E613" i="16"/>
  <c r="Z613" i="16"/>
  <c r="E612" i="16"/>
  <c r="Z612" i="16"/>
  <c r="E611" i="16"/>
  <c r="AB611" i="16" s="1"/>
  <c r="Z611" i="16"/>
  <c r="E610" i="16"/>
  <c r="Z610" i="16"/>
  <c r="E609" i="16"/>
  <c r="Z609" i="16"/>
  <c r="Z608" i="16"/>
  <c r="Z607" i="16"/>
  <c r="E606" i="16"/>
  <c r="Z606" i="16"/>
  <c r="E605" i="16"/>
  <c r="AB605" i="16" s="1"/>
  <c r="Z605" i="16"/>
  <c r="E604" i="16"/>
  <c r="Z604" i="16"/>
  <c r="E603" i="16"/>
  <c r="Z603" i="16"/>
  <c r="E602" i="16"/>
  <c r="AB602" i="16" s="1"/>
  <c r="Z602" i="16"/>
  <c r="E601" i="16"/>
  <c r="Z601" i="16"/>
  <c r="E600" i="16"/>
  <c r="Z600" i="16"/>
  <c r="E599" i="16"/>
  <c r="Z599" i="16"/>
  <c r="E598" i="16"/>
  <c r="AB598" i="16" s="1"/>
  <c r="Z598" i="16"/>
  <c r="Z596" i="16"/>
  <c r="Z595" i="16"/>
  <c r="Z594" i="16"/>
  <c r="Z593" i="16"/>
  <c r="Z592" i="16"/>
  <c r="Z591" i="16"/>
  <c r="Z590" i="16"/>
  <c r="Z589" i="16"/>
  <c r="Z588" i="16"/>
  <c r="Z587" i="16"/>
  <c r="Z586" i="16"/>
  <c r="Z585" i="16"/>
  <c r="Z584" i="16"/>
  <c r="Z583" i="16"/>
  <c r="Z582" i="16"/>
  <c r="Z581" i="16"/>
  <c r="Z580" i="16"/>
  <c r="Z576" i="16"/>
  <c r="T321" i="10"/>
  <c r="T320" i="10"/>
  <c r="T319" i="10"/>
  <c r="T318" i="10"/>
  <c r="T317" i="10"/>
  <c r="T316" i="10"/>
  <c r="T315" i="10"/>
  <c r="T314" i="10"/>
  <c r="T313" i="10"/>
  <c r="T312" i="10"/>
  <c r="T302" i="10"/>
  <c r="T301" i="10"/>
  <c r="T297" i="10"/>
  <c r="T300" i="10"/>
  <c r="Q318" i="10"/>
  <c r="Q317" i="10"/>
  <c r="Q316" i="10"/>
  <c r="Q315" i="10"/>
  <c r="Q314" i="10"/>
  <c r="Q313" i="10"/>
  <c r="Q312" i="10"/>
  <c r="Q311" i="10"/>
  <c r="Q310" i="10"/>
  <c r="Q309" i="10"/>
  <c r="Q308" i="10"/>
  <c r="Q307" i="10"/>
  <c r="Q302" i="10"/>
  <c r="Q301" i="10"/>
  <c r="Q297" i="10"/>
  <c r="Q300" i="10"/>
  <c r="T298" i="10"/>
  <c r="T296" i="10"/>
  <c r="T295" i="10"/>
  <c r="T293" i="10"/>
  <c r="T292" i="10"/>
  <c r="T291" i="10"/>
  <c r="T290" i="10"/>
  <c r="T289" i="10"/>
  <c r="T288" i="10"/>
  <c r="T287" i="10"/>
  <c r="T286" i="10"/>
  <c r="Q298" i="10"/>
  <c r="Q296" i="10"/>
  <c r="Q295" i="10"/>
  <c r="Q293" i="10"/>
  <c r="Q292" i="10"/>
  <c r="Q291" i="10"/>
  <c r="Q290" i="10"/>
  <c r="Q289" i="10"/>
  <c r="Q288" i="10"/>
  <c r="Q287" i="10"/>
  <c r="Q286" i="10"/>
  <c r="Q285" i="10"/>
  <c r="Q282" i="10"/>
  <c r="Q281" i="10"/>
  <c r="Q280" i="10"/>
  <c r="Q279" i="10"/>
  <c r="W321" i="1"/>
  <c r="AI321" i="1"/>
  <c r="AZ321" i="2"/>
  <c r="BJ321" i="2" s="1"/>
  <c r="W320" i="1"/>
  <c r="AI320" i="1"/>
  <c r="AZ320" i="2"/>
  <c r="BJ320" i="2" s="1"/>
  <c r="W319" i="1"/>
  <c r="AI319" i="1"/>
  <c r="AZ319" i="2"/>
  <c r="BJ319" i="2" s="1"/>
  <c r="AI318" i="1"/>
  <c r="W318" i="1"/>
  <c r="AZ318" i="2"/>
  <c r="BJ318" i="2" s="1"/>
  <c r="AI317" i="1"/>
  <c r="W317" i="1"/>
  <c r="AZ317" i="2"/>
  <c r="BJ317" i="2" s="1"/>
  <c r="AI316" i="1"/>
  <c r="W316" i="1"/>
  <c r="AZ316" i="2"/>
  <c r="BJ316" i="2" s="1"/>
  <c r="AI315" i="1"/>
  <c r="W315" i="1"/>
  <c r="AZ315" i="2"/>
  <c r="BJ315" i="2" s="1"/>
  <c r="AI314" i="1"/>
  <c r="W314" i="1"/>
  <c r="AZ314" i="2"/>
  <c r="BJ314" i="2" s="1"/>
  <c r="AI313" i="1"/>
  <c r="W313" i="1"/>
  <c r="AI312" i="1"/>
  <c r="W312" i="1"/>
  <c r="AZ312" i="2"/>
  <c r="BJ312" i="2" s="1"/>
  <c r="AI311" i="1"/>
  <c r="W311" i="1"/>
  <c r="AZ311" i="2"/>
  <c r="BJ311" i="2" s="1"/>
  <c r="AI310" i="1"/>
  <c r="W310" i="1"/>
  <c r="AZ310" i="2"/>
  <c r="BJ310" i="2" s="1"/>
  <c r="AI309" i="1"/>
  <c r="W309" i="1"/>
  <c r="AZ309" i="2"/>
  <c r="BJ309" i="2" s="1"/>
  <c r="AI308" i="1"/>
  <c r="W308" i="1"/>
  <c r="AZ308" i="2"/>
  <c r="BJ308" i="2" s="1"/>
  <c r="AI307" i="1"/>
  <c r="W307" i="1"/>
  <c r="AZ307" i="2"/>
  <c r="BJ307" i="2" s="1"/>
  <c r="AI306" i="1"/>
  <c r="W306" i="1"/>
  <c r="AZ306" i="2"/>
  <c r="BJ306" i="2" s="1"/>
  <c r="AI302" i="1"/>
  <c r="W302" i="1"/>
  <c r="AZ302" i="2"/>
  <c r="BJ302" i="2" s="1"/>
  <c r="AI301" i="1"/>
  <c r="W301" i="1"/>
  <c r="AZ301" i="2"/>
  <c r="BJ301" i="2" s="1"/>
  <c r="AI297" i="1"/>
  <c r="W297" i="1"/>
  <c r="AZ297" i="2"/>
  <c r="BJ297" i="2" s="1"/>
  <c r="AI300" i="1"/>
  <c r="W300" i="1"/>
  <c r="AZ300" i="2"/>
  <c r="BJ300" i="2" s="1"/>
  <c r="AI299" i="1"/>
  <c r="W299" i="1"/>
  <c r="AZ299" i="2"/>
  <c r="BJ299" i="2" s="1"/>
  <c r="AI298" i="1"/>
  <c r="W298" i="1"/>
  <c r="AZ298" i="2"/>
  <c r="BJ298" i="2" s="1"/>
  <c r="W325" i="1"/>
  <c r="AI325" i="1"/>
  <c r="AZ325" i="2"/>
  <c r="BJ325" i="2" s="1"/>
  <c r="W323" i="1"/>
  <c r="AI323" i="1"/>
  <c r="BJ323" i="2"/>
  <c r="AI296" i="1"/>
  <c r="W296" i="1"/>
  <c r="AZ296" i="2"/>
  <c r="BJ296" i="2" s="1"/>
  <c r="AI293" i="1"/>
  <c r="W293" i="1"/>
  <c r="AZ293" i="2"/>
  <c r="BJ293" i="2" s="1"/>
  <c r="AI291" i="1"/>
  <c r="W291" i="1"/>
  <c r="AZ291" i="2"/>
  <c r="BJ291" i="2" s="1"/>
  <c r="AI290" i="1"/>
  <c r="W290" i="1"/>
  <c r="AZ290" i="2"/>
  <c r="BJ290" i="2" s="1"/>
  <c r="AI289" i="1"/>
  <c r="W289" i="1"/>
  <c r="AZ289" i="2"/>
  <c r="BJ289" i="2" s="1"/>
  <c r="AI288" i="1"/>
  <c r="W288" i="1"/>
  <c r="AZ288" i="2"/>
  <c r="BJ288" i="2" s="1"/>
  <c r="AI287" i="1"/>
  <c r="W287" i="1"/>
  <c r="AZ287" i="2"/>
  <c r="BJ287" i="2" s="1"/>
  <c r="AI286" i="1"/>
  <c r="W286" i="1"/>
  <c r="AZ286" i="2"/>
  <c r="BJ286" i="2" s="1"/>
  <c r="AI285" i="1"/>
  <c r="W285" i="1"/>
  <c r="AZ285" i="2"/>
  <c r="BJ285" i="2" s="1"/>
  <c r="AI284" i="1"/>
  <c r="AK284" i="1" s="1"/>
  <c r="AZ284" i="2"/>
  <c r="BJ284" i="2" s="1"/>
  <c r="AI283" i="1"/>
  <c r="AK283" i="1" s="1"/>
  <c r="BL283" i="2" s="1"/>
  <c r="AI282" i="1"/>
  <c r="AK282" i="1" s="1"/>
  <c r="BL282" i="2" s="1"/>
  <c r="AI281" i="1"/>
  <c r="W281" i="1"/>
  <c r="AZ281" i="2"/>
  <c r="BJ281" i="2" s="1"/>
  <c r="AI280" i="1"/>
  <c r="W280" i="1"/>
  <c r="AZ280" i="2"/>
  <c r="BJ280" i="2" s="1"/>
  <c r="AI279" i="1"/>
  <c r="W279" i="1"/>
  <c r="AZ279" i="2"/>
  <c r="BJ279" i="2" s="1"/>
  <c r="AI278" i="1"/>
  <c r="W278" i="1"/>
  <c r="AZ278" i="2"/>
  <c r="BJ278" i="2" s="1"/>
  <c r="AI277" i="1"/>
  <c r="W277" i="1"/>
  <c r="AZ277" i="2"/>
  <c r="BJ277" i="2" s="1"/>
  <c r="AI276" i="1"/>
  <c r="W276" i="1"/>
  <c r="AZ276" i="2"/>
  <c r="BJ276" i="2" s="1"/>
  <c r="AI275" i="1"/>
  <c r="W275" i="1"/>
  <c r="AZ275" i="2"/>
  <c r="BJ275" i="2" s="1"/>
  <c r="AI273" i="1"/>
  <c r="W273" i="1"/>
  <c r="AZ273" i="2"/>
  <c r="BJ273" i="2" s="1"/>
  <c r="AI272" i="1"/>
  <c r="AK272" i="1" s="1"/>
  <c r="BL272" i="2" s="1"/>
  <c r="AI271" i="1"/>
  <c r="AK271" i="1" s="1"/>
  <c r="BL271" i="2" s="1"/>
  <c r="AZ295" i="2"/>
  <c r="BJ295" i="2" s="1"/>
  <c r="AI295" i="1"/>
  <c r="W295" i="1"/>
  <c r="E318" i="16"/>
  <c r="U318" i="16"/>
  <c r="E317" i="16"/>
  <c r="U317" i="16"/>
  <c r="E316" i="16"/>
  <c r="U316" i="16"/>
  <c r="E315" i="16"/>
  <c r="U315" i="16"/>
  <c r="E314" i="16"/>
  <c r="U314" i="16"/>
  <c r="E313" i="16"/>
  <c r="U313" i="16"/>
  <c r="E312" i="16"/>
  <c r="U312" i="16"/>
  <c r="E311" i="16"/>
  <c r="E310" i="16"/>
  <c r="E309" i="16"/>
  <c r="E308" i="16"/>
  <c r="AB308" i="16" s="1"/>
  <c r="U306" i="16"/>
  <c r="AB306" i="16" s="1"/>
  <c r="E302" i="16"/>
  <c r="U302" i="16"/>
  <c r="Z302" i="16"/>
  <c r="E301" i="16"/>
  <c r="U301" i="16"/>
  <c r="Z301" i="16"/>
  <c r="E297" i="16"/>
  <c r="U297" i="16"/>
  <c r="Z297" i="16"/>
  <c r="E300" i="16"/>
  <c r="U300" i="16"/>
  <c r="Z300" i="16"/>
  <c r="E299" i="16"/>
  <c r="U299" i="16"/>
  <c r="Z299" i="16"/>
  <c r="E296" i="16"/>
  <c r="U296" i="16"/>
  <c r="Z296" i="16"/>
  <c r="E295" i="16"/>
  <c r="U295" i="16"/>
  <c r="Z295" i="16"/>
  <c r="U293" i="16"/>
  <c r="E292" i="16"/>
  <c r="U292" i="16"/>
  <c r="Z292" i="16"/>
  <c r="U291" i="16"/>
  <c r="Z291" i="16"/>
  <c r="E290" i="16"/>
  <c r="U290" i="16"/>
  <c r="AB290" i="16" s="1"/>
  <c r="Z290" i="16"/>
  <c r="E289" i="16"/>
  <c r="U289" i="16"/>
  <c r="Z289" i="16"/>
  <c r="E288" i="16"/>
  <c r="U288" i="16"/>
  <c r="Z288" i="16"/>
  <c r="E287" i="16"/>
  <c r="U287" i="16"/>
  <c r="Z287" i="16"/>
  <c r="E286" i="16"/>
  <c r="AB286" i="16" s="1"/>
  <c r="Z286" i="16"/>
  <c r="E285" i="16"/>
  <c r="Z285" i="16"/>
  <c r="Z284" i="16"/>
  <c r="U282" i="16"/>
  <c r="AB282" i="16" s="1"/>
  <c r="U281" i="16"/>
  <c r="U280" i="16"/>
  <c r="E279" i="16"/>
  <c r="U279" i="16"/>
  <c r="U278" i="16"/>
  <c r="E277" i="16"/>
  <c r="U277" i="16"/>
  <c r="Z277" i="16"/>
  <c r="U276" i="16"/>
  <c r="AB276" i="16" s="1"/>
  <c r="E267" i="16"/>
  <c r="U267" i="16"/>
  <c r="Z267" i="16"/>
  <c r="E266" i="16"/>
  <c r="U266" i="16"/>
  <c r="Z266" i="16"/>
  <c r="E265" i="16"/>
  <c r="U265" i="16"/>
  <c r="Z265" i="16"/>
  <c r="E257" i="16"/>
  <c r="U257" i="16"/>
  <c r="Z257" i="16"/>
  <c r="E105" i="16"/>
  <c r="W104" i="1"/>
  <c r="W96" i="1"/>
  <c r="AI104" i="1"/>
  <c r="AZ104" i="2"/>
  <c r="BJ104" i="2" s="1"/>
  <c r="W103" i="1"/>
  <c r="AI103" i="1"/>
  <c r="AZ103" i="2"/>
  <c r="BJ103" i="2" s="1"/>
  <c r="AI102" i="1"/>
  <c r="W102" i="1"/>
  <c r="AZ102" i="2"/>
  <c r="BJ102" i="2" s="1"/>
  <c r="AI101" i="1"/>
  <c r="W101" i="1"/>
  <c r="AZ101" i="2"/>
  <c r="BJ101" i="2" s="1"/>
  <c r="AI100" i="1"/>
  <c r="W100" i="1"/>
  <c r="AZ100" i="2"/>
  <c r="BJ100" i="2" s="1"/>
  <c r="W99" i="1"/>
  <c r="AI99" i="1"/>
  <c r="AI98" i="1"/>
  <c r="W98" i="1"/>
  <c r="AI97" i="1"/>
  <c r="W97" i="1"/>
  <c r="AI96" i="1"/>
  <c r="AI95" i="1"/>
  <c r="W95" i="1"/>
  <c r="AI93" i="1"/>
  <c r="W93" i="1"/>
  <c r="AI94" i="1"/>
  <c r="W94" i="1"/>
  <c r="E94" i="16"/>
  <c r="U94" i="16"/>
  <c r="Z94" i="16"/>
  <c r="U93" i="16"/>
  <c r="Z93" i="16"/>
  <c r="T146" i="10"/>
  <c r="T145" i="10"/>
  <c r="T144" i="10"/>
  <c r="T141" i="10"/>
  <c r="T140" i="10"/>
  <c r="T139" i="10"/>
  <c r="T138" i="10"/>
  <c r="T137" i="10"/>
  <c r="T136" i="10"/>
  <c r="T135" i="10"/>
  <c r="T134" i="10"/>
  <c r="T133" i="10"/>
  <c r="T132" i="10"/>
  <c r="T131" i="10"/>
  <c r="T130" i="10"/>
  <c r="T129" i="10"/>
  <c r="T128" i="10"/>
  <c r="T127" i="10"/>
  <c r="T126" i="10"/>
  <c r="T125" i="10"/>
  <c r="T123" i="10"/>
  <c r="T122" i="10"/>
  <c r="T121" i="10"/>
  <c r="T120" i="10"/>
  <c r="T119" i="10"/>
  <c r="T117" i="10"/>
  <c r="T116" i="10"/>
  <c r="T115" i="10"/>
  <c r="T114" i="10"/>
  <c r="T113" i="10"/>
  <c r="T112" i="10"/>
  <c r="T111" i="10"/>
  <c r="T110" i="10"/>
  <c r="T109" i="10"/>
  <c r="T108" i="10"/>
  <c r="T107" i="10"/>
  <c r="T106" i="10"/>
  <c r="T105" i="10"/>
  <c r="T104" i="10"/>
  <c r="T103" i="10"/>
  <c r="T102" i="10"/>
  <c r="T101" i="10"/>
  <c r="T100" i="10"/>
  <c r="T99" i="10"/>
  <c r="T98" i="10"/>
  <c r="T97" i="10"/>
  <c r="Q225" i="10"/>
  <c r="Q438" i="10"/>
  <c r="Q437" i="10"/>
  <c r="Q436" i="10"/>
  <c r="Q435" i="10"/>
  <c r="Q434" i="10"/>
  <c r="Q433" i="10"/>
  <c r="Q432" i="10"/>
  <c r="Q431" i="10"/>
  <c r="Q430" i="10"/>
  <c r="Q429" i="10"/>
  <c r="Q428" i="10"/>
  <c r="Q427" i="10"/>
  <c r="Q426" i="10"/>
  <c r="Q425" i="10"/>
  <c r="Q424" i="10"/>
  <c r="Q422" i="10"/>
  <c r="Q420" i="10"/>
  <c r="Q419" i="10"/>
  <c r="Q418" i="10"/>
  <c r="Q416" i="10"/>
  <c r="Q415" i="10"/>
  <c r="Q414" i="10"/>
  <c r="Q413" i="10"/>
  <c r="Q407" i="10"/>
  <c r="Q406" i="10"/>
  <c r="Q405" i="10"/>
  <c r="Q404" i="10"/>
  <c r="Q403" i="10"/>
  <c r="Q402" i="10"/>
  <c r="Q361" i="10"/>
  <c r="Q360" i="10"/>
  <c r="Q359" i="10"/>
  <c r="Q358" i="10"/>
  <c r="Q357" i="10"/>
  <c r="Q356" i="10"/>
  <c r="Q355" i="10"/>
  <c r="Q353" i="10"/>
  <c r="Q352" i="10"/>
  <c r="Q351" i="10"/>
  <c r="Q350" i="10"/>
  <c r="Q349" i="10"/>
  <c r="Q348" i="10"/>
  <c r="Q347" i="10"/>
  <c r="Q346" i="10"/>
  <c r="Q345" i="10"/>
  <c r="Q344" i="10"/>
  <c r="Q343" i="10"/>
  <c r="Q342" i="10"/>
  <c r="Q341" i="10"/>
  <c r="Q340" i="10"/>
  <c r="Q339" i="10"/>
  <c r="Q338" i="10"/>
  <c r="Q337" i="10"/>
  <c r="Q334" i="10"/>
  <c r="Q333" i="10"/>
  <c r="Q332" i="10"/>
  <c r="Q331" i="10"/>
  <c r="Q330" i="10"/>
  <c r="Q329" i="10"/>
  <c r="Q328" i="10"/>
  <c r="Q327" i="10"/>
  <c r="Q325" i="10"/>
  <c r="Q321" i="10"/>
  <c r="Q320" i="10"/>
  <c r="Q319" i="10"/>
  <c r="Q255" i="10"/>
  <c r="Q254" i="10"/>
  <c r="Q253" i="10"/>
  <c r="Q250" i="10"/>
  <c r="Q248" i="10"/>
  <c r="Q247" i="10"/>
  <c r="Q246" i="10"/>
  <c r="Q245" i="10"/>
  <c r="Q244" i="10"/>
  <c r="Q243" i="10"/>
  <c r="Q242" i="10"/>
  <c r="Q241" i="10"/>
  <c r="Q240" i="10"/>
  <c r="Q239" i="10"/>
  <c r="Q238" i="10"/>
  <c r="Q236" i="10"/>
  <c r="Q235" i="10"/>
  <c r="Q234" i="10"/>
  <c r="Q233" i="10"/>
  <c r="Q232" i="10"/>
  <c r="Q230" i="10"/>
  <c r="Q229" i="10"/>
  <c r="Q228" i="10"/>
  <c r="Q227" i="10"/>
  <c r="Q226" i="10"/>
  <c r="Q224" i="10"/>
  <c r="Q222" i="10"/>
  <c r="Q221" i="10"/>
  <c r="Q220" i="10"/>
  <c r="Q219" i="10"/>
  <c r="Q218" i="10"/>
  <c r="Q216" i="10"/>
  <c r="Q213" i="10"/>
  <c r="Q212" i="10"/>
  <c r="Q211" i="10"/>
  <c r="Q175" i="10"/>
  <c r="Q174" i="10"/>
  <c r="Q172" i="10"/>
  <c r="Q170" i="10"/>
  <c r="Q167" i="10"/>
  <c r="Q166" i="10"/>
  <c r="Q165" i="10"/>
  <c r="Q164" i="10"/>
  <c r="Q161" i="10"/>
  <c r="Q160" i="10"/>
  <c r="Q146" i="10"/>
  <c r="Q145" i="10"/>
  <c r="Q144" i="10"/>
  <c r="Q143" i="10"/>
  <c r="Q141" i="10"/>
  <c r="Q140" i="10"/>
  <c r="Q139" i="10"/>
  <c r="Q138" i="10"/>
  <c r="Q137" i="10"/>
  <c r="Q136" i="10"/>
  <c r="Q135" i="10"/>
  <c r="Q134" i="10"/>
  <c r="Q133" i="10"/>
  <c r="Q132" i="10"/>
  <c r="Q131" i="10"/>
  <c r="Q129" i="10"/>
  <c r="Q128" i="10"/>
  <c r="Q127" i="10"/>
  <c r="Q126" i="10"/>
  <c r="Q125" i="10"/>
  <c r="Q123" i="10"/>
  <c r="Q122" i="10"/>
  <c r="Q121" i="10"/>
  <c r="Q120" i="10"/>
  <c r="Q119" i="10"/>
  <c r="Q117" i="10"/>
  <c r="Q116" i="10"/>
  <c r="Q115" i="10"/>
  <c r="Q113" i="10"/>
  <c r="Q112" i="10"/>
  <c r="Q111" i="10"/>
  <c r="Q110" i="10"/>
  <c r="Q109" i="10"/>
  <c r="Q108" i="10"/>
  <c r="Q107" i="10"/>
  <c r="Q106" i="10"/>
  <c r="Q104" i="10"/>
  <c r="Q103" i="10"/>
  <c r="Q102" i="10"/>
  <c r="Q100" i="10"/>
  <c r="Q99" i="10"/>
  <c r="Q98" i="10"/>
  <c r="Q97" i="10"/>
  <c r="Q96" i="10"/>
  <c r="Q95" i="10"/>
  <c r="Q93" i="10"/>
  <c r="Q94" i="10"/>
  <c r="Q92" i="10"/>
  <c r="Q91" i="10"/>
  <c r="Q90" i="10"/>
  <c r="Q89" i="10"/>
  <c r="Q88" i="10"/>
  <c r="AZ486" i="2"/>
  <c r="BJ486" i="2" s="1"/>
  <c r="AI204" i="1"/>
  <c r="AZ105" i="2"/>
  <c r="BJ105" i="2" s="1"/>
  <c r="W105" i="1"/>
  <c r="AI105" i="1"/>
  <c r="AK428" i="1"/>
  <c r="BL428" i="2" s="1"/>
  <c r="AI427" i="1"/>
  <c r="AI426" i="1"/>
  <c r="AI425" i="1"/>
  <c r="AI424" i="1"/>
  <c r="AZ422" i="2"/>
  <c r="BJ422" i="2" s="1"/>
  <c r="W422" i="1"/>
  <c r="AI422" i="1"/>
  <c r="AZ420" i="2"/>
  <c r="BJ420" i="2" s="1"/>
  <c r="W420" i="1"/>
  <c r="AI420" i="1"/>
  <c r="AZ407" i="2"/>
  <c r="BJ407" i="2" s="1"/>
  <c r="W407" i="1"/>
  <c r="AI407" i="1"/>
  <c r="AZ344" i="2"/>
  <c r="BJ344" i="2" s="1"/>
  <c r="W344" i="1"/>
  <c r="AI344" i="1"/>
  <c r="AZ343" i="2"/>
  <c r="BJ343" i="2" s="1"/>
  <c r="W343" i="1"/>
  <c r="AI343" i="1"/>
  <c r="AZ342" i="2"/>
  <c r="BJ342" i="2" s="1"/>
  <c r="W342" i="1"/>
  <c r="AI342" i="1"/>
  <c r="AZ341" i="2"/>
  <c r="BJ341" i="2" s="1"/>
  <c r="W341" i="1"/>
  <c r="AI341" i="1"/>
  <c r="AZ340" i="2"/>
  <c r="BJ340" i="2" s="1"/>
  <c r="W340" i="1"/>
  <c r="AI340" i="1"/>
  <c r="AZ339" i="2"/>
  <c r="BJ339" i="2" s="1"/>
  <c r="W339" i="1"/>
  <c r="AI339" i="1"/>
  <c r="AZ338" i="2"/>
  <c r="BJ338" i="2" s="1"/>
  <c r="W338" i="1"/>
  <c r="AI338" i="1"/>
  <c r="AZ337" i="2"/>
  <c r="BJ337" i="2" s="1"/>
  <c r="W337" i="1"/>
  <c r="AI337" i="1"/>
  <c r="BJ336" i="2"/>
  <c r="W336" i="1"/>
  <c r="AI336" i="1"/>
  <c r="AZ334" i="2"/>
  <c r="BJ334" i="2" s="1"/>
  <c r="AI334" i="1"/>
  <c r="W334" i="1"/>
  <c r="AZ333" i="2"/>
  <c r="BJ333" i="2" s="1"/>
  <c r="AI333" i="1"/>
  <c r="W333" i="1"/>
  <c r="AZ332" i="2"/>
  <c r="BJ332" i="2" s="1"/>
  <c r="AI332" i="1"/>
  <c r="W332" i="1"/>
  <c r="AZ331" i="2"/>
  <c r="BJ331" i="2" s="1"/>
  <c r="AI331" i="1"/>
  <c r="W331" i="1"/>
  <c r="AZ330" i="2"/>
  <c r="BJ330" i="2" s="1"/>
  <c r="W330" i="1"/>
  <c r="AI330" i="1"/>
  <c r="AZ329" i="2"/>
  <c r="BJ329" i="2" s="1"/>
  <c r="W329" i="1"/>
  <c r="AI329" i="1"/>
  <c r="AZ328" i="2"/>
  <c r="BJ328" i="2" s="1"/>
  <c r="W328" i="1"/>
  <c r="AI328" i="1"/>
  <c r="AZ327" i="2"/>
  <c r="BJ327" i="2" s="1"/>
  <c r="AI327" i="1"/>
  <c r="W327" i="1"/>
  <c r="W231" i="1"/>
  <c r="AI231" i="1"/>
  <c r="AZ230" i="2"/>
  <c r="BJ230" i="2" s="1"/>
  <c r="W230" i="1"/>
  <c r="AI230" i="1"/>
  <c r="AZ229" i="2"/>
  <c r="BJ229" i="2" s="1"/>
  <c r="W229" i="1"/>
  <c r="AI229" i="1"/>
  <c r="AZ228" i="2"/>
  <c r="BJ228" i="2" s="1"/>
  <c r="W228" i="1"/>
  <c r="AI228" i="1"/>
  <c r="AZ227" i="2"/>
  <c r="BJ227" i="2" s="1"/>
  <c r="W227" i="1"/>
  <c r="AI227" i="1"/>
  <c r="AZ226" i="2"/>
  <c r="BJ226" i="2" s="1"/>
  <c r="W226" i="1"/>
  <c r="AI226" i="1"/>
  <c r="AZ225" i="2"/>
  <c r="BJ225" i="2" s="1"/>
  <c r="W225" i="1"/>
  <c r="AI225" i="1"/>
  <c r="AZ222" i="2"/>
  <c r="BJ222" i="2" s="1"/>
  <c r="W222" i="1"/>
  <c r="AI222" i="1"/>
  <c r="AZ221" i="2"/>
  <c r="BJ221" i="2" s="1"/>
  <c r="AI221" i="1"/>
  <c r="W221" i="1"/>
  <c r="AZ220" i="2"/>
  <c r="BJ220" i="2" s="1"/>
  <c r="W220" i="1"/>
  <c r="AI220" i="1"/>
  <c r="AZ219" i="2"/>
  <c r="BJ219" i="2" s="1"/>
  <c r="W219" i="1"/>
  <c r="AI219" i="1"/>
  <c r="AZ218" i="2"/>
  <c r="BJ218" i="2" s="1"/>
  <c r="W218" i="1"/>
  <c r="AI218" i="1"/>
  <c r="BJ217" i="2"/>
  <c r="AI217" i="1"/>
  <c r="AK217" i="1" s="1"/>
  <c r="AZ216" i="2"/>
  <c r="BJ216" i="2" s="1"/>
  <c r="AI216" i="1"/>
  <c r="W216" i="1"/>
  <c r="AZ215" i="2"/>
  <c r="BJ215" i="2" s="1"/>
  <c r="W215" i="1"/>
  <c r="AI215" i="1"/>
  <c r="AI214" i="1"/>
  <c r="AK214" i="1" s="1"/>
  <c r="BL214" i="2" s="1"/>
  <c r="AZ213" i="2"/>
  <c r="BJ213" i="2" s="1"/>
  <c r="AI213" i="1"/>
  <c r="W213" i="1"/>
  <c r="AZ212" i="2"/>
  <c r="BJ212" i="2" s="1"/>
  <c r="W212" i="1"/>
  <c r="AI212" i="1"/>
  <c r="AZ211" i="2"/>
  <c r="BJ211" i="2" s="1"/>
  <c r="AI211" i="1"/>
  <c r="W211" i="1"/>
  <c r="AI210" i="1"/>
  <c r="AI209" i="1"/>
  <c r="AI207" i="1"/>
  <c r="AI206" i="1"/>
  <c r="AI205" i="1"/>
  <c r="AZ175" i="2"/>
  <c r="BJ175" i="2" s="1"/>
  <c r="W175" i="1"/>
  <c r="AI175" i="1"/>
  <c r="AZ174" i="2"/>
  <c r="BJ174" i="2" s="1"/>
  <c r="W174" i="1"/>
  <c r="AI174" i="1"/>
  <c r="AZ172" i="2"/>
  <c r="BJ172" i="2" s="1"/>
  <c r="AI172" i="1"/>
  <c r="W172" i="1"/>
  <c r="AZ171" i="2"/>
  <c r="BJ171" i="2" s="1"/>
  <c r="W171" i="1"/>
  <c r="AI171" i="1"/>
  <c r="BJ170" i="2"/>
  <c r="AI170" i="1"/>
  <c r="AK170" i="1" s="1"/>
  <c r="AI169" i="1"/>
  <c r="AK169" i="1" s="1"/>
  <c r="BL169" i="2" s="1"/>
  <c r="AZ168" i="2"/>
  <c r="BJ168" i="2" s="1"/>
  <c r="AI168" i="1"/>
  <c r="W168" i="1"/>
  <c r="AZ167" i="2"/>
  <c r="BJ167" i="2" s="1"/>
  <c r="W167" i="1"/>
  <c r="AI167" i="1"/>
  <c r="AZ166" i="2"/>
  <c r="BJ166" i="2" s="1"/>
  <c r="W166" i="1"/>
  <c r="AI166" i="1"/>
  <c r="AZ165" i="2"/>
  <c r="BJ165" i="2" s="1"/>
  <c r="W165" i="1"/>
  <c r="AI165" i="1"/>
  <c r="BJ164" i="2"/>
  <c r="AI164" i="1"/>
  <c r="AK164" i="1" s="1"/>
  <c r="AI163" i="1"/>
  <c r="AK163" i="1" s="1"/>
  <c r="BL163" i="2" s="1"/>
  <c r="AZ161" i="2"/>
  <c r="BJ161" i="2" s="1"/>
  <c r="AI161" i="1"/>
  <c r="W161" i="1"/>
  <c r="AZ160" i="2"/>
  <c r="BJ160" i="2" s="1"/>
  <c r="W160" i="1"/>
  <c r="AI160" i="1"/>
  <c r="AI159" i="1"/>
  <c r="AI158" i="1"/>
  <c r="AI157" i="1"/>
  <c r="AI156" i="1"/>
  <c r="AI155" i="1"/>
  <c r="AK155" i="1" s="1"/>
  <c r="AI153" i="1"/>
  <c r="AK153" i="1" s="1"/>
  <c r="AI152" i="1"/>
  <c r="AI151" i="1"/>
  <c r="AK151" i="1" s="1"/>
  <c r="AI150" i="1"/>
  <c r="AK150" i="1" s="1"/>
  <c r="BL150" i="2" s="1"/>
  <c r="AI149" i="1"/>
  <c r="AI148" i="1"/>
  <c r="AK148" i="1" s="1"/>
  <c r="AI147" i="1"/>
  <c r="AK147" i="1" s="1"/>
  <c r="BL147" i="2" s="1"/>
  <c r="AZ146" i="2"/>
  <c r="BJ146" i="2" s="1"/>
  <c r="W146" i="1"/>
  <c r="AI146" i="1"/>
  <c r="BJ145" i="2"/>
  <c r="AI145" i="1"/>
  <c r="AK145" i="1" s="1"/>
  <c r="AZ144" i="2"/>
  <c r="BJ144" i="2" s="1"/>
  <c r="W144" i="1"/>
  <c r="AI144" i="1"/>
  <c r="AZ143" i="2"/>
  <c r="BJ143" i="2" s="1"/>
  <c r="W143" i="1"/>
  <c r="AI143" i="1"/>
  <c r="AZ141" i="2"/>
  <c r="BJ141" i="2" s="1"/>
  <c r="W141" i="1"/>
  <c r="AI141" i="1"/>
  <c r="AZ140" i="2"/>
  <c r="BJ140" i="2" s="1"/>
  <c r="W140" i="1"/>
  <c r="AI140" i="1"/>
  <c r="AZ139" i="2"/>
  <c r="BJ139" i="2" s="1"/>
  <c r="W139" i="1"/>
  <c r="AI139" i="1"/>
  <c r="AZ138" i="2"/>
  <c r="BJ138" i="2" s="1"/>
  <c r="W138" i="1"/>
  <c r="AI138" i="1"/>
  <c r="AZ137" i="2"/>
  <c r="BJ137" i="2" s="1"/>
  <c r="W137" i="1"/>
  <c r="AI137" i="1"/>
  <c r="AZ136" i="2"/>
  <c r="BJ136" i="2" s="1"/>
  <c r="W136" i="1"/>
  <c r="AI136" i="1"/>
  <c r="AZ135" i="2"/>
  <c r="BJ135" i="2" s="1"/>
  <c r="AI135" i="1"/>
  <c r="W135" i="1"/>
  <c r="AZ134" i="2"/>
  <c r="BJ134" i="2" s="1"/>
  <c r="W134" i="1"/>
  <c r="AI134" i="1"/>
  <c r="AZ133" i="2"/>
  <c r="BJ133" i="2" s="1"/>
  <c r="AI133" i="1"/>
  <c r="W133" i="1"/>
  <c r="AZ132" i="2"/>
  <c r="BJ132" i="2" s="1"/>
  <c r="W132" i="1"/>
  <c r="AI132" i="1"/>
  <c r="AZ131" i="2"/>
  <c r="BJ131" i="2" s="1"/>
  <c r="W131" i="1"/>
  <c r="AI131" i="1"/>
  <c r="AZ130" i="2"/>
  <c r="BJ130" i="2" s="1"/>
  <c r="AI130" i="1"/>
  <c r="W130" i="1"/>
  <c r="AZ129" i="2"/>
  <c r="BJ129" i="2" s="1"/>
  <c r="W129" i="1"/>
  <c r="AI129" i="1"/>
  <c r="AZ128" i="2"/>
  <c r="BJ128" i="2" s="1"/>
  <c r="W128" i="1"/>
  <c r="AI128" i="1"/>
  <c r="AZ127" i="2"/>
  <c r="BJ127" i="2" s="1"/>
  <c r="W127" i="1"/>
  <c r="AI127" i="1"/>
  <c r="AZ126" i="2"/>
  <c r="BJ126" i="2" s="1"/>
  <c r="W126" i="1"/>
  <c r="AI126" i="1"/>
  <c r="AZ125" i="2"/>
  <c r="BJ125" i="2" s="1"/>
  <c r="AI125" i="1"/>
  <c r="W125" i="1"/>
  <c r="AZ123" i="2"/>
  <c r="BJ123" i="2" s="1"/>
  <c r="W123" i="1"/>
  <c r="AI123" i="1"/>
  <c r="AZ122" i="2"/>
  <c r="BJ122" i="2" s="1"/>
  <c r="W122" i="1"/>
  <c r="AI122" i="1"/>
  <c r="AZ121" i="2"/>
  <c r="BJ121" i="2" s="1"/>
  <c r="W121" i="1"/>
  <c r="AI121" i="1"/>
  <c r="AZ120" i="2"/>
  <c r="BJ120" i="2" s="1"/>
  <c r="W120" i="1"/>
  <c r="AI120" i="1"/>
  <c r="AZ119" i="2"/>
  <c r="BJ119" i="2" s="1"/>
  <c r="W119" i="1"/>
  <c r="AI119" i="1"/>
  <c r="AZ117" i="2"/>
  <c r="BJ117" i="2" s="1"/>
  <c r="W117" i="1"/>
  <c r="AI117" i="1"/>
  <c r="AZ116" i="2"/>
  <c r="BJ116" i="2" s="1"/>
  <c r="W116" i="1"/>
  <c r="AI116" i="1"/>
  <c r="AZ115" i="2"/>
  <c r="BJ115" i="2" s="1"/>
  <c r="W115" i="1"/>
  <c r="AI115" i="1"/>
  <c r="AZ114" i="2"/>
  <c r="BJ114" i="2" s="1"/>
  <c r="W114" i="1"/>
  <c r="AI114" i="1"/>
  <c r="AZ113" i="2"/>
  <c r="BJ113" i="2" s="1"/>
  <c r="W113" i="1"/>
  <c r="AI113" i="1"/>
  <c r="AZ112" i="2"/>
  <c r="BJ112" i="2" s="1"/>
  <c r="W112" i="1"/>
  <c r="AI112" i="1"/>
  <c r="AZ111" i="2"/>
  <c r="BJ111" i="2" s="1"/>
  <c r="AI111" i="1"/>
  <c r="W111" i="1"/>
  <c r="AZ110" i="2"/>
  <c r="BJ110" i="2" s="1"/>
  <c r="AI110" i="1"/>
  <c r="W110" i="1"/>
  <c r="AZ109" i="2"/>
  <c r="BJ109" i="2" s="1"/>
  <c r="W109" i="1"/>
  <c r="AI109" i="1"/>
  <c r="AZ108" i="2"/>
  <c r="BJ108" i="2" s="1"/>
  <c r="W108" i="1"/>
  <c r="AI108" i="1"/>
  <c r="AZ107" i="2"/>
  <c r="BJ107" i="2" s="1"/>
  <c r="W107" i="1"/>
  <c r="AI107" i="1"/>
  <c r="AZ106" i="2"/>
  <c r="BJ106" i="2" s="1"/>
  <c r="W106" i="1"/>
  <c r="AI106" i="1"/>
  <c r="W92" i="1"/>
  <c r="AI92" i="1"/>
  <c r="AE90" i="15"/>
  <c r="K90" i="15"/>
  <c r="E438" i="16"/>
  <c r="E437" i="16"/>
  <c r="E422" i="16"/>
  <c r="E420" i="16"/>
  <c r="E407" i="16"/>
  <c r="U361" i="16"/>
  <c r="E361" i="16"/>
  <c r="U360" i="16"/>
  <c r="E360" i="16"/>
  <c r="U359" i="16"/>
  <c r="E359" i="16"/>
  <c r="U358" i="16"/>
  <c r="E358" i="16"/>
  <c r="U357" i="16"/>
  <c r="E357" i="16"/>
  <c r="U356" i="16"/>
  <c r="E356" i="16"/>
  <c r="U355" i="16"/>
  <c r="U353" i="16"/>
  <c r="E353" i="16"/>
  <c r="U352" i="16"/>
  <c r="E352" i="16"/>
  <c r="U351" i="16"/>
  <c r="E351" i="16"/>
  <c r="U350" i="16"/>
  <c r="E350" i="16"/>
  <c r="U349" i="16"/>
  <c r="E349" i="16"/>
  <c r="U348" i="16"/>
  <c r="E348" i="16"/>
  <c r="U347" i="16"/>
  <c r="E347" i="16"/>
  <c r="U346" i="16"/>
  <c r="E346" i="16"/>
  <c r="U345" i="16"/>
  <c r="E345" i="16"/>
  <c r="U344" i="16"/>
  <c r="E344" i="16"/>
  <c r="U343" i="16"/>
  <c r="E343" i="16"/>
  <c r="U342" i="16"/>
  <c r="E342" i="16"/>
  <c r="U341" i="16"/>
  <c r="E341" i="16"/>
  <c r="U340" i="16"/>
  <c r="E340" i="16"/>
  <c r="U339" i="16"/>
  <c r="E339" i="16"/>
  <c r="U338" i="16"/>
  <c r="E338" i="16"/>
  <c r="U337" i="16"/>
  <c r="E337" i="16"/>
  <c r="U336" i="16"/>
  <c r="E336" i="16"/>
  <c r="U334" i="16"/>
  <c r="E334" i="16"/>
  <c r="U333" i="16"/>
  <c r="E333" i="16"/>
  <c r="U332" i="16"/>
  <c r="E332" i="16"/>
  <c r="U331" i="16"/>
  <c r="E331" i="16"/>
  <c r="U330" i="16"/>
  <c r="E330" i="16"/>
  <c r="U329" i="16"/>
  <c r="U328" i="16"/>
  <c r="E328" i="16"/>
  <c r="U327" i="16"/>
  <c r="E327" i="16"/>
  <c r="U325" i="16"/>
  <c r="E325" i="16"/>
  <c r="U323" i="16"/>
  <c r="E323" i="16"/>
  <c r="U321" i="16"/>
  <c r="E321" i="16"/>
  <c r="U320" i="16"/>
  <c r="E320" i="16"/>
  <c r="U319" i="16"/>
  <c r="E319" i="16"/>
  <c r="U255" i="16"/>
  <c r="U254" i="16"/>
  <c r="E254" i="16"/>
  <c r="U253" i="16"/>
  <c r="U252" i="16"/>
  <c r="U251" i="16"/>
  <c r="U250" i="16"/>
  <c r="E250" i="16"/>
  <c r="U248" i="16"/>
  <c r="U247" i="16"/>
  <c r="U246" i="16"/>
  <c r="U245" i="16"/>
  <c r="U244" i="16"/>
  <c r="E244" i="16"/>
  <c r="U243" i="16"/>
  <c r="E243" i="16"/>
  <c r="U242" i="16"/>
  <c r="E242" i="16"/>
  <c r="U241" i="16"/>
  <c r="U240" i="16"/>
  <c r="E240" i="16"/>
  <c r="U239" i="16"/>
  <c r="E239" i="16"/>
  <c r="AB238" i="16"/>
  <c r="U237" i="16"/>
  <c r="U236" i="16"/>
  <c r="U235" i="16"/>
  <c r="E235" i="16"/>
  <c r="U234" i="16"/>
  <c r="E234" i="16"/>
  <c r="U233" i="16"/>
  <c r="E233" i="16"/>
  <c r="U231" i="16"/>
  <c r="E231" i="16"/>
  <c r="U230" i="16"/>
  <c r="E230" i="16"/>
  <c r="U229" i="16"/>
  <c r="U228" i="16"/>
  <c r="E228" i="16"/>
  <c r="U227" i="16"/>
  <c r="E227" i="16"/>
  <c r="U226" i="16"/>
  <c r="E226" i="16"/>
  <c r="U225" i="16"/>
  <c r="E225" i="16"/>
  <c r="U224" i="16"/>
  <c r="E224" i="16"/>
  <c r="U221" i="16"/>
  <c r="E221" i="16"/>
  <c r="U220" i="16"/>
  <c r="E220" i="16"/>
  <c r="U219" i="16"/>
  <c r="E219" i="16"/>
  <c r="U217" i="16"/>
  <c r="E217" i="16"/>
  <c r="U216" i="16"/>
  <c r="E216" i="16"/>
  <c r="U215" i="16"/>
  <c r="U214" i="16"/>
  <c r="E214" i="16"/>
  <c r="U213" i="16"/>
  <c r="U212" i="16"/>
  <c r="U211" i="16"/>
  <c r="E211" i="16"/>
  <c r="E210" i="16"/>
  <c r="E209" i="16"/>
  <c r="E208" i="16"/>
  <c r="E207" i="16"/>
  <c r="E206" i="16"/>
  <c r="E205" i="16"/>
  <c r="E202" i="16"/>
  <c r="E201" i="16"/>
  <c r="E200" i="16"/>
  <c r="E199" i="16"/>
  <c r="E198" i="16"/>
  <c r="E197" i="16"/>
  <c r="E196" i="16"/>
  <c r="E195" i="16"/>
  <c r="E191" i="16"/>
  <c r="E190" i="16"/>
  <c r="E189" i="16"/>
  <c r="E187" i="16"/>
  <c r="E186" i="16"/>
  <c r="E184" i="16"/>
  <c r="E182" i="16"/>
  <c r="U181" i="16"/>
  <c r="E181" i="16"/>
  <c r="U180" i="16"/>
  <c r="E180" i="16"/>
  <c r="E179" i="16"/>
  <c r="AB179" i="16" s="1"/>
  <c r="U175" i="16"/>
  <c r="E175" i="16"/>
  <c r="U174" i="16"/>
  <c r="E174" i="16"/>
  <c r="U172" i="16"/>
  <c r="E172" i="16"/>
  <c r="E171" i="16"/>
  <c r="U168" i="16"/>
  <c r="E168" i="16"/>
  <c r="U167" i="16"/>
  <c r="U166" i="16"/>
  <c r="U165" i="16"/>
  <c r="U164" i="16"/>
  <c r="U161" i="16"/>
  <c r="E161" i="16"/>
  <c r="U160" i="16"/>
  <c r="E160" i="16"/>
  <c r="U159" i="16"/>
  <c r="E159" i="16"/>
  <c r="U158" i="16"/>
  <c r="E158" i="16"/>
  <c r="U157" i="16"/>
  <c r="E157" i="16"/>
  <c r="U156" i="16"/>
  <c r="E156" i="16"/>
  <c r="E155" i="16"/>
  <c r="U153" i="16"/>
  <c r="E153" i="16"/>
  <c r="U152" i="16"/>
  <c r="E152" i="16"/>
  <c r="U151" i="16"/>
  <c r="E151" i="16"/>
  <c r="E150" i="16"/>
  <c r="AB150" i="16" s="1"/>
  <c r="U149" i="16"/>
  <c r="E149" i="16"/>
  <c r="U148" i="16"/>
  <c r="E148" i="16"/>
  <c r="U147" i="16"/>
  <c r="E147" i="16"/>
  <c r="U146" i="16"/>
  <c r="U145" i="16"/>
  <c r="U144" i="16"/>
  <c r="U141" i="16"/>
  <c r="U140" i="16"/>
  <c r="U139" i="16"/>
  <c r="U138" i="16"/>
  <c r="U136" i="16"/>
  <c r="U135" i="16"/>
  <c r="U134" i="16"/>
  <c r="U133" i="16"/>
  <c r="U132" i="16"/>
  <c r="U131" i="16"/>
  <c r="U130" i="16"/>
  <c r="U129" i="16"/>
  <c r="U128" i="16"/>
  <c r="U127" i="16"/>
  <c r="U126" i="16"/>
  <c r="U125" i="16"/>
  <c r="U123" i="16"/>
  <c r="U122" i="16"/>
  <c r="U121" i="16"/>
  <c r="U120" i="16"/>
  <c r="U119" i="16"/>
  <c r="U117" i="16"/>
  <c r="U116" i="16"/>
  <c r="U115" i="16"/>
  <c r="U113" i="16"/>
  <c r="U112" i="16"/>
  <c r="U111" i="16"/>
  <c r="U110" i="16"/>
  <c r="E110" i="16"/>
  <c r="U109" i="16"/>
  <c r="E109" i="16"/>
  <c r="U108" i="16"/>
  <c r="E108" i="16"/>
  <c r="U107" i="16"/>
  <c r="E107" i="16"/>
  <c r="U106" i="16"/>
  <c r="E106" i="16"/>
  <c r="U105" i="16"/>
  <c r="U104" i="16"/>
  <c r="E104" i="16"/>
  <c r="U103" i="16"/>
  <c r="E103" i="16"/>
  <c r="U102" i="16"/>
  <c r="U101" i="16"/>
  <c r="E101" i="16"/>
  <c r="U100" i="16"/>
  <c r="U99" i="16"/>
  <c r="U98" i="16"/>
  <c r="E98" i="16"/>
  <c r="U97" i="16"/>
  <c r="E97" i="16"/>
  <c r="U96" i="16"/>
  <c r="U95" i="16"/>
  <c r="E95" i="16"/>
  <c r="U92" i="16"/>
  <c r="U91" i="16"/>
  <c r="U90" i="16"/>
  <c r="E90" i="16"/>
  <c r="Q299" i="10"/>
  <c r="AZ292" i="2"/>
  <c r="BJ292" i="2" s="1"/>
  <c r="W292" i="1"/>
  <c r="Z334" i="16"/>
  <c r="Z336" i="16"/>
  <c r="Z187" i="16"/>
  <c r="Z189" i="16"/>
  <c r="Z186" i="16"/>
  <c r="Z164" i="16"/>
  <c r="Z147" i="16"/>
  <c r="Z243" i="16"/>
  <c r="Z244" i="16"/>
  <c r="Z234" i="16"/>
  <c r="Z230" i="16"/>
  <c r="Z229" i="16"/>
  <c r="AB398" i="16"/>
  <c r="E232" i="16"/>
  <c r="U232" i="16"/>
  <c r="U155" i="16"/>
  <c r="Z377" i="16"/>
  <c r="Z100" i="16"/>
  <c r="Z348" i="16"/>
  <c r="Z393" i="16"/>
  <c r="Z325" i="16"/>
  <c r="Z333" i="16"/>
  <c r="Z207" i="16"/>
  <c r="Z188" i="16"/>
  <c r="Z181" i="16"/>
  <c r="Z438" i="16"/>
  <c r="Z432" i="16"/>
  <c r="Z427" i="16"/>
  <c r="Z400" i="16"/>
  <c r="Z397" i="16"/>
  <c r="Z359" i="16"/>
  <c r="Z345" i="16"/>
  <c r="Z217" i="16"/>
  <c r="Z216" i="16"/>
  <c r="Z201" i="16"/>
  <c r="Z190" i="16"/>
  <c r="Z170" i="16"/>
  <c r="Z158" i="16"/>
  <c r="Z148" i="16"/>
  <c r="Z110" i="16"/>
  <c r="T525" i="10"/>
  <c r="T524" i="10"/>
  <c r="Z321" i="16"/>
  <c r="AI292" i="1"/>
  <c r="T299" i="10"/>
  <c r="Z437" i="16"/>
  <c r="Z436" i="16"/>
  <c r="Z435" i="16"/>
  <c r="Z434" i="16"/>
  <c r="Z433" i="16"/>
  <c r="Z431" i="16"/>
  <c r="Z430" i="16"/>
  <c r="Z429" i="16"/>
  <c r="Z428" i="16"/>
  <c r="Z426" i="16"/>
  <c r="Z425" i="16"/>
  <c r="Z424" i="16"/>
  <c r="Z422" i="16"/>
  <c r="Z420" i="16"/>
  <c r="Z419" i="16"/>
  <c r="Z418" i="16"/>
  <c r="Z416" i="16"/>
  <c r="Z415" i="16"/>
  <c r="Z414" i="16"/>
  <c r="Z413" i="16"/>
  <c r="Z412" i="16"/>
  <c r="Z411" i="16"/>
  <c r="Z410" i="16"/>
  <c r="Z409" i="16"/>
  <c r="Z407" i="16"/>
  <c r="Z406" i="16"/>
  <c r="Z405" i="16"/>
  <c r="Z404" i="16"/>
  <c r="Z403" i="16"/>
  <c r="Z402" i="16"/>
  <c r="Z401" i="16"/>
  <c r="Z399" i="16"/>
  <c r="Z398" i="16"/>
  <c r="Z396" i="16"/>
  <c r="Z395" i="16"/>
  <c r="Z394" i="16"/>
  <c r="Z392" i="16"/>
  <c r="Z391" i="16"/>
  <c r="Z390" i="16"/>
  <c r="Z389" i="16"/>
  <c r="Z387" i="16"/>
  <c r="Z386" i="16"/>
  <c r="Z384" i="16"/>
  <c r="Z383" i="16"/>
  <c r="Z382" i="16"/>
  <c r="Z381" i="16"/>
  <c r="Z380" i="16"/>
  <c r="Z379" i="16"/>
  <c r="Z378" i="16"/>
  <c r="Z376" i="16"/>
  <c r="Z374" i="16"/>
  <c r="Z361" i="16"/>
  <c r="Z360" i="16"/>
  <c r="Z358" i="16"/>
  <c r="Z357" i="16"/>
  <c r="Z356" i="16"/>
  <c r="Z355" i="16"/>
  <c r="Z353" i="16"/>
  <c r="Z352" i="16"/>
  <c r="Z351" i="16"/>
  <c r="Z350" i="16"/>
  <c r="Z349" i="16"/>
  <c r="Z347" i="16"/>
  <c r="Z346" i="16"/>
  <c r="Z344" i="16"/>
  <c r="Z343" i="16"/>
  <c r="Z342" i="16"/>
  <c r="Z341" i="16"/>
  <c r="Z340" i="16"/>
  <c r="Z339" i="16"/>
  <c r="Z338" i="16"/>
  <c r="Z337" i="16"/>
  <c r="Z332" i="16"/>
  <c r="Z331" i="16"/>
  <c r="Z330" i="16"/>
  <c r="Z329" i="16"/>
  <c r="Z328" i="16"/>
  <c r="Z327" i="16"/>
  <c r="Z323" i="16"/>
  <c r="Z320" i="16"/>
  <c r="Z319" i="16"/>
  <c r="Z255" i="16"/>
  <c r="Z254" i="16"/>
  <c r="Z253" i="16"/>
  <c r="Z252" i="16"/>
  <c r="Z251" i="16"/>
  <c r="Z250" i="16"/>
  <c r="Z248" i="16"/>
  <c r="Z247" i="16"/>
  <c r="Z246" i="16"/>
  <c r="Z245" i="16"/>
  <c r="Z242" i="16"/>
  <c r="Z241" i="16"/>
  <c r="Z240" i="16"/>
  <c r="Z239" i="16"/>
  <c r="Z238" i="16"/>
  <c r="Z237" i="16"/>
  <c r="Z236" i="16"/>
  <c r="Z235" i="16"/>
  <c r="Z233" i="16"/>
  <c r="Z232" i="16"/>
  <c r="Z231" i="16"/>
  <c r="Z228" i="16"/>
  <c r="Z227" i="16"/>
  <c r="Z226" i="16"/>
  <c r="Z225" i="16"/>
  <c r="Z224" i="16"/>
  <c r="Z221" i="16"/>
  <c r="Z220" i="16"/>
  <c r="Z219" i="16"/>
  <c r="Z215" i="16"/>
  <c r="Z214" i="16"/>
  <c r="Z213" i="16"/>
  <c r="Z212" i="16"/>
  <c r="Z211" i="16"/>
  <c r="Z210" i="16"/>
  <c r="Z209" i="16"/>
  <c r="Z208" i="16"/>
  <c r="Z206" i="16"/>
  <c r="Z205" i="16"/>
  <c r="Z202" i="16"/>
  <c r="Z200" i="16"/>
  <c r="Z199" i="16"/>
  <c r="Z198" i="16"/>
  <c r="Z197" i="16"/>
  <c r="Z196" i="16"/>
  <c r="Z195" i="16"/>
  <c r="Z193" i="16"/>
  <c r="Z191" i="16"/>
  <c r="Z185" i="16"/>
  <c r="Z184" i="16"/>
  <c r="Z182" i="16"/>
  <c r="Z180" i="16"/>
  <c r="Z179" i="16"/>
  <c r="Z175" i="16"/>
  <c r="Z174" i="16"/>
  <c r="Z172" i="16"/>
  <c r="Z171" i="16"/>
  <c r="Z168" i="16"/>
  <c r="Z167" i="16"/>
  <c r="Z166" i="16"/>
  <c r="Z165" i="16"/>
  <c r="Z161" i="16"/>
  <c r="Z160" i="16"/>
  <c r="Z159" i="16"/>
  <c r="Z157" i="16"/>
  <c r="Z156" i="16"/>
  <c r="Z155" i="16"/>
  <c r="Z153" i="16"/>
  <c r="Z152" i="16"/>
  <c r="Z151" i="16"/>
  <c r="Z150" i="16"/>
  <c r="Z149" i="16"/>
  <c r="Z109" i="16"/>
  <c r="Z108" i="16"/>
  <c r="Z107" i="16"/>
  <c r="Z106" i="16"/>
  <c r="Z105" i="16"/>
  <c r="Z104" i="16"/>
  <c r="Z103" i="16"/>
  <c r="Z102" i="16"/>
  <c r="Z101" i="16"/>
  <c r="Z99" i="16"/>
  <c r="Z98" i="16"/>
  <c r="Z97" i="16"/>
  <c r="Z96" i="16"/>
  <c r="Z95" i="16"/>
  <c r="Z92" i="16"/>
  <c r="Z91" i="16"/>
  <c r="Z90" i="16"/>
  <c r="Z89" i="16"/>
  <c r="Z88" i="16"/>
  <c r="BT387" i="2"/>
  <c r="BV387" i="2" s="1"/>
  <c r="AE289" i="15"/>
  <c r="BC396" i="17"/>
  <c r="BE396" i="17" s="1"/>
  <c r="AY374" i="17"/>
  <c r="BC374" i="17" s="1"/>
  <c r="BE374" i="17" s="1"/>
  <c r="BC388" i="17"/>
  <c r="BE388" i="17" s="1"/>
  <c r="AY382" i="17"/>
  <c r="BC382" i="17" s="1"/>
  <c r="BE382" i="17" s="1"/>
  <c r="AE478" i="15"/>
  <c r="AB525" i="16"/>
  <c r="AZ536" i="25"/>
  <c r="BJ536" i="25" s="1"/>
  <c r="W500" i="22"/>
  <c r="W536" i="22"/>
  <c r="I526" i="26"/>
  <c r="BC394" i="17"/>
  <c r="BE394" i="17" s="1"/>
  <c r="E293" i="16"/>
  <c r="Z293" i="16"/>
  <c r="AB429" i="16"/>
  <c r="AB508" i="16"/>
  <c r="AO582" i="22" l="1"/>
  <c r="AE167" i="26"/>
  <c r="AK477" i="1"/>
  <c r="AO438" i="22"/>
  <c r="BL438" i="25" s="1"/>
  <c r="BT438" i="25" s="1"/>
  <c r="BV438" i="25" s="1"/>
  <c r="AO442" i="22"/>
  <c r="AO171" i="22"/>
  <c r="AO181" i="22"/>
  <c r="BL181" i="25" s="1"/>
  <c r="BT181" i="25" s="1"/>
  <c r="BV181" i="25" s="1"/>
  <c r="AO443" i="22"/>
  <c r="AO594" i="22"/>
  <c r="BL594" i="25" s="1"/>
  <c r="BT594" i="25" s="1"/>
  <c r="BV594" i="25" s="1"/>
  <c r="AE86" i="26"/>
  <c r="AK570" i="1"/>
  <c r="AG279" i="15"/>
  <c r="AY279" i="17" s="1"/>
  <c r="BC279" i="17" s="1"/>
  <c r="BE279" i="17" s="1"/>
  <c r="AO446" i="22"/>
  <c r="BL446" i="25" s="1"/>
  <c r="BT446" i="25" s="1"/>
  <c r="BV446" i="25" s="1"/>
  <c r="AG499" i="15"/>
  <c r="AY499" i="17" s="1"/>
  <c r="BC499" i="17" s="1"/>
  <c r="BE499" i="17" s="1"/>
  <c r="AK556" i="1"/>
  <c r="AO242" i="22"/>
  <c r="BL242" i="25" s="1"/>
  <c r="BT242" i="25" s="1"/>
  <c r="BV242" i="25" s="1"/>
  <c r="AO584" i="22"/>
  <c r="BL584" i="25" s="1"/>
  <c r="BT584" i="25" s="1"/>
  <c r="BV584" i="25" s="1"/>
  <c r="AO592" i="22"/>
  <c r="BL592" i="25" s="1"/>
  <c r="BT592" i="25" s="1"/>
  <c r="BV592" i="25" s="1"/>
  <c r="AO462" i="22"/>
  <c r="BL462" i="25" s="1"/>
  <c r="BT462" i="25" s="1"/>
  <c r="BV462" i="25" s="1"/>
  <c r="AO558" i="22"/>
  <c r="BL558" i="25" s="1"/>
  <c r="BT558" i="25" s="1"/>
  <c r="BV558" i="25" s="1"/>
  <c r="AO562" i="22"/>
  <c r="BL562" i="25" s="1"/>
  <c r="BT562" i="25" s="1"/>
  <c r="BV562" i="25" s="1"/>
  <c r="AO617" i="22"/>
  <c r="BL617" i="25" s="1"/>
  <c r="BT617" i="25" s="1"/>
  <c r="BV617" i="25" s="1"/>
  <c r="AO184" i="22"/>
  <c r="BL184" i="25" s="1"/>
  <c r="BT184" i="25" s="1"/>
  <c r="BV184" i="25" s="1"/>
  <c r="AO222" i="22"/>
  <c r="BL222" i="25" s="1"/>
  <c r="BT222" i="25" s="1"/>
  <c r="BV222" i="25" s="1"/>
  <c r="AO347" i="22"/>
  <c r="AO436" i="22"/>
  <c r="BL436" i="25" s="1"/>
  <c r="BT436" i="25" s="1"/>
  <c r="BV436" i="25" s="1"/>
  <c r="AE235" i="26"/>
  <c r="AE239" i="26"/>
  <c r="AE243" i="26"/>
  <c r="AK589" i="1"/>
  <c r="BL589" i="2" s="1"/>
  <c r="BT589" i="2" s="1"/>
  <c r="BV589" i="2" s="1"/>
  <c r="AK188" i="1"/>
  <c r="BL188" i="2" s="1"/>
  <c r="AK183" i="1"/>
  <c r="AK251" i="1"/>
  <c r="AK505" i="1"/>
  <c r="BL505" i="2" s="1"/>
  <c r="AG474" i="15"/>
  <c r="AY474" i="17" s="1"/>
  <c r="BC474" i="17" s="1"/>
  <c r="BE474" i="17" s="1"/>
  <c r="AG201" i="15"/>
  <c r="AY201" i="17" s="1"/>
  <c r="BC201" i="17" s="1"/>
  <c r="BE201" i="17" s="1"/>
  <c r="AG595" i="15"/>
  <c r="AY595" i="17" s="1"/>
  <c r="BC595" i="17" s="1"/>
  <c r="BE595" i="17" s="1"/>
  <c r="AK593" i="1"/>
  <c r="BL593" i="2" s="1"/>
  <c r="BT593" i="2" s="1"/>
  <c r="BV593" i="2" s="1"/>
  <c r="AK585" i="1"/>
  <c r="BL585" i="2" s="1"/>
  <c r="BT585" i="2" s="1"/>
  <c r="BV585" i="2" s="1"/>
  <c r="AB362" i="16"/>
  <c r="AB366" i="16"/>
  <c r="AO576" i="22"/>
  <c r="BL576" i="25" s="1"/>
  <c r="BT576" i="25" s="1"/>
  <c r="BV576" i="25" s="1"/>
  <c r="AK255" i="1"/>
  <c r="BL255" i="2" s="1"/>
  <c r="AG251" i="15"/>
  <c r="AY251" i="17" s="1"/>
  <c r="BC251" i="17" s="1"/>
  <c r="BE251" i="17" s="1"/>
  <c r="AO210" i="22"/>
  <c r="AK206" i="1"/>
  <c r="BL206" i="2" s="1"/>
  <c r="BT206" i="2" s="1"/>
  <c r="BV206" i="2" s="1"/>
  <c r="AK200" i="1"/>
  <c r="AO198" i="22"/>
  <c r="AO193" i="22"/>
  <c r="AG191" i="15"/>
  <c r="AY191" i="17" s="1"/>
  <c r="BC191" i="17" s="1"/>
  <c r="BE191" i="17" s="1"/>
  <c r="AO183" i="22"/>
  <c r="BL183" i="25" s="1"/>
  <c r="BT183" i="25" s="1"/>
  <c r="BV183" i="25" s="1"/>
  <c r="AO158" i="22"/>
  <c r="BL158" i="25" s="1"/>
  <c r="BT158" i="25" s="1"/>
  <c r="BV158" i="25" s="1"/>
  <c r="BL151" i="2"/>
  <c r="BT151" i="2" s="1"/>
  <c r="BV151" i="2" s="1"/>
  <c r="AB93" i="16"/>
  <c r="AO152" i="22"/>
  <c r="BL152" i="25" s="1"/>
  <c r="BT152" i="25" s="1"/>
  <c r="BV152" i="25" s="1"/>
  <c r="AE257" i="26"/>
  <c r="AE266" i="26"/>
  <c r="AE164" i="26"/>
  <c r="AE168" i="26"/>
  <c r="AE287" i="26"/>
  <c r="AE291" i="26"/>
  <c r="AE296" i="26"/>
  <c r="AE297" i="26"/>
  <c r="AE305" i="26"/>
  <c r="AE309" i="26"/>
  <c r="AE313" i="26"/>
  <c r="AE317" i="26"/>
  <c r="AE321" i="26"/>
  <c r="AE328" i="26"/>
  <c r="AE332" i="26"/>
  <c r="AE337" i="26"/>
  <c r="AE341" i="26"/>
  <c r="AE345" i="26"/>
  <c r="AE349" i="26"/>
  <c r="AE353" i="26"/>
  <c r="AE362" i="26"/>
  <c r="AE366" i="26"/>
  <c r="AE370" i="26"/>
  <c r="AE441" i="26"/>
  <c r="AE445" i="26"/>
  <c r="AE450" i="26"/>
  <c r="AE454" i="26"/>
  <c r="AE458" i="26"/>
  <c r="AE462" i="26"/>
  <c r="AE467" i="26"/>
  <c r="AE471" i="26"/>
  <c r="AE479" i="26"/>
  <c r="AE483" i="26"/>
  <c r="AE487" i="26"/>
  <c r="AE558" i="26"/>
  <c r="AK594" i="1"/>
  <c r="BL594" i="2" s="1"/>
  <c r="BT594" i="2" s="1"/>
  <c r="BV594" i="2" s="1"/>
  <c r="AK247" i="1"/>
  <c r="BL247" i="2" s="1"/>
  <c r="AK159" i="1"/>
  <c r="BL159" i="2" s="1"/>
  <c r="BT159" i="2" s="1"/>
  <c r="BV159" i="2" s="1"/>
  <c r="AK565" i="1"/>
  <c r="BL565" i="2" s="1"/>
  <c r="AG131" i="15"/>
  <c r="AY131" i="17" s="1"/>
  <c r="BC131" i="17" s="1"/>
  <c r="BE131" i="17" s="1"/>
  <c r="AG590" i="15"/>
  <c r="AY590" i="17" s="1"/>
  <c r="BC590" i="17" s="1"/>
  <c r="BE590" i="17" s="1"/>
  <c r="AG542" i="15"/>
  <c r="AY542" i="17" s="1"/>
  <c r="BC542" i="17" s="1"/>
  <c r="BE542" i="17" s="1"/>
  <c r="AG439" i="15"/>
  <c r="AY439" i="17" s="1"/>
  <c r="BC439" i="17" s="1"/>
  <c r="BE439" i="17" s="1"/>
  <c r="AG339" i="15"/>
  <c r="AY339" i="17" s="1"/>
  <c r="BC339" i="17" s="1"/>
  <c r="BE339" i="17" s="1"/>
  <c r="AG277" i="15"/>
  <c r="AY277" i="17" s="1"/>
  <c r="BC277" i="17" s="1"/>
  <c r="BE277" i="17" s="1"/>
  <c r="AG234" i="15"/>
  <c r="AY234" i="17" s="1"/>
  <c r="BC234" i="17" s="1"/>
  <c r="BE234" i="17" s="1"/>
  <c r="AG222" i="15"/>
  <c r="AY222" i="17" s="1"/>
  <c r="BC222" i="17" s="1"/>
  <c r="BE222" i="17" s="1"/>
  <c r="AG594" i="15"/>
  <c r="AY594" i="17" s="1"/>
  <c r="BC594" i="17" s="1"/>
  <c r="BE594" i="17" s="1"/>
  <c r="AG582" i="15"/>
  <c r="AY582" i="17" s="1"/>
  <c r="BC582" i="17" s="1"/>
  <c r="BE582" i="17" s="1"/>
  <c r="AG190" i="15"/>
  <c r="AY190" i="17" s="1"/>
  <c r="BC190" i="17" s="1"/>
  <c r="BE190" i="17" s="1"/>
  <c r="AG459" i="15"/>
  <c r="AY459" i="17" s="1"/>
  <c r="BC459" i="17" s="1"/>
  <c r="BE459" i="17" s="1"/>
  <c r="AO613" i="22"/>
  <c r="BL613" i="25" s="1"/>
  <c r="BT613" i="25" s="1"/>
  <c r="BV613" i="25" s="1"/>
  <c r="AO239" i="22"/>
  <c r="BL239" i="25" s="1"/>
  <c r="BT239" i="25" s="1"/>
  <c r="BV239" i="25" s="1"/>
  <c r="BL570" i="2"/>
  <c r="BL145" i="2"/>
  <c r="BL153" i="2"/>
  <c r="BT153" i="2" s="1"/>
  <c r="BV153" i="2" s="1"/>
  <c r="AK465" i="1"/>
  <c r="BL465" i="2" s="1"/>
  <c r="BT465" i="2" s="1"/>
  <c r="BV465" i="2" s="1"/>
  <c r="AK205" i="1"/>
  <c r="BL205" i="2" s="1"/>
  <c r="BT205" i="2" s="1"/>
  <c r="BV205" i="2" s="1"/>
  <c r="AK425" i="1"/>
  <c r="BL425" i="2" s="1"/>
  <c r="BT425" i="2" s="1"/>
  <c r="BV425" i="2" s="1"/>
  <c r="AK358" i="1"/>
  <c r="BL358" i="2" s="1"/>
  <c r="AK250" i="1"/>
  <c r="BL250" i="2" s="1"/>
  <c r="AK457" i="1"/>
  <c r="BL457" i="2" s="1"/>
  <c r="AK527" i="1"/>
  <c r="BL527" i="2" s="1"/>
  <c r="AK620" i="1"/>
  <c r="BL620" i="2" s="1"/>
  <c r="AK209" i="1"/>
  <c r="BL209" i="2" s="1"/>
  <c r="BT209" i="2" s="1"/>
  <c r="BV209" i="2" s="1"/>
  <c r="AK591" i="1"/>
  <c r="BL591" i="2" s="1"/>
  <c r="BT591" i="2" s="1"/>
  <c r="BV591" i="2" s="1"/>
  <c r="AE286" i="26"/>
  <c r="AE300" i="26"/>
  <c r="AE304" i="26"/>
  <c r="AE308" i="26"/>
  <c r="AE312" i="26"/>
  <c r="AE316" i="26"/>
  <c r="AE320" i="26"/>
  <c r="AE327" i="26"/>
  <c r="AE331" i="26"/>
  <c r="AE336" i="26"/>
  <c r="AE340" i="26"/>
  <c r="AE344" i="26"/>
  <c r="AE348" i="26"/>
  <c r="AE352" i="26"/>
  <c r="AE357" i="26"/>
  <c r="AE361" i="26"/>
  <c r="AE365" i="26"/>
  <c r="AE373" i="26"/>
  <c r="AE422" i="26"/>
  <c r="AE444" i="26"/>
  <c r="AE449" i="26"/>
  <c r="AE453" i="26"/>
  <c r="AE461" i="26"/>
  <c r="AE466" i="26"/>
  <c r="AE470" i="26"/>
  <c r="AE474" i="26"/>
  <c r="AE478" i="26"/>
  <c r="AE482" i="26"/>
  <c r="AE486" i="26"/>
  <c r="AE575" i="26"/>
  <c r="AE601" i="26"/>
  <c r="AE605" i="26"/>
  <c r="AE609" i="26"/>
  <c r="AE613" i="26"/>
  <c r="AE617" i="26"/>
  <c r="AE621" i="26"/>
  <c r="AE625" i="26"/>
  <c r="AE630" i="26"/>
  <c r="AE212" i="26"/>
  <c r="AE238" i="26"/>
  <c r="AE246" i="26"/>
  <c r="AE251" i="26"/>
  <c r="AE255" i="26"/>
  <c r="AE279" i="26"/>
  <c r="AE570" i="26"/>
  <c r="AE598" i="26"/>
  <c r="AE602" i="26"/>
  <c r="AE606" i="26"/>
  <c r="AE610" i="26"/>
  <c r="AE614" i="26"/>
  <c r="AE618" i="26"/>
  <c r="AE622" i="26"/>
  <c r="AE627" i="26"/>
  <c r="AE534" i="26"/>
  <c r="AO200" i="22"/>
  <c r="BL200" i="25" s="1"/>
  <c r="BT200" i="25" s="1"/>
  <c r="BV200" i="25" s="1"/>
  <c r="AO196" i="22"/>
  <c r="BL196" i="25" s="1"/>
  <c r="BT196" i="25" s="1"/>
  <c r="BV196" i="25" s="1"/>
  <c r="AO206" i="22"/>
  <c r="BL206" i="25" s="1"/>
  <c r="BT206" i="25" s="1"/>
  <c r="BV206" i="25" s="1"/>
  <c r="AG497" i="15"/>
  <c r="AY497" i="17" s="1"/>
  <c r="BC497" i="17" s="1"/>
  <c r="BE497" i="17" s="1"/>
  <c r="AG521" i="15"/>
  <c r="AY521" i="17" s="1"/>
  <c r="BC521" i="17" s="1"/>
  <c r="BE521" i="17" s="1"/>
  <c r="AB223" i="16"/>
  <c r="AO455" i="22"/>
  <c r="BL455" i="25" s="1"/>
  <c r="BT455" i="25" s="1"/>
  <c r="BV455" i="25" s="1"/>
  <c r="AO424" i="22"/>
  <c r="BL424" i="25" s="1"/>
  <c r="BT424" i="25" s="1"/>
  <c r="BV424" i="25" s="1"/>
  <c r="AO433" i="22"/>
  <c r="BL433" i="25" s="1"/>
  <c r="BT433" i="25" s="1"/>
  <c r="BV433" i="25" s="1"/>
  <c r="AO425" i="22"/>
  <c r="BL425" i="25" s="1"/>
  <c r="BT425" i="25" s="1"/>
  <c r="BV425" i="25" s="1"/>
  <c r="AO567" i="22"/>
  <c r="BL567" i="25" s="1"/>
  <c r="BT567" i="25" s="1"/>
  <c r="BV567" i="25" s="1"/>
  <c r="AE565" i="26"/>
  <c r="AE553" i="26"/>
  <c r="AE528" i="26"/>
  <c r="AE475" i="26"/>
  <c r="AE440" i="26"/>
  <c r="AE437" i="26"/>
  <c r="AE407" i="26"/>
  <c r="AE369" i="26"/>
  <c r="AE358" i="26"/>
  <c r="AE295" i="26"/>
  <c r="AE290" i="26"/>
  <c r="AE242" i="26"/>
  <c r="AE213" i="26"/>
  <c r="AK476" i="1"/>
  <c r="BL476" i="2" s="1"/>
  <c r="AK442" i="1"/>
  <c r="BL442" i="2" s="1"/>
  <c r="AK468" i="1"/>
  <c r="BL468" i="2" s="1"/>
  <c r="AK463" i="1"/>
  <c r="BL463" i="2" s="1"/>
  <c r="AK424" i="1"/>
  <c r="BL424" i="2" s="1"/>
  <c r="BT424" i="2" s="1"/>
  <c r="BV424" i="2" s="1"/>
  <c r="AK534" i="1"/>
  <c r="BL534" i="2" s="1"/>
  <c r="AK458" i="1"/>
  <c r="BL458" i="2" s="1"/>
  <c r="BT458" i="2" s="1"/>
  <c r="BV458" i="2" s="1"/>
  <c r="AK207" i="1"/>
  <c r="BL207" i="2" s="1"/>
  <c r="BT207" i="2" s="1"/>
  <c r="BV207" i="2" s="1"/>
  <c r="AK201" i="1"/>
  <c r="BL201" i="2" s="1"/>
  <c r="BT201" i="2" s="1"/>
  <c r="BV201" i="2" s="1"/>
  <c r="AG158" i="15"/>
  <c r="AY158" i="17" s="1"/>
  <c r="BC158" i="17" s="1"/>
  <c r="BE158" i="17" s="1"/>
  <c r="AG134" i="15"/>
  <c r="AY134" i="17" s="1"/>
  <c r="BC134" i="17" s="1"/>
  <c r="BE134" i="17" s="1"/>
  <c r="AG112" i="15"/>
  <c r="AY112" i="17" s="1"/>
  <c r="BC112" i="17" s="1"/>
  <c r="BE112" i="17" s="1"/>
  <c r="AG199" i="15"/>
  <c r="AY199" i="17" s="1"/>
  <c r="BC199" i="17" s="1"/>
  <c r="BE199" i="17" s="1"/>
  <c r="AG183" i="15"/>
  <c r="AY183" i="17" s="1"/>
  <c r="BC183" i="17" s="1"/>
  <c r="BE183" i="17" s="1"/>
  <c r="AG503" i="15"/>
  <c r="AY503" i="17" s="1"/>
  <c r="BC503" i="17" s="1"/>
  <c r="BE503" i="17" s="1"/>
  <c r="AG475" i="15"/>
  <c r="AY475" i="17" s="1"/>
  <c r="BC475" i="17" s="1"/>
  <c r="BE475" i="17" s="1"/>
  <c r="AO612" i="22"/>
  <c r="BL612" i="25" s="1"/>
  <c r="BT612" i="25" s="1"/>
  <c r="BV612" i="25" s="1"/>
  <c r="AO616" i="22"/>
  <c r="BL616" i="25" s="1"/>
  <c r="BT616" i="25" s="1"/>
  <c r="BV616" i="25" s="1"/>
  <c r="AO620" i="22"/>
  <c r="BL620" i="25" s="1"/>
  <c r="BT620" i="25" s="1"/>
  <c r="BV620" i="25" s="1"/>
  <c r="AO580" i="22"/>
  <c r="BL580" i="25" s="1"/>
  <c r="BT580" i="25" s="1"/>
  <c r="BV580" i="25" s="1"/>
  <c r="AO585" i="22"/>
  <c r="BL585" i="25" s="1"/>
  <c r="BT585" i="25" s="1"/>
  <c r="BV585" i="25" s="1"/>
  <c r="AO593" i="22"/>
  <c r="BL593" i="25" s="1"/>
  <c r="BT593" i="25" s="1"/>
  <c r="BV593" i="25" s="1"/>
  <c r="AK590" i="1"/>
  <c r="BL590" i="2" s="1"/>
  <c r="BT590" i="2" s="1"/>
  <c r="BV590" i="2" s="1"/>
  <c r="AK607" i="1"/>
  <c r="BL607" i="2" s="1"/>
  <c r="AK586" i="1"/>
  <c r="BL586" i="2" s="1"/>
  <c r="BT586" i="2" s="1"/>
  <c r="BV586" i="2" s="1"/>
  <c r="AG596" i="15"/>
  <c r="AY596" i="17" s="1"/>
  <c r="BC596" i="17" s="1"/>
  <c r="BE596" i="17" s="1"/>
  <c r="AG580" i="15"/>
  <c r="AY580" i="17" s="1"/>
  <c r="BC580" i="17" s="1"/>
  <c r="BE580" i="17" s="1"/>
  <c r="AK575" i="1"/>
  <c r="BL575" i="2" s="1"/>
  <c r="BT575" i="2" s="1"/>
  <c r="BV575" i="2" s="1"/>
  <c r="AK573" i="1"/>
  <c r="BL573" i="2" s="1"/>
  <c r="AK568" i="1"/>
  <c r="BL568" i="2" s="1"/>
  <c r="AG568" i="15"/>
  <c r="AY568" i="17" s="1"/>
  <c r="BC568" i="17" s="1"/>
  <c r="BE568" i="17" s="1"/>
  <c r="AE566" i="26"/>
  <c r="AE562" i="26"/>
  <c r="AE561" i="26"/>
  <c r="AK559" i="1"/>
  <c r="BL559" i="2" s="1"/>
  <c r="AG559" i="15"/>
  <c r="AY559" i="17" s="1"/>
  <c r="BC559" i="17" s="1"/>
  <c r="BE559" i="17" s="1"/>
  <c r="AE557" i="26"/>
  <c r="BL556" i="2"/>
  <c r="AE554" i="26"/>
  <c r="AK551" i="1"/>
  <c r="BL551" i="2" s="1"/>
  <c r="BT551" i="2" s="1"/>
  <c r="BV551" i="2" s="1"/>
  <c r="AE550" i="26"/>
  <c r="AE549" i="26"/>
  <c r="AG126" i="15"/>
  <c r="AY126" i="17" s="1"/>
  <c r="BC126" i="17" s="1"/>
  <c r="BE126" i="17" s="1"/>
  <c r="AE545" i="26"/>
  <c r="AK544" i="1"/>
  <c r="BL544" i="2" s="1"/>
  <c r="AE544" i="26"/>
  <c r="AG544" i="15"/>
  <c r="AY544" i="17" s="1"/>
  <c r="BC544" i="17" s="1"/>
  <c r="BE544" i="17" s="1"/>
  <c r="AK542" i="1"/>
  <c r="BL542" i="2" s="1"/>
  <c r="AE541" i="26"/>
  <c r="AG541" i="15"/>
  <c r="AY541" i="17" s="1"/>
  <c r="BC541" i="17" s="1"/>
  <c r="BE541" i="17" s="1"/>
  <c r="AK536" i="1"/>
  <c r="BL536" i="2" s="1"/>
  <c r="AE536" i="26"/>
  <c r="AK532" i="1"/>
  <c r="BL532" i="2" s="1"/>
  <c r="AE532" i="26"/>
  <c r="AE530" i="26"/>
  <c r="AG529" i="15"/>
  <c r="AY529" i="17" s="1"/>
  <c r="BC529" i="17" s="1"/>
  <c r="BE529" i="17" s="1"/>
  <c r="AE526" i="26"/>
  <c r="AK515" i="1"/>
  <c r="BL515" i="2" s="1"/>
  <c r="AK508" i="1"/>
  <c r="BL508" i="2" s="1"/>
  <c r="AK506" i="1"/>
  <c r="BL506" i="2" s="1"/>
  <c r="BT506" i="2" s="1"/>
  <c r="BV506" i="2" s="1"/>
  <c r="AG501" i="15"/>
  <c r="AY501" i="17" s="1"/>
  <c r="BC501" i="17" s="1"/>
  <c r="BE501" i="17" s="1"/>
  <c r="AK494" i="1"/>
  <c r="BL494" i="2" s="1"/>
  <c r="BT494" i="2" s="1"/>
  <c r="BV494" i="2" s="1"/>
  <c r="AK493" i="1"/>
  <c r="BL493" i="2" s="1"/>
  <c r="AE540" i="26"/>
  <c r="AO581" i="22"/>
  <c r="BL581" i="25" s="1"/>
  <c r="BT581" i="25" s="1"/>
  <c r="BV581" i="25" s="1"/>
  <c r="AK521" i="1"/>
  <c r="BL521" i="2" s="1"/>
  <c r="AK426" i="1"/>
  <c r="BL426" i="2" s="1"/>
  <c r="BT426" i="2" s="1"/>
  <c r="BV426" i="2" s="1"/>
  <c r="AK595" i="1"/>
  <c r="BL595" i="2" s="1"/>
  <c r="BT595" i="2" s="1"/>
  <c r="BV595" i="2" s="1"/>
  <c r="AB373" i="16"/>
  <c r="AK550" i="1"/>
  <c r="BL550" i="2" s="1"/>
  <c r="AG254" i="15"/>
  <c r="AY254" i="17" s="1"/>
  <c r="BC254" i="17" s="1"/>
  <c r="BE254" i="17" s="1"/>
  <c r="AK161" i="1"/>
  <c r="BL161" i="2" s="1"/>
  <c r="AK587" i="1"/>
  <c r="BL587" i="2" s="1"/>
  <c r="BT587" i="2" s="1"/>
  <c r="BV587" i="2" s="1"/>
  <c r="AK208" i="1"/>
  <c r="BL208" i="2" s="1"/>
  <c r="BT208" i="2" s="1"/>
  <c r="BV208" i="2" s="1"/>
  <c r="AG513" i="15"/>
  <c r="AY513" i="17" s="1"/>
  <c r="BC513" i="17" s="1"/>
  <c r="BE513" i="17" s="1"/>
  <c r="AK495" i="1"/>
  <c r="BL495" i="2" s="1"/>
  <c r="BT495" i="2" s="1"/>
  <c r="BV495" i="2" s="1"/>
  <c r="AK537" i="1"/>
  <c r="BL537" i="2" s="1"/>
  <c r="BT537" i="2" s="1"/>
  <c r="BV537" i="2" s="1"/>
  <c r="AK190" i="1"/>
  <c r="BL190" i="2" s="1"/>
  <c r="AK439" i="1"/>
  <c r="BL439" i="2" s="1"/>
  <c r="AK450" i="1"/>
  <c r="BL450" i="2" s="1"/>
  <c r="AK479" i="1"/>
  <c r="BL479" i="2" s="1"/>
  <c r="AG548" i="15"/>
  <c r="AY548" i="17" s="1"/>
  <c r="BC548" i="17" s="1"/>
  <c r="BE548" i="17" s="1"/>
  <c r="AG454" i="15"/>
  <c r="AY454" i="17" s="1"/>
  <c r="BC454" i="17" s="1"/>
  <c r="BE454" i="17" s="1"/>
  <c r="AG407" i="15"/>
  <c r="AY407" i="17" s="1"/>
  <c r="BC407" i="17" s="1"/>
  <c r="BE407" i="17" s="1"/>
  <c r="AG94" i="15"/>
  <c r="AY94" i="17" s="1"/>
  <c r="BC94" i="17" s="1"/>
  <c r="BE94" i="17" s="1"/>
  <c r="AO614" i="22"/>
  <c r="BL614" i="25" s="1"/>
  <c r="BT614" i="25" s="1"/>
  <c r="BV614" i="25" s="1"/>
  <c r="AO618" i="22"/>
  <c r="BL618" i="25" s="1"/>
  <c r="BT618" i="25" s="1"/>
  <c r="BV618" i="25" s="1"/>
  <c r="AO159" i="22"/>
  <c r="BL159" i="25" s="1"/>
  <c r="BT159" i="25" s="1"/>
  <c r="BV159" i="25" s="1"/>
  <c r="AO586" i="22"/>
  <c r="BL586" i="25" s="1"/>
  <c r="BT586" i="25" s="1"/>
  <c r="BV586" i="25" s="1"/>
  <c r="AE165" i="26"/>
  <c r="AE288" i="26"/>
  <c r="AE292" i="26"/>
  <c r="AE298" i="26"/>
  <c r="AE301" i="26"/>
  <c r="AE306" i="26"/>
  <c r="AE310" i="26"/>
  <c r="AE314" i="26"/>
  <c r="AE318" i="26"/>
  <c r="AE329" i="26"/>
  <c r="AE338" i="26"/>
  <c r="AE346" i="26"/>
  <c r="AE355" i="26"/>
  <c r="AE363" i="26"/>
  <c r="AE371" i="26"/>
  <c r="AE438" i="26"/>
  <c r="AE451" i="26"/>
  <c r="AE459" i="26"/>
  <c r="AE468" i="26"/>
  <c r="AE476" i="26"/>
  <c r="AE484" i="26"/>
  <c r="AE542" i="26"/>
  <c r="AE551" i="26"/>
  <c r="AE559" i="26"/>
  <c r="AE567" i="26"/>
  <c r="AE603" i="26"/>
  <c r="AE611" i="26"/>
  <c r="AE615" i="26"/>
  <c r="AE623" i="26"/>
  <c r="AK149" i="1"/>
  <c r="BL149" i="2" s="1"/>
  <c r="BT149" i="2" s="1"/>
  <c r="BV149" i="2" s="1"/>
  <c r="AK158" i="1"/>
  <c r="BL158" i="2" s="1"/>
  <c r="AK580" i="1"/>
  <c r="BL580" i="2" s="1"/>
  <c r="BT580" i="2" s="1"/>
  <c r="BV580" i="2" s="1"/>
  <c r="AK584" i="1"/>
  <c r="BL584" i="2" s="1"/>
  <c r="AK588" i="1"/>
  <c r="BL588" i="2" s="1"/>
  <c r="BT588" i="2" s="1"/>
  <c r="BV588" i="2" s="1"/>
  <c r="AK592" i="1"/>
  <c r="BL592" i="2" s="1"/>
  <c r="BT592" i="2" s="1"/>
  <c r="BV592" i="2" s="1"/>
  <c r="AK202" i="1"/>
  <c r="BL202" i="2" s="1"/>
  <c r="BT202" i="2" s="1"/>
  <c r="BV202" i="2" s="1"/>
  <c r="AG569" i="15"/>
  <c r="AY569" i="17" s="1"/>
  <c r="BC569" i="17" s="1"/>
  <c r="BE569" i="17" s="1"/>
  <c r="AO358" i="22"/>
  <c r="BL358" i="25" s="1"/>
  <c r="BT358" i="25" s="1"/>
  <c r="BV358" i="25" s="1"/>
  <c r="AO366" i="22"/>
  <c r="BL366" i="25" s="1"/>
  <c r="BT366" i="25" s="1"/>
  <c r="BV366" i="25" s="1"/>
  <c r="AO407" i="22"/>
  <c r="BL407" i="25" s="1"/>
  <c r="BT407" i="25" s="1"/>
  <c r="BV407" i="25" s="1"/>
  <c r="AO440" i="22"/>
  <c r="BL440" i="25" s="1"/>
  <c r="BT440" i="25" s="1"/>
  <c r="BV440" i="25" s="1"/>
  <c r="AO457" i="22"/>
  <c r="BL457" i="25" s="1"/>
  <c r="BT457" i="25" s="1"/>
  <c r="BV457" i="25" s="1"/>
  <c r="AO561" i="22"/>
  <c r="BL561" i="25" s="1"/>
  <c r="BT561" i="25" s="1"/>
  <c r="BV561" i="25" s="1"/>
  <c r="AO565" i="22"/>
  <c r="BL565" i="25" s="1"/>
  <c r="BT565" i="25" s="1"/>
  <c r="BV565" i="25" s="1"/>
  <c r="AO182" i="22"/>
  <c r="BL182" i="25" s="1"/>
  <c r="BT182" i="25" s="1"/>
  <c r="BV182" i="25" s="1"/>
  <c r="AO197" i="22"/>
  <c r="BL197" i="25" s="1"/>
  <c r="BT197" i="25" s="1"/>
  <c r="BV197" i="25" s="1"/>
  <c r="AO202" i="22"/>
  <c r="BL202" i="25" s="1"/>
  <c r="BT202" i="25" s="1"/>
  <c r="BV202" i="25" s="1"/>
  <c r="AO426" i="22"/>
  <c r="BL426" i="25" s="1"/>
  <c r="BT426" i="25" s="1"/>
  <c r="BV426" i="25" s="1"/>
  <c r="AO435" i="22"/>
  <c r="BL435" i="25" s="1"/>
  <c r="BT435" i="25" s="1"/>
  <c r="BV435" i="25" s="1"/>
  <c r="AO596" i="22"/>
  <c r="BL596" i="25" s="1"/>
  <c r="BT596" i="25" s="1"/>
  <c r="BV596" i="25" s="1"/>
  <c r="AE211" i="26"/>
  <c r="AE237" i="26"/>
  <c r="AE241" i="26"/>
  <c r="AE245" i="26"/>
  <c r="AE250" i="26"/>
  <c r="AE254" i="26"/>
  <c r="AE278" i="26"/>
  <c r="AE527" i="26"/>
  <c r="AE529" i="26"/>
  <c r="AE531" i="26"/>
  <c r="AE533" i="26"/>
  <c r="AE535" i="26"/>
  <c r="AE537" i="26"/>
  <c r="AE84" i="26"/>
  <c r="AE265" i="26"/>
  <c r="AE256" i="26"/>
  <c r="AE267" i="26"/>
  <c r="AE88" i="26"/>
  <c r="AE323" i="26"/>
  <c r="AE333" i="26"/>
  <c r="AE342" i="26"/>
  <c r="AE350" i="26"/>
  <c r="AE359" i="26"/>
  <c r="AE367" i="26"/>
  <c r="AE419" i="26"/>
  <c r="AE442" i="26"/>
  <c r="AE446" i="26"/>
  <c r="AE455" i="26"/>
  <c r="AE463" i="26"/>
  <c r="AE472" i="26"/>
  <c r="AE480" i="26"/>
  <c r="AE538" i="26"/>
  <c r="AE547" i="26"/>
  <c r="AE555" i="26"/>
  <c r="AE563" i="26"/>
  <c r="AE571" i="26"/>
  <c r="AE599" i="26"/>
  <c r="AE607" i="26"/>
  <c r="AE619" i="26"/>
  <c r="AE628" i="26"/>
  <c r="AK427" i="1"/>
  <c r="BL427" i="2" s="1"/>
  <c r="BT427" i="2" s="1"/>
  <c r="BV427" i="2" s="1"/>
  <c r="AK576" i="1"/>
  <c r="BL576" i="2" s="1"/>
  <c r="BT576" i="2" s="1"/>
  <c r="BV576" i="2" s="1"/>
  <c r="AK596" i="1"/>
  <c r="BL596" i="2" s="1"/>
  <c r="BT596" i="2" s="1"/>
  <c r="BV596" i="2" s="1"/>
  <c r="AK199" i="1"/>
  <c r="BL199" i="2" s="1"/>
  <c r="BT199" i="2" s="1"/>
  <c r="BV199" i="2" s="1"/>
  <c r="BL183" i="2"/>
  <c r="AG481" i="15"/>
  <c r="AY481" i="17" s="1"/>
  <c r="BC481" i="17" s="1"/>
  <c r="BE481" i="17" s="1"/>
  <c r="AG450" i="15"/>
  <c r="AY450" i="17" s="1"/>
  <c r="BC450" i="17" s="1"/>
  <c r="BE450" i="17" s="1"/>
  <c r="AO219" i="22"/>
  <c r="BL219" i="25" s="1"/>
  <c r="BT219" i="25" s="1"/>
  <c r="BV219" i="25" s="1"/>
  <c r="AO611" i="22"/>
  <c r="BL611" i="25" s="1"/>
  <c r="BT611" i="25" s="1"/>
  <c r="BV611" i="25" s="1"/>
  <c r="AO615" i="22"/>
  <c r="BL615" i="25" s="1"/>
  <c r="BT615" i="25" s="1"/>
  <c r="BV615" i="25" s="1"/>
  <c r="AO619" i="22"/>
  <c r="BL619" i="25" s="1"/>
  <c r="BT619" i="25" s="1"/>
  <c r="BV619" i="25" s="1"/>
  <c r="AO587" i="22"/>
  <c r="BL587" i="25" s="1"/>
  <c r="BT587" i="25" s="1"/>
  <c r="BV587" i="25" s="1"/>
  <c r="AO595" i="22"/>
  <c r="BL595" i="25" s="1"/>
  <c r="BT595" i="25" s="1"/>
  <c r="BV595" i="25" s="1"/>
  <c r="AE166" i="26"/>
  <c r="AE236" i="26"/>
  <c r="AE240" i="26"/>
  <c r="AE244" i="26"/>
  <c r="AE248" i="26"/>
  <c r="AE253" i="26"/>
  <c r="AE277" i="26"/>
  <c r="AE289" i="26"/>
  <c r="AE293" i="26"/>
  <c r="AE299" i="26"/>
  <c r="AE302" i="26"/>
  <c r="AE307" i="26"/>
  <c r="AE311" i="26"/>
  <c r="AE315" i="26"/>
  <c r="AE319" i="26"/>
  <c r="AE325" i="26"/>
  <c r="AE330" i="26"/>
  <c r="AE334" i="26"/>
  <c r="AE339" i="26"/>
  <c r="AE343" i="26"/>
  <c r="AE347" i="26"/>
  <c r="AE351" i="26"/>
  <c r="AE356" i="26"/>
  <c r="AE360" i="26"/>
  <c r="AE364" i="26"/>
  <c r="AE368" i="26"/>
  <c r="AE372" i="26"/>
  <c r="AE420" i="26"/>
  <c r="AE439" i="26"/>
  <c r="AE443" i="26"/>
  <c r="AE447" i="26"/>
  <c r="AE452" i="26"/>
  <c r="AE456" i="26"/>
  <c r="AE460" i="26"/>
  <c r="AE465" i="26"/>
  <c r="AE469" i="26"/>
  <c r="AE473" i="26"/>
  <c r="AE481" i="26"/>
  <c r="AE539" i="26"/>
  <c r="AE543" i="26"/>
  <c r="AE548" i="26"/>
  <c r="AE552" i="26"/>
  <c r="AE556" i="26"/>
  <c r="AE560" i="26"/>
  <c r="AE564" i="26"/>
  <c r="AE568" i="26"/>
  <c r="AE572" i="26"/>
  <c r="AE600" i="26"/>
  <c r="AE604" i="26"/>
  <c r="AE608" i="26"/>
  <c r="AE612" i="26"/>
  <c r="AE616" i="26"/>
  <c r="AE620" i="26"/>
  <c r="AE624" i="26"/>
  <c r="AE629" i="26"/>
  <c r="AB236" i="16"/>
  <c r="AE485" i="26"/>
  <c r="AE477" i="26"/>
  <c r="AE457" i="26"/>
  <c r="AB278" i="16"/>
  <c r="AB293" i="16"/>
  <c r="AB277" i="16"/>
  <c r="AK312" i="1"/>
  <c r="BL312" i="2" s="1"/>
  <c r="AG452" i="15"/>
  <c r="AY452" i="17" s="1"/>
  <c r="BC452" i="17" s="1"/>
  <c r="BE452" i="17" s="1"/>
  <c r="AG444" i="15"/>
  <c r="AY444" i="17" s="1"/>
  <c r="BC444" i="17" s="1"/>
  <c r="BE444" i="17" s="1"/>
  <c r="AO434" i="22"/>
  <c r="BL434" i="25" s="1"/>
  <c r="BT434" i="25" s="1"/>
  <c r="BV434" i="25" s="1"/>
  <c r="AB370" i="16"/>
  <c r="AB363" i="16"/>
  <c r="AG362" i="15"/>
  <c r="AY362" i="17" s="1"/>
  <c r="BC362" i="17" s="1"/>
  <c r="BE362" i="17" s="1"/>
  <c r="AG355" i="15"/>
  <c r="AY355" i="17" s="1"/>
  <c r="BC355" i="17" s="1"/>
  <c r="BE355" i="17" s="1"/>
  <c r="AB287" i="16"/>
  <c r="AG276" i="15"/>
  <c r="AY276" i="17" s="1"/>
  <c r="BC276" i="17" s="1"/>
  <c r="BE276" i="17" s="1"/>
  <c r="AE281" i="26"/>
  <c r="AG280" i="15"/>
  <c r="AY280" i="17" s="1"/>
  <c r="BC280" i="17" s="1"/>
  <c r="BE280" i="17" s="1"/>
  <c r="AO250" i="22"/>
  <c r="BL250" i="25" s="1"/>
  <c r="BT250" i="25" s="1"/>
  <c r="BV250" i="25" s="1"/>
  <c r="AK245" i="1"/>
  <c r="BL245" i="2" s="1"/>
  <c r="AG243" i="15"/>
  <c r="AY243" i="17" s="1"/>
  <c r="BC243" i="17" s="1"/>
  <c r="BE243" i="17" s="1"/>
  <c r="AE232" i="26"/>
  <c r="AE576" i="26"/>
  <c r="AE580" i="26"/>
  <c r="AE581" i="26"/>
  <c r="AE582" i="26"/>
  <c r="AE583" i="26"/>
  <c r="AE584" i="26"/>
  <c r="AE585" i="26"/>
  <c r="AE586" i="26"/>
  <c r="AE587" i="26"/>
  <c r="AE588" i="26"/>
  <c r="AE201" i="26"/>
  <c r="AE207" i="26"/>
  <c r="AE208" i="26"/>
  <c r="BL284" i="2"/>
  <c r="BT284" i="2" s="1"/>
  <c r="BV284" i="2" s="1"/>
  <c r="BL261" i="2"/>
  <c r="BT261" i="2" s="1"/>
  <c r="BV261" i="2" s="1"/>
  <c r="BL251" i="2"/>
  <c r="BT251" i="2" s="1"/>
  <c r="BV251" i="2" s="1"/>
  <c r="BL477" i="2"/>
  <c r="BT477" i="2" s="1"/>
  <c r="BV477" i="2" s="1"/>
  <c r="BT270" i="2"/>
  <c r="BV270" i="2" s="1"/>
  <c r="BL269" i="2"/>
  <c r="BL217" i="2"/>
  <c r="AK210" i="1"/>
  <c r="BL210" i="2" s="1"/>
  <c r="BT210" i="2" s="1"/>
  <c r="BV210" i="2" s="1"/>
  <c r="AE210" i="26"/>
  <c r="AO209" i="22"/>
  <c r="BL209" i="25" s="1"/>
  <c r="BT209" i="25" s="1"/>
  <c r="BV209" i="25" s="1"/>
  <c r="AE209" i="26"/>
  <c r="AE206" i="26"/>
  <c r="AE202" i="26"/>
  <c r="AE200" i="26"/>
  <c r="BL200" i="2"/>
  <c r="BT200" i="2" s="1"/>
  <c r="BV200" i="2" s="1"/>
  <c r="AO199" i="22"/>
  <c r="BL199" i="25" s="1"/>
  <c r="BT199" i="25" s="1"/>
  <c r="BV199" i="25" s="1"/>
  <c r="AE199" i="26"/>
  <c r="AE198" i="26"/>
  <c r="AK198" i="1"/>
  <c r="BL198" i="2" s="1"/>
  <c r="AE197" i="26"/>
  <c r="AE196" i="26"/>
  <c r="BL196" i="2"/>
  <c r="BT196" i="2" s="1"/>
  <c r="BV196" i="2" s="1"/>
  <c r="AO195" i="22"/>
  <c r="BL193" i="2"/>
  <c r="BT193" i="2" s="1"/>
  <c r="BV193" i="2" s="1"/>
  <c r="AO191" i="22"/>
  <c r="BL191" i="25" s="1"/>
  <c r="BT191" i="25" s="1"/>
  <c r="BV191" i="25" s="1"/>
  <c r="AO189" i="22"/>
  <c r="BL189" i="25" s="1"/>
  <c r="BT189" i="25" s="1"/>
  <c r="BV189" i="25" s="1"/>
  <c r="AO187" i="22"/>
  <c r="BL187" i="25" s="1"/>
  <c r="BT187" i="25" s="1"/>
  <c r="BV187" i="25" s="1"/>
  <c r="AO186" i="22"/>
  <c r="BL186" i="25" s="1"/>
  <c r="BT186" i="25" s="1"/>
  <c r="BV186" i="25" s="1"/>
  <c r="AE184" i="26"/>
  <c r="AE183" i="26"/>
  <c r="AE182" i="26"/>
  <c r="BL180" i="2"/>
  <c r="BT180" i="2" s="1"/>
  <c r="BV180" i="2" s="1"/>
  <c r="BL170" i="2"/>
  <c r="BT170" i="2" s="1"/>
  <c r="BV170" i="2" s="1"/>
  <c r="BL164" i="2"/>
  <c r="BT164" i="2" s="1"/>
  <c r="BV164" i="2" s="1"/>
  <c r="BT194" i="2"/>
  <c r="BV194" i="2" s="1"/>
  <c r="BT574" i="2"/>
  <c r="BV574" i="2" s="1"/>
  <c r="BT597" i="2"/>
  <c r="BV597" i="2" s="1"/>
  <c r="BL155" i="2"/>
  <c r="BT155" i="2" s="1"/>
  <c r="BV155" i="2" s="1"/>
  <c r="BT162" i="2"/>
  <c r="BV162" i="2" s="1"/>
  <c r="BL148" i="2"/>
  <c r="BT148" i="2" s="1"/>
  <c r="BV148" i="2" s="1"/>
  <c r="BT496" i="2"/>
  <c r="BV496" i="2" s="1"/>
  <c r="AE159" i="26"/>
  <c r="AE424" i="26"/>
  <c r="AE425" i="26"/>
  <c r="AE426" i="26"/>
  <c r="AE427" i="26"/>
  <c r="AE433" i="26"/>
  <c r="AE434" i="26"/>
  <c r="AE435" i="26"/>
  <c r="AE436" i="26"/>
  <c r="AE488" i="26"/>
  <c r="AE489" i="26"/>
  <c r="AE490" i="26"/>
  <c r="AE491" i="26"/>
  <c r="AE492" i="26"/>
  <c r="AE493" i="26"/>
  <c r="AE494" i="26"/>
  <c r="AE495" i="26"/>
  <c r="AE497" i="26"/>
  <c r="AE498" i="26"/>
  <c r="AE499" i="26"/>
  <c r="AE500" i="26"/>
  <c r="AE501" i="26"/>
  <c r="AE502" i="26"/>
  <c r="AE503" i="26"/>
  <c r="AE504" i="26"/>
  <c r="AE505" i="26"/>
  <c r="AE506" i="26"/>
  <c r="AE507" i="26"/>
  <c r="AE508" i="26"/>
  <c r="AE509" i="26"/>
  <c r="AE510" i="26"/>
  <c r="AE512" i="26"/>
  <c r="AE513" i="26"/>
  <c r="AE514" i="26"/>
  <c r="AE515" i="26"/>
  <c r="AE516" i="26"/>
  <c r="AE517" i="26"/>
  <c r="AE518" i="26"/>
  <c r="AE519" i="26"/>
  <c r="AE520" i="26"/>
  <c r="AE521" i="26"/>
  <c r="AE522" i="26"/>
  <c r="AE523" i="26"/>
  <c r="AE524" i="26"/>
  <c r="AE525" i="26"/>
  <c r="AE83" i="26"/>
  <c r="AE85" i="26"/>
  <c r="AE258" i="26"/>
  <c r="AE261" i="26"/>
  <c r="AE262" i="26"/>
  <c r="AE263" i="26"/>
  <c r="AE264" i="26"/>
  <c r="AE589" i="26"/>
  <c r="AE590" i="26"/>
  <c r="AE591" i="26"/>
  <c r="AE592" i="26"/>
  <c r="AE593" i="26"/>
  <c r="AE594" i="26"/>
  <c r="AE595" i="26"/>
  <c r="AE596" i="26"/>
  <c r="AE187" i="26"/>
  <c r="AE188" i="26"/>
  <c r="AE189" i="26"/>
  <c r="AE190" i="26"/>
  <c r="AE191" i="26"/>
  <c r="AE193" i="26"/>
  <c r="AE87" i="26"/>
  <c r="BT147" i="2"/>
  <c r="BV147" i="2" s="1"/>
  <c r="BT163" i="2"/>
  <c r="BV163" i="2" s="1"/>
  <c r="BT272" i="2"/>
  <c r="BV272" i="2" s="1"/>
  <c r="BT283" i="2"/>
  <c r="BV283" i="2" s="1"/>
  <c r="BT195" i="2"/>
  <c r="BV195" i="2" s="1"/>
  <c r="BT268" i="2"/>
  <c r="BV268" i="2" s="1"/>
  <c r="BT150" i="2"/>
  <c r="BV150" i="2" s="1"/>
  <c r="BT271" i="2"/>
  <c r="BV271" i="2" s="1"/>
  <c r="BT260" i="2"/>
  <c r="BV260" i="2" s="1"/>
  <c r="AG551" i="15"/>
  <c r="AY551" i="17" s="1"/>
  <c r="BC551" i="17" s="1"/>
  <c r="BE551" i="17" s="1"/>
  <c r="AY428" i="17"/>
  <c r="BC428" i="17" s="1"/>
  <c r="BE428" i="17" s="1"/>
  <c r="AY287" i="17"/>
  <c r="BC287" i="17" s="1"/>
  <c r="BE287" i="17" s="1"/>
  <c r="AB443" i="16"/>
  <c r="AB446" i="16"/>
  <c r="AG289" i="15"/>
  <c r="AY289" i="17" s="1"/>
  <c r="BC289" i="17" s="1"/>
  <c r="BE289" i="17" s="1"/>
  <c r="AG630" i="15"/>
  <c r="AY630" i="17" s="1"/>
  <c r="BC630" i="17" s="1"/>
  <c r="BE630" i="17" s="1"/>
  <c r="AG629" i="15"/>
  <c r="AY629" i="17" s="1"/>
  <c r="BC629" i="17" s="1"/>
  <c r="BE629" i="17" s="1"/>
  <c r="AG621" i="15"/>
  <c r="AG618" i="15"/>
  <c r="AY618" i="17" s="1"/>
  <c r="BC618" i="17" s="1"/>
  <c r="BE618" i="17" s="1"/>
  <c r="AG610" i="15"/>
  <c r="AY610" i="17" s="1"/>
  <c r="BC610" i="17" s="1"/>
  <c r="BE610" i="17" s="1"/>
  <c r="AG599" i="15"/>
  <c r="AY599" i="17" s="1"/>
  <c r="AG463" i="15"/>
  <c r="AY463" i="17" s="1"/>
  <c r="BC463" i="17" s="1"/>
  <c r="BE463" i="17" s="1"/>
  <c r="AG455" i="15"/>
  <c r="AY455" i="17" s="1"/>
  <c r="BC455" i="17" s="1"/>
  <c r="BE455" i="17" s="1"/>
  <c r="AG426" i="15"/>
  <c r="AY426" i="17" s="1"/>
  <c r="BC426" i="17" s="1"/>
  <c r="BE426" i="17" s="1"/>
  <c r="AG424" i="15"/>
  <c r="AY424" i="17" s="1"/>
  <c r="BC424" i="17" s="1"/>
  <c r="BE424" i="17" s="1"/>
  <c r="AG240" i="15"/>
  <c r="AY240" i="17" s="1"/>
  <c r="BC240" i="17" s="1"/>
  <c r="BE240" i="17" s="1"/>
  <c r="AG188" i="15"/>
  <c r="AY188" i="17" s="1"/>
  <c r="BC188" i="17" s="1"/>
  <c r="BE188" i="17" s="1"/>
  <c r="AB329" i="16"/>
  <c r="AB572" i="16"/>
  <c r="AY181" i="17"/>
  <c r="BC181" i="17" s="1"/>
  <c r="BE181" i="17" s="1"/>
  <c r="AB612" i="16"/>
  <c r="AB613" i="16"/>
  <c r="AB622" i="16"/>
  <c r="AB628" i="16"/>
  <c r="AB348" i="16"/>
  <c r="AB257" i="16"/>
  <c r="AB368" i="16"/>
  <c r="AB450" i="16"/>
  <c r="AB453" i="16"/>
  <c r="AB547" i="16"/>
  <c r="AB590" i="16"/>
  <c r="AO516" i="22"/>
  <c r="BL516" i="25" s="1"/>
  <c r="BT516" i="25" s="1"/>
  <c r="BV516" i="25" s="1"/>
  <c r="AO517" i="22"/>
  <c r="BL517" i="25" s="1"/>
  <c r="BT517" i="25" s="1"/>
  <c r="BV517" i="25" s="1"/>
  <c r="AO519" i="22"/>
  <c r="BL519" i="25" s="1"/>
  <c r="BT519" i="25" s="1"/>
  <c r="BV519" i="25" s="1"/>
  <c r="AO520" i="22"/>
  <c r="BL520" i="25" s="1"/>
  <c r="BT520" i="25" s="1"/>
  <c r="BV520" i="25" s="1"/>
  <c r="AG290" i="15"/>
  <c r="AY290" i="17" s="1"/>
  <c r="BC290" i="17" s="1"/>
  <c r="BE290" i="17" s="1"/>
  <c r="AG278" i="15"/>
  <c r="AY278" i="17" s="1"/>
  <c r="BC278" i="17" s="1"/>
  <c r="BE278" i="17" s="1"/>
  <c r="AG255" i="15"/>
  <c r="AY255" i="17" s="1"/>
  <c r="BC255" i="17" s="1"/>
  <c r="BE255" i="17" s="1"/>
  <c r="AG224" i="15"/>
  <c r="AY224" i="17" s="1"/>
  <c r="BC224" i="17" s="1"/>
  <c r="BE224" i="17" s="1"/>
  <c r="AG220" i="15"/>
  <c r="AY220" i="17" s="1"/>
  <c r="BC220" i="17" s="1"/>
  <c r="BE220" i="17" s="1"/>
  <c r="AG211" i="15"/>
  <c r="AY211" i="17" s="1"/>
  <c r="BC211" i="17" s="1"/>
  <c r="BE211" i="17" s="1"/>
  <c r="AG210" i="15"/>
  <c r="AY210" i="17" s="1"/>
  <c r="BC210" i="17" s="1"/>
  <c r="BE210" i="17" s="1"/>
  <c r="AG208" i="15"/>
  <c r="AY208" i="17" s="1"/>
  <c r="BC208" i="17" s="1"/>
  <c r="BE208" i="17" s="1"/>
  <c r="AG200" i="15"/>
  <c r="AY200" i="17" s="1"/>
  <c r="BC200" i="17" s="1"/>
  <c r="BE200" i="17" s="1"/>
  <c r="AG198" i="15"/>
  <c r="AY198" i="17" s="1"/>
  <c r="BC198" i="17" s="1"/>
  <c r="BE198" i="17" s="1"/>
  <c r="AO528" i="22"/>
  <c r="BL528" i="25" s="1"/>
  <c r="BT528" i="25" s="1"/>
  <c r="BV528" i="25" s="1"/>
  <c r="AO524" i="22"/>
  <c r="BL524" i="25" s="1"/>
  <c r="BT524" i="25" s="1"/>
  <c r="BV524" i="25" s="1"/>
  <c r="AO262" i="22"/>
  <c r="BL262" i="25" s="1"/>
  <c r="BT262" i="25" s="1"/>
  <c r="BV262" i="25" s="1"/>
  <c r="AO263" i="22"/>
  <c r="BL263" i="25" s="1"/>
  <c r="BT263" i="25" s="1"/>
  <c r="BV263" i="25" s="1"/>
  <c r="AO264" i="22"/>
  <c r="BL264" i="25" s="1"/>
  <c r="BT264" i="25" s="1"/>
  <c r="BV264" i="25" s="1"/>
  <c r="AG562" i="15"/>
  <c r="AY562" i="17" s="1"/>
  <c r="BC562" i="17" s="1"/>
  <c r="BE562" i="17" s="1"/>
  <c r="AG558" i="15"/>
  <c r="AG545" i="15"/>
  <c r="AY545" i="17" s="1"/>
  <c r="BC545" i="17" s="1"/>
  <c r="BE545" i="17" s="1"/>
  <c r="AG476" i="15"/>
  <c r="AO498" i="22"/>
  <c r="BL498" i="25" s="1"/>
  <c r="BT498" i="25" s="1"/>
  <c r="BV498" i="25" s="1"/>
  <c r="AO497" i="22"/>
  <c r="BL497" i="25" s="1"/>
  <c r="BT497" i="25" s="1"/>
  <c r="BV497" i="25" s="1"/>
  <c r="AO494" i="22"/>
  <c r="BL494" i="25" s="1"/>
  <c r="BT494" i="25" s="1"/>
  <c r="BV494" i="25" s="1"/>
  <c r="AO493" i="22"/>
  <c r="BL493" i="25" s="1"/>
  <c r="BT493" i="25" s="1"/>
  <c r="BV493" i="25" s="1"/>
  <c r="AO492" i="22"/>
  <c r="BL492" i="25" s="1"/>
  <c r="BT492" i="25" s="1"/>
  <c r="BV492" i="25" s="1"/>
  <c r="AO491" i="22"/>
  <c r="BL491" i="25" s="1"/>
  <c r="BT491" i="25" s="1"/>
  <c r="BV491" i="25" s="1"/>
  <c r="AO258" i="22"/>
  <c r="BL258" i="25" s="1"/>
  <c r="BT258" i="25" s="1"/>
  <c r="BV258" i="25" s="1"/>
  <c r="AO257" i="22"/>
  <c r="BL257" i="25" s="1"/>
  <c r="BT257" i="25" s="1"/>
  <c r="BV257" i="25" s="1"/>
  <c r="AO256" i="22"/>
  <c r="BL256" i="25" s="1"/>
  <c r="BT256" i="25" s="1"/>
  <c r="BV256" i="25" s="1"/>
  <c r="AO526" i="22"/>
  <c r="BL526" i="25" s="1"/>
  <c r="BT526" i="25" s="1"/>
  <c r="BV526" i="25" s="1"/>
  <c r="AO529" i="22"/>
  <c r="BL529" i="25" s="1"/>
  <c r="BT529" i="25" s="1"/>
  <c r="BV529" i="25" s="1"/>
  <c r="AO349" i="22"/>
  <c r="BL349" i="25" s="1"/>
  <c r="BT349" i="25" s="1"/>
  <c r="BV349" i="25" s="1"/>
  <c r="AO351" i="22"/>
  <c r="BL351" i="25" s="1"/>
  <c r="BT351" i="25" s="1"/>
  <c r="BV351" i="25" s="1"/>
  <c r="AO353" i="22"/>
  <c r="BL353" i="25" s="1"/>
  <c r="BT353" i="25" s="1"/>
  <c r="BV353" i="25" s="1"/>
  <c r="AO356" i="22"/>
  <c r="BL356" i="25" s="1"/>
  <c r="BT356" i="25" s="1"/>
  <c r="BV356" i="25" s="1"/>
  <c r="AO360" i="22"/>
  <c r="BL360" i="25" s="1"/>
  <c r="BT360" i="25" s="1"/>
  <c r="BV360" i="25" s="1"/>
  <c r="AO362" i="22"/>
  <c r="BL362" i="25" s="1"/>
  <c r="BT362" i="25" s="1"/>
  <c r="BV362" i="25" s="1"/>
  <c r="AO368" i="22"/>
  <c r="BL368" i="25" s="1"/>
  <c r="BT368" i="25" s="1"/>
  <c r="BV368" i="25" s="1"/>
  <c r="AO370" i="22"/>
  <c r="BL370" i="25" s="1"/>
  <c r="BT370" i="25" s="1"/>
  <c r="BV370" i="25" s="1"/>
  <c r="AO372" i="22"/>
  <c r="BL372" i="25" s="1"/>
  <c r="BT372" i="25" s="1"/>
  <c r="BV372" i="25" s="1"/>
  <c r="AO419" i="22"/>
  <c r="BL419" i="25" s="1"/>
  <c r="BT419" i="25" s="1"/>
  <c r="BV419" i="25" s="1"/>
  <c r="AO422" i="22"/>
  <c r="BL422" i="25" s="1"/>
  <c r="BT422" i="25" s="1"/>
  <c r="BV422" i="25" s="1"/>
  <c r="AO444" i="22"/>
  <c r="BL444" i="25" s="1"/>
  <c r="BT444" i="25" s="1"/>
  <c r="BV444" i="25" s="1"/>
  <c r="AO449" i="22"/>
  <c r="BL449" i="25" s="1"/>
  <c r="BT449" i="25" s="1"/>
  <c r="BV449" i="25" s="1"/>
  <c r="AO451" i="22"/>
  <c r="BL451" i="25" s="1"/>
  <c r="BT451" i="25" s="1"/>
  <c r="BV451" i="25" s="1"/>
  <c r="AO453" i="22"/>
  <c r="BL453" i="25" s="1"/>
  <c r="BT453" i="25" s="1"/>
  <c r="BV453" i="25" s="1"/>
  <c r="AO458" i="22"/>
  <c r="BL458" i="25" s="1"/>
  <c r="BT458" i="25" s="1"/>
  <c r="BV458" i="25" s="1"/>
  <c r="AO460" i="22"/>
  <c r="BL460" i="25" s="1"/>
  <c r="BT460" i="25" s="1"/>
  <c r="BV460" i="25" s="1"/>
  <c r="AO465" i="22"/>
  <c r="BL465" i="25" s="1"/>
  <c r="BT465" i="25" s="1"/>
  <c r="BV465" i="25" s="1"/>
  <c r="AO467" i="22"/>
  <c r="BL467" i="25" s="1"/>
  <c r="BT467" i="25" s="1"/>
  <c r="BV467" i="25" s="1"/>
  <c r="AO469" i="22"/>
  <c r="BL469" i="25" s="1"/>
  <c r="BT469" i="25" s="1"/>
  <c r="BV469" i="25" s="1"/>
  <c r="AO471" i="22"/>
  <c r="BL471" i="25" s="1"/>
  <c r="BT471" i="25" s="1"/>
  <c r="BV471" i="25" s="1"/>
  <c r="AO473" i="22"/>
  <c r="BL473" i="25" s="1"/>
  <c r="BT473" i="25" s="1"/>
  <c r="BV473" i="25" s="1"/>
  <c r="AO475" i="22"/>
  <c r="BL475" i="25" s="1"/>
  <c r="BT475" i="25" s="1"/>
  <c r="BV475" i="25" s="1"/>
  <c r="AO477" i="22"/>
  <c r="BL477" i="25" s="1"/>
  <c r="BT477" i="25" s="1"/>
  <c r="BV477" i="25" s="1"/>
  <c r="AO479" i="22"/>
  <c r="BL479" i="25" s="1"/>
  <c r="BT479" i="25" s="1"/>
  <c r="BV479" i="25" s="1"/>
  <c r="AO481" i="22"/>
  <c r="BL481" i="25" s="1"/>
  <c r="BT481" i="25" s="1"/>
  <c r="BV481" i="25" s="1"/>
  <c r="AO483" i="22"/>
  <c r="BL483" i="25" s="1"/>
  <c r="BT483" i="25" s="1"/>
  <c r="BV483" i="25" s="1"/>
  <c r="AO485" i="22"/>
  <c r="BL485" i="25" s="1"/>
  <c r="BT485" i="25" s="1"/>
  <c r="BV485" i="25" s="1"/>
  <c r="AO487" i="22"/>
  <c r="BL487" i="25" s="1"/>
  <c r="BT487" i="25" s="1"/>
  <c r="BV487" i="25" s="1"/>
  <c r="AO539" i="22"/>
  <c r="BL539" i="25" s="1"/>
  <c r="BT539" i="25" s="1"/>
  <c r="BV539" i="25" s="1"/>
  <c r="AO541" i="22"/>
  <c r="BL541" i="25" s="1"/>
  <c r="BT541" i="25" s="1"/>
  <c r="BV541" i="25" s="1"/>
  <c r="AO543" i="22"/>
  <c r="BL543" i="25" s="1"/>
  <c r="BT543" i="25" s="1"/>
  <c r="BV543" i="25" s="1"/>
  <c r="AO545" i="22"/>
  <c r="BL545" i="25" s="1"/>
  <c r="BT545" i="25" s="1"/>
  <c r="BV545" i="25" s="1"/>
  <c r="AO548" i="22"/>
  <c r="BL548" i="25" s="1"/>
  <c r="BT548" i="25" s="1"/>
  <c r="BV548" i="25" s="1"/>
  <c r="AO550" i="22"/>
  <c r="BL550" i="25" s="1"/>
  <c r="BT550" i="25" s="1"/>
  <c r="BV550" i="25" s="1"/>
  <c r="AO554" i="22"/>
  <c r="BL554" i="25" s="1"/>
  <c r="BT554" i="25" s="1"/>
  <c r="BV554" i="25" s="1"/>
  <c r="AO556" i="22"/>
  <c r="BL556" i="25" s="1"/>
  <c r="BT556" i="25" s="1"/>
  <c r="BV556" i="25" s="1"/>
  <c r="AO560" i="22"/>
  <c r="BL560" i="25" s="1"/>
  <c r="BT560" i="25" s="1"/>
  <c r="BV560" i="25" s="1"/>
  <c r="AO566" i="22"/>
  <c r="BL566" i="25" s="1"/>
  <c r="BT566" i="25" s="1"/>
  <c r="BV566" i="25" s="1"/>
  <c r="BL568" i="25"/>
  <c r="BT568" i="25" s="1"/>
  <c r="BV568" i="25" s="1"/>
  <c r="AO570" i="22"/>
  <c r="BL570" i="25" s="1"/>
  <c r="BT570" i="25" s="1"/>
  <c r="BV570" i="25" s="1"/>
  <c r="AO575" i="22"/>
  <c r="BL575" i="25" s="1"/>
  <c r="BT575" i="25" s="1"/>
  <c r="BV575" i="25" s="1"/>
  <c r="AO599" i="22"/>
  <c r="BL599" i="25" s="1"/>
  <c r="BT599" i="25" s="1"/>
  <c r="BV599" i="25" s="1"/>
  <c r="AO601" i="22"/>
  <c r="BL601" i="25" s="1"/>
  <c r="BT601" i="25" s="1"/>
  <c r="BV601" i="25" s="1"/>
  <c r="AO603" i="22"/>
  <c r="BL603" i="25" s="1"/>
  <c r="BT603" i="25" s="1"/>
  <c r="BV603" i="25" s="1"/>
  <c r="AO605" i="22"/>
  <c r="BL605" i="25" s="1"/>
  <c r="BT605" i="25" s="1"/>
  <c r="BV605" i="25" s="1"/>
  <c r="AO607" i="22"/>
  <c r="BL607" i="25" s="1"/>
  <c r="AO609" i="22"/>
  <c r="BL609" i="25" s="1"/>
  <c r="BT609" i="25" s="1"/>
  <c r="BV609" i="25" s="1"/>
  <c r="AO621" i="22"/>
  <c r="BL621" i="25" s="1"/>
  <c r="BT621" i="25" s="1"/>
  <c r="BV621" i="25" s="1"/>
  <c r="AO623" i="22"/>
  <c r="BL623" i="25" s="1"/>
  <c r="BT623" i="25" s="1"/>
  <c r="BV623" i="25" s="1"/>
  <c r="AO625" i="22"/>
  <c r="BL625" i="25" s="1"/>
  <c r="BT625" i="25" s="1"/>
  <c r="BV625" i="25" s="1"/>
  <c r="AO628" i="22"/>
  <c r="BL628" i="25" s="1"/>
  <c r="BT628" i="25" s="1"/>
  <c r="BV628" i="25" s="1"/>
  <c r="AO630" i="22"/>
  <c r="BL630" i="25" s="1"/>
  <c r="BT630" i="25" s="1"/>
  <c r="BV630" i="25" s="1"/>
  <c r="AO589" i="22"/>
  <c r="BL589" i="25" s="1"/>
  <c r="BT589" i="25" s="1"/>
  <c r="BV589" i="25" s="1"/>
  <c r="AO591" i="22"/>
  <c r="BL591" i="25" s="1"/>
  <c r="BT591" i="25" s="1"/>
  <c r="BV591" i="25" s="1"/>
  <c r="AO488" i="22"/>
  <c r="BL488" i="25" s="1"/>
  <c r="BT488" i="25" s="1"/>
  <c r="BV488" i="25" s="1"/>
  <c r="BV489" i="25"/>
  <c r="AO500" i="22"/>
  <c r="BL500" i="25" s="1"/>
  <c r="BT500" i="25" s="1"/>
  <c r="BV500" i="25" s="1"/>
  <c r="AO501" i="22"/>
  <c r="BL501" i="25" s="1"/>
  <c r="BT501" i="25" s="1"/>
  <c r="BV501" i="25" s="1"/>
  <c r="AO502" i="22"/>
  <c r="BL502" i="25" s="1"/>
  <c r="BT502" i="25" s="1"/>
  <c r="BV502" i="25" s="1"/>
  <c r="AO503" i="22"/>
  <c r="BL503" i="25" s="1"/>
  <c r="BT503" i="25" s="1"/>
  <c r="BV503" i="25" s="1"/>
  <c r="AO504" i="22"/>
  <c r="BL504" i="25" s="1"/>
  <c r="BT504" i="25" s="1"/>
  <c r="BV504" i="25" s="1"/>
  <c r="AO505" i="22"/>
  <c r="BL505" i="25" s="1"/>
  <c r="BT505" i="25" s="1"/>
  <c r="BV505" i="25" s="1"/>
  <c r="AO506" i="22"/>
  <c r="BL506" i="25" s="1"/>
  <c r="BT506" i="25" s="1"/>
  <c r="BV506" i="25" s="1"/>
  <c r="AO507" i="22"/>
  <c r="BL507" i="25" s="1"/>
  <c r="BT507" i="25" s="1"/>
  <c r="BV507" i="25" s="1"/>
  <c r="AO508" i="22"/>
  <c r="BL508" i="25" s="1"/>
  <c r="BT508" i="25" s="1"/>
  <c r="BV508" i="25" s="1"/>
  <c r="AO509" i="22"/>
  <c r="BL509" i="25" s="1"/>
  <c r="BT509" i="25" s="1"/>
  <c r="BV509" i="25" s="1"/>
  <c r="AO510" i="22"/>
  <c r="BL510" i="25" s="1"/>
  <c r="BT510" i="25" s="1"/>
  <c r="BV510" i="25" s="1"/>
  <c r="AO512" i="22"/>
  <c r="BL512" i="25" s="1"/>
  <c r="BT512" i="25" s="1"/>
  <c r="BV512" i="25" s="1"/>
  <c r="AO513" i="22"/>
  <c r="BL513" i="25" s="1"/>
  <c r="BT513" i="25" s="1"/>
  <c r="BV513" i="25" s="1"/>
  <c r="AO514" i="22"/>
  <c r="BL514" i="25" s="1"/>
  <c r="BT514" i="25" s="1"/>
  <c r="BV514" i="25" s="1"/>
  <c r="AO515" i="22"/>
  <c r="BL515" i="25" s="1"/>
  <c r="BT515" i="25" s="1"/>
  <c r="BV515" i="25" s="1"/>
  <c r="AO518" i="22"/>
  <c r="BL518" i="25" s="1"/>
  <c r="BT518" i="25" s="1"/>
  <c r="BV518" i="25" s="1"/>
  <c r="AO521" i="22"/>
  <c r="BL521" i="25" s="1"/>
  <c r="BT521" i="25" s="1"/>
  <c r="BV521" i="25" s="1"/>
  <c r="AO522" i="22"/>
  <c r="BL522" i="25" s="1"/>
  <c r="BT522" i="25" s="1"/>
  <c r="BV522" i="25" s="1"/>
  <c r="AO523" i="22"/>
  <c r="BL523" i="25" s="1"/>
  <c r="BT523" i="25" s="1"/>
  <c r="BV523" i="25" s="1"/>
  <c r="AO527" i="22"/>
  <c r="BL527" i="25" s="1"/>
  <c r="BT527" i="25" s="1"/>
  <c r="BV527" i="25" s="1"/>
  <c r="AO530" i="22"/>
  <c r="BL530" i="25" s="1"/>
  <c r="BT530" i="25" s="1"/>
  <c r="BV530" i="25" s="1"/>
  <c r="AO531" i="22"/>
  <c r="BL531" i="25" s="1"/>
  <c r="BT531" i="25" s="1"/>
  <c r="BV531" i="25" s="1"/>
  <c r="AO532" i="22"/>
  <c r="BL532" i="25" s="1"/>
  <c r="BT532" i="25" s="1"/>
  <c r="BV532" i="25" s="1"/>
  <c r="AO533" i="22"/>
  <c r="BL533" i="25" s="1"/>
  <c r="BT533" i="25" s="1"/>
  <c r="BV533" i="25" s="1"/>
  <c r="AO534" i="22"/>
  <c r="BL534" i="25" s="1"/>
  <c r="BT534" i="25" s="1"/>
  <c r="BV534" i="25" s="1"/>
  <c r="BL535" i="25"/>
  <c r="BT535" i="25" s="1"/>
  <c r="BV535" i="25" s="1"/>
  <c r="AO437" i="22"/>
  <c r="BL437" i="25" s="1"/>
  <c r="BT437" i="25" s="1"/>
  <c r="BV437" i="25" s="1"/>
  <c r="AO348" i="22"/>
  <c r="BL348" i="25" s="1"/>
  <c r="BT348" i="25" s="1"/>
  <c r="BV348" i="25" s="1"/>
  <c r="AO350" i="22"/>
  <c r="BL350" i="25" s="1"/>
  <c r="BT350" i="25" s="1"/>
  <c r="BV350" i="25" s="1"/>
  <c r="AO352" i="22"/>
  <c r="BL352" i="25" s="1"/>
  <c r="BT352" i="25" s="1"/>
  <c r="BV352" i="25" s="1"/>
  <c r="AO355" i="22"/>
  <c r="BL355" i="25" s="1"/>
  <c r="BT355" i="25" s="1"/>
  <c r="BV355" i="25" s="1"/>
  <c r="AO357" i="22"/>
  <c r="BL357" i="25" s="1"/>
  <c r="BT357" i="25" s="1"/>
  <c r="BV357" i="25" s="1"/>
  <c r="AO361" i="22"/>
  <c r="BL361" i="25" s="1"/>
  <c r="BT361" i="25" s="1"/>
  <c r="BV361" i="25" s="1"/>
  <c r="AO363" i="22"/>
  <c r="BL363" i="25" s="1"/>
  <c r="BT363" i="25" s="1"/>
  <c r="BV363" i="25" s="1"/>
  <c r="AO365" i="22"/>
  <c r="BL365" i="25" s="1"/>
  <c r="BT365" i="25" s="1"/>
  <c r="BV365" i="25" s="1"/>
  <c r="AO367" i="22"/>
  <c r="BL367" i="25" s="1"/>
  <c r="BT367" i="25" s="1"/>
  <c r="BV367" i="25" s="1"/>
  <c r="AO369" i="22"/>
  <c r="BL369" i="25" s="1"/>
  <c r="BT369" i="25" s="1"/>
  <c r="BV369" i="25" s="1"/>
  <c r="AO371" i="22"/>
  <c r="BL371" i="25" s="1"/>
  <c r="BT371" i="25" s="1"/>
  <c r="BV371" i="25" s="1"/>
  <c r="AO373" i="22"/>
  <c r="BL373" i="25" s="1"/>
  <c r="BT373" i="25" s="1"/>
  <c r="BV373" i="25" s="1"/>
  <c r="AO420" i="22"/>
  <c r="BL420" i="25" s="1"/>
  <c r="BT420" i="25" s="1"/>
  <c r="BV420" i="25" s="1"/>
  <c r="AO441" i="22"/>
  <c r="BL441" i="25" s="1"/>
  <c r="BT441" i="25" s="1"/>
  <c r="BV441" i="25" s="1"/>
  <c r="AO445" i="22"/>
  <c r="BL445" i="25" s="1"/>
  <c r="BT445" i="25" s="1"/>
  <c r="BV445" i="25" s="1"/>
  <c r="AO447" i="22"/>
  <c r="BL447" i="25" s="1"/>
  <c r="BT447" i="25" s="1"/>
  <c r="BV447" i="25" s="1"/>
  <c r="AO450" i="22"/>
  <c r="BL450" i="25" s="1"/>
  <c r="BT450" i="25" s="1"/>
  <c r="BV450" i="25" s="1"/>
  <c r="AO452" i="22"/>
  <c r="BL452" i="25" s="1"/>
  <c r="BT452" i="25" s="1"/>
  <c r="BV452" i="25" s="1"/>
  <c r="AO454" i="22"/>
  <c r="BL454" i="25" s="1"/>
  <c r="BT454" i="25" s="1"/>
  <c r="BV454" i="25" s="1"/>
  <c r="AO459" i="22"/>
  <c r="BL459" i="25" s="1"/>
  <c r="BT459" i="25" s="1"/>
  <c r="BV459" i="25" s="1"/>
  <c r="AO461" i="22"/>
  <c r="BL461" i="25" s="1"/>
  <c r="BT461" i="25" s="1"/>
  <c r="BV461" i="25" s="1"/>
  <c r="AO463" i="22"/>
  <c r="BL463" i="25" s="1"/>
  <c r="BT463" i="25" s="1"/>
  <c r="BV463" i="25" s="1"/>
  <c r="AO466" i="22"/>
  <c r="BL466" i="25" s="1"/>
  <c r="BT466" i="25" s="1"/>
  <c r="BV466" i="25" s="1"/>
  <c r="AO468" i="22"/>
  <c r="BL468" i="25" s="1"/>
  <c r="BT468" i="25" s="1"/>
  <c r="BV468" i="25" s="1"/>
  <c r="AO470" i="22"/>
  <c r="BL470" i="25" s="1"/>
  <c r="BT470" i="25" s="1"/>
  <c r="BV470" i="25" s="1"/>
  <c r="AO472" i="22"/>
  <c r="BL472" i="25" s="1"/>
  <c r="BT472" i="25" s="1"/>
  <c r="BV472" i="25" s="1"/>
  <c r="AO474" i="22"/>
  <c r="BL474" i="25" s="1"/>
  <c r="BT474" i="25" s="1"/>
  <c r="BV474" i="25" s="1"/>
  <c r="AO476" i="22"/>
  <c r="BL476" i="25" s="1"/>
  <c r="BT476" i="25" s="1"/>
  <c r="BV476" i="25" s="1"/>
  <c r="AO478" i="22"/>
  <c r="BL478" i="25" s="1"/>
  <c r="BT478" i="25" s="1"/>
  <c r="BV478" i="25" s="1"/>
  <c r="AO480" i="22"/>
  <c r="BL480" i="25" s="1"/>
  <c r="BT480" i="25" s="1"/>
  <c r="BV480" i="25" s="1"/>
  <c r="AO482" i="22"/>
  <c r="BL482" i="25" s="1"/>
  <c r="BT482" i="25" s="1"/>
  <c r="BV482" i="25" s="1"/>
  <c r="AO484" i="22"/>
  <c r="BL484" i="25" s="1"/>
  <c r="BT484" i="25" s="1"/>
  <c r="BV484" i="25" s="1"/>
  <c r="AO486" i="22"/>
  <c r="BL486" i="25" s="1"/>
  <c r="BT486" i="25" s="1"/>
  <c r="BV486" i="25" s="1"/>
  <c r="AO538" i="22"/>
  <c r="BL538" i="25" s="1"/>
  <c r="BT538" i="25" s="1"/>
  <c r="BV538" i="25" s="1"/>
  <c r="AO540" i="22"/>
  <c r="BL540" i="25" s="1"/>
  <c r="BT540" i="25" s="1"/>
  <c r="BV540" i="25" s="1"/>
  <c r="AO542" i="22"/>
  <c r="BL542" i="25" s="1"/>
  <c r="BT542" i="25" s="1"/>
  <c r="BV542" i="25" s="1"/>
  <c r="AO544" i="22"/>
  <c r="BL544" i="25" s="1"/>
  <c r="BT544" i="25" s="1"/>
  <c r="BV544" i="25" s="1"/>
  <c r="AO547" i="22"/>
  <c r="BL547" i="25" s="1"/>
  <c r="BT547" i="25" s="1"/>
  <c r="BV547" i="25" s="1"/>
  <c r="AO549" i="22"/>
  <c r="BL549" i="25" s="1"/>
  <c r="BT549" i="25" s="1"/>
  <c r="BV549" i="25" s="1"/>
  <c r="AO551" i="22"/>
  <c r="BL551" i="25" s="1"/>
  <c r="BT551" i="25" s="1"/>
  <c r="BV551" i="25" s="1"/>
  <c r="AO553" i="22"/>
  <c r="BL553" i="25" s="1"/>
  <c r="BT553" i="25" s="1"/>
  <c r="BV553" i="25" s="1"/>
  <c r="AO555" i="22"/>
  <c r="BL555" i="25" s="1"/>
  <c r="BT555" i="25" s="1"/>
  <c r="BV555" i="25" s="1"/>
  <c r="AO557" i="22"/>
  <c r="BL557" i="25" s="1"/>
  <c r="BT557" i="25" s="1"/>
  <c r="BV557" i="25" s="1"/>
  <c r="AO559" i="22"/>
  <c r="BL559" i="25" s="1"/>
  <c r="BT559" i="25" s="1"/>
  <c r="BV559" i="25" s="1"/>
  <c r="AO563" i="22"/>
  <c r="BL563" i="25" s="1"/>
  <c r="BT563" i="25" s="1"/>
  <c r="BV563" i="25" s="1"/>
  <c r="AO569" i="22"/>
  <c r="BL569" i="25" s="1"/>
  <c r="BT569" i="25" s="1"/>
  <c r="BV569" i="25" s="1"/>
  <c r="AO571" i="22"/>
  <c r="BL571" i="25" s="1"/>
  <c r="BT571" i="25" s="1"/>
  <c r="BV571" i="25" s="1"/>
  <c r="AO573" i="22"/>
  <c r="BL573" i="25" s="1"/>
  <c r="BT573" i="25" s="1"/>
  <c r="BV573" i="25" s="1"/>
  <c r="AO598" i="22"/>
  <c r="BL598" i="25" s="1"/>
  <c r="BT598" i="25" s="1"/>
  <c r="BV598" i="25" s="1"/>
  <c r="AO600" i="22"/>
  <c r="BL600" i="25" s="1"/>
  <c r="BT600" i="25" s="1"/>
  <c r="BV600" i="25" s="1"/>
  <c r="AO602" i="22"/>
  <c r="BL602" i="25" s="1"/>
  <c r="BT602" i="25" s="1"/>
  <c r="BV602" i="25" s="1"/>
  <c r="AO604" i="22"/>
  <c r="BL604" i="25" s="1"/>
  <c r="BT604" i="25" s="1"/>
  <c r="BV604" i="25" s="1"/>
  <c r="AO606" i="22"/>
  <c r="BL606" i="25" s="1"/>
  <c r="BT606" i="25" s="1"/>
  <c r="BV606" i="25" s="1"/>
  <c r="AO608" i="22"/>
  <c r="BL608" i="25" s="1"/>
  <c r="BT608" i="25" s="1"/>
  <c r="BV608" i="25" s="1"/>
  <c r="AO610" i="22"/>
  <c r="BL610" i="25" s="1"/>
  <c r="BT610" i="25" s="1"/>
  <c r="BV610" i="25" s="1"/>
  <c r="AO622" i="22"/>
  <c r="BL622" i="25" s="1"/>
  <c r="BT622" i="25" s="1"/>
  <c r="BV622" i="25" s="1"/>
  <c r="AO624" i="22"/>
  <c r="BL624" i="25" s="1"/>
  <c r="BT624" i="25" s="1"/>
  <c r="BV624" i="25" s="1"/>
  <c r="AO627" i="22"/>
  <c r="BL627" i="25" s="1"/>
  <c r="BT627" i="25" s="1"/>
  <c r="BV627" i="25" s="1"/>
  <c r="AO629" i="22"/>
  <c r="BL629" i="25" s="1"/>
  <c r="BT629" i="25" s="1"/>
  <c r="BV629" i="25" s="1"/>
  <c r="AO427" i="22"/>
  <c r="BL427" i="25" s="1"/>
  <c r="BT427" i="25" s="1"/>
  <c r="BV427" i="25" s="1"/>
  <c r="AO590" i="22"/>
  <c r="BL590" i="25" s="1"/>
  <c r="BT590" i="25" s="1"/>
  <c r="BV590" i="25" s="1"/>
  <c r="BV490" i="25"/>
  <c r="AO525" i="22"/>
  <c r="BL525" i="25" s="1"/>
  <c r="BT525" i="25" s="1"/>
  <c r="BV525" i="25" s="1"/>
  <c r="AO536" i="22"/>
  <c r="BL536" i="25" s="1"/>
  <c r="BT536" i="25" s="1"/>
  <c r="BV536" i="25" s="1"/>
  <c r="AO537" i="22"/>
  <c r="BL537" i="25" s="1"/>
  <c r="BT537" i="25" s="1"/>
  <c r="BV537" i="25" s="1"/>
  <c r="AO499" i="22"/>
  <c r="BL499" i="25" s="1"/>
  <c r="BT499" i="25" s="1"/>
  <c r="BV499" i="25" s="1"/>
  <c r="AO495" i="22"/>
  <c r="BL495" i="25" s="1"/>
  <c r="BT495" i="25" s="1"/>
  <c r="BV495" i="25" s="1"/>
  <c r="AO439" i="22"/>
  <c r="BL439" i="25" s="1"/>
  <c r="BT439" i="25" s="1"/>
  <c r="BV439" i="25" s="1"/>
  <c r="AO168" i="22"/>
  <c r="BL168" i="25" s="1"/>
  <c r="BT168" i="25" s="1"/>
  <c r="BV168" i="25" s="1"/>
  <c r="AO305" i="22"/>
  <c r="BL305" i="25" s="1"/>
  <c r="BT305" i="25" s="1"/>
  <c r="BV305" i="25" s="1"/>
  <c r="AO160" i="22"/>
  <c r="BL160" i="25" s="1"/>
  <c r="BT160" i="25" s="1"/>
  <c r="BV160" i="25" s="1"/>
  <c r="AO165" i="22"/>
  <c r="BL165" i="25" s="1"/>
  <c r="BT165" i="25" s="1"/>
  <c r="BV165" i="25" s="1"/>
  <c r="AO167" i="22"/>
  <c r="BL167" i="25" s="1"/>
  <c r="BT167" i="25" s="1"/>
  <c r="BV167" i="25" s="1"/>
  <c r="AO175" i="22"/>
  <c r="BL175" i="25" s="1"/>
  <c r="BT175" i="25" s="1"/>
  <c r="BV175" i="25" s="1"/>
  <c r="AO212" i="22"/>
  <c r="BL212" i="25" s="1"/>
  <c r="BT212" i="25" s="1"/>
  <c r="BV212" i="25" s="1"/>
  <c r="AO216" i="22"/>
  <c r="BL216" i="25" s="1"/>
  <c r="BT216" i="25" s="1"/>
  <c r="BV216" i="25" s="1"/>
  <c r="AO218" i="22"/>
  <c r="BL218" i="25" s="1"/>
  <c r="BT218" i="25" s="1"/>
  <c r="BV218" i="25" s="1"/>
  <c r="AO220" i="22"/>
  <c r="BL220" i="25" s="1"/>
  <c r="BT220" i="25" s="1"/>
  <c r="BV220" i="25" s="1"/>
  <c r="AO224" i="22"/>
  <c r="BL224" i="25" s="1"/>
  <c r="BT224" i="25" s="1"/>
  <c r="BV224" i="25" s="1"/>
  <c r="AO226" i="22"/>
  <c r="BL226" i="25" s="1"/>
  <c r="BT226" i="25" s="1"/>
  <c r="BV226" i="25" s="1"/>
  <c r="AO228" i="22"/>
  <c r="BL228" i="25" s="1"/>
  <c r="BT228" i="25" s="1"/>
  <c r="BV228" i="25" s="1"/>
  <c r="AO230" i="22"/>
  <c r="BL230" i="25" s="1"/>
  <c r="BT230" i="25" s="1"/>
  <c r="BV230" i="25" s="1"/>
  <c r="AO232" i="22"/>
  <c r="BL232" i="25" s="1"/>
  <c r="BT232" i="25" s="1"/>
  <c r="BV232" i="25" s="1"/>
  <c r="AO234" i="22"/>
  <c r="BL234" i="25" s="1"/>
  <c r="BT234" i="25" s="1"/>
  <c r="BV234" i="25" s="1"/>
  <c r="AO236" i="22"/>
  <c r="BL236" i="25" s="1"/>
  <c r="BT236" i="25" s="1"/>
  <c r="BV236" i="25" s="1"/>
  <c r="AO238" i="22"/>
  <c r="BL238" i="25" s="1"/>
  <c r="BT238" i="25" s="1"/>
  <c r="BV238" i="25" s="1"/>
  <c r="AO240" i="22"/>
  <c r="BL240" i="25" s="1"/>
  <c r="BT240" i="25" s="1"/>
  <c r="BV240" i="25" s="1"/>
  <c r="AO244" i="22"/>
  <c r="BL244" i="25" s="1"/>
  <c r="BT244" i="25" s="1"/>
  <c r="BV244" i="25" s="1"/>
  <c r="AO246" i="22"/>
  <c r="BL246" i="25" s="1"/>
  <c r="BT246" i="25" s="1"/>
  <c r="BV246" i="25" s="1"/>
  <c r="AO248" i="22"/>
  <c r="BL248" i="25" s="1"/>
  <c r="BT248" i="25" s="1"/>
  <c r="BV248" i="25" s="1"/>
  <c r="AO251" i="22"/>
  <c r="BL251" i="25" s="1"/>
  <c r="BT251" i="25" s="1"/>
  <c r="BV251" i="25" s="1"/>
  <c r="AO253" i="22"/>
  <c r="BL253" i="25" s="1"/>
  <c r="BT253" i="25" s="1"/>
  <c r="BV253" i="25" s="1"/>
  <c r="AO255" i="22"/>
  <c r="BL255" i="25" s="1"/>
  <c r="BT255" i="25" s="1"/>
  <c r="BV255" i="25" s="1"/>
  <c r="AO275" i="22"/>
  <c r="BL275" i="25" s="1"/>
  <c r="BT275" i="25" s="1"/>
  <c r="BV275" i="25" s="1"/>
  <c r="AO277" i="22"/>
  <c r="BL277" i="25" s="1"/>
  <c r="BT277" i="25" s="1"/>
  <c r="BV277" i="25" s="1"/>
  <c r="AO279" i="22"/>
  <c r="BL279" i="25" s="1"/>
  <c r="BT279" i="25" s="1"/>
  <c r="BV279" i="25" s="1"/>
  <c r="AO281" i="22"/>
  <c r="BL281" i="25" s="1"/>
  <c r="BT281" i="25" s="1"/>
  <c r="BV281" i="25" s="1"/>
  <c r="AO285" i="22"/>
  <c r="BL285" i="25" s="1"/>
  <c r="BT285" i="25" s="1"/>
  <c r="BV285" i="25" s="1"/>
  <c r="AO287" i="22"/>
  <c r="BL287" i="25" s="1"/>
  <c r="BT287" i="25" s="1"/>
  <c r="BV287" i="25" s="1"/>
  <c r="AO291" i="22"/>
  <c r="BL291" i="25" s="1"/>
  <c r="BT291" i="25" s="1"/>
  <c r="BV291" i="25" s="1"/>
  <c r="AO293" i="22"/>
  <c r="BL293" i="25" s="1"/>
  <c r="BT293" i="25" s="1"/>
  <c r="BV293" i="25" s="1"/>
  <c r="AO296" i="22"/>
  <c r="BL296" i="25" s="1"/>
  <c r="BT296" i="25" s="1"/>
  <c r="BV296" i="25" s="1"/>
  <c r="AO299" i="22"/>
  <c r="BL299" i="25" s="1"/>
  <c r="BT299" i="25" s="1"/>
  <c r="BV299" i="25" s="1"/>
  <c r="AO297" i="22"/>
  <c r="BL297" i="25" s="1"/>
  <c r="BT297" i="25" s="1"/>
  <c r="BV297" i="25" s="1"/>
  <c r="AO302" i="22"/>
  <c r="BL302" i="25" s="1"/>
  <c r="BT302" i="25" s="1"/>
  <c r="BV302" i="25" s="1"/>
  <c r="AO307" i="22"/>
  <c r="BL307" i="25" s="1"/>
  <c r="BT307" i="25" s="1"/>
  <c r="BV307" i="25" s="1"/>
  <c r="AO309" i="22"/>
  <c r="BL309" i="25" s="1"/>
  <c r="BT309" i="25" s="1"/>
  <c r="BV309" i="25" s="1"/>
  <c r="AO311" i="22"/>
  <c r="BL311" i="25" s="1"/>
  <c r="BT311" i="25" s="1"/>
  <c r="BV311" i="25" s="1"/>
  <c r="AO313" i="22"/>
  <c r="BL313" i="25" s="1"/>
  <c r="BT313" i="25" s="1"/>
  <c r="BV313" i="25" s="1"/>
  <c r="AO315" i="22"/>
  <c r="BL315" i="25" s="1"/>
  <c r="BT315" i="25" s="1"/>
  <c r="BV315" i="25" s="1"/>
  <c r="BL317" i="25"/>
  <c r="BT317" i="25" s="1"/>
  <c r="BV317" i="25" s="1"/>
  <c r="AO319" i="22"/>
  <c r="BL319" i="25" s="1"/>
  <c r="BT319" i="25" s="1"/>
  <c r="BV319" i="25" s="1"/>
  <c r="AO321" i="22"/>
  <c r="BL321" i="25" s="1"/>
  <c r="BT321" i="25" s="1"/>
  <c r="BV321" i="25" s="1"/>
  <c r="AO325" i="22"/>
  <c r="AO328" i="22"/>
  <c r="AO330" i="22"/>
  <c r="AO332" i="22"/>
  <c r="BL332" i="25" s="1"/>
  <c r="BT332" i="25" s="1"/>
  <c r="BV332" i="25" s="1"/>
  <c r="AO334" i="22"/>
  <c r="AO337" i="22"/>
  <c r="BL337" i="25" s="1"/>
  <c r="BT337" i="25" s="1"/>
  <c r="BV337" i="25" s="1"/>
  <c r="AO339" i="22"/>
  <c r="BL339" i="25" s="1"/>
  <c r="BT339" i="25" s="1"/>
  <c r="BV339" i="25" s="1"/>
  <c r="AO341" i="22"/>
  <c r="BL341" i="25" s="1"/>
  <c r="BT341" i="25" s="1"/>
  <c r="BV341" i="25" s="1"/>
  <c r="AO343" i="22"/>
  <c r="BL343" i="25" s="1"/>
  <c r="BT343" i="25" s="1"/>
  <c r="BV343" i="25" s="1"/>
  <c r="AO345" i="22"/>
  <c r="BL345" i="25" s="1"/>
  <c r="BT345" i="25" s="1"/>
  <c r="BV345" i="25" s="1"/>
  <c r="AO188" i="22"/>
  <c r="BL188" i="25" s="1"/>
  <c r="BT188" i="25" s="1"/>
  <c r="BV188" i="25" s="1"/>
  <c r="AO190" i="22"/>
  <c r="BL190" i="25" s="1"/>
  <c r="BT190" i="25" s="1"/>
  <c r="BV190" i="25" s="1"/>
  <c r="AO208" i="22"/>
  <c r="BL208" i="25" s="1"/>
  <c r="BT208" i="25" s="1"/>
  <c r="BV208" i="25" s="1"/>
  <c r="AO261" i="22"/>
  <c r="BL261" i="25" s="1"/>
  <c r="BT261" i="25" s="1"/>
  <c r="BV261" i="25" s="1"/>
  <c r="AO265" i="22"/>
  <c r="BL265" i="25" s="1"/>
  <c r="BT265" i="25" s="1"/>
  <c r="BV265" i="25" s="1"/>
  <c r="AO266" i="22"/>
  <c r="BL266" i="25" s="1"/>
  <c r="BT266" i="25" s="1"/>
  <c r="BV266" i="25" s="1"/>
  <c r="AO282" i="22"/>
  <c r="BL282" i="25" s="1"/>
  <c r="BT282" i="25" s="1"/>
  <c r="BV282" i="25" s="1"/>
  <c r="AO161" i="22"/>
  <c r="BL161" i="25" s="1"/>
  <c r="BT161" i="25" s="1"/>
  <c r="BV161" i="25" s="1"/>
  <c r="AO166" i="22"/>
  <c r="BL166" i="25" s="1"/>
  <c r="BT166" i="25" s="1"/>
  <c r="BV166" i="25" s="1"/>
  <c r="AO172" i="22"/>
  <c r="BL172" i="25" s="1"/>
  <c r="BT172" i="25" s="1"/>
  <c r="BV172" i="25" s="1"/>
  <c r="AO211" i="22"/>
  <c r="BL211" i="25" s="1"/>
  <c r="BT211" i="25" s="1"/>
  <c r="BV211" i="25" s="1"/>
  <c r="AO213" i="22"/>
  <c r="BL213" i="25" s="1"/>
  <c r="BT213" i="25" s="1"/>
  <c r="BV213" i="25" s="1"/>
  <c r="AO215" i="22"/>
  <c r="BL215" i="25" s="1"/>
  <c r="BT215" i="25" s="1"/>
  <c r="BV215" i="25" s="1"/>
  <c r="AO217" i="22"/>
  <c r="BL217" i="25" s="1"/>
  <c r="BT217" i="25" s="1"/>
  <c r="BV217" i="25" s="1"/>
  <c r="AO221" i="22"/>
  <c r="BL221" i="25" s="1"/>
  <c r="BT221" i="25" s="1"/>
  <c r="BV221" i="25" s="1"/>
  <c r="AO223" i="22"/>
  <c r="BL223" i="25" s="1"/>
  <c r="BT223" i="25" s="1"/>
  <c r="BV223" i="25" s="1"/>
  <c r="AO225" i="22"/>
  <c r="BL225" i="25" s="1"/>
  <c r="BT225" i="25" s="1"/>
  <c r="AO227" i="22"/>
  <c r="BL227" i="25" s="1"/>
  <c r="BT227" i="25" s="1"/>
  <c r="BV227" i="25" s="1"/>
  <c r="AO229" i="22"/>
  <c r="BL229" i="25" s="1"/>
  <c r="BT229" i="25" s="1"/>
  <c r="BV229" i="25" s="1"/>
  <c r="AO233" i="22"/>
  <c r="BL233" i="25" s="1"/>
  <c r="AO235" i="22"/>
  <c r="BL235" i="25" s="1"/>
  <c r="BT235" i="25" s="1"/>
  <c r="BV235" i="25" s="1"/>
  <c r="AO241" i="22"/>
  <c r="BL241" i="25" s="1"/>
  <c r="BT241" i="25" s="1"/>
  <c r="BV241" i="25" s="1"/>
  <c r="AO243" i="22"/>
  <c r="BL243" i="25" s="1"/>
  <c r="BT243" i="25" s="1"/>
  <c r="BV243" i="25" s="1"/>
  <c r="AO245" i="22"/>
  <c r="BL245" i="25" s="1"/>
  <c r="BT245" i="25" s="1"/>
  <c r="BV245" i="25" s="1"/>
  <c r="AO247" i="22"/>
  <c r="BL247" i="25" s="1"/>
  <c r="BT247" i="25" s="1"/>
  <c r="BV247" i="25" s="1"/>
  <c r="AO252" i="22"/>
  <c r="BL252" i="25" s="1"/>
  <c r="BT252" i="25" s="1"/>
  <c r="BV252" i="25" s="1"/>
  <c r="AO254" i="22"/>
  <c r="BL254" i="25" s="1"/>
  <c r="BT254" i="25" s="1"/>
  <c r="BV254" i="25" s="1"/>
  <c r="AO276" i="22"/>
  <c r="BL276" i="25" s="1"/>
  <c r="BT276" i="25" s="1"/>
  <c r="BV276" i="25" s="1"/>
  <c r="AO278" i="22"/>
  <c r="BL278" i="25" s="1"/>
  <c r="BT278" i="25" s="1"/>
  <c r="BV278" i="25" s="1"/>
  <c r="AO280" i="22"/>
  <c r="BL280" i="25" s="1"/>
  <c r="BT280" i="25" s="1"/>
  <c r="BV280" i="25" s="1"/>
  <c r="AO286" i="22"/>
  <c r="BL286" i="25" s="1"/>
  <c r="BT286" i="25" s="1"/>
  <c r="BV286" i="25" s="1"/>
  <c r="AO288" i="22"/>
  <c r="BL288" i="25" s="1"/>
  <c r="BT288" i="25" s="1"/>
  <c r="BV288" i="25" s="1"/>
  <c r="AO290" i="22"/>
  <c r="BL290" i="25" s="1"/>
  <c r="BT290" i="25" s="1"/>
  <c r="BV290" i="25" s="1"/>
  <c r="AO292" i="22"/>
  <c r="BL292" i="25" s="1"/>
  <c r="BT292" i="25" s="1"/>
  <c r="BV292" i="25" s="1"/>
  <c r="AO295" i="22"/>
  <c r="BL295" i="25" s="1"/>
  <c r="BT295" i="25" s="1"/>
  <c r="BV295" i="25" s="1"/>
  <c r="AO298" i="22"/>
  <c r="BL298" i="25" s="1"/>
  <c r="BT298" i="25" s="1"/>
  <c r="BV298" i="25" s="1"/>
  <c r="AO300" i="22"/>
  <c r="BL300" i="25" s="1"/>
  <c r="BT300" i="25" s="1"/>
  <c r="BV300" i="25" s="1"/>
  <c r="AO301" i="22"/>
  <c r="BL301" i="25" s="1"/>
  <c r="BT301" i="25" s="1"/>
  <c r="BV301" i="25" s="1"/>
  <c r="AO306" i="22"/>
  <c r="BL306" i="25" s="1"/>
  <c r="BT306" i="25" s="1"/>
  <c r="BV306" i="25" s="1"/>
  <c r="AO308" i="22"/>
  <c r="BL308" i="25" s="1"/>
  <c r="BT308" i="25" s="1"/>
  <c r="BV308" i="25" s="1"/>
  <c r="AO310" i="22"/>
  <c r="BL310" i="25" s="1"/>
  <c r="BT310" i="25" s="1"/>
  <c r="BV310" i="25" s="1"/>
  <c r="AO312" i="22"/>
  <c r="BL312" i="25" s="1"/>
  <c r="BT312" i="25" s="1"/>
  <c r="BV312" i="25" s="1"/>
  <c r="AO314" i="22"/>
  <c r="BL314" i="25" s="1"/>
  <c r="BT314" i="25" s="1"/>
  <c r="BV314" i="25" s="1"/>
  <c r="AO316" i="22"/>
  <c r="BL316" i="25" s="1"/>
  <c r="BT316" i="25" s="1"/>
  <c r="BV316" i="25" s="1"/>
  <c r="AO318" i="22"/>
  <c r="BL318" i="25" s="1"/>
  <c r="BT318" i="25" s="1"/>
  <c r="BV318" i="25" s="1"/>
  <c r="AO320" i="22"/>
  <c r="BL320" i="25" s="1"/>
  <c r="BT320" i="25" s="1"/>
  <c r="BV320" i="25" s="1"/>
  <c r="AO323" i="22"/>
  <c r="BL323" i="25" s="1"/>
  <c r="BT323" i="25" s="1"/>
  <c r="BV323" i="25" s="1"/>
  <c r="AO327" i="22"/>
  <c r="AO329" i="22"/>
  <c r="AO331" i="22"/>
  <c r="BL331" i="25" s="1"/>
  <c r="BT331" i="25" s="1"/>
  <c r="BV331" i="25" s="1"/>
  <c r="AO333" i="22"/>
  <c r="BL333" i="25" s="1"/>
  <c r="BT333" i="25" s="1"/>
  <c r="BV333" i="25" s="1"/>
  <c r="AO336" i="22"/>
  <c r="BL336" i="25" s="1"/>
  <c r="BT336" i="25" s="1"/>
  <c r="BV336" i="25" s="1"/>
  <c r="AO338" i="22"/>
  <c r="BL338" i="25" s="1"/>
  <c r="BT338" i="25" s="1"/>
  <c r="BV338" i="25" s="1"/>
  <c r="AO340" i="22"/>
  <c r="BL340" i="25" s="1"/>
  <c r="BT340" i="25" s="1"/>
  <c r="BV340" i="25" s="1"/>
  <c r="AO342" i="22"/>
  <c r="BL342" i="25" s="1"/>
  <c r="BT342" i="25" s="1"/>
  <c r="BV342" i="25" s="1"/>
  <c r="AO344" i="22"/>
  <c r="BL344" i="25" s="1"/>
  <c r="BT344" i="25" s="1"/>
  <c r="BV344" i="25" s="1"/>
  <c r="AO346" i="22"/>
  <c r="BL346" i="25" s="1"/>
  <c r="BT346" i="25" s="1"/>
  <c r="BV346" i="25" s="1"/>
  <c r="AO201" i="22"/>
  <c r="BL201" i="25" s="1"/>
  <c r="BT201" i="25" s="1"/>
  <c r="BV201" i="25" s="1"/>
  <c r="AO207" i="22"/>
  <c r="BL207" i="25" s="1"/>
  <c r="BT207" i="25" s="1"/>
  <c r="BV207" i="25" s="1"/>
  <c r="AO289" i="22"/>
  <c r="BL289" i="25" s="1"/>
  <c r="BT289" i="25" s="1"/>
  <c r="BV289" i="25" s="1"/>
  <c r="AO283" i="22"/>
  <c r="BL283" i="25" s="1"/>
  <c r="BT283" i="25" s="1"/>
  <c r="BV283" i="25" s="1"/>
  <c r="AO273" i="22"/>
  <c r="BL273" i="25" s="1"/>
  <c r="BT273" i="25" s="1"/>
  <c r="BV273" i="25" s="1"/>
  <c r="AO272" i="22"/>
  <c r="BL272" i="25" s="1"/>
  <c r="BT272" i="25" s="1"/>
  <c r="BV272" i="25" s="1"/>
  <c r="AO271" i="22"/>
  <c r="BL271" i="25" s="1"/>
  <c r="BT271" i="25" s="1"/>
  <c r="BV271" i="25" s="1"/>
  <c r="AO269" i="22"/>
  <c r="BL269" i="25" s="1"/>
  <c r="BT269" i="25" s="1"/>
  <c r="BV269" i="25" s="1"/>
  <c r="AO268" i="22"/>
  <c r="BL268" i="25" s="1"/>
  <c r="BT268" i="25" s="1"/>
  <c r="BV268" i="25" s="1"/>
  <c r="AO267" i="22"/>
  <c r="BL267" i="25" s="1"/>
  <c r="BT267" i="25" s="1"/>
  <c r="BV267" i="25" s="1"/>
  <c r="AO260" i="22"/>
  <c r="BL260" i="25" s="1"/>
  <c r="BT260" i="25" s="1"/>
  <c r="BV260" i="25" s="1"/>
  <c r="AO231" i="22"/>
  <c r="BL231" i="25" s="1"/>
  <c r="BT231" i="25" s="1"/>
  <c r="BV231" i="25" s="1"/>
  <c r="AO214" i="22"/>
  <c r="BL214" i="25" s="1"/>
  <c r="BT214" i="25" s="1"/>
  <c r="AO205" i="22"/>
  <c r="BL205" i="25" s="1"/>
  <c r="BT205" i="25" s="1"/>
  <c r="BV205" i="25" s="1"/>
  <c r="AO179" i="22"/>
  <c r="BL179" i="25" s="1"/>
  <c r="BT179" i="25" s="1"/>
  <c r="BV179" i="25" s="1"/>
  <c r="AO170" i="22"/>
  <c r="BL170" i="25" s="1"/>
  <c r="BT170" i="25" s="1"/>
  <c r="BV170" i="25" s="1"/>
  <c r="AO169" i="22"/>
  <c r="BL169" i="25" s="1"/>
  <c r="BT169" i="25" s="1"/>
  <c r="BV169" i="25" s="1"/>
  <c r="AO163" i="22"/>
  <c r="BL163" i="25" s="1"/>
  <c r="BT163" i="25" s="1"/>
  <c r="BV163" i="25" s="1"/>
  <c r="AO156" i="22"/>
  <c r="BL156" i="25" s="1"/>
  <c r="BT156" i="25" s="1"/>
  <c r="BV156" i="25" s="1"/>
  <c r="AO155" i="22"/>
  <c r="BL155" i="25" s="1"/>
  <c r="BT155" i="25" s="1"/>
  <c r="BV155" i="25" s="1"/>
  <c r="BL106" i="25"/>
  <c r="BT106" i="25" s="1"/>
  <c r="AO112" i="22"/>
  <c r="BL112" i="25" s="1"/>
  <c r="BT112" i="25" s="1"/>
  <c r="BV112" i="25" s="1"/>
  <c r="AO114" i="22"/>
  <c r="BL114" i="25" s="1"/>
  <c r="BT114" i="25" s="1"/>
  <c r="BV114" i="25" s="1"/>
  <c r="AO116" i="22"/>
  <c r="BL116" i="25" s="1"/>
  <c r="BT116" i="25" s="1"/>
  <c r="BV116" i="25" s="1"/>
  <c r="AO119" i="22"/>
  <c r="BL119" i="25" s="1"/>
  <c r="BT119" i="25" s="1"/>
  <c r="BV119" i="25" s="1"/>
  <c r="AO122" i="22"/>
  <c r="BL122" i="25" s="1"/>
  <c r="BT122" i="25" s="1"/>
  <c r="BV122" i="25" s="1"/>
  <c r="AO125" i="22"/>
  <c r="BL125" i="25" s="1"/>
  <c r="BT125" i="25" s="1"/>
  <c r="BV125" i="25" s="1"/>
  <c r="AO127" i="22"/>
  <c r="BL127" i="25" s="1"/>
  <c r="BT127" i="25" s="1"/>
  <c r="BV127" i="25" s="1"/>
  <c r="AO130" i="22"/>
  <c r="BL130" i="25" s="1"/>
  <c r="BT130" i="25" s="1"/>
  <c r="BV130" i="25" s="1"/>
  <c r="AO132" i="22"/>
  <c r="BL132" i="25" s="1"/>
  <c r="BT132" i="25" s="1"/>
  <c r="BV132" i="25" s="1"/>
  <c r="AO134" i="22"/>
  <c r="BL134" i="25" s="1"/>
  <c r="BT134" i="25" s="1"/>
  <c r="BV134" i="25" s="1"/>
  <c r="AO136" i="22"/>
  <c r="BL136" i="25" s="1"/>
  <c r="BT136" i="25" s="1"/>
  <c r="BV136" i="25" s="1"/>
  <c r="AO138" i="22"/>
  <c r="BL138" i="25" s="1"/>
  <c r="BT138" i="25" s="1"/>
  <c r="BV138" i="25" s="1"/>
  <c r="AO140" i="22"/>
  <c r="BL140" i="25" s="1"/>
  <c r="BT140" i="25" s="1"/>
  <c r="BV140" i="25" s="1"/>
  <c r="AO143" i="22"/>
  <c r="BL143" i="25" s="1"/>
  <c r="BT143" i="25" s="1"/>
  <c r="BV143" i="25" s="1"/>
  <c r="BL105" i="25"/>
  <c r="BT105" i="25" s="1"/>
  <c r="BV105" i="25" s="1"/>
  <c r="AO111" i="22"/>
  <c r="BL111" i="25" s="1"/>
  <c r="BT111" i="25" s="1"/>
  <c r="BV111" i="25" s="1"/>
  <c r="AO113" i="22"/>
  <c r="BL113" i="25" s="1"/>
  <c r="BT113" i="25" s="1"/>
  <c r="BV113" i="25" s="1"/>
  <c r="AO115" i="22"/>
  <c r="BL115" i="25" s="1"/>
  <c r="BT115" i="25" s="1"/>
  <c r="BV115" i="25" s="1"/>
  <c r="AO117" i="22"/>
  <c r="BL117" i="25" s="1"/>
  <c r="BT117" i="25" s="1"/>
  <c r="BV117" i="25" s="1"/>
  <c r="AO120" i="22"/>
  <c r="BL120" i="25" s="1"/>
  <c r="BT120" i="25" s="1"/>
  <c r="BV120" i="25" s="1"/>
  <c r="AO123" i="22"/>
  <c r="BL123" i="25" s="1"/>
  <c r="BT123" i="25" s="1"/>
  <c r="BV123" i="25" s="1"/>
  <c r="AO126" i="22"/>
  <c r="BL126" i="25" s="1"/>
  <c r="BT126" i="25" s="1"/>
  <c r="BV126" i="25" s="1"/>
  <c r="AO128" i="22"/>
  <c r="BL128" i="25" s="1"/>
  <c r="BT128" i="25" s="1"/>
  <c r="BV128" i="25" s="1"/>
  <c r="AO131" i="22"/>
  <c r="BL131" i="25" s="1"/>
  <c r="BT131" i="25" s="1"/>
  <c r="BV131" i="25" s="1"/>
  <c r="AO133" i="22"/>
  <c r="BL133" i="25" s="1"/>
  <c r="BT133" i="25" s="1"/>
  <c r="BV133" i="25" s="1"/>
  <c r="AO135" i="22"/>
  <c r="BL135" i="25" s="1"/>
  <c r="BT135" i="25" s="1"/>
  <c r="BV135" i="25" s="1"/>
  <c r="AO137" i="22"/>
  <c r="BL137" i="25" s="1"/>
  <c r="BT137" i="25" s="1"/>
  <c r="BV137" i="25" s="1"/>
  <c r="AO139" i="22"/>
  <c r="BL139" i="25" s="1"/>
  <c r="BT139" i="25" s="1"/>
  <c r="BV139" i="25" s="1"/>
  <c r="AO141" i="22"/>
  <c r="BL141" i="25" s="1"/>
  <c r="BT141" i="25" s="1"/>
  <c r="BV141" i="25" s="1"/>
  <c r="AO144" i="22"/>
  <c r="BL144" i="25" s="1"/>
  <c r="BT144" i="25" s="1"/>
  <c r="BV144" i="25" s="1"/>
  <c r="AO151" i="22"/>
  <c r="BL151" i="25" s="1"/>
  <c r="BT151" i="25" s="1"/>
  <c r="BV151" i="25" s="1"/>
  <c r="AO150" i="22"/>
  <c r="BL150" i="25" s="1"/>
  <c r="BT150" i="25" s="1"/>
  <c r="BV150" i="25" s="1"/>
  <c r="AO146" i="22"/>
  <c r="BL146" i="25" s="1"/>
  <c r="BT146" i="25" s="1"/>
  <c r="BV146" i="25" s="1"/>
  <c r="AO147" i="22"/>
  <c r="BL147" i="25" s="1"/>
  <c r="BT147" i="25" s="1"/>
  <c r="BV147" i="25" s="1"/>
  <c r="AO145" i="22"/>
  <c r="BL145" i="25" s="1"/>
  <c r="BT145" i="25" s="1"/>
  <c r="BV145" i="25" s="1"/>
  <c r="AK487" i="1"/>
  <c r="BL487" i="2" s="1"/>
  <c r="AK213" i="1"/>
  <c r="BL213" i="2" s="1"/>
  <c r="AK619" i="1"/>
  <c r="AK582" i="1"/>
  <c r="BL582" i="2" s="1"/>
  <c r="AK581" i="1"/>
  <c r="BL581" i="2" s="1"/>
  <c r="AK323" i="1"/>
  <c r="AG357" i="15"/>
  <c r="AY357" i="17" s="1"/>
  <c r="BC357" i="17" s="1"/>
  <c r="BE357" i="17" s="1"/>
  <c r="AG109" i="15"/>
  <c r="AY109" i="17" s="1"/>
  <c r="BC109" i="17" s="1"/>
  <c r="BE109" i="17" s="1"/>
  <c r="AG420" i="15"/>
  <c r="AG611" i="15"/>
  <c r="AY611" i="17" s="1"/>
  <c r="AG571" i="15"/>
  <c r="AG128" i="15"/>
  <c r="AY128" i="17" s="1"/>
  <c r="BC128" i="17" s="1"/>
  <c r="BE128" i="17" s="1"/>
  <c r="AG117" i="15"/>
  <c r="AY117" i="17" s="1"/>
  <c r="BC117" i="17" s="1"/>
  <c r="BE117" i="17" s="1"/>
  <c r="AG88" i="15"/>
  <c r="AY88" i="17" s="1"/>
  <c r="BC88" i="17" s="1"/>
  <c r="BE88" i="17" s="1"/>
  <c r="AG312" i="15"/>
  <c r="AY312" i="17" s="1"/>
  <c r="BC312" i="17" s="1"/>
  <c r="BE312" i="17" s="1"/>
  <c r="AG230" i="15"/>
  <c r="AY230" i="17" s="1"/>
  <c r="BC230" i="17" s="1"/>
  <c r="BE230" i="17" s="1"/>
  <c r="AB517" i="16"/>
  <c r="AB499" i="16"/>
  <c r="AB507" i="16"/>
  <c r="AB621" i="16"/>
  <c r="BL164" i="25"/>
  <c r="BT164" i="25" s="1"/>
  <c r="BV164" i="25" s="1"/>
  <c r="BL99" i="25"/>
  <c r="BT99" i="25" s="1"/>
  <c r="BV99" i="25" s="1"/>
  <c r="BL409" i="25"/>
  <c r="BT409" i="25" s="1"/>
  <c r="BV409" i="25" s="1"/>
  <c r="BL413" i="25"/>
  <c r="BT413" i="25" s="1"/>
  <c r="BV413" i="25" s="1"/>
  <c r="BL418" i="25"/>
  <c r="BT418" i="25" s="1"/>
  <c r="BV418" i="25" s="1"/>
  <c r="AB573" i="16"/>
  <c r="AB466" i="16"/>
  <c r="AG318" i="15"/>
  <c r="AY318" i="17" s="1"/>
  <c r="BC318" i="17" s="1"/>
  <c r="BE318" i="17" s="1"/>
  <c r="AB318" i="16"/>
  <c r="AB317" i="16"/>
  <c r="AB316" i="16"/>
  <c r="AB315" i="16"/>
  <c r="AB313" i="16"/>
  <c r="AB314" i="16"/>
  <c r="AB312" i="16"/>
  <c r="AB309" i="16"/>
  <c r="AK306" i="1"/>
  <c r="AB311" i="16"/>
  <c r="AB310" i="16"/>
  <c r="BL284" i="25"/>
  <c r="BT284" i="25" s="1"/>
  <c r="BV284" i="25" s="1"/>
  <c r="BL410" i="25"/>
  <c r="BT410" i="25" s="1"/>
  <c r="BV410" i="25" s="1"/>
  <c r="BL414" i="25"/>
  <c r="BT414" i="25" s="1"/>
  <c r="BV414" i="25" s="1"/>
  <c r="BJ107" i="25"/>
  <c r="BJ109" i="25"/>
  <c r="BL109" i="25" s="1"/>
  <c r="BT109" i="25" s="1"/>
  <c r="BV109" i="25" s="1"/>
  <c r="AB468" i="16"/>
  <c r="AB470" i="16"/>
  <c r="AB475" i="16"/>
  <c r="AB476" i="16"/>
  <c r="AB608" i="16"/>
  <c r="AB183" i="16"/>
  <c r="AB364" i="16"/>
  <c r="AB365" i="16"/>
  <c r="AB367" i="16"/>
  <c r="AB369" i="16"/>
  <c r="AB371" i="16"/>
  <c r="BL442" i="25"/>
  <c r="BT442" i="25" s="1"/>
  <c r="BV442" i="25" s="1"/>
  <c r="AB599" i="16"/>
  <c r="AB600" i="16"/>
  <c r="AB604" i="16"/>
  <c r="AB606" i="16"/>
  <c r="AB609" i="16"/>
  <c r="AB614" i="16"/>
  <c r="AB616" i="16"/>
  <c r="AB619" i="16"/>
  <c r="AB624" i="16"/>
  <c r="AB625" i="16"/>
  <c r="AB627" i="16"/>
  <c r="AB444" i="16"/>
  <c r="AB445" i="16"/>
  <c r="AB455" i="16"/>
  <c r="AB460" i="16"/>
  <c r="AB462" i="16"/>
  <c r="AB481" i="16"/>
  <c r="AB482" i="16"/>
  <c r="AB538" i="16"/>
  <c r="AB544" i="16"/>
  <c r="AB550" i="16"/>
  <c r="AB555" i="16"/>
  <c r="AB556" i="16"/>
  <c r="AB558" i="16"/>
  <c r="AB561" i="16"/>
  <c r="AB564" i="16"/>
  <c r="AB565" i="16"/>
  <c r="AB571" i="16"/>
  <c r="AB424" i="16"/>
  <c r="AB425" i="16"/>
  <c r="AB427" i="16"/>
  <c r="AB589" i="16"/>
  <c r="AB211" i="16"/>
  <c r="AB229" i="16"/>
  <c r="AB246" i="16"/>
  <c r="AB265" i="16"/>
  <c r="AB266" i="16"/>
  <c r="AB288" i="16"/>
  <c r="AB295" i="16"/>
  <c r="AB296" i="16"/>
  <c r="AB299" i="16"/>
  <c r="AB300" i="16"/>
  <c r="AK102" i="1"/>
  <c r="BL102" i="2" s="1"/>
  <c r="AK288" i="1"/>
  <c r="BL288" i="2" s="1"/>
  <c r="AB253" i="16"/>
  <c r="AK430" i="1"/>
  <c r="BL430" i="2" s="1"/>
  <c r="AK434" i="1"/>
  <c r="BL434" i="2" s="1"/>
  <c r="AG536" i="15"/>
  <c r="AG534" i="15"/>
  <c r="AY534" i="17" s="1"/>
  <c r="BC534" i="17" s="1"/>
  <c r="BE534" i="17" s="1"/>
  <c r="AG531" i="15"/>
  <c r="AY531" i="17" s="1"/>
  <c r="BC531" i="17" s="1"/>
  <c r="BE531" i="17" s="1"/>
  <c r="AG527" i="15"/>
  <c r="AG525" i="15"/>
  <c r="AG523" i="15"/>
  <c r="AG519" i="15"/>
  <c r="AG517" i="15"/>
  <c r="AY517" i="17" s="1"/>
  <c r="AG515" i="15"/>
  <c r="AG508" i="15"/>
  <c r="AG504" i="15"/>
  <c r="AG495" i="15"/>
  <c r="BV87" i="25"/>
  <c r="BV88" i="25"/>
  <c r="BV92" i="25"/>
  <c r="BV90" i="25"/>
  <c r="BV96" i="25"/>
  <c r="AK447" i="1"/>
  <c r="BT448" i="2" s="1"/>
  <c r="BV448" i="2" s="1"/>
  <c r="AK471" i="1"/>
  <c r="BL471" i="2" s="1"/>
  <c r="AK472" i="1"/>
  <c r="BL472" i="2" s="1"/>
  <c r="AK473" i="1"/>
  <c r="BL473" i="2" s="1"/>
  <c r="AK478" i="1"/>
  <c r="BL478" i="2" s="1"/>
  <c r="AK481" i="1"/>
  <c r="BL481" i="2" s="1"/>
  <c r="AK485" i="1"/>
  <c r="BL485" i="2" s="1"/>
  <c r="AK541" i="1"/>
  <c r="AK555" i="1"/>
  <c r="AK561" i="1"/>
  <c r="BL561" i="2" s="1"/>
  <c r="AB328" i="16"/>
  <c r="AB378" i="16"/>
  <c r="AB380" i="16"/>
  <c r="AB388" i="16"/>
  <c r="AB415" i="16"/>
  <c r="AK569" i="1"/>
  <c r="BC391" i="17"/>
  <c r="BE391" i="17" s="1"/>
  <c r="AB97" i="16"/>
  <c r="AB100" i="16"/>
  <c r="AB161" i="16"/>
  <c r="AK135" i="1"/>
  <c r="BL135" i="2" s="1"/>
  <c r="AK311" i="1"/>
  <c r="AK313" i="1"/>
  <c r="BL313" i="2" s="1"/>
  <c r="BT313" i="2" s="1"/>
  <c r="BV313" i="2" s="1"/>
  <c r="AK315" i="1"/>
  <c r="BL315" i="2" s="1"/>
  <c r="AK317" i="1"/>
  <c r="BL317" i="2" s="1"/>
  <c r="AK601" i="1"/>
  <c r="BL601" i="2" s="1"/>
  <c r="AK605" i="1"/>
  <c r="BL605" i="2" s="1"/>
  <c r="AK608" i="1"/>
  <c r="BL608" i="2" s="1"/>
  <c r="AK609" i="1"/>
  <c r="BL609" i="2" s="1"/>
  <c r="AK611" i="1"/>
  <c r="BL611" i="2" s="1"/>
  <c r="AK613" i="1"/>
  <c r="BL613" i="2" s="1"/>
  <c r="AK623" i="1"/>
  <c r="BL623" i="2" s="1"/>
  <c r="AK629" i="1"/>
  <c r="AK438" i="1"/>
  <c r="AK441" i="1"/>
  <c r="AK449" i="1"/>
  <c r="AK452" i="1"/>
  <c r="BL452" i="2" s="1"/>
  <c r="AK455" i="1"/>
  <c r="BL455" i="2" s="1"/>
  <c r="AK456" i="1"/>
  <c r="AK459" i="1"/>
  <c r="BL459" i="2" s="1"/>
  <c r="AK462" i="1"/>
  <c r="AK467" i="1"/>
  <c r="AK571" i="1"/>
  <c r="AG477" i="15"/>
  <c r="AY477" i="17" s="1"/>
  <c r="AG472" i="15"/>
  <c r="AY472" i="17" s="1"/>
  <c r="BC472" i="17" s="1"/>
  <c r="BE472" i="17" s="1"/>
  <c r="AG418" i="15"/>
  <c r="AG404" i="15"/>
  <c r="AY404" i="17" s="1"/>
  <c r="BC404" i="17" s="1"/>
  <c r="BE404" i="17" s="1"/>
  <c r="AG340" i="15"/>
  <c r="AY340" i="17" s="1"/>
  <c r="BC340" i="17" s="1"/>
  <c r="BE340" i="17" s="1"/>
  <c r="AG337" i="15"/>
  <c r="AY337" i="17" s="1"/>
  <c r="BC337" i="17" s="1"/>
  <c r="BE337" i="17" s="1"/>
  <c r="AG336" i="15"/>
  <c r="AY336" i="17" s="1"/>
  <c r="BC336" i="17" s="1"/>
  <c r="BE336" i="17" s="1"/>
  <c r="AG334" i="15"/>
  <c r="AY334" i="17" s="1"/>
  <c r="BC334" i="17" s="1"/>
  <c r="BE334" i="17" s="1"/>
  <c r="AG330" i="15"/>
  <c r="AY330" i="17" s="1"/>
  <c r="BC330" i="17" s="1"/>
  <c r="BE330" i="17" s="1"/>
  <c r="AG319" i="15"/>
  <c r="AY319" i="17" s="1"/>
  <c r="BC319" i="17" s="1"/>
  <c r="BE319" i="17" s="1"/>
  <c r="AG317" i="15"/>
  <c r="AY317" i="17" s="1"/>
  <c r="BC317" i="17" s="1"/>
  <c r="BE317" i="17" s="1"/>
  <c r="AG316" i="15"/>
  <c r="AY316" i="17" s="1"/>
  <c r="BC316" i="17" s="1"/>
  <c r="BE316" i="17" s="1"/>
  <c r="AG315" i="15"/>
  <c r="AY315" i="17" s="1"/>
  <c r="BC315" i="17" s="1"/>
  <c r="BE315" i="17" s="1"/>
  <c r="AG314" i="15"/>
  <c r="AY314" i="17" s="1"/>
  <c r="BC314" i="17" s="1"/>
  <c r="BE314" i="17" s="1"/>
  <c r="AG313" i="15"/>
  <c r="AY313" i="17" s="1"/>
  <c r="BC313" i="17" s="1"/>
  <c r="BE313" i="17" s="1"/>
  <c r="AG310" i="15"/>
  <c r="AY310" i="17" s="1"/>
  <c r="BC310" i="17" s="1"/>
  <c r="BE310" i="17" s="1"/>
  <c r="AG300" i="15"/>
  <c r="AY300" i="17" s="1"/>
  <c r="BC300" i="17" s="1"/>
  <c r="BE300" i="17" s="1"/>
  <c r="AG299" i="15"/>
  <c r="AY299" i="17" s="1"/>
  <c r="BC299" i="17" s="1"/>
  <c r="BE299" i="17" s="1"/>
  <c r="AG288" i="15"/>
  <c r="AY288" i="17" s="1"/>
  <c r="BC288" i="17" s="1"/>
  <c r="BE288" i="17" s="1"/>
  <c r="AG252" i="15"/>
  <c r="AY252" i="17" s="1"/>
  <c r="BC252" i="17" s="1"/>
  <c r="BE252" i="17" s="1"/>
  <c r="AG246" i="15"/>
  <c r="AY246" i="17" s="1"/>
  <c r="BC246" i="17" s="1"/>
  <c r="BE246" i="17" s="1"/>
  <c r="AG245" i="15"/>
  <c r="AY245" i="17" s="1"/>
  <c r="BC245" i="17" s="1"/>
  <c r="BE245" i="17" s="1"/>
  <c r="AG241" i="15"/>
  <c r="AY241" i="17" s="1"/>
  <c r="BC241" i="17" s="1"/>
  <c r="BE241" i="17" s="1"/>
  <c r="AG239" i="15"/>
  <c r="AY239" i="17" s="1"/>
  <c r="BC239" i="17" s="1"/>
  <c r="BE239" i="17" s="1"/>
  <c r="AG236" i="15"/>
  <c r="AY236" i="17" s="1"/>
  <c r="BC236" i="17" s="1"/>
  <c r="BE236" i="17" s="1"/>
  <c r="AG235" i="15"/>
  <c r="AY235" i="17" s="1"/>
  <c r="BC235" i="17" s="1"/>
  <c r="BE235" i="17" s="1"/>
  <c r="AG233" i="15"/>
  <c r="AY233" i="17" s="1"/>
  <c r="BC233" i="17" s="1"/>
  <c r="BE233" i="17" s="1"/>
  <c r="AG229" i="15"/>
  <c r="AY229" i="17" s="1"/>
  <c r="BC229" i="17" s="1"/>
  <c r="BE229" i="17" s="1"/>
  <c r="AG228" i="15"/>
  <c r="AY228" i="17" s="1"/>
  <c r="BC228" i="17" s="1"/>
  <c r="BE228" i="17" s="1"/>
  <c r="AG227" i="15"/>
  <c r="AY227" i="17" s="1"/>
  <c r="BC227" i="17" s="1"/>
  <c r="BE227" i="17" s="1"/>
  <c r="AG226" i="15"/>
  <c r="AY226" i="17" s="1"/>
  <c r="BC226" i="17" s="1"/>
  <c r="BE226" i="17" s="1"/>
  <c r="AG218" i="15"/>
  <c r="AY218" i="17" s="1"/>
  <c r="BC218" i="17" s="1"/>
  <c r="BE218" i="17" s="1"/>
  <c r="AG216" i="15"/>
  <c r="AY216" i="17" s="1"/>
  <c r="BC216" i="17" s="1"/>
  <c r="BE216" i="17" s="1"/>
  <c r="AG197" i="15"/>
  <c r="AY197" i="17" s="1"/>
  <c r="BC197" i="17" s="1"/>
  <c r="BE197" i="17" s="1"/>
  <c r="AG195" i="15"/>
  <c r="AY195" i="17" s="1"/>
  <c r="BC195" i="17" s="1"/>
  <c r="BE195" i="17" s="1"/>
  <c r="AG182" i="15"/>
  <c r="AY182" i="17" s="1"/>
  <c r="BC182" i="17" s="1"/>
  <c r="BE182" i="17" s="1"/>
  <c r="AG152" i="15"/>
  <c r="AY152" i="17" s="1"/>
  <c r="BC152" i="17" s="1"/>
  <c r="BE152" i="17" s="1"/>
  <c r="AG137" i="15"/>
  <c r="AY137" i="17" s="1"/>
  <c r="BC137" i="17" s="1"/>
  <c r="BE137" i="17" s="1"/>
  <c r="AG136" i="15"/>
  <c r="AY136" i="17" s="1"/>
  <c r="BC136" i="17" s="1"/>
  <c r="BE136" i="17" s="1"/>
  <c r="AG133" i="15"/>
  <c r="AY133" i="17" s="1"/>
  <c r="BC133" i="17" s="1"/>
  <c r="BE133" i="17" s="1"/>
  <c r="AG105" i="15"/>
  <c r="AY105" i="17" s="1"/>
  <c r="BC105" i="17" s="1"/>
  <c r="BE105" i="17" s="1"/>
  <c r="AG96" i="15"/>
  <c r="AY96" i="17" s="1"/>
  <c r="BC96" i="17" s="1"/>
  <c r="BE96" i="17" s="1"/>
  <c r="AG91" i="15"/>
  <c r="AY91" i="17" s="1"/>
  <c r="BC91" i="17" s="1"/>
  <c r="BE91" i="17" s="1"/>
  <c r="AG532" i="15"/>
  <c r="AG530" i="15"/>
  <c r="AY530" i="17" s="1"/>
  <c r="AG528" i="15"/>
  <c r="AG526" i="15"/>
  <c r="AY526" i="17" s="1"/>
  <c r="AG524" i="15"/>
  <c r="AG522" i="15"/>
  <c r="AY522" i="17" s="1"/>
  <c r="AG520" i="15"/>
  <c r="AG518" i="15"/>
  <c r="AY518" i="17" s="1"/>
  <c r="AG516" i="15"/>
  <c r="AG514" i="15"/>
  <c r="AY514" i="17" s="1"/>
  <c r="AG509" i="15"/>
  <c r="AG506" i="15"/>
  <c r="AY506" i="17" s="1"/>
  <c r="AG500" i="15"/>
  <c r="AG493" i="15"/>
  <c r="AY493" i="17" s="1"/>
  <c r="AY232" i="17"/>
  <c r="BC232" i="17" s="1"/>
  <c r="BE232" i="17" s="1"/>
  <c r="AB384" i="16"/>
  <c r="AB389" i="16"/>
  <c r="BT392" i="2"/>
  <c r="BV392" i="2" s="1"/>
  <c r="BT393" i="2"/>
  <c r="BV393" i="2" s="1"/>
  <c r="AK100" i="1"/>
  <c r="BL100" i="2" s="1"/>
  <c r="AK416" i="1"/>
  <c r="BL416" i="2" s="1"/>
  <c r="AK287" i="1"/>
  <c r="BL287" i="2" s="1"/>
  <c r="AK296" i="1"/>
  <c r="BL296" i="2" s="1"/>
  <c r="AK299" i="1"/>
  <c r="AK297" i="1"/>
  <c r="BL297" i="2" s="1"/>
  <c r="AK302" i="1"/>
  <c r="AK547" i="1"/>
  <c r="BL547" i="2" s="1"/>
  <c r="AK256" i="1"/>
  <c r="AK266" i="1"/>
  <c r="AG447" i="15"/>
  <c r="AY447" i="17" s="1"/>
  <c r="BC447" i="17" s="1"/>
  <c r="BE447" i="17" s="1"/>
  <c r="AG494" i="15"/>
  <c r="AG628" i="15"/>
  <c r="AY628" i="17" s="1"/>
  <c r="AG627" i="15"/>
  <c r="AG622" i="15"/>
  <c r="AY622" i="17" s="1"/>
  <c r="BC622" i="17" s="1"/>
  <c r="BE622" i="17" s="1"/>
  <c r="AG619" i="15"/>
  <c r="AG608" i="15"/>
  <c r="AY608" i="17" s="1"/>
  <c r="AG601" i="15"/>
  <c r="AG572" i="15"/>
  <c r="AY572" i="17" s="1"/>
  <c r="AG565" i="15"/>
  <c r="AG560" i="15"/>
  <c r="AG554" i="15"/>
  <c r="AG485" i="15"/>
  <c r="AY485" i="17" s="1"/>
  <c r="AG473" i="15"/>
  <c r="AG461" i="15"/>
  <c r="AG451" i="15"/>
  <c r="AG414" i="15"/>
  <c r="AG411" i="15"/>
  <c r="AY378" i="17"/>
  <c r="BC378" i="17" s="1"/>
  <c r="BE378" i="17" s="1"/>
  <c r="AG373" i="15"/>
  <c r="AY373" i="17" s="1"/>
  <c r="BC373" i="17" s="1"/>
  <c r="BE373" i="17" s="1"/>
  <c r="AG369" i="15"/>
  <c r="AY369" i="17" s="1"/>
  <c r="BC369" i="17" s="1"/>
  <c r="BE369" i="17" s="1"/>
  <c r="AG368" i="15"/>
  <c r="AY368" i="17" s="1"/>
  <c r="BC368" i="17" s="1"/>
  <c r="BE368" i="17" s="1"/>
  <c r="AG361" i="15"/>
  <c r="AY361" i="17" s="1"/>
  <c r="BC361" i="17" s="1"/>
  <c r="BE361" i="17" s="1"/>
  <c r="AG356" i="15"/>
  <c r="AY356" i="17" s="1"/>
  <c r="BC356" i="17" s="1"/>
  <c r="BE356" i="17" s="1"/>
  <c r="AG352" i="15"/>
  <c r="AY352" i="17" s="1"/>
  <c r="BC352" i="17" s="1"/>
  <c r="BE352" i="17" s="1"/>
  <c r="AG351" i="15"/>
  <c r="AY351" i="17" s="1"/>
  <c r="BC351" i="17" s="1"/>
  <c r="BE351" i="17" s="1"/>
  <c r="AG349" i="15"/>
  <c r="AY349" i="17" s="1"/>
  <c r="BC349" i="17" s="1"/>
  <c r="BE349" i="17" s="1"/>
  <c r="AG348" i="15"/>
  <c r="AY348" i="17" s="1"/>
  <c r="BC348" i="17" s="1"/>
  <c r="BE348" i="17" s="1"/>
  <c r="AG346" i="15"/>
  <c r="AY346" i="17" s="1"/>
  <c r="BC346" i="17" s="1"/>
  <c r="BE346" i="17" s="1"/>
  <c r="AG342" i="15"/>
  <c r="AY342" i="17" s="1"/>
  <c r="BC342" i="17" s="1"/>
  <c r="BE342" i="17" s="1"/>
  <c r="AG341" i="15"/>
  <c r="AY341" i="17" s="1"/>
  <c r="BC341" i="17" s="1"/>
  <c r="BE341" i="17" s="1"/>
  <c r="AG189" i="15"/>
  <c r="AY189" i="17" s="1"/>
  <c r="BC189" i="17" s="1"/>
  <c r="BE189" i="17" s="1"/>
  <c r="BV86" i="25"/>
  <c r="BT431" i="2"/>
  <c r="BV431" i="2" s="1"/>
  <c r="AK525" i="1"/>
  <c r="BL525" i="2" s="1"/>
  <c r="AK630" i="1"/>
  <c r="BL630" i="2" s="1"/>
  <c r="AK373" i="1"/>
  <c r="AK234" i="1"/>
  <c r="BL234" i="2" s="1"/>
  <c r="AK244" i="1"/>
  <c r="AK246" i="1"/>
  <c r="AK236" i="1"/>
  <c r="AK432" i="1"/>
  <c r="BL432" i="2" s="1"/>
  <c r="AK436" i="1"/>
  <c r="BL436" i="2" s="1"/>
  <c r="BC432" i="17"/>
  <c r="BE432" i="17" s="1"/>
  <c r="BC430" i="17"/>
  <c r="BE430" i="17" s="1"/>
  <c r="BC412" i="17"/>
  <c r="BE412" i="17" s="1"/>
  <c r="AY377" i="17"/>
  <c r="BC377" i="17" s="1"/>
  <c r="BE377" i="17" s="1"/>
  <c r="AG153" i="15"/>
  <c r="AY153" i="17" s="1"/>
  <c r="BC153" i="17" s="1"/>
  <c r="BE153" i="17" s="1"/>
  <c r="AG140" i="15"/>
  <c r="AY140" i="17" s="1"/>
  <c r="BC140" i="17" s="1"/>
  <c r="BE140" i="17" s="1"/>
  <c r="AG93" i="15"/>
  <c r="AY93" i="17" s="1"/>
  <c r="BC93" i="17" s="1"/>
  <c r="BE93" i="17" s="1"/>
  <c r="AG492" i="15"/>
  <c r="AG502" i="15"/>
  <c r="AG507" i="15"/>
  <c r="AY507" i="17" s="1"/>
  <c r="AK110" i="1"/>
  <c r="BL110" i="2" s="1"/>
  <c r="AK136" i="1"/>
  <c r="BL136" i="2" s="1"/>
  <c r="AK137" i="1"/>
  <c r="BL137" i="2" s="1"/>
  <c r="AK220" i="1"/>
  <c r="BL220" i="2" s="1"/>
  <c r="BT397" i="2"/>
  <c r="BV397" i="2" s="1"/>
  <c r="AK409" i="1"/>
  <c r="BL409" i="2" s="1"/>
  <c r="AK97" i="1"/>
  <c r="BL97" i="2" s="1"/>
  <c r="AK285" i="1"/>
  <c r="BL285" i="2" s="1"/>
  <c r="BT285" i="2" s="1"/>
  <c r="BV285" i="2" s="1"/>
  <c r="AK286" i="1"/>
  <c r="BL286" i="2" s="1"/>
  <c r="AK289" i="1"/>
  <c r="BL289" i="2" s="1"/>
  <c r="AK291" i="1"/>
  <c r="BL291" i="2" s="1"/>
  <c r="AK293" i="1"/>
  <c r="BL293" i="2" s="1"/>
  <c r="AK298" i="1"/>
  <c r="BL298" i="2" s="1"/>
  <c r="AK300" i="1"/>
  <c r="BL300" i="2" s="1"/>
  <c r="AK301" i="1"/>
  <c r="BL301" i="2" s="1"/>
  <c r="AK308" i="1"/>
  <c r="BL308" i="2" s="1"/>
  <c r="AK318" i="1"/>
  <c r="BL318" i="2" s="1"/>
  <c r="AK583" i="1"/>
  <c r="AK598" i="1"/>
  <c r="BL598" i="2" s="1"/>
  <c r="AK600" i="1"/>
  <c r="BL600" i="2" s="1"/>
  <c r="AK602" i="1"/>
  <c r="BL602" i="2" s="1"/>
  <c r="AK604" i="1"/>
  <c r="BL604" i="2" s="1"/>
  <c r="AK628" i="1"/>
  <c r="BL628" i="2" s="1"/>
  <c r="AK184" i="1"/>
  <c r="AK187" i="1"/>
  <c r="BL187" i="2" s="1"/>
  <c r="AK189" i="1"/>
  <c r="AK191" i="1"/>
  <c r="AK197" i="1"/>
  <c r="AK372" i="1"/>
  <c r="BL372" i="2" s="1"/>
  <c r="AK241" i="1"/>
  <c r="AK429" i="1"/>
  <c r="BL429" i="2" s="1"/>
  <c r="AK433" i="1"/>
  <c r="BL433" i="2" s="1"/>
  <c r="AK435" i="1"/>
  <c r="AK437" i="1"/>
  <c r="BL437" i="2" s="1"/>
  <c r="AK444" i="1"/>
  <c r="BL444" i="2" s="1"/>
  <c r="AK474" i="1"/>
  <c r="BL474" i="2" s="1"/>
  <c r="AK475" i="1"/>
  <c r="AK482" i="1"/>
  <c r="BL482" i="2" s="1"/>
  <c r="AK538" i="1"/>
  <c r="BL538" i="2" s="1"/>
  <c r="AK558" i="1"/>
  <c r="BL558" i="2" s="1"/>
  <c r="AK564" i="1"/>
  <c r="AK572" i="1"/>
  <c r="BL572" i="2" s="1"/>
  <c r="AK488" i="1"/>
  <c r="AK497" i="1"/>
  <c r="AK503" i="1"/>
  <c r="BL503" i="2" s="1"/>
  <c r="AK504" i="1"/>
  <c r="AK507" i="1"/>
  <c r="AK509" i="1"/>
  <c r="AK510" i="1"/>
  <c r="AK512" i="1"/>
  <c r="AK513" i="1"/>
  <c r="BL513" i="2" s="1"/>
  <c r="AK514" i="1"/>
  <c r="BL514" i="2" s="1"/>
  <c r="AK516" i="1"/>
  <c r="BL516" i="2" s="1"/>
  <c r="BT516" i="2" s="1"/>
  <c r="BV516" i="2" s="1"/>
  <c r="AK517" i="1"/>
  <c r="BL517" i="2" s="1"/>
  <c r="AK518" i="1"/>
  <c r="BL518" i="2" s="1"/>
  <c r="AK519" i="1"/>
  <c r="BL519" i="2" s="1"/>
  <c r="AK524" i="1"/>
  <c r="BL524" i="2" s="1"/>
  <c r="AK526" i="1"/>
  <c r="BL526" i="2" s="1"/>
  <c r="AK265" i="1"/>
  <c r="BL265" i="2" s="1"/>
  <c r="AB184" i="16"/>
  <c r="AB202" i="16"/>
  <c r="AB212" i="16"/>
  <c r="AB241" i="16"/>
  <c r="AB321" i="16"/>
  <c r="AB333" i="16"/>
  <c r="AB340" i="16"/>
  <c r="AB344" i="16"/>
  <c r="AB352" i="16"/>
  <c r="AB357" i="16"/>
  <c r="AB361" i="16"/>
  <c r="AB394" i="16"/>
  <c r="AB402" i="16"/>
  <c r="AB406" i="16"/>
  <c r="AB411" i="16"/>
  <c r="AB420" i="16"/>
  <c r="AB437" i="16"/>
  <c r="AK365" i="1"/>
  <c r="BL365" i="2" s="1"/>
  <c r="AK367" i="1"/>
  <c r="BL367" i="2" s="1"/>
  <c r="AK370" i="1"/>
  <c r="BL370" i="2" s="1"/>
  <c r="AG167" i="15"/>
  <c r="AY167" i="17" s="1"/>
  <c r="BC167" i="17" s="1"/>
  <c r="BE167" i="17" s="1"/>
  <c r="AG291" i="15"/>
  <c r="AY291" i="17" s="1"/>
  <c r="BC291" i="17" s="1"/>
  <c r="BE291" i="17" s="1"/>
  <c r="AB151" i="16"/>
  <c r="AB168" i="16"/>
  <c r="AB198" i="16"/>
  <c r="AB207" i="16"/>
  <c r="AB216" i="16"/>
  <c r="AB228" i="16"/>
  <c r="AB245" i="16"/>
  <c r="AB319" i="16"/>
  <c r="AB325" i="16"/>
  <c r="AB331" i="16"/>
  <c r="AB338" i="16"/>
  <c r="AB342" i="16"/>
  <c r="AB346" i="16"/>
  <c r="AB350" i="16"/>
  <c r="AB355" i="16"/>
  <c r="AB359" i="16"/>
  <c r="AB376" i="16"/>
  <c r="AB382" i="16"/>
  <c r="AB386" i="16"/>
  <c r="AB392" i="16"/>
  <c r="AB396" i="16"/>
  <c r="AB400" i="16"/>
  <c r="AB404" i="16"/>
  <c r="AB409" i="16"/>
  <c r="AB413" i="16"/>
  <c r="AB418" i="16"/>
  <c r="AB576" i="16"/>
  <c r="AB582" i="16"/>
  <c r="AB587" i="16"/>
  <c r="AB232" i="16"/>
  <c r="BL237" i="25"/>
  <c r="BT237" i="25" s="1"/>
  <c r="BV237" i="25" s="1"/>
  <c r="AK114" i="1"/>
  <c r="AK131" i="1"/>
  <c r="BL131" i="2" s="1"/>
  <c r="BT131" i="2" s="1"/>
  <c r="BV131" i="2" s="1"/>
  <c r="AK133" i="1"/>
  <c r="BL133" i="2" s="1"/>
  <c r="BT133" i="2" s="1"/>
  <c r="BV133" i="2" s="1"/>
  <c r="AK165" i="1"/>
  <c r="BL165" i="2" s="1"/>
  <c r="AK231" i="1"/>
  <c r="BL231" i="2" s="1"/>
  <c r="AK273" i="1"/>
  <c r="BL273" i="2" s="1"/>
  <c r="AK277" i="1"/>
  <c r="BL277" i="2" s="1"/>
  <c r="AK279" i="1"/>
  <c r="BL279" i="2" s="1"/>
  <c r="AG469" i="15"/>
  <c r="BC400" i="17"/>
  <c r="BE400" i="17" s="1"/>
  <c r="AB158" i="16"/>
  <c r="AB172" i="16"/>
  <c r="AB191" i="16"/>
  <c r="AB279" i="16"/>
  <c r="AB280" i="16"/>
  <c r="AB281" i="16"/>
  <c r="AB285" i="16"/>
  <c r="AG275" i="15"/>
  <c r="AY275" i="17" s="1"/>
  <c r="BC275" i="17" s="1"/>
  <c r="BE275" i="17" s="1"/>
  <c r="AB601" i="16"/>
  <c r="AB603" i="16"/>
  <c r="AB610" i="16"/>
  <c r="AB615" i="16"/>
  <c r="AB617" i="16"/>
  <c r="AB618" i="16"/>
  <c r="AB623" i="16"/>
  <c r="AB630" i="16"/>
  <c r="AB509" i="16"/>
  <c r="AB536" i="16"/>
  <c r="AB263" i="16"/>
  <c r="AG257" i="15"/>
  <c r="AY257" i="17" s="1"/>
  <c r="BC257" i="17" s="1"/>
  <c r="BE257" i="17" s="1"/>
  <c r="AB251" i="16"/>
  <c r="AB250" i="16"/>
  <c r="AK248" i="1"/>
  <c r="BL185" i="25"/>
  <c r="BT185" i="25" s="1"/>
  <c r="BV185" i="25" s="1"/>
  <c r="BL204" i="25"/>
  <c r="BT204" i="25" s="1"/>
  <c r="BV204" i="25" s="1"/>
  <c r="AK235" i="1"/>
  <c r="BL235" i="2" s="1"/>
  <c r="AG215" i="15"/>
  <c r="AY215" i="17" s="1"/>
  <c r="BC215" i="17" s="1"/>
  <c r="BE215" i="17" s="1"/>
  <c r="AK152" i="1"/>
  <c r="BL152" i="2" s="1"/>
  <c r="AK156" i="1"/>
  <c r="BL156" i="2" s="1"/>
  <c r="AK204" i="1"/>
  <c r="BL204" i="2" s="1"/>
  <c r="AK346" i="1"/>
  <c r="BL346" i="2" s="1"/>
  <c r="AK186" i="1"/>
  <c r="BL186" i="2" s="1"/>
  <c r="AK157" i="1"/>
  <c r="AK168" i="1"/>
  <c r="AK332" i="1"/>
  <c r="BL332" i="2" s="1"/>
  <c r="AK338" i="1"/>
  <c r="BL338" i="2" s="1"/>
  <c r="AK340" i="1"/>
  <c r="BL340" i="2" s="1"/>
  <c r="AK341" i="1"/>
  <c r="AK342" i="1"/>
  <c r="BL342" i="2" s="1"/>
  <c r="AK343" i="1"/>
  <c r="AK344" i="1"/>
  <c r="BL344" i="2" s="1"/>
  <c r="BT389" i="2"/>
  <c r="BV389" i="2" s="1"/>
  <c r="BT391" i="2"/>
  <c r="BV391" i="2" s="1"/>
  <c r="AK321" i="1"/>
  <c r="AY206" i="17"/>
  <c r="BC206" i="17" s="1"/>
  <c r="BE206" i="17" s="1"/>
  <c r="AG309" i="15"/>
  <c r="AY309" i="17" s="1"/>
  <c r="BC309" i="17" s="1"/>
  <c r="BE309" i="17" s="1"/>
  <c r="AG308" i="15"/>
  <c r="AY308" i="17" s="1"/>
  <c r="BC308" i="17" s="1"/>
  <c r="BE308" i="17" s="1"/>
  <c r="AG307" i="15"/>
  <c r="AY307" i="17" s="1"/>
  <c r="BC307" i="17" s="1"/>
  <c r="BE307" i="17" s="1"/>
  <c r="AG302" i="15"/>
  <c r="AY302" i="17" s="1"/>
  <c r="BC302" i="17" s="1"/>
  <c r="BE302" i="17" s="1"/>
  <c r="AG114" i="15"/>
  <c r="AY114" i="17" s="1"/>
  <c r="BC114" i="17" s="1"/>
  <c r="BE114" i="17" s="1"/>
  <c r="AG433" i="15"/>
  <c r="AY433" i="17" s="1"/>
  <c r="BC433" i="17" s="1"/>
  <c r="BE433" i="17" s="1"/>
  <c r="AG583" i="15"/>
  <c r="AY583" i="17" s="1"/>
  <c r="BC583" i="17" s="1"/>
  <c r="BE583" i="17" s="1"/>
  <c r="AG592" i="15"/>
  <c r="AG593" i="15"/>
  <c r="AY593" i="17" s="1"/>
  <c r="BC593" i="17" s="1"/>
  <c r="BE593" i="17" s="1"/>
  <c r="AG614" i="15"/>
  <c r="AG612" i="15"/>
  <c r="AY612" i="17" s="1"/>
  <c r="AG606" i="15"/>
  <c r="AG605" i="15"/>
  <c r="AG604" i="15"/>
  <c r="AG603" i="15"/>
  <c r="AY603" i="17" s="1"/>
  <c r="AG602" i="15"/>
  <c r="AG600" i="15"/>
  <c r="AY600" i="17" s="1"/>
  <c r="BC600" i="17" s="1"/>
  <c r="BE600" i="17" s="1"/>
  <c r="AG598" i="15"/>
  <c r="AG540" i="15"/>
  <c r="AG487" i="15"/>
  <c r="AG486" i="15"/>
  <c r="AG484" i="15"/>
  <c r="AG483" i="15"/>
  <c r="AG482" i="15"/>
  <c r="AG479" i="15"/>
  <c r="AY479" i="17" s="1"/>
  <c r="AG471" i="15"/>
  <c r="AG470" i="15"/>
  <c r="AG467" i="15"/>
  <c r="AG465" i="15"/>
  <c r="AG462" i="15"/>
  <c r="AG460" i="15"/>
  <c r="AY460" i="17" s="1"/>
  <c r="AG458" i="15"/>
  <c r="AG456" i="15"/>
  <c r="AY456" i="17" s="1"/>
  <c r="AG449" i="15"/>
  <c r="AY449" i="17" s="1"/>
  <c r="AG445" i="15"/>
  <c r="AG437" i="15"/>
  <c r="AY437" i="17" s="1"/>
  <c r="BC437" i="17" s="1"/>
  <c r="BE437" i="17" s="1"/>
  <c r="AG419" i="15"/>
  <c r="AG416" i="15"/>
  <c r="AG415" i="15"/>
  <c r="AG410" i="15"/>
  <c r="AG409" i="15"/>
  <c r="BC401" i="17"/>
  <c r="BE401" i="17" s="1"/>
  <c r="BC399" i="17"/>
  <c r="BE399" i="17" s="1"/>
  <c r="BC398" i="17"/>
  <c r="BE398" i="17" s="1"/>
  <c r="BC397" i="17"/>
  <c r="BE397" i="17" s="1"/>
  <c r="BC393" i="17"/>
  <c r="BE393" i="17" s="1"/>
  <c r="BC389" i="17"/>
  <c r="BE389" i="17" s="1"/>
  <c r="BC387" i="17"/>
  <c r="BE387" i="17" s="1"/>
  <c r="AY386" i="17"/>
  <c r="BC386" i="17" s="1"/>
  <c r="BE386" i="17" s="1"/>
  <c r="AY385" i="17"/>
  <c r="BC385" i="17" s="1"/>
  <c r="BE385" i="17" s="1"/>
  <c r="AY384" i="17"/>
  <c r="BC384" i="17" s="1"/>
  <c r="BE384" i="17" s="1"/>
  <c r="AY383" i="17"/>
  <c r="BC383" i="17" s="1"/>
  <c r="BE383" i="17" s="1"/>
  <c r="AY380" i="17"/>
  <c r="BC380" i="17" s="1"/>
  <c r="BE380" i="17" s="1"/>
  <c r="AY376" i="17"/>
  <c r="BC376" i="17" s="1"/>
  <c r="BE376" i="17" s="1"/>
  <c r="AG372" i="15"/>
  <c r="AY372" i="17" s="1"/>
  <c r="BC372" i="17" s="1"/>
  <c r="BE372" i="17" s="1"/>
  <c r="AG371" i="15"/>
  <c r="AY371" i="17" s="1"/>
  <c r="BC371" i="17" s="1"/>
  <c r="BE371" i="17" s="1"/>
  <c r="AG367" i="15"/>
  <c r="AY367" i="17" s="1"/>
  <c r="BC367" i="17" s="1"/>
  <c r="BE367" i="17" s="1"/>
  <c r="AG366" i="15"/>
  <c r="AY366" i="17" s="1"/>
  <c r="BC366" i="17" s="1"/>
  <c r="BE366" i="17" s="1"/>
  <c r="AG364" i="15"/>
  <c r="AY364" i="17" s="1"/>
  <c r="BC364" i="17" s="1"/>
  <c r="BE364" i="17" s="1"/>
  <c r="AB247" i="16"/>
  <c r="AB255" i="16"/>
  <c r="AK182" i="1"/>
  <c r="AY180" i="17"/>
  <c r="BC180" i="17" s="1"/>
  <c r="BE180" i="17" s="1"/>
  <c r="AG175" i="15"/>
  <c r="AY175" i="17" s="1"/>
  <c r="BC175" i="17" s="1"/>
  <c r="BE175" i="17" s="1"/>
  <c r="AG174" i="15"/>
  <c r="AY174" i="17" s="1"/>
  <c r="BC174" i="17" s="1"/>
  <c r="BE174" i="17" s="1"/>
  <c r="AG172" i="15"/>
  <c r="AY172" i="17" s="1"/>
  <c r="BC172" i="17" s="1"/>
  <c r="BE172" i="17" s="1"/>
  <c r="AG171" i="15"/>
  <c r="AY171" i="17" s="1"/>
  <c r="BC171" i="17" s="1"/>
  <c r="BE171" i="17" s="1"/>
  <c r="AG168" i="15"/>
  <c r="AY168" i="17" s="1"/>
  <c r="BC168" i="17" s="1"/>
  <c r="BE168" i="17" s="1"/>
  <c r="AK167" i="1"/>
  <c r="BL167" i="2" s="1"/>
  <c r="AK166" i="1"/>
  <c r="BL166" i="2" s="1"/>
  <c r="AG166" i="15"/>
  <c r="AY166" i="17" s="1"/>
  <c r="BC166" i="17" s="1"/>
  <c r="BE166" i="17" s="1"/>
  <c r="AG163" i="15"/>
  <c r="AY163" i="17" s="1"/>
  <c r="BC163" i="17" s="1"/>
  <c r="BE163" i="17" s="1"/>
  <c r="AG161" i="15"/>
  <c r="AY161" i="17" s="1"/>
  <c r="BC161" i="17" s="1"/>
  <c r="BE161" i="17" s="1"/>
  <c r="AK160" i="1"/>
  <c r="AG160" i="15"/>
  <c r="AY160" i="17" s="1"/>
  <c r="BC160" i="17" s="1"/>
  <c r="BE160" i="17" s="1"/>
  <c r="AG159" i="15"/>
  <c r="AY159" i="17" s="1"/>
  <c r="BC159" i="17" s="1"/>
  <c r="BE159" i="17" s="1"/>
  <c r="AG157" i="15"/>
  <c r="AY157" i="17" s="1"/>
  <c r="BC157" i="17" s="1"/>
  <c r="BE157" i="17" s="1"/>
  <c r="AG156" i="15"/>
  <c r="AY156" i="17" s="1"/>
  <c r="BC156" i="17" s="1"/>
  <c r="BE156" i="17" s="1"/>
  <c r="AY151" i="17"/>
  <c r="BC151" i="17" s="1"/>
  <c r="BE151" i="17" s="1"/>
  <c r="AY146" i="17"/>
  <c r="BC146" i="17" s="1"/>
  <c r="BE146" i="17" s="1"/>
  <c r="AK111" i="1"/>
  <c r="BL111" i="2" s="1"/>
  <c r="AK129" i="1"/>
  <c r="AK211" i="1"/>
  <c r="BL211" i="2" s="1"/>
  <c r="AK212" i="1"/>
  <c r="BL212" i="2" s="1"/>
  <c r="AK215" i="1"/>
  <c r="BL215" i="2" s="1"/>
  <c r="BT215" i="2" s="1"/>
  <c r="BV215" i="2" s="1"/>
  <c r="AK218" i="1"/>
  <c r="BL218" i="2" s="1"/>
  <c r="AK219" i="1"/>
  <c r="BL219" i="2" s="1"/>
  <c r="AK221" i="1"/>
  <c r="BL221" i="2" s="1"/>
  <c r="AK328" i="1"/>
  <c r="BL328" i="2" s="1"/>
  <c r="AK329" i="1"/>
  <c r="BL329" i="2" s="1"/>
  <c r="AK330" i="1"/>
  <c r="AK331" i="1"/>
  <c r="BL331" i="2" s="1"/>
  <c r="AK404" i="1"/>
  <c r="BL404" i="2" s="1"/>
  <c r="BT404" i="2" s="1"/>
  <c r="BV404" i="2" s="1"/>
  <c r="AK290" i="1"/>
  <c r="BL290" i="2" s="1"/>
  <c r="AK325" i="1"/>
  <c r="BL325" i="2" s="1"/>
  <c r="AK363" i="1"/>
  <c r="BL363" i="2" s="1"/>
  <c r="AK364" i="1"/>
  <c r="BL364" i="2" s="1"/>
  <c r="BT381" i="2"/>
  <c r="BV381" i="2" s="1"/>
  <c r="AK543" i="1"/>
  <c r="BC395" i="17"/>
  <c r="BE395" i="17" s="1"/>
  <c r="AY381" i="17"/>
  <c r="BC381" i="17" s="1"/>
  <c r="BE381" i="17" s="1"/>
  <c r="AY379" i="17"/>
  <c r="BC379" i="17" s="1"/>
  <c r="BE379" i="17" s="1"/>
  <c r="AK345" i="1"/>
  <c r="BL345" i="2" s="1"/>
  <c r="AK362" i="1"/>
  <c r="BL362" i="2" s="1"/>
  <c r="AK366" i="1"/>
  <c r="BT376" i="2"/>
  <c r="BV376" i="2" s="1"/>
  <c r="BT378" i="2"/>
  <c r="BV378" i="2" s="1"/>
  <c r="AK233" i="1"/>
  <c r="AK486" i="1"/>
  <c r="BL486" i="2" s="1"/>
  <c r="AK451" i="1"/>
  <c r="BL451" i="2" s="1"/>
  <c r="AK454" i="1"/>
  <c r="BL454" i="2" s="1"/>
  <c r="AK540" i="1"/>
  <c r="BL540" i="2" s="1"/>
  <c r="AK530" i="1"/>
  <c r="BL530" i="2" s="1"/>
  <c r="AK535" i="1"/>
  <c r="AK125" i="1"/>
  <c r="BL125" i="2" s="1"/>
  <c r="BT125" i="2" s="1"/>
  <c r="BV125" i="2" s="1"/>
  <c r="AK130" i="1"/>
  <c r="AK144" i="1"/>
  <c r="AK146" i="1"/>
  <c r="BL146" i="2" s="1"/>
  <c r="AK336" i="1"/>
  <c r="BL336" i="2" s="1"/>
  <c r="AK337" i="1"/>
  <c r="BL337" i="2" s="1"/>
  <c r="AK418" i="1"/>
  <c r="BL418" i="2" s="1"/>
  <c r="AK419" i="1"/>
  <c r="BL419" i="2" s="1"/>
  <c r="AK420" i="1"/>
  <c r="AK422" i="1"/>
  <c r="BL422" i="2" s="1"/>
  <c r="AK94" i="1"/>
  <c r="BL94" i="2" s="1"/>
  <c r="AK95" i="1"/>
  <c r="BL95" i="2" s="1"/>
  <c r="AK281" i="1"/>
  <c r="AK307" i="1"/>
  <c r="AK309" i="1"/>
  <c r="BL309" i="2" s="1"/>
  <c r="AK617" i="1"/>
  <c r="BL617" i="2" s="1"/>
  <c r="AK143" i="1"/>
  <c r="BL143" i="2" s="1"/>
  <c r="AK141" i="1"/>
  <c r="AG139" i="15"/>
  <c r="AY139" i="17" s="1"/>
  <c r="BC139" i="17" s="1"/>
  <c r="BE139" i="17" s="1"/>
  <c r="AG138" i="15"/>
  <c r="AY138" i="17" s="1"/>
  <c r="BC138" i="17" s="1"/>
  <c r="BE138" i="17" s="1"/>
  <c r="AK134" i="1"/>
  <c r="BL134" i="2" s="1"/>
  <c r="AG132" i="15"/>
  <c r="AY132" i="17" s="1"/>
  <c r="BC132" i="17" s="1"/>
  <c r="BE132" i="17" s="1"/>
  <c r="AG129" i="15"/>
  <c r="AY129" i="17" s="1"/>
  <c r="BC129" i="17" s="1"/>
  <c r="BE129" i="17" s="1"/>
  <c r="AG127" i="15"/>
  <c r="AY127" i="17" s="1"/>
  <c r="BC127" i="17" s="1"/>
  <c r="BE127" i="17" s="1"/>
  <c r="AG125" i="15"/>
  <c r="AY125" i="17" s="1"/>
  <c r="BC125" i="17" s="1"/>
  <c r="BE125" i="17" s="1"/>
  <c r="AK123" i="1"/>
  <c r="BL123" i="2" s="1"/>
  <c r="AK122" i="1"/>
  <c r="AK120" i="1"/>
  <c r="BL120" i="2" s="1"/>
  <c r="AG120" i="15"/>
  <c r="AY120" i="17" s="1"/>
  <c r="BC120" i="17" s="1"/>
  <c r="BE120" i="17" s="1"/>
  <c r="AK119" i="1"/>
  <c r="AK103" i="1"/>
  <c r="BL103" i="2" s="1"/>
  <c r="BT103" i="2" s="1"/>
  <c r="BV103" i="2" s="1"/>
  <c r="AK117" i="1"/>
  <c r="BL117" i="2" s="1"/>
  <c r="AB239" i="16"/>
  <c r="AB240" i="16"/>
  <c r="AB242" i="16"/>
  <c r="AB248" i="16"/>
  <c r="AB252" i="16"/>
  <c r="AB320" i="16"/>
  <c r="AB323" i="16"/>
  <c r="AB327" i="16"/>
  <c r="AB330" i="16"/>
  <c r="AB332" i="16"/>
  <c r="AB334" i="16"/>
  <c r="AB337" i="16"/>
  <c r="AB339" i="16"/>
  <c r="AB341" i="16"/>
  <c r="AB343" i="16"/>
  <c r="AB345" i="16"/>
  <c r="AB347" i="16"/>
  <c r="AB349" i="16"/>
  <c r="AB351" i="16"/>
  <c r="AB353" i="16"/>
  <c r="AB374" i="16"/>
  <c r="AB377" i="16"/>
  <c r="AB390" i="16"/>
  <c r="AB393" i="16"/>
  <c r="AB395" i="16"/>
  <c r="AB397" i="16"/>
  <c r="AB399" i="16"/>
  <c r="AB401" i="16"/>
  <c r="AB403" i="16"/>
  <c r="AB405" i="16"/>
  <c r="AB407" i="16"/>
  <c r="AB410" i="16"/>
  <c r="AB412" i="16"/>
  <c r="AB414" i="16"/>
  <c r="AB416" i="16"/>
  <c r="AB419" i="16"/>
  <c r="AK116" i="1"/>
  <c r="BL116" i="2" s="1"/>
  <c r="AK113" i="1"/>
  <c r="BL113" i="2" s="1"/>
  <c r="AK112" i="1"/>
  <c r="BL112" i="2" s="1"/>
  <c r="AK104" i="1"/>
  <c r="BL104" i="2" s="1"/>
  <c r="AB108" i="16"/>
  <c r="AK106" i="1"/>
  <c r="BL106" i="2" s="1"/>
  <c r="AK105" i="1"/>
  <c r="BL105" i="2" s="1"/>
  <c r="AG104" i="15"/>
  <c r="AY104" i="17" s="1"/>
  <c r="BC104" i="17" s="1"/>
  <c r="BE104" i="17" s="1"/>
  <c r="BL100" i="25"/>
  <c r="BT100" i="25" s="1"/>
  <c r="BV100" i="25" s="1"/>
  <c r="AB98" i="16"/>
  <c r="AK96" i="1"/>
  <c r="BL96" i="2" s="1"/>
  <c r="AG90" i="15"/>
  <c r="AY90" i="17" s="1"/>
  <c r="BC90" i="17" s="1"/>
  <c r="BE90" i="17" s="1"/>
  <c r="AK92" i="1"/>
  <c r="BL92" i="2" s="1"/>
  <c r="AB422" i="16"/>
  <c r="AB438" i="16"/>
  <c r="AK292" i="1"/>
  <c r="BL292" i="2" s="1"/>
  <c r="AK115" i="1"/>
  <c r="BL115" i="2" s="1"/>
  <c r="AK126" i="1"/>
  <c r="AK128" i="1"/>
  <c r="BL128" i="2" s="1"/>
  <c r="AK132" i="1"/>
  <c r="BL132" i="2" s="1"/>
  <c r="AK140" i="1"/>
  <c r="BL140" i="2" s="1"/>
  <c r="AK222" i="1"/>
  <c r="BL222" i="2" s="1"/>
  <c r="AK225" i="1"/>
  <c r="BL225" i="2" s="1"/>
  <c r="AK226" i="1"/>
  <c r="AK227" i="1"/>
  <c r="BL227" i="2" s="1"/>
  <c r="AK228" i="1"/>
  <c r="BL228" i="2" s="1"/>
  <c r="AK229" i="1"/>
  <c r="BL229" i="2" s="1"/>
  <c r="AK230" i="1"/>
  <c r="BL230" i="2" s="1"/>
  <c r="AK334" i="1"/>
  <c r="AK339" i="1"/>
  <c r="BL339" i="2" s="1"/>
  <c r="AK414" i="1"/>
  <c r="BL414" i="2" s="1"/>
  <c r="AK415" i="1"/>
  <c r="BL415" i="2" s="1"/>
  <c r="BT428" i="2"/>
  <c r="BV428" i="2" s="1"/>
  <c r="AK172" i="1"/>
  <c r="AK174" i="1"/>
  <c r="BL174" i="2" s="1"/>
  <c r="AK175" i="1"/>
  <c r="BT394" i="2"/>
  <c r="BV394" i="2" s="1"/>
  <c r="AK405" i="1"/>
  <c r="BL405" i="2" s="1"/>
  <c r="BT405" i="2" s="1"/>
  <c r="BV405" i="2" s="1"/>
  <c r="AK406" i="1"/>
  <c r="BL406" i="2" s="1"/>
  <c r="AK99" i="1"/>
  <c r="BL99" i="2" s="1"/>
  <c r="AK275" i="1"/>
  <c r="BL275" i="2" s="1"/>
  <c r="AK278" i="1"/>
  <c r="BL278" i="2" s="1"/>
  <c r="AK280" i="1"/>
  <c r="BL280" i="2" s="1"/>
  <c r="AK310" i="1"/>
  <c r="BL310" i="2" s="1"/>
  <c r="AK314" i="1"/>
  <c r="BL314" i="2" s="1"/>
  <c r="AK316" i="1"/>
  <c r="BL316" i="2" s="1"/>
  <c r="AK319" i="1"/>
  <c r="BL319" i="2" s="1"/>
  <c r="AK599" i="1"/>
  <c r="BL599" i="2" s="1"/>
  <c r="AK612" i="1"/>
  <c r="BL612" i="2" s="1"/>
  <c r="AK614" i="1"/>
  <c r="AK621" i="1"/>
  <c r="BL621" i="2" s="1"/>
  <c r="AK622" i="1"/>
  <c r="BL622" i="2" s="1"/>
  <c r="AK181" i="1"/>
  <c r="BL181" i="2" s="1"/>
  <c r="BT181" i="2" s="1"/>
  <c r="BV181" i="2" s="1"/>
  <c r="AK223" i="1"/>
  <c r="BL223" i="2" s="1"/>
  <c r="AK224" i="1"/>
  <c r="BL224" i="2" s="1"/>
  <c r="AK347" i="1"/>
  <c r="BL347" i="2" s="1"/>
  <c r="AK348" i="1"/>
  <c r="BL348" i="2" s="1"/>
  <c r="AK349" i="1"/>
  <c r="BL349" i="2" s="1"/>
  <c r="AK350" i="1"/>
  <c r="BL350" i="2" s="1"/>
  <c r="AK351" i="1"/>
  <c r="BL351" i="2" s="1"/>
  <c r="AK360" i="1"/>
  <c r="BL360" i="2" s="1"/>
  <c r="AK369" i="1"/>
  <c r="BL369" i="2" s="1"/>
  <c r="BT382" i="2"/>
  <c r="BV382" i="2" s="1"/>
  <c r="BT383" i="2"/>
  <c r="BV383" i="2" s="1"/>
  <c r="AK238" i="1"/>
  <c r="AK239" i="1"/>
  <c r="BL239" i="2" s="1"/>
  <c r="AK243" i="1"/>
  <c r="BL243" i="2" s="1"/>
  <c r="AK252" i="1"/>
  <c r="BL252" i="2" s="1"/>
  <c r="AK253" i="1"/>
  <c r="BL253" i="2" s="1"/>
  <c r="AK254" i="1"/>
  <c r="AB440" i="16"/>
  <c r="AB441" i="16"/>
  <c r="AB447" i="16"/>
  <c r="AB449" i="16"/>
  <c r="AB451" i="16"/>
  <c r="AB456" i="16"/>
  <c r="AB457" i="16"/>
  <c r="AB458" i="16"/>
  <c r="AB459" i="16"/>
  <c r="AB461" i="16"/>
  <c r="AB465" i="16"/>
  <c r="AB471" i="16"/>
  <c r="AB472" i="16"/>
  <c r="AB473" i="16"/>
  <c r="AB474" i="16"/>
  <c r="AB478" i="16"/>
  <c r="AB479" i="16"/>
  <c r="AK446" i="1"/>
  <c r="BL446" i="2" s="1"/>
  <c r="AK461" i="1"/>
  <c r="AK466" i="1"/>
  <c r="BL466" i="2" s="1"/>
  <c r="AK470" i="1"/>
  <c r="AK539" i="1"/>
  <c r="BL539" i="2" s="1"/>
  <c r="AK549" i="1"/>
  <c r="AK553" i="1"/>
  <c r="BL553" i="2" s="1"/>
  <c r="AG620" i="15"/>
  <c r="AY620" i="17" s="1"/>
  <c r="BC620" i="17" s="1"/>
  <c r="BE620" i="17" s="1"/>
  <c r="AG616" i="15"/>
  <c r="AG615" i="15"/>
  <c r="AY615" i="17" s="1"/>
  <c r="BC615" i="17" s="1"/>
  <c r="BE615" i="17" s="1"/>
  <c r="AG613" i="15"/>
  <c r="AG609" i="15"/>
  <c r="AG607" i="15"/>
  <c r="AG575" i="15"/>
  <c r="AG570" i="15"/>
  <c r="AG567" i="15"/>
  <c r="AY567" i="17" s="1"/>
  <c r="BC567" i="17" s="1"/>
  <c r="BE567" i="17" s="1"/>
  <c r="AG566" i="15"/>
  <c r="AG564" i="15"/>
  <c r="AY564" i="17" s="1"/>
  <c r="AG563" i="15"/>
  <c r="AG557" i="15"/>
  <c r="AY557" i="17" s="1"/>
  <c r="AG556" i="15"/>
  <c r="AG555" i="15"/>
  <c r="AG553" i="15"/>
  <c r="AG552" i="15"/>
  <c r="AY552" i="17" s="1"/>
  <c r="AG550" i="15"/>
  <c r="AG547" i="15"/>
  <c r="AY547" i="17" s="1"/>
  <c r="BC547" i="17" s="1"/>
  <c r="BE547" i="17" s="1"/>
  <c r="AG543" i="15"/>
  <c r="AG466" i="15"/>
  <c r="AY466" i="17" s="1"/>
  <c r="AG446" i="15"/>
  <c r="AG440" i="15"/>
  <c r="AY440" i="17" s="1"/>
  <c r="BC440" i="17" s="1"/>
  <c r="BE440" i="17" s="1"/>
  <c r="AG363" i="15"/>
  <c r="AY363" i="17" s="1"/>
  <c r="BC363" i="17" s="1"/>
  <c r="BE363" i="17" s="1"/>
  <c r="AG360" i="15"/>
  <c r="AY360" i="17" s="1"/>
  <c r="BC360" i="17" s="1"/>
  <c r="BE360" i="17" s="1"/>
  <c r="AG358" i="15"/>
  <c r="AY358" i="17" s="1"/>
  <c r="BC358" i="17" s="1"/>
  <c r="BE358" i="17" s="1"/>
  <c r="AG353" i="15"/>
  <c r="AY353" i="17" s="1"/>
  <c r="BC353" i="17" s="1"/>
  <c r="BE353" i="17" s="1"/>
  <c r="AG345" i="15"/>
  <c r="AY345" i="17" s="1"/>
  <c r="BC345" i="17" s="1"/>
  <c r="BE345" i="17" s="1"/>
  <c r="AG338" i="15"/>
  <c r="AY338" i="17" s="1"/>
  <c r="BC338" i="17" s="1"/>
  <c r="BE338" i="17" s="1"/>
  <c r="AG333" i="15"/>
  <c r="AY333" i="17" s="1"/>
  <c r="BC333" i="17" s="1"/>
  <c r="BE333" i="17" s="1"/>
  <c r="AG332" i="15"/>
  <c r="AY332" i="17" s="1"/>
  <c r="BC332" i="17" s="1"/>
  <c r="BE332" i="17" s="1"/>
  <c r="AG297" i="15"/>
  <c r="AY297" i="17" s="1"/>
  <c r="BC297" i="17" s="1"/>
  <c r="BE297" i="17" s="1"/>
  <c r="AG295" i="15"/>
  <c r="AY295" i="17" s="1"/>
  <c r="BC295" i="17" s="1"/>
  <c r="BE295" i="17" s="1"/>
  <c r="AG293" i="15"/>
  <c r="AY293" i="17" s="1"/>
  <c r="BC293" i="17" s="1"/>
  <c r="BE293" i="17" s="1"/>
  <c r="AG292" i="15"/>
  <c r="AY292" i="17" s="1"/>
  <c r="BC292" i="17" s="1"/>
  <c r="BE292" i="17" s="1"/>
  <c r="AG285" i="15"/>
  <c r="BL98" i="25"/>
  <c r="BT98" i="25" s="1"/>
  <c r="BV98" i="25" s="1"/>
  <c r="BL102" i="25"/>
  <c r="BT102" i="25" s="1"/>
  <c r="BV102" i="25" s="1"/>
  <c r="BL104" i="25"/>
  <c r="BT104" i="25" s="1"/>
  <c r="BV104" i="25" s="1"/>
  <c r="BL108" i="25"/>
  <c r="BT108" i="25" s="1"/>
  <c r="BL110" i="25"/>
  <c r="BT110" i="25" s="1"/>
  <c r="BV110" i="25" s="1"/>
  <c r="BL121" i="25"/>
  <c r="BT121" i="25" s="1"/>
  <c r="BV121" i="25" s="1"/>
  <c r="BL347" i="25"/>
  <c r="BT347" i="25" s="1"/>
  <c r="BV347" i="25" s="1"/>
  <c r="BL376" i="25"/>
  <c r="BT376" i="25" s="1"/>
  <c r="BV376" i="25" s="1"/>
  <c r="BL378" i="25"/>
  <c r="BT378" i="25" s="1"/>
  <c r="BV378" i="25" s="1"/>
  <c r="BL380" i="25"/>
  <c r="BT380" i="25" s="1"/>
  <c r="BV380" i="25" s="1"/>
  <c r="BL382" i="25"/>
  <c r="BT382" i="25" s="1"/>
  <c r="BV382" i="25" s="1"/>
  <c r="BL384" i="25"/>
  <c r="BT384" i="25" s="1"/>
  <c r="BV384" i="25" s="1"/>
  <c r="BL386" i="25"/>
  <c r="BT386" i="25" s="1"/>
  <c r="BV386" i="25" s="1"/>
  <c r="BL388" i="25"/>
  <c r="BT388" i="25" s="1"/>
  <c r="BV388" i="25" s="1"/>
  <c r="BL390" i="25"/>
  <c r="BT390" i="25" s="1"/>
  <c r="BV390" i="25" s="1"/>
  <c r="BL392" i="25"/>
  <c r="BT392" i="25" s="1"/>
  <c r="BV392" i="25" s="1"/>
  <c r="BL394" i="25"/>
  <c r="BT394" i="25" s="1"/>
  <c r="BV394" i="25" s="1"/>
  <c r="BL396" i="25"/>
  <c r="BT396" i="25" s="1"/>
  <c r="BV396" i="25" s="1"/>
  <c r="BL398" i="25"/>
  <c r="BT398" i="25" s="1"/>
  <c r="BV398" i="25" s="1"/>
  <c r="BL400" i="25"/>
  <c r="BT400" i="25" s="1"/>
  <c r="BV400" i="25" s="1"/>
  <c r="BL402" i="25"/>
  <c r="BT402" i="25" s="1"/>
  <c r="BV402" i="25" s="1"/>
  <c r="BL404" i="25"/>
  <c r="BT404" i="25" s="1"/>
  <c r="BV404" i="25" s="1"/>
  <c r="BL406" i="25"/>
  <c r="BT406" i="25" s="1"/>
  <c r="BV406" i="25" s="1"/>
  <c r="BL411" i="25"/>
  <c r="BT411" i="25" s="1"/>
  <c r="BV411" i="25" s="1"/>
  <c r="BL415" i="25"/>
  <c r="BT415" i="25" s="1"/>
  <c r="BV415" i="25" s="1"/>
  <c r="BL443" i="25"/>
  <c r="BT443" i="25" s="1"/>
  <c r="BV443" i="25" s="1"/>
  <c r="AG281" i="15"/>
  <c r="AY281" i="17" s="1"/>
  <c r="BC281" i="17" s="1"/>
  <c r="BE281" i="17" s="1"/>
  <c r="AG253" i="15"/>
  <c r="AY253" i="17" s="1"/>
  <c r="BC253" i="17" s="1"/>
  <c r="BE253" i="17" s="1"/>
  <c r="AG248" i="15"/>
  <c r="AY248" i="17" s="1"/>
  <c r="BC248" i="17" s="1"/>
  <c r="BE248" i="17" s="1"/>
  <c r="AG247" i="15"/>
  <c r="AY247" i="17" s="1"/>
  <c r="BC247" i="17" s="1"/>
  <c r="BE247" i="17" s="1"/>
  <c r="AG244" i="15"/>
  <c r="AY244" i="17" s="1"/>
  <c r="BC244" i="17" s="1"/>
  <c r="BE244" i="17" s="1"/>
  <c r="AG242" i="15"/>
  <c r="AY242" i="17" s="1"/>
  <c r="BC242" i="17" s="1"/>
  <c r="BE242" i="17" s="1"/>
  <c r="AY238" i="17"/>
  <c r="BC238" i="17" s="1"/>
  <c r="BE238" i="17" s="1"/>
  <c r="AG225" i="15"/>
  <c r="AY225" i="17" s="1"/>
  <c r="BC225" i="17" s="1"/>
  <c r="BE225" i="17" s="1"/>
  <c r="AG223" i="15"/>
  <c r="AY223" i="17" s="1"/>
  <c r="BC223" i="17" s="1"/>
  <c r="BE223" i="17" s="1"/>
  <c r="AG219" i="15"/>
  <c r="AY219" i="17" s="1"/>
  <c r="BC219" i="17" s="1"/>
  <c r="BE219" i="17" s="1"/>
  <c r="AY214" i="17"/>
  <c r="BC214" i="17" s="1"/>
  <c r="BE214" i="17" s="1"/>
  <c r="AG213" i="15"/>
  <c r="AY213" i="17" s="1"/>
  <c r="BC213" i="17" s="1"/>
  <c r="BE213" i="17" s="1"/>
  <c r="AG212" i="15"/>
  <c r="AY212" i="17" s="1"/>
  <c r="BC212" i="17" s="1"/>
  <c r="BE212" i="17" s="1"/>
  <c r="BL148" i="25"/>
  <c r="BT148" i="25" s="1"/>
  <c r="BV148" i="25" s="1"/>
  <c r="AG425" i="15"/>
  <c r="AY425" i="17" s="1"/>
  <c r="AG427" i="15"/>
  <c r="AG429" i="15"/>
  <c r="AG431" i="15"/>
  <c r="BL428" i="25"/>
  <c r="BT428" i="25" s="1"/>
  <c r="BV428" i="25" s="1"/>
  <c r="BL430" i="25"/>
  <c r="BT430" i="25" s="1"/>
  <c r="BV430" i="25" s="1"/>
  <c r="BL432" i="25"/>
  <c r="BT432" i="25" s="1"/>
  <c r="BV432" i="25" s="1"/>
  <c r="BL582" i="25"/>
  <c r="BT582" i="25" s="1"/>
  <c r="BV582" i="25" s="1"/>
  <c r="BL193" i="25"/>
  <c r="BT193" i="25" s="1"/>
  <c r="BV193" i="25" s="1"/>
  <c r="BL198" i="25"/>
  <c r="BT198" i="25" s="1"/>
  <c r="BV198" i="25" s="1"/>
  <c r="AB488" i="16"/>
  <c r="AB491" i="16"/>
  <c r="AB516" i="16"/>
  <c r="AB521" i="16"/>
  <c r="AB523" i="16"/>
  <c r="AB524" i="16"/>
  <c r="AB529" i="16"/>
  <c r="AB531" i="16"/>
  <c r="AK491" i="1"/>
  <c r="BL491" i="2" s="1"/>
  <c r="AK492" i="1"/>
  <c r="AK528" i="1"/>
  <c r="BL528" i="2" s="1"/>
  <c r="BT528" i="2" s="1"/>
  <c r="BV528" i="2" s="1"/>
  <c r="AK533" i="1"/>
  <c r="BL583" i="25"/>
  <c r="BT583" i="25" s="1"/>
  <c r="BV583" i="25" s="1"/>
  <c r="AB261" i="16"/>
  <c r="AB262" i="16"/>
  <c r="BL101" i="25"/>
  <c r="BT101" i="25" s="1"/>
  <c r="BV101" i="25" s="1"/>
  <c r="BL103" i="25"/>
  <c r="BT103" i="25" s="1"/>
  <c r="BV103" i="25" s="1"/>
  <c r="BL129" i="25"/>
  <c r="BT129" i="25" s="1"/>
  <c r="BV129" i="25" s="1"/>
  <c r="BL171" i="25"/>
  <c r="BT171" i="25" s="1"/>
  <c r="BV171" i="25" s="1"/>
  <c r="BL180" i="25"/>
  <c r="BT180" i="25" s="1"/>
  <c r="BV180" i="25" s="1"/>
  <c r="BL359" i="25"/>
  <c r="BT359" i="25" s="1"/>
  <c r="BV359" i="25" s="1"/>
  <c r="BL364" i="25"/>
  <c r="BT364" i="25" s="1"/>
  <c r="BV364" i="25" s="1"/>
  <c r="BL374" i="25"/>
  <c r="BT374" i="25" s="1"/>
  <c r="BV374" i="25" s="1"/>
  <c r="BL377" i="25"/>
  <c r="BT377" i="25" s="1"/>
  <c r="BV377" i="25" s="1"/>
  <c r="BL379" i="25"/>
  <c r="BT379" i="25" s="1"/>
  <c r="BV379" i="25" s="1"/>
  <c r="BL381" i="25"/>
  <c r="BT381" i="25" s="1"/>
  <c r="BV381" i="25" s="1"/>
  <c r="BL383" i="25"/>
  <c r="BT383" i="25" s="1"/>
  <c r="BV383" i="25" s="1"/>
  <c r="BL385" i="25"/>
  <c r="BT385" i="25" s="1"/>
  <c r="BV385" i="25" s="1"/>
  <c r="BL387" i="25"/>
  <c r="BT387" i="25" s="1"/>
  <c r="BV387" i="25" s="1"/>
  <c r="BL389" i="25"/>
  <c r="BT389" i="25" s="1"/>
  <c r="BV389" i="25" s="1"/>
  <c r="BL391" i="25"/>
  <c r="BT391" i="25" s="1"/>
  <c r="BV391" i="25" s="1"/>
  <c r="BL393" i="25"/>
  <c r="BT393" i="25" s="1"/>
  <c r="BV393" i="25" s="1"/>
  <c r="BL395" i="25"/>
  <c r="BT395" i="25" s="1"/>
  <c r="BV395" i="25" s="1"/>
  <c r="BL397" i="25"/>
  <c r="BT397" i="25" s="1"/>
  <c r="BV397" i="25" s="1"/>
  <c r="BL399" i="25"/>
  <c r="BT399" i="25" s="1"/>
  <c r="BV399" i="25" s="1"/>
  <c r="BL401" i="25"/>
  <c r="BT401" i="25" s="1"/>
  <c r="BV401" i="25" s="1"/>
  <c r="BL403" i="25"/>
  <c r="BT403" i="25" s="1"/>
  <c r="BV403" i="25" s="1"/>
  <c r="BL405" i="25"/>
  <c r="BT405" i="25" s="1"/>
  <c r="BV405" i="25" s="1"/>
  <c r="BL412" i="25"/>
  <c r="BT412" i="25" s="1"/>
  <c r="BV412" i="25" s="1"/>
  <c r="BL416" i="25"/>
  <c r="BT416" i="25" s="1"/>
  <c r="BV416" i="25" s="1"/>
  <c r="BL456" i="25"/>
  <c r="BT456" i="25" s="1"/>
  <c r="BV456" i="25" s="1"/>
  <c r="BL552" i="25"/>
  <c r="BT552" i="25" s="1"/>
  <c r="BV552" i="25" s="1"/>
  <c r="BL564" i="25"/>
  <c r="BT564" i="25" s="1"/>
  <c r="BV564" i="25" s="1"/>
  <c r="AG149" i="15"/>
  <c r="AY149" i="17" s="1"/>
  <c r="BC149" i="17" s="1"/>
  <c r="BE149" i="17" s="1"/>
  <c r="AY148" i="17"/>
  <c r="BC148" i="17" s="1"/>
  <c r="BE148" i="17" s="1"/>
  <c r="AY147" i="17"/>
  <c r="BC147" i="17" s="1"/>
  <c r="BE147" i="17" s="1"/>
  <c r="AG144" i="15"/>
  <c r="AY144" i="17" s="1"/>
  <c r="BC144" i="17" s="1"/>
  <c r="BE144" i="17" s="1"/>
  <c r="AG143" i="15"/>
  <c r="AY143" i="17" s="1"/>
  <c r="BC143" i="17" s="1"/>
  <c r="BE143" i="17" s="1"/>
  <c r="AG141" i="15"/>
  <c r="AY141" i="17" s="1"/>
  <c r="BC141" i="17" s="1"/>
  <c r="BE141" i="17" s="1"/>
  <c r="AG130" i="15"/>
  <c r="AY130" i="17" s="1"/>
  <c r="BC130" i="17" s="1"/>
  <c r="BE130" i="17" s="1"/>
  <c r="AG123" i="15"/>
  <c r="AY123" i="17" s="1"/>
  <c r="BC123" i="17" s="1"/>
  <c r="BE123" i="17" s="1"/>
  <c r="AG121" i="15"/>
  <c r="AY121" i="17" s="1"/>
  <c r="BC121" i="17" s="1"/>
  <c r="BE121" i="17" s="1"/>
  <c r="AG119" i="15"/>
  <c r="AY119" i="17" s="1"/>
  <c r="BC119" i="17" s="1"/>
  <c r="BE119" i="17" s="1"/>
  <c r="AG116" i="15"/>
  <c r="AY116" i="17" s="1"/>
  <c r="BC116" i="17" s="1"/>
  <c r="BE116" i="17" s="1"/>
  <c r="AG115" i="15"/>
  <c r="AY115" i="17" s="1"/>
  <c r="BC115" i="17" s="1"/>
  <c r="BE115" i="17" s="1"/>
  <c r="AG113" i="15"/>
  <c r="AY113" i="17" s="1"/>
  <c r="BC113" i="17" s="1"/>
  <c r="BE113" i="17" s="1"/>
  <c r="AG110" i="15"/>
  <c r="AY110" i="17" s="1"/>
  <c r="BC110" i="17" s="1"/>
  <c r="BE110" i="17" s="1"/>
  <c r="AG108" i="15"/>
  <c r="AY108" i="17" s="1"/>
  <c r="BC108" i="17" s="1"/>
  <c r="BE108" i="17" s="1"/>
  <c r="AG107" i="15"/>
  <c r="AY107" i="17" s="1"/>
  <c r="BC107" i="17" s="1"/>
  <c r="BE107" i="17" s="1"/>
  <c r="AG106" i="15"/>
  <c r="AY106" i="17" s="1"/>
  <c r="BC106" i="17" s="1"/>
  <c r="BE106" i="17" s="1"/>
  <c r="AG103" i="15"/>
  <c r="AY103" i="17" s="1"/>
  <c r="BC103" i="17" s="1"/>
  <c r="BE103" i="17" s="1"/>
  <c r="AG102" i="15"/>
  <c r="AY102" i="17" s="1"/>
  <c r="BC102" i="17" s="1"/>
  <c r="BE102" i="17" s="1"/>
  <c r="AG101" i="15"/>
  <c r="AY101" i="17" s="1"/>
  <c r="BC101" i="17" s="1"/>
  <c r="BE101" i="17" s="1"/>
  <c r="AG100" i="15"/>
  <c r="AY100" i="17" s="1"/>
  <c r="BC100" i="17" s="1"/>
  <c r="BE100" i="17" s="1"/>
  <c r="AG99" i="15"/>
  <c r="AY99" i="17" s="1"/>
  <c r="BC99" i="17" s="1"/>
  <c r="BE99" i="17" s="1"/>
  <c r="AG98" i="15"/>
  <c r="AY98" i="17" s="1"/>
  <c r="BC98" i="17" s="1"/>
  <c r="BE98" i="17" s="1"/>
  <c r="AG97" i="15"/>
  <c r="AY97" i="17" s="1"/>
  <c r="BC97" i="17" s="1"/>
  <c r="BE97" i="17" s="1"/>
  <c r="AG95" i="15"/>
  <c r="AY95" i="17" s="1"/>
  <c r="BC95" i="17" s="1"/>
  <c r="BE95" i="17" s="1"/>
  <c r="AG457" i="15"/>
  <c r="AG480" i="15"/>
  <c r="AG549" i="15"/>
  <c r="AG561" i="15"/>
  <c r="AY561" i="17" s="1"/>
  <c r="AG573" i="15"/>
  <c r="AG89" i="15"/>
  <c r="AY89" i="17" s="1"/>
  <c r="BC89" i="17" s="1"/>
  <c r="BE89" i="17" s="1"/>
  <c r="AG135" i="15"/>
  <c r="AY135" i="17" s="1"/>
  <c r="BC135" i="17" s="1"/>
  <c r="BE135" i="17" s="1"/>
  <c r="AG403" i="15"/>
  <c r="AG413" i="15"/>
  <c r="BL149" i="25"/>
  <c r="BT149" i="25" s="1"/>
  <c r="BV149" i="25" s="1"/>
  <c r="BL153" i="25"/>
  <c r="BT153" i="25" s="1"/>
  <c r="BV153" i="25" s="1"/>
  <c r="BL157" i="25"/>
  <c r="BT157" i="25" s="1"/>
  <c r="BV157" i="25" s="1"/>
  <c r="AB431" i="16"/>
  <c r="AB433" i="16"/>
  <c r="AB434" i="16"/>
  <c r="AB435" i="16"/>
  <c r="BL429" i="25"/>
  <c r="BT429" i="25" s="1"/>
  <c r="BV429" i="25" s="1"/>
  <c r="BL431" i="25"/>
  <c r="BT431" i="25" s="1"/>
  <c r="BV431" i="25" s="1"/>
  <c r="BL588" i="25"/>
  <c r="BT588" i="25" s="1"/>
  <c r="BV588" i="25" s="1"/>
  <c r="AG589" i="15"/>
  <c r="AG591" i="15"/>
  <c r="AY591" i="17" s="1"/>
  <c r="AB594" i="16"/>
  <c r="AB595" i="16"/>
  <c r="AG196" i="15"/>
  <c r="AY196" i="17" s="1"/>
  <c r="BC196" i="17" s="1"/>
  <c r="BE196" i="17" s="1"/>
  <c r="AG202" i="15"/>
  <c r="AY202" i="17" s="1"/>
  <c r="BC202" i="17" s="1"/>
  <c r="BE202" i="17" s="1"/>
  <c r="AG207" i="15"/>
  <c r="AY207" i="17" s="1"/>
  <c r="BC207" i="17" s="1"/>
  <c r="BE207" i="17" s="1"/>
  <c r="AG209" i="15"/>
  <c r="AY209" i="17" s="1"/>
  <c r="BC209" i="17" s="1"/>
  <c r="BE209" i="17" s="1"/>
  <c r="BL210" i="25"/>
  <c r="BT210" i="25" s="1"/>
  <c r="BV210" i="25" s="1"/>
  <c r="AK171" i="1"/>
  <c r="BL171" i="2" s="1"/>
  <c r="AK333" i="1"/>
  <c r="BL333" i="2" s="1"/>
  <c r="AK407" i="1"/>
  <c r="AK320" i="1"/>
  <c r="BL320" i="2" s="1"/>
  <c r="AK371" i="1"/>
  <c r="BL371" i="2" s="1"/>
  <c r="AK240" i="1"/>
  <c r="BL240" i="2" s="1"/>
  <c r="AK242" i="1"/>
  <c r="BL242" i="2" s="1"/>
  <c r="AK480" i="1"/>
  <c r="BL480" i="2" s="1"/>
  <c r="AK557" i="1"/>
  <c r="BL557" i="2" s="1"/>
  <c r="AK566" i="1"/>
  <c r="BL566" i="2" s="1"/>
  <c r="AK531" i="1"/>
  <c r="AK107" i="1"/>
  <c r="BL107" i="2" s="1"/>
  <c r="AK108" i="1"/>
  <c r="BL108" i="2" s="1"/>
  <c r="AK109" i="1"/>
  <c r="BL109" i="2" s="1"/>
  <c r="AK121" i="1"/>
  <c r="BL121" i="2" s="1"/>
  <c r="AK127" i="1"/>
  <c r="BL127" i="2" s="1"/>
  <c r="AK138" i="1"/>
  <c r="BL138" i="2" s="1"/>
  <c r="AK139" i="1"/>
  <c r="BL139" i="2" s="1"/>
  <c r="BT390" i="2"/>
  <c r="BV390" i="2" s="1"/>
  <c r="BT398" i="2"/>
  <c r="BV398" i="2" s="1"/>
  <c r="AK402" i="1"/>
  <c r="BL402" i="2" s="1"/>
  <c r="AK403" i="1"/>
  <c r="BL403" i="2" s="1"/>
  <c r="AK411" i="1"/>
  <c r="BL411" i="2" s="1"/>
  <c r="AK412" i="1"/>
  <c r="BL412" i="2" s="1"/>
  <c r="AK413" i="1"/>
  <c r="BL413" i="2" s="1"/>
  <c r="BT388" i="2"/>
  <c r="BV388" i="2" s="1"/>
  <c r="AK93" i="1"/>
  <c r="BL93" i="2" s="1"/>
  <c r="AK101" i="1"/>
  <c r="BL101" i="2" s="1"/>
  <c r="AK295" i="1"/>
  <c r="BL295" i="2" s="1"/>
  <c r="AK615" i="1"/>
  <c r="BL615" i="2" s="1"/>
  <c r="AK625" i="1"/>
  <c r="BL625" i="2" s="1"/>
  <c r="AK352" i="1"/>
  <c r="BL352" i="2" s="1"/>
  <c r="AK353" i="1"/>
  <c r="BL353" i="2" s="1"/>
  <c r="AK355" i="1"/>
  <c r="AK356" i="1"/>
  <c r="BL356" i="2" s="1"/>
  <c r="AK357" i="1"/>
  <c r="AK361" i="1"/>
  <c r="AK368" i="1"/>
  <c r="BL368" i="2" s="1"/>
  <c r="BT384" i="2"/>
  <c r="BV384" i="2" s="1"/>
  <c r="BT385" i="2"/>
  <c r="BV385" i="2" s="1"/>
  <c r="AK445" i="1"/>
  <c r="BL445" i="2" s="1"/>
  <c r="AK460" i="1"/>
  <c r="AK560" i="1"/>
  <c r="BL560" i="2" s="1"/>
  <c r="AY273" i="17"/>
  <c r="BC273" i="17" s="1"/>
  <c r="BE273" i="17" s="1"/>
  <c r="AG453" i="15"/>
  <c r="AY453" i="17" s="1"/>
  <c r="AG468" i="15"/>
  <c r="AG478" i="15"/>
  <c r="AG581" i="15"/>
  <c r="AG576" i="15"/>
  <c r="AG298" i="15"/>
  <c r="AY298" i="17" s="1"/>
  <c r="BC298" i="17" s="1"/>
  <c r="BE298" i="17" s="1"/>
  <c r="AG296" i="15"/>
  <c r="AY296" i="17" s="1"/>
  <c r="BC296" i="17" s="1"/>
  <c r="BE296" i="17" s="1"/>
  <c r="AG286" i="15"/>
  <c r="AG442" i="15"/>
  <c r="AG422" i="15"/>
  <c r="AG406" i="15"/>
  <c r="AG405" i="15"/>
  <c r="BC390" i="17"/>
  <c r="BE390" i="17" s="1"/>
  <c r="AG370" i="15"/>
  <c r="AY370" i="17" s="1"/>
  <c r="BC370" i="17" s="1"/>
  <c r="BE370" i="17" s="1"/>
  <c r="AG365" i="15"/>
  <c r="AY365" i="17" s="1"/>
  <c r="BC365" i="17" s="1"/>
  <c r="BE365" i="17" s="1"/>
  <c r="AG359" i="15"/>
  <c r="AY359" i="17" s="1"/>
  <c r="BC359" i="17" s="1"/>
  <c r="BE359" i="17" s="1"/>
  <c r="AG347" i="15"/>
  <c r="AY347" i="17" s="1"/>
  <c r="BC347" i="17" s="1"/>
  <c r="BE347" i="17" s="1"/>
  <c r="AG344" i="15"/>
  <c r="AY344" i="17" s="1"/>
  <c r="BC344" i="17" s="1"/>
  <c r="BE344" i="17" s="1"/>
  <c r="AG329" i="15"/>
  <c r="AY329" i="17" s="1"/>
  <c r="BC329" i="17" s="1"/>
  <c r="BE329" i="17" s="1"/>
  <c r="AG306" i="15"/>
  <c r="AG301" i="15"/>
  <c r="AY301" i="17" s="1"/>
  <c r="BC301" i="17" s="1"/>
  <c r="BE301" i="17" s="1"/>
  <c r="AG164" i="15"/>
  <c r="AY164" i="17" s="1"/>
  <c r="BC164" i="17" s="1"/>
  <c r="BE164" i="17" s="1"/>
  <c r="AG434" i="15"/>
  <c r="AY434" i="17" s="1"/>
  <c r="BC434" i="17" s="1"/>
  <c r="BE434" i="17" s="1"/>
  <c r="AG584" i="15"/>
  <c r="AG585" i="15"/>
  <c r="AG586" i="15"/>
  <c r="AG587" i="15"/>
  <c r="AY587" i="17" s="1"/>
  <c r="AG588" i="15"/>
  <c r="AG537" i="15"/>
  <c r="AG535" i="15"/>
  <c r="AG533" i="15"/>
  <c r="AG488" i="15"/>
  <c r="AG491" i="15"/>
  <c r="AB243" i="16"/>
  <c r="AB254" i="16"/>
  <c r="AB336" i="16"/>
  <c r="AB356" i="16"/>
  <c r="AB358" i="16"/>
  <c r="AB360" i="16"/>
  <c r="AB381" i="16"/>
  <c r="AB383" i="16"/>
  <c r="AB385" i="16"/>
  <c r="AB387" i="16"/>
  <c r="AB372" i="16"/>
  <c r="AB581" i="16"/>
  <c r="AB591" i="16"/>
  <c r="AB593" i="16"/>
  <c r="AB505" i="16"/>
  <c r="AB512" i="16"/>
  <c r="AB514" i="16"/>
  <c r="AB519" i="16"/>
  <c r="AB532" i="16"/>
  <c r="AB533" i="16"/>
  <c r="AB258" i="16"/>
  <c r="AB155" i="16"/>
  <c r="AB379" i="16"/>
  <c r="AB90" i="16"/>
  <c r="AB91" i="16"/>
  <c r="AB92" i="16"/>
  <c r="AB95" i="16"/>
  <c r="AB96" i="16"/>
  <c r="AB99" i="16"/>
  <c r="AB101" i="16"/>
  <c r="AB102" i="16"/>
  <c r="AB103" i="16"/>
  <c r="AB104" i="16"/>
  <c r="AB105" i="16"/>
  <c r="AB106" i="16"/>
  <c r="AB107" i="16"/>
  <c r="AB109" i="16"/>
  <c r="AB110" i="16"/>
  <c r="AB147" i="16"/>
  <c r="AB148" i="16"/>
  <c r="AB149" i="16"/>
  <c r="AB152" i="16"/>
  <c r="AB153" i="16"/>
  <c r="AB156" i="16"/>
  <c r="AB157" i="16"/>
  <c r="AB159" i="16"/>
  <c r="AB164" i="16"/>
  <c r="AB166" i="16"/>
  <c r="AB175" i="16"/>
  <c r="AB181" i="16"/>
  <c r="AB182" i="16"/>
  <c r="AB185" i="16"/>
  <c r="AB186" i="16"/>
  <c r="AB188" i="16"/>
  <c r="AB189" i="16"/>
  <c r="AB190" i="16"/>
  <c r="AB193" i="16"/>
  <c r="AB195" i="16"/>
  <c r="AB197" i="16"/>
  <c r="AB199" i="16"/>
  <c r="AB200" i="16"/>
  <c r="AB201" i="16"/>
  <c r="AB205" i="16"/>
  <c r="AB206" i="16"/>
  <c r="AB208" i="16"/>
  <c r="AB209" i="16"/>
  <c r="AB210" i="16"/>
  <c r="AB214" i="16"/>
  <c r="AB215" i="16"/>
  <c r="AB219" i="16"/>
  <c r="AB221" i="16"/>
  <c r="AB224" i="16"/>
  <c r="AB226" i="16"/>
  <c r="AB230" i="16"/>
  <c r="AB233" i="16"/>
  <c r="AB235" i="16"/>
  <c r="AB94" i="16"/>
  <c r="AB267" i="16"/>
  <c r="AB289" i="16"/>
  <c r="AB291" i="16"/>
  <c r="AB292" i="16"/>
  <c r="AB297" i="16"/>
  <c r="AB301" i="16"/>
  <c r="AB302" i="16"/>
  <c r="AB218" i="16"/>
  <c r="AB592" i="16"/>
  <c r="AB89" i="16"/>
  <c r="AB88" i="16"/>
  <c r="AB494" i="16"/>
  <c r="AB506" i="16"/>
  <c r="AB510" i="16"/>
  <c r="AB513" i="16"/>
  <c r="AB518" i="16"/>
  <c r="AB534" i="16"/>
  <c r="BL174" i="25"/>
  <c r="BL572" i="25"/>
  <c r="BT572" i="25" s="1"/>
  <c r="BV572" i="25" s="1"/>
  <c r="BT380" i="2"/>
  <c r="BV380" i="2" s="1"/>
  <c r="BT395" i="2"/>
  <c r="BV395" i="2" s="1"/>
  <c r="BT396" i="2"/>
  <c r="BV396" i="2" s="1"/>
  <c r="BT399" i="2"/>
  <c r="BV399" i="2" s="1"/>
  <c r="BT401" i="2"/>
  <c r="BV401" i="2" s="1"/>
  <c r="BT179" i="2"/>
  <c r="BV179" i="2" s="1"/>
  <c r="BT377" i="2"/>
  <c r="BV377" i="2" s="1"/>
  <c r="AK440" i="1"/>
  <c r="BL440" i="2" s="1"/>
  <c r="AK443" i="1"/>
  <c r="BL443" i="2" s="1"/>
  <c r="AK453" i="1"/>
  <c r="BL453" i="2" s="1"/>
  <c r="AK469" i="1"/>
  <c r="BL469" i="2" s="1"/>
  <c r="AK483" i="1"/>
  <c r="BL483" i="2" s="1"/>
  <c r="AK484" i="1"/>
  <c r="BL484" i="2" s="1"/>
  <c r="BT484" i="2" s="1"/>
  <c r="AK545" i="1"/>
  <c r="AK548" i="1"/>
  <c r="BL548" i="2" s="1"/>
  <c r="AK552" i="1"/>
  <c r="BL552" i="2" s="1"/>
  <c r="AK554" i="1"/>
  <c r="BL554" i="2" s="1"/>
  <c r="AK562" i="1"/>
  <c r="BL562" i="2" s="1"/>
  <c r="AK563" i="1"/>
  <c r="BL563" i="2" s="1"/>
  <c r="AK567" i="1"/>
  <c r="AK498" i="1"/>
  <c r="BL498" i="2" s="1"/>
  <c r="AK499" i="1"/>
  <c r="BL499" i="2" s="1"/>
  <c r="AK500" i="1"/>
  <c r="BL500" i="2" s="1"/>
  <c r="AK501" i="1"/>
  <c r="BL501" i="2" s="1"/>
  <c r="AK502" i="1"/>
  <c r="AK520" i="1"/>
  <c r="AK522" i="1"/>
  <c r="BL522" i="2" s="1"/>
  <c r="AK523" i="1"/>
  <c r="BL523" i="2" s="1"/>
  <c r="AK529" i="1"/>
  <c r="BL529" i="2" s="1"/>
  <c r="AK257" i="1"/>
  <c r="BL257" i="2" s="1"/>
  <c r="AK258" i="1"/>
  <c r="BT259" i="2" s="1"/>
  <c r="BV259" i="2" s="1"/>
  <c r="AK262" i="1"/>
  <c r="BL262" i="2" s="1"/>
  <c r="AK263" i="1"/>
  <c r="BL263" i="2" s="1"/>
  <c r="AK264" i="1"/>
  <c r="BL264" i="2" s="1"/>
  <c r="AK216" i="1"/>
  <c r="AK327" i="1"/>
  <c r="BT400" i="2"/>
  <c r="BV400" i="2" s="1"/>
  <c r="AK410" i="1"/>
  <c r="BL410" i="2" s="1"/>
  <c r="AK98" i="1"/>
  <c r="BL98" i="2" s="1"/>
  <c r="AK276" i="1"/>
  <c r="BL276" i="2" s="1"/>
  <c r="AK603" i="1"/>
  <c r="AK606" i="1"/>
  <c r="AK610" i="1"/>
  <c r="BL610" i="2" s="1"/>
  <c r="AK616" i="1"/>
  <c r="BL616" i="2" s="1"/>
  <c r="AK618" i="1"/>
  <c r="AK624" i="1"/>
  <c r="BL624" i="2" s="1"/>
  <c r="AK627" i="1"/>
  <c r="BL627" i="2" s="1"/>
  <c r="AK359" i="1"/>
  <c r="BL359" i="2" s="1"/>
  <c r="BT379" i="2"/>
  <c r="BV379" i="2" s="1"/>
  <c r="BT386" i="2"/>
  <c r="BV386" i="2" s="1"/>
  <c r="AK232" i="1"/>
  <c r="BL232" i="2" s="1"/>
  <c r="BC392" i="17"/>
  <c r="BE392" i="17" s="1"/>
  <c r="AG92" i="15"/>
  <c r="AY92" i="17" s="1"/>
  <c r="BC92" i="17" s="1"/>
  <c r="BE92" i="17" s="1"/>
  <c r="AG498" i="15"/>
  <c r="AY498" i="17" s="1"/>
  <c r="AG510" i="15"/>
  <c r="AG256" i="15"/>
  <c r="AY256" i="17" s="1"/>
  <c r="BC256" i="17" s="1"/>
  <c r="BE256" i="17" s="1"/>
  <c r="AG258" i="15"/>
  <c r="AY258" i="17" s="1"/>
  <c r="BC258" i="17" s="1"/>
  <c r="BE258" i="17" s="1"/>
  <c r="AG261" i="15"/>
  <c r="AY261" i="17" s="1"/>
  <c r="BC261" i="17" s="1"/>
  <c r="BE261" i="17" s="1"/>
  <c r="AG625" i="15"/>
  <c r="AG623" i="15"/>
  <c r="AY623" i="17" s="1"/>
  <c r="AG327" i="15"/>
  <c r="AY327" i="17" s="1"/>
  <c r="BC327" i="17" s="1"/>
  <c r="BE327" i="17" s="1"/>
  <c r="AG323" i="15"/>
  <c r="AY323" i="17" s="1"/>
  <c r="BC323" i="17" s="1"/>
  <c r="BE323" i="17" s="1"/>
  <c r="AG320" i="15"/>
  <c r="AY320" i="17" s="1"/>
  <c r="BC320" i="17" s="1"/>
  <c r="BE320" i="17" s="1"/>
  <c r="AG250" i="15"/>
  <c r="AY250" i="17" s="1"/>
  <c r="BC250" i="17" s="1"/>
  <c r="BE250" i="17" s="1"/>
  <c r="AG265" i="15"/>
  <c r="AY265" i="17" s="1"/>
  <c r="BC265" i="17" s="1"/>
  <c r="BE265" i="17" s="1"/>
  <c r="AG267" i="15"/>
  <c r="AY267" i="17" s="1"/>
  <c r="BC267" i="17" s="1"/>
  <c r="BE267" i="17" s="1"/>
  <c r="AG624" i="15"/>
  <c r="AG617" i="15"/>
  <c r="AG443" i="15"/>
  <c r="AG441" i="15"/>
  <c r="AY441" i="17" s="1"/>
  <c r="AG438" i="15"/>
  <c r="AG402" i="15"/>
  <c r="AG350" i="15"/>
  <c r="AY350" i="17" s="1"/>
  <c r="BC350" i="17" s="1"/>
  <c r="BE350" i="17" s="1"/>
  <c r="AG343" i="15"/>
  <c r="AY343" i="17" s="1"/>
  <c r="BC343" i="17" s="1"/>
  <c r="BE343" i="17" s="1"/>
  <c r="AG331" i="15"/>
  <c r="AY331" i="17" s="1"/>
  <c r="BC331" i="17" s="1"/>
  <c r="BE331" i="17" s="1"/>
  <c r="AG328" i="15"/>
  <c r="AY328" i="17" s="1"/>
  <c r="BC328" i="17" s="1"/>
  <c r="BE328" i="17" s="1"/>
  <c r="AG325" i="15"/>
  <c r="AY325" i="17" s="1"/>
  <c r="BC325" i="17" s="1"/>
  <c r="BE325" i="17" s="1"/>
  <c r="AG321" i="15"/>
  <c r="AY321" i="17" s="1"/>
  <c r="BC321" i="17" s="1"/>
  <c r="BE321" i="17" s="1"/>
  <c r="AG311" i="15"/>
  <c r="AY311" i="17" s="1"/>
  <c r="BC311" i="17" s="1"/>
  <c r="BE311" i="17" s="1"/>
  <c r="AG221" i="15"/>
  <c r="AY221" i="17" s="1"/>
  <c r="BC221" i="17" s="1"/>
  <c r="BE221" i="17" s="1"/>
  <c r="AG165" i="15"/>
  <c r="AY165" i="17" s="1"/>
  <c r="BC165" i="17" s="1"/>
  <c r="BE165" i="17" s="1"/>
  <c r="AG435" i="15"/>
  <c r="AG539" i="15"/>
  <c r="AG505" i="15"/>
  <c r="AG512" i="15"/>
  <c r="AY512" i="17" s="1"/>
  <c r="AG262" i="15"/>
  <c r="AY262" i="17" s="1"/>
  <c r="BC262" i="17" s="1"/>
  <c r="BE262" i="17" s="1"/>
  <c r="AG263" i="15"/>
  <c r="AY263" i="17" s="1"/>
  <c r="BC263" i="17" s="1"/>
  <c r="BE263" i="17" s="1"/>
  <c r="AG264" i="15"/>
  <c r="AY264" i="17" s="1"/>
  <c r="BC264" i="17" s="1"/>
  <c r="BE264" i="17" s="1"/>
  <c r="AG266" i="15"/>
  <c r="AY266" i="17" s="1"/>
  <c r="BC266" i="17" s="1"/>
  <c r="BE266" i="17" s="1"/>
  <c r="AG122" i="15"/>
  <c r="AY122" i="17" s="1"/>
  <c r="BC122" i="17" s="1"/>
  <c r="BE122" i="17" s="1"/>
  <c r="AG111" i="15"/>
  <c r="AY111" i="17" s="1"/>
  <c r="BC111" i="17" s="1"/>
  <c r="BE111" i="17" s="1"/>
  <c r="AG436" i="15"/>
  <c r="AG538" i="15"/>
  <c r="AY538" i="17" s="1"/>
  <c r="AB480" i="16"/>
  <c r="AB485" i="16"/>
  <c r="AB486" i="16"/>
  <c r="AB487" i="16"/>
  <c r="AB539" i="16"/>
  <c r="AB540" i="16"/>
  <c r="AB541" i="16"/>
  <c r="AB542" i="16"/>
  <c r="AB543" i="16"/>
  <c r="AB545" i="16"/>
  <c r="AB548" i="16"/>
  <c r="AB549" i="16"/>
  <c r="AB551" i="16"/>
  <c r="AB554" i="16"/>
  <c r="AB557" i="16"/>
  <c r="AB559" i="16"/>
  <c r="AB560" i="16"/>
  <c r="AB566" i="16"/>
  <c r="AB567" i="16"/>
  <c r="AB568" i="16"/>
  <c r="AB569" i="16"/>
  <c r="AB570" i="16"/>
  <c r="AB575" i="16"/>
  <c r="AB160" i="16"/>
  <c r="AB165" i="16"/>
  <c r="AB167" i="16"/>
  <c r="AB171" i="16"/>
  <c r="AB174" i="16"/>
  <c r="AB180" i="16"/>
  <c r="AB213" i="16"/>
  <c r="AB217" i="16"/>
  <c r="AB220" i="16"/>
  <c r="AB225" i="16"/>
  <c r="AB227" i="16"/>
  <c r="AB231" i="16"/>
  <c r="AB234" i="16"/>
  <c r="AB237" i="16"/>
  <c r="AB391" i="16"/>
  <c r="AB187" i="16"/>
  <c r="AB196" i="16"/>
  <c r="AB244" i="16"/>
  <c r="AB439" i="16"/>
  <c r="AB477" i="16"/>
  <c r="AB428" i="16"/>
  <c r="AB430" i="16"/>
  <c r="AB432" i="16"/>
  <c r="AB436" i="16"/>
  <c r="AB584" i="16"/>
  <c r="AB586" i="16"/>
  <c r="AB588" i="16"/>
  <c r="AB596" i="16"/>
  <c r="AB490" i="16"/>
  <c r="AB492" i="16"/>
  <c r="AB495" i="16"/>
  <c r="AB500" i="16"/>
  <c r="AB522" i="16"/>
  <c r="AB526" i="16"/>
  <c r="AB530" i="16"/>
  <c r="AB537" i="16"/>
  <c r="AB83" i="16"/>
  <c r="AB84" i="16"/>
  <c r="AB85" i="16"/>
  <c r="AB86" i="16"/>
  <c r="AB87" i="16"/>
  <c r="AB256" i="16"/>
  <c r="AB264" i="16"/>
  <c r="BL325" i="25" l="1"/>
  <c r="BT325" i="25" s="1"/>
  <c r="BV325" i="25" s="1"/>
  <c r="BL330" i="25"/>
  <c r="BT330" i="25" s="1"/>
  <c r="BV330" i="25" s="1"/>
  <c r="BT607" i="25"/>
  <c r="BV607" i="25" s="1"/>
  <c r="BL328" i="25"/>
  <c r="BT328" i="25" s="1"/>
  <c r="BV328" i="25" s="1"/>
  <c r="BL329" i="25"/>
  <c r="BT329" i="25" s="1"/>
  <c r="BV329" i="25" s="1"/>
  <c r="BL327" i="25"/>
  <c r="BT327" i="25" s="1"/>
  <c r="BV327" i="25" s="1"/>
  <c r="BT233" i="25"/>
  <c r="BV233" i="25" s="1"/>
  <c r="BT476" i="2"/>
  <c r="BV476" i="2" s="1"/>
  <c r="BT145" i="2"/>
  <c r="BV145" i="2" s="1"/>
  <c r="BL144" i="2"/>
  <c r="BT144" i="2" s="1"/>
  <c r="BV144" i="2" s="1"/>
  <c r="BT142" i="2"/>
  <c r="BV142" i="2" s="1"/>
  <c r="BL141" i="2"/>
  <c r="BT141" i="2" s="1"/>
  <c r="BV141" i="2" s="1"/>
  <c r="BT565" i="2"/>
  <c r="BV565" i="2" s="1"/>
  <c r="BT358" i="2"/>
  <c r="BV358" i="2" s="1"/>
  <c r="BL618" i="2"/>
  <c r="BT618" i="2" s="1"/>
  <c r="BV618" i="2" s="1"/>
  <c r="BT604" i="2"/>
  <c r="BV604" i="2" s="1"/>
  <c r="BL603" i="2"/>
  <c r="BT603" i="2" s="1"/>
  <c r="BV603" i="2" s="1"/>
  <c r="BT503" i="2"/>
  <c r="BV503" i="2" s="1"/>
  <c r="BL502" i="2"/>
  <c r="BT502" i="2" s="1"/>
  <c r="BV502" i="2" s="1"/>
  <c r="BT546" i="2"/>
  <c r="BV546" i="2" s="1"/>
  <c r="BL545" i="2"/>
  <c r="BT545" i="2" s="1"/>
  <c r="BV545" i="2" s="1"/>
  <c r="BT607" i="2"/>
  <c r="BV607" i="2" s="1"/>
  <c r="BL606" i="2"/>
  <c r="BT606" i="2" s="1"/>
  <c r="BV606" i="2" s="1"/>
  <c r="BT328" i="2"/>
  <c r="BV328" i="2" s="1"/>
  <c r="BL327" i="2"/>
  <c r="BT327" i="2" s="1"/>
  <c r="BV327" i="2" s="1"/>
  <c r="BT521" i="2"/>
  <c r="BV521" i="2" s="1"/>
  <c r="BL520" i="2"/>
  <c r="BT520" i="2" s="1"/>
  <c r="BV520" i="2" s="1"/>
  <c r="BL460" i="2"/>
  <c r="BT460" i="2" s="1"/>
  <c r="BV460" i="2" s="1"/>
  <c r="BT356" i="2"/>
  <c r="BV356" i="2" s="1"/>
  <c r="BL355" i="2"/>
  <c r="BT355" i="2" s="1"/>
  <c r="BV355" i="2" s="1"/>
  <c r="BT255" i="2"/>
  <c r="BV255" i="2" s="1"/>
  <c r="BL254" i="2"/>
  <c r="BT254" i="2" s="1"/>
  <c r="BV254" i="2" s="1"/>
  <c r="BL238" i="2"/>
  <c r="BT238" i="2" s="1"/>
  <c r="BV238" i="2" s="1"/>
  <c r="BT335" i="2"/>
  <c r="BV335" i="2" s="1"/>
  <c r="BL334" i="2"/>
  <c r="BT334" i="2" s="1"/>
  <c r="BV334" i="2" s="1"/>
  <c r="BT308" i="2"/>
  <c r="BV308" i="2" s="1"/>
  <c r="BL307" i="2"/>
  <c r="BT307" i="2" s="1"/>
  <c r="BV307" i="2" s="1"/>
  <c r="BT536" i="2"/>
  <c r="BV536" i="2" s="1"/>
  <c r="BL535" i="2"/>
  <c r="BT535" i="2" s="1"/>
  <c r="BV535" i="2" s="1"/>
  <c r="BT234" i="2"/>
  <c r="BV234" i="2" s="1"/>
  <c r="BL233" i="2"/>
  <c r="BT233" i="2" s="1"/>
  <c r="BV233" i="2" s="1"/>
  <c r="BT544" i="2"/>
  <c r="BV544" i="2" s="1"/>
  <c r="BL543" i="2"/>
  <c r="BT543" i="2" s="1"/>
  <c r="BV543" i="2" s="1"/>
  <c r="BT331" i="2"/>
  <c r="BV331" i="2" s="1"/>
  <c r="BL330" i="2"/>
  <c r="BT330" i="2" s="1"/>
  <c r="BV330" i="2" s="1"/>
  <c r="BT250" i="2"/>
  <c r="BV250" i="2" s="1"/>
  <c r="BL248" i="2"/>
  <c r="BT248" i="2" s="1"/>
  <c r="BV248" i="2" s="1"/>
  <c r="BT511" i="2"/>
  <c r="BV511" i="2" s="1"/>
  <c r="BL510" i="2"/>
  <c r="BT510" i="2" s="1"/>
  <c r="BV510" i="2" s="1"/>
  <c r="BT508" i="2"/>
  <c r="BV508" i="2" s="1"/>
  <c r="BL507" i="2"/>
  <c r="BT507" i="2" s="1"/>
  <c r="BV507" i="2" s="1"/>
  <c r="BV489" i="2"/>
  <c r="BL488" i="2"/>
  <c r="BT488" i="2" s="1"/>
  <c r="BV488" i="2" s="1"/>
  <c r="BT242" i="2"/>
  <c r="BV242" i="2" s="1"/>
  <c r="BL241" i="2"/>
  <c r="BT241" i="2" s="1"/>
  <c r="BV241" i="2" s="1"/>
  <c r="BT584" i="2"/>
  <c r="BV584" i="2" s="1"/>
  <c r="BL583" i="2"/>
  <c r="BT583" i="2" s="1"/>
  <c r="BV583" i="2" s="1"/>
  <c r="BT237" i="2"/>
  <c r="BV237" i="2" s="1"/>
  <c r="BL236" i="2"/>
  <c r="BT236" i="2" s="1"/>
  <c r="BV236" i="2" s="1"/>
  <c r="BT245" i="2"/>
  <c r="BV245" i="2" s="1"/>
  <c r="BL244" i="2"/>
  <c r="BT244" i="2" s="1"/>
  <c r="BV244" i="2" s="1"/>
  <c r="BT374" i="2"/>
  <c r="BV374" i="2" s="1"/>
  <c r="BL373" i="2"/>
  <c r="BT373" i="2" s="1"/>
  <c r="BV373" i="2" s="1"/>
  <c r="BT267" i="2"/>
  <c r="BV267" i="2" s="1"/>
  <c r="BL266" i="2"/>
  <c r="BT266" i="2" s="1"/>
  <c r="BV266" i="2" s="1"/>
  <c r="BL571" i="2"/>
  <c r="BT571" i="2" s="1"/>
  <c r="BV571" i="2" s="1"/>
  <c r="BT463" i="2"/>
  <c r="BV463" i="2" s="1"/>
  <c r="BL462" i="2"/>
  <c r="BT462" i="2" s="1"/>
  <c r="BV462" i="2" s="1"/>
  <c r="BT457" i="2"/>
  <c r="BV457" i="2" s="1"/>
  <c r="BL456" i="2"/>
  <c r="BT456" i="2" s="1"/>
  <c r="BV456" i="2" s="1"/>
  <c r="BT442" i="2"/>
  <c r="BV442" i="2" s="1"/>
  <c r="BL441" i="2"/>
  <c r="BT441" i="2" s="1"/>
  <c r="BV441" i="2" s="1"/>
  <c r="BT630" i="2"/>
  <c r="BV630" i="2" s="1"/>
  <c r="BL629" i="2"/>
  <c r="BT629" i="2" s="1"/>
  <c r="BV629" i="2" s="1"/>
  <c r="BL569" i="2"/>
  <c r="BT569" i="2" s="1"/>
  <c r="BV569" i="2" s="1"/>
  <c r="BT542" i="2"/>
  <c r="BV542" i="2" s="1"/>
  <c r="BL541" i="2"/>
  <c r="BT541" i="2" s="1"/>
  <c r="BV541" i="2" s="1"/>
  <c r="BT324" i="2"/>
  <c r="BV324" i="2" s="1"/>
  <c r="BL323" i="2"/>
  <c r="BT323" i="2" s="1"/>
  <c r="BV323" i="2" s="1"/>
  <c r="BL564" i="2"/>
  <c r="BT564" i="2" s="1"/>
  <c r="BV564" i="2" s="1"/>
  <c r="BL447" i="2"/>
  <c r="BT447" i="2" s="1"/>
  <c r="BV447" i="2" s="1"/>
  <c r="BT568" i="2"/>
  <c r="BV568" i="2" s="1"/>
  <c r="BL567" i="2"/>
  <c r="BT567" i="2" s="1"/>
  <c r="BV567" i="2" s="1"/>
  <c r="BT362" i="2"/>
  <c r="BV362" i="2" s="1"/>
  <c r="BL361" i="2"/>
  <c r="BT361" i="2" s="1"/>
  <c r="BV361" i="2" s="1"/>
  <c r="BT532" i="2"/>
  <c r="BV532" i="2" s="1"/>
  <c r="BL531" i="2"/>
  <c r="BT531" i="2" s="1"/>
  <c r="BV531" i="2" s="1"/>
  <c r="BT409" i="2"/>
  <c r="BV409" i="2" s="1"/>
  <c r="BL407" i="2"/>
  <c r="BT407" i="2" s="1"/>
  <c r="BV407" i="2" s="1"/>
  <c r="BT534" i="2"/>
  <c r="BV534" i="2" s="1"/>
  <c r="BL533" i="2"/>
  <c r="BT533" i="2" s="1"/>
  <c r="BV533" i="2" s="1"/>
  <c r="BT493" i="2"/>
  <c r="BV493" i="2" s="1"/>
  <c r="BL492" i="2"/>
  <c r="BT492" i="2" s="1"/>
  <c r="BV492" i="2" s="1"/>
  <c r="BT550" i="2"/>
  <c r="BV550" i="2" s="1"/>
  <c r="BL549" i="2"/>
  <c r="BT549" i="2" s="1"/>
  <c r="BV549" i="2" s="1"/>
  <c r="BT471" i="2"/>
  <c r="BV471" i="2" s="1"/>
  <c r="BL470" i="2"/>
  <c r="BT470" i="2" s="1"/>
  <c r="BV470" i="2" s="1"/>
  <c r="BL461" i="2"/>
  <c r="BT461" i="2" s="1"/>
  <c r="BV461" i="2" s="1"/>
  <c r="BT615" i="2"/>
  <c r="BV615" i="2" s="1"/>
  <c r="BL614" i="2"/>
  <c r="BT614" i="2" s="1"/>
  <c r="BV614" i="2" s="1"/>
  <c r="BT177" i="2"/>
  <c r="BV177" i="2" s="1"/>
  <c r="BL175" i="2"/>
  <c r="BT175" i="2" s="1"/>
  <c r="BV175" i="2" s="1"/>
  <c r="BT227" i="2"/>
  <c r="BV227" i="2" s="1"/>
  <c r="BL226" i="2"/>
  <c r="BT226" i="2" s="1"/>
  <c r="BV226" i="2" s="1"/>
  <c r="BT282" i="2"/>
  <c r="BV282" i="2" s="1"/>
  <c r="BL281" i="2"/>
  <c r="BT281" i="2" s="1"/>
  <c r="BV281" i="2" s="1"/>
  <c r="BL420" i="2"/>
  <c r="BT420" i="2" s="1"/>
  <c r="BV420" i="2" s="1"/>
  <c r="BT367" i="2"/>
  <c r="BV367" i="2" s="1"/>
  <c r="BL366" i="2"/>
  <c r="BT366" i="2" s="1"/>
  <c r="BV366" i="2" s="1"/>
  <c r="BT322" i="2"/>
  <c r="BV322" i="2" s="1"/>
  <c r="BL321" i="2"/>
  <c r="BT321" i="2" s="1"/>
  <c r="BV321" i="2" s="1"/>
  <c r="BT344" i="2"/>
  <c r="BV344" i="2" s="1"/>
  <c r="BL343" i="2"/>
  <c r="BT343" i="2" s="1"/>
  <c r="BV343" i="2" s="1"/>
  <c r="BT342" i="2"/>
  <c r="BV342" i="2" s="1"/>
  <c r="BL341" i="2"/>
  <c r="BT341" i="2" s="1"/>
  <c r="BV341" i="2" s="1"/>
  <c r="BT169" i="2"/>
  <c r="BV169" i="2" s="1"/>
  <c r="BL168" i="2"/>
  <c r="BT168" i="2" s="1"/>
  <c r="BV168" i="2" s="1"/>
  <c r="BT513" i="2"/>
  <c r="BV513" i="2" s="1"/>
  <c r="BL512" i="2"/>
  <c r="BT512" i="2" s="1"/>
  <c r="BV512" i="2" s="1"/>
  <c r="BL509" i="2"/>
  <c r="BT509" i="2" s="1"/>
  <c r="BV509" i="2" s="1"/>
  <c r="BT505" i="2"/>
  <c r="BV505" i="2" s="1"/>
  <c r="BL504" i="2"/>
  <c r="BT504" i="2" s="1"/>
  <c r="BV504" i="2" s="1"/>
  <c r="BL497" i="2"/>
  <c r="BT497" i="2" s="1"/>
  <c r="BV497" i="2" s="1"/>
  <c r="BT436" i="2"/>
  <c r="BV436" i="2" s="1"/>
  <c r="BL435" i="2"/>
  <c r="BT435" i="2" s="1"/>
  <c r="BV435" i="2" s="1"/>
  <c r="BT247" i="2"/>
  <c r="BV247" i="2" s="1"/>
  <c r="BL246" i="2"/>
  <c r="BT246" i="2" s="1"/>
  <c r="BV246" i="2" s="1"/>
  <c r="BL256" i="2"/>
  <c r="BT256" i="2" s="1"/>
  <c r="BV256" i="2" s="1"/>
  <c r="BT303" i="2"/>
  <c r="BV303" i="2" s="1"/>
  <c r="BL302" i="2"/>
  <c r="BT302" i="2" s="1"/>
  <c r="BV302" i="2" s="1"/>
  <c r="BT300" i="2"/>
  <c r="BV300" i="2" s="1"/>
  <c r="BL299" i="2"/>
  <c r="BT299" i="2" s="1"/>
  <c r="BV299" i="2" s="1"/>
  <c r="BT468" i="2"/>
  <c r="BV468" i="2" s="1"/>
  <c r="BL467" i="2"/>
  <c r="BT467" i="2" s="1"/>
  <c r="BV467" i="2" s="1"/>
  <c r="BT439" i="2"/>
  <c r="BV439" i="2" s="1"/>
  <c r="BL438" i="2"/>
  <c r="BT438" i="2" s="1"/>
  <c r="BV438" i="2" s="1"/>
  <c r="BT312" i="2"/>
  <c r="BV312" i="2" s="1"/>
  <c r="BL311" i="2"/>
  <c r="BT311" i="2" s="1"/>
  <c r="BV311" i="2" s="1"/>
  <c r="BT556" i="2"/>
  <c r="BV556" i="2" s="1"/>
  <c r="BL555" i="2"/>
  <c r="BT555" i="2" s="1"/>
  <c r="BV555" i="2" s="1"/>
  <c r="BL306" i="2"/>
  <c r="BT306" i="2" s="1"/>
  <c r="BV306" i="2" s="1"/>
  <c r="BT620" i="2"/>
  <c r="BV620" i="2" s="1"/>
  <c r="BL619" i="2"/>
  <c r="BT619" i="2" s="1"/>
  <c r="BV619" i="2" s="1"/>
  <c r="BT478" i="2"/>
  <c r="BV478" i="2" s="1"/>
  <c r="BL357" i="2"/>
  <c r="BT357" i="2" s="1"/>
  <c r="BV357" i="2" s="1"/>
  <c r="BL258" i="2"/>
  <c r="BT258" i="2" s="1"/>
  <c r="BV258" i="2" s="1"/>
  <c r="BL475" i="2"/>
  <c r="BT475" i="2" s="1"/>
  <c r="BV475" i="2" s="1"/>
  <c r="BL449" i="2"/>
  <c r="BT449" i="2" s="1"/>
  <c r="BV449" i="2" s="1"/>
  <c r="BT217" i="2"/>
  <c r="BV217" i="2" s="1"/>
  <c r="BL216" i="2"/>
  <c r="BT216" i="2" s="1"/>
  <c r="BV216" i="2" s="1"/>
  <c r="BT198" i="2"/>
  <c r="BV198" i="2" s="1"/>
  <c r="BL197" i="2"/>
  <c r="BT197" i="2" s="1"/>
  <c r="BV197" i="2" s="1"/>
  <c r="BT192" i="2"/>
  <c r="BV192" i="2" s="1"/>
  <c r="BL191" i="2"/>
  <c r="BT191" i="2" s="1"/>
  <c r="BV191" i="2" s="1"/>
  <c r="BT190" i="2"/>
  <c r="BV190" i="2" s="1"/>
  <c r="BL189" i="2"/>
  <c r="BT189" i="2" s="1"/>
  <c r="BV189" i="2" s="1"/>
  <c r="BT185" i="2"/>
  <c r="BV185" i="2" s="1"/>
  <c r="BL184" i="2"/>
  <c r="BT184" i="2" s="1"/>
  <c r="BV184" i="2" s="1"/>
  <c r="BT183" i="2"/>
  <c r="BV183" i="2" s="1"/>
  <c r="BL182" i="2"/>
  <c r="BT182" i="2" s="1"/>
  <c r="BV182" i="2" s="1"/>
  <c r="BT174" i="2"/>
  <c r="BV174" i="2" s="1"/>
  <c r="BL172" i="2"/>
  <c r="BT172" i="2" s="1"/>
  <c r="BV172" i="2" s="1"/>
  <c r="BT161" i="2"/>
  <c r="BV161" i="2" s="1"/>
  <c r="BL160" i="2"/>
  <c r="BT160" i="2" s="1"/>
  <c r="BV160" i="2" s="1"/>
  <c r="BT158" i="2"/>
  <c r="BV158" i="2" s="1"/>
  <c r="BL157" i="2"/>
  <c r="BT157" i="2" s="1"/>
  <c r="BV157" i="2" s="1"/>
  <c r="BT412" i="2"/>
  <c r="BV412" i="2" s="1"/>
  <c r="BT415" i="2"/>
  <c r="BV415" i="2" s="1"/>
  <c r="BT429" i="2"/>
  <c r="BV429" i="2" s="1"/>
  <c r="BT371" i="2"/>
  <c r="BV371" i="2" s="1"/>
  <c r="BT309" i="2"/>
  <c r="BV309" i="2" s="1"/>
  <c r="BT540" i="2"/>
  <c r="BV540" i="2" s="1"/>
  <c r="BT363" i="2"/>
  <c r="BV363" i="2" s="1"/>
  <c r="BT346" i="2"/>
  <c r="BV346" i="2" s="1"/>
  <c r="BT365" i="2"/>
  <c r="BV365" i="2" s="1"/>
  <c r="BT517" i="2"/>
  <c r="BV517" i="2" s="1"/>
  <c r="BT514" i="2"/>
  <c r="BV514" i="2" s="1"/>
  <c r="BT558" i="2"/>
  <c r="BV558" i="2" s="1"/>
  <c r="BT482" i="2"/>
  <c r="BV482" i="2" s="1"/>
  <c r="BT444" i="2"/>
  <c r="BV444" i="2" s="1"/>
  <c r="BT187" i="2"/>
  <c r="BV187" i="2" s="1"/>
  <c r="BT613" i="2"/>
  <c r="BV613" i="2" s="1"/>
  <c r="BT609" i="2"/>
  <c r="BV609" i="2" s="1"/>
  <c r="BT288" i="2"/>
  <c r="BV288" i="2" s="1"/>
  <c r="BT582" i="2"/>
  <c r="BV582" i="2" s="1"/>
  <c r="BT213" i="2"/>
  <c r="BV213" i="2" s="1"/>
  <c r="BT559" i="2"/>
  <c r="BV559" i="2" s="1"/>
  <c r="BT372" i="2"/>
  <c r="BV372" i="2" s="1"/>
  <c r="BT134" i="2"/>
  <c r="BV134" i="2" s="1"/>
  <c r="BL130" i="2"/>
  <c r="BT130" i="2" s="1"/>
  <c r="BV130" i="2" s="1"/>
  <c r="BL126" i="2"/>
  <c r="BT126" i="2" s="1"/>
  <c r="BV126" i="2" s="1"/>
  <c r="BT527" i="2"/>
  <c r="BV527" i="2" s="1"/>
  <c r="BT515" i="2"/>
  <c r="BV515" i="2" s="1"/>
  <c r="BT570" i="2"/>
  <c r="BV570" i="2" s="1"/>
  <c r="BT445" i="2"/>
  <c r="BV445" i="2" s="1"/>
  <c r="BT214" i="2"/>
  <c r="BV214" i="2" s="1"/>
  <c r="BL129" i="2"/>
  <c r="BT129" i="2" s="1"/>
  <c r="BV129" i="2" s="1"/>
  <c r="BT351" i="2"/>
  <c r="BV351" i="2" s="1"/>
  <c r="BT349" i="2"/>
  <c r="BV349" i="2" s="1"/>
  <c r="BT225" i="2"/>
  <c r="BV225" i="2" s="1"/>
  <c r="BT105" i="2"/>
  <c r="BV105" i="2" s="1"/>
  <c r="BT289" i="2"/>
  <c r="BV289" i="2" s="1"/>
  <c r="BT220" i="2"/>
  <c r="BV220" i="2" s="1"/>
  <c r="BT525" i="2"/>
  <c r="BV525" i="2" s="1"/>
  <c r="BT601" i="2"/>
  <c r="BV601" i="2" s="1"/>
  <c r="BT434" i="2"/>
  <c r="BV434" i="2" s="1"/>
  <c r="BT526" i="2"/>
  <c r="BV526" i="2" s="1"/>
  <c r="BT518" i="2"/>
  <c r="BV518" i="2" s="1"/>
  <c r="BT573" i="2"/>
  <c r="BV573" i="2" s="1"/>
  <c r="BT479" i="2"/>
  <c r="BV479" i="2" s="1"/>
  <c r="BT188" i="2"/>
  <c r="BV188" i="2" s="1"/>
  <c r="BT422" i="2"/>
  <c r="BV422" i="2" s="1"/>
  <c r="BL119" i="2"/>
  <c r="BT119" i="2" s="1"/>
  <c r="BV119" i="2" s="1"/>
  <c r="BL114" i="2"/>
  <c r="BT114" i="2" s="1"/>
  <c r="BV114" i="2" s="1"/>
  <c r="BT572" i="2"/>
  <c r="BV572" i="2" s="1"/>
  <c r="BT450" i="2"/>
  <c r="BV450" i="2" s="1"/>
  <c r="BT446" i="2"/>
  <c r="BV446" i="2" s="1"/>
  <c r="BT221" i="2"/>
  <c r="BV221" i="2" s="1"/>
  <c r="BL122" i="2"/>
  <c r="BT122" i="2" s="1"/>
  <c r="BV122" i="2" s="1"/>
  <c r="BT232" i="2"/>
  <c r="BV232" i="2" s="1"/>
  <c r="BT627" i="2"/>
  <c r="BV627" i="2" s="1"/>
  <c r="BT610" i="2"/>
  <c r="BV610" i="2" s="1"/>
  <c r="BT98" i="2"/>
  <c r="BV98" i="2" s="1"/>
  <c r="BT263" i="2"/>
  <c r="BV263" i="2" s="1"/>
  <c r="BT529" i="2"/>
  <c r="BV529" i="2" s="1"/>
  <c r="BT522" i="2"/>
  <c r="BV522" i="2" s="1"/>
  <c r="BT500" i="2"/>
  <c r="BV500" i="2" s="1"/>
  <c r="BT498" i="2"/>
  <c r="BV498" i="2" s="1"/>
  <c r="BT562" i="2"/>
  <c r="BV562" i="2" s="1"/>
  <c r="BT552" i="2"/>
  <c r="BV552" i="2" s="1"/>
  <c r="BT483" i="2"/>
  <c r="BV483" i="2" s="1"/>
  <c r="BT453" i="2"/>
  <c r="BV453" i="2" s="1"/>
  <c r="BT440" i="2"/>
  <c r="BV440" i="2" s="1"/>
  <c r="BT560" i="2"/>
  <c r="BV560" i="2" s="1"/>
  <c r="BT368" i="2"/>
  <c r="BV368" i="2" s="1"/>
  <c r="BT353" i="2"/>
  <c r="BV353" i="2" s="1"/>
  <c r="BT403" i="2"/>
  <c r="BV403" i="2" s="1"/>
  <c r="BT138" i="2"/>
  <c r="BV138" i="2" s="1"/>
  <c r="BT127" i="2"/>
  <c r="BV127" i="2" s="1"/>
  <c r="BT121" i="2"/>
  <c r="BV121" i="2" s="1"/>
  <c r="BT108" i="2"/>
  <c r="BV108" i="2" s="1"/>
  <c r="BT557" i="2"/>
  <c r="BV557" i="2" s="1"/>
  <c r="BT480" i="2"/>
  <c r="BV480" i="2" s="1"/>
  <c r="BT320" i="2"/>
  <c r="BV320" i="2" s="1"/>
  <c r="BT491" i="2"/>
  <c r="BV491" i="2" s="1"/>
  <c r="BT553" i="2"/>
  <c r="BV553" i="2" s="1"/>
  <c r="BT539" i="2"/>
  <c r="BV539" i="2" s="1"/>
  <c r="BT466" i="2"/>
  <c r="BV466" i="2" s="1"/>
  <c r="BT252" i="2"/>
  <c r="BV252" i="2" s="1"/>
  <c r="BT243" i="2"/>
  <c r="BV243" i="2" s="1"/>
  <c r="BT360" i="2"/>
  <c r="BV360" i="2" s="1"/>
  <c r="BT350" i="2"/>
  <c r="BV350" i="2" s="1"/>
  <c r="BT348" i="2"/>
  <c r="BV348" i="2" s="1"/>
  <c r="BT224" i="2"/>
  <c r="BV224" i="2" s="1"/>
  <c r="BT621" i="2"/>
  <c r="BV621" i="2" s="1"/>
  <c r="BT612" i="2"/>
  <c r="BV612" i="2" s="1"/>
  <c r="BT316" i="2"/>
  <c r="BV316" i="2" s="1"/>
  <c r="BT310" i="2"/>
  <c r="BV310" i="2" s="1"/>
  <c r="BT280" i="2"/>
  <c r="BV280" i="2" s="1"/>
  <c r="BT359" i="2"/>
  <c r="BV359" i="2" s="1"/>
  <c r="BT624" i="2"/>
  <c r="BV624" i="2" s="1"/>
  <c r="BT616" i="2"/>
  <c r="BV616" i="2" s="1"/>
  <c r="BT410" i="2"/>
  <c r="BV410" i="2" s="1"/>
  <c r="BT264" i="2"/>
  <c r="BV264" i="2" s="1"/>
  <c r="BT262" i="2"/>
  <c r="BV262" i="2" s="1"/>
  <c r="BT257" i="2"/>
  <c r="BV257" i="2" s="1"/>
  <c r="BT523" i="2"/>
  <c r="BV523" i="2" s="1"/>
  <c r="BT501" i="2"/>
  <c r="BV501" i="2" s="1"/>
  <c r="BT499" i="2"/>
  <c r="BV499" i="2" s="1"/>
  <c r="BV490" i="2"/>
  <c r="BT563" i="2"/>
  <c r="BV563" i="2" s="1"/>
  <c r="BT554" i="2"/>
  <c r="BV554" i="2" s="1"/>
  <c r="BT548" i="2"/>
  <c r="BV548" i="2" s="1"/>
  <c r="BV484" i="2"/>
  <c r="BT469" i="2"/>
  <c r="BV469" i="2" s="1"/>
  <c r="BT443" i="2"/>
  <c r="BV443" i="2" s="1"/>
  <c r="BT352" i="2"/>
  <c r="BV352" i="2" s="1"/>
  <c r="BT625" i="2"/>
  <c r="BV625" i="2" s="1"/>
  <c r="BT295" i="2"/>
  <c r="BV295" i="2" s="1"/>
  <c r="BT101" i="2"/>
  <c r="BV101" i="2" s="1"/>
  <c r="BT413" i="2"/>
  <c r="BV413" i="2" s="1"/>
  <c r="BT411" i="2"/>
  <c r="BV411" i="2" s="1"/>
  <c r="BT402" i="2"/>
  <c r="BV402" i="2" s="1"/>
  <c r="BT139" i="2"/>
  <c r="BV139" i="2" s="1"/>
  <c r="BT109" i="2"/>
  <c r="BV109" i="2" s="1"/>
  <c r="BT107" i="2"/>
  <c r="BV107" i="2" s="1"/>
  <c r="BT566" i="2"/>
  <c r="BV566" i="2" s="1"/>
  <c r="BT240" i="2"/>
  <c r="BV240" i="2" s="1"/>
  <c r="BT333" i="2"/>
  <c r="BV333" i="2" s="1"/>
  <c r="BT253" i="2"/>
  <c r="BV253" i="2" s="1"/>
  <c r="BT239" i="2"/>
  <c r="BV239" i="2" s="1"/>
  <c r="BT369" i="2"/>
  <c r="BV369" i="2" s="1"/>
  <c r="BT347" i="2"/>
  <c r="BV347" i="2" s="1"/>
  <c r="BT223" i="2"/>
  <c r="BV223" i="2" s="1"/>
  <c r="BT622" i="2"/>
  <c r="BV622" i="2" s="1"/>
  <c r="BT599" i="2"/>
  <c r="BV599" i="2" s="1"/>
  <c r="BT319" i="2"/>
  <c r="BV319" i="2" s="1"/>
  <c r="BT314" i="2"/>
  <c r="BV314" i="2" s="1"/>
  <c r="BT278" i="2"/>
  <c r="BV278" i="2" s="1"/>
  <c r="BT99" i="2"/>
  <c r="BV99" i="2" s="1"/>
  <c r="BT406" i="2"/>
  <c r="BV406" i="2" s="1"/>
  <c r="BT94" i="2"/>
  <c r="BV94" i="2" s="1"/>
  <c r="BT92" i="2"/>
  <c r="BV92" i="2" s="1"/>
  <c r="BT96" i="2"/>
  <c r="BV96" i="2" s="1"/>
  <c r="BT95" i="2"/>
  <c r="BV95" i="2" s="1"/>
  <c r="BT419" i="2"/>
  <c r="BV419" i="2" s="1"/>
  <c r="BT204" i="2"/>
  <c r="BV204" i="2" s="1"/>
  <c r="BT231" i="2"/>
  <c r="BV231" i="2" s="1"/>
  <c r="BT97" i="2"/>
  <c r="BV97" i="2" s="1"/>
  <c r="BT432" i="2"/>
  <c r="BV432" i="2" s="1"/>
  <c r="BT416" i="2"/>
  <c r="BV416" i="2" s="1"/>
  <c r="BT430" i="2"/>
  <c r="BV430" i="2" s="1"/>
  <c r="BT547" i="2"/>
  <c r="BV547" i="2" s="1"/>
  <c r="BT481" i="2"/>
  <c r="BV481" i="2" s="1"/>
  <c r="BT473" i="2"/>
  <c r="BV473" i="2" s="1"/>
  <c r="BT602" i="2"/>
  <c r="BV602" i="2" s="1"/>
  <c r="BT598" i="2"/>
  <c r="BV598" i="2" s="1"/>
  <c r="BT297" i="2"/>
  <c r="BV297" i="2" s="1"/>
  <c r="BT291" i="2"/>
  <c r="BV291" i="2" s="1"/>
  <c r="BT102" i="2"/>
  <c r="BV102" i="2" s="1"/>
  <c r="BT338" i="2"/>
  <c r="BV338" i="2" s="1"/>
  <c r="BT329" i="2"/>
  <c r="BV329" i="2" s="1"/>
  <c r="BT212" i="2"/>
  <c r="BV212" i="2" s="1"/>
  <c r="BT165" i="2"/>
  <c r="BV165" i="2" s="1"/>
  <c r="BT132" i="2"/>
  <c r="BV132" i="2" s="1"/>
  <c r="BT110" i="2"/>
  <c r="BV110" i="2" s="1"/>
  <c r="BT530" i="2"/>
  <c r="BV530" i="2" s="1"/>
  <c r="BT474" i="2"/>
  <c r="BV474" i="2" s="1"/>
  <c r="BT628" i="2"/>
  <c r="BV628" i="2" s="1"/>
  <c r="BT623" i="2"/>
  <c r="BV623" i="2" s="1"/>
  <c r="BT611" i="2"/>
  <c r="BV611" i="2" s="1"/>
  <c r="BT318" i="2"/>
  <c r="BV318" i="2" s="1"/>
  <c r="BT290" i="2"/>
  <c r="BV290" i="2" s="1"/>
  <c r="BT286" i="2"/>
  <c r="BV286" i="2" s="1"/>
  <c r="BT275" i="2"/>
  <c r="BV275" i="2" s="1"/>
  <c r="BT339" i="2"/>
  <c r="BV339" i="2" s="1"/>
  <c r="BT230" i="2"/>
  <c r="BV230" i="2" s="1"/>
  <c r="BT135" i="2"/>
  <c r="BV135" i="2" s="1"/>
  <c r="BT113" i="2"/>
  <c r="BV113" i="2" s="1"/>
  <c r="BT414" i="2"/>
  <c r="BV414" i="2" s="1"/>
  <c r="BT93" i="2"/>
  <c r="BV93" i="2" s="1"/>
  <c r="BT418" i="2"/>
  <c r="BV418" i="2" s="1"/>
  <c r="BT156" i="2"/>
  <c r="BV156" i="2" s="1"/>
  <c r="BT229" i="2"/>
  <c r="BV229" i="2" s="1"/>
  <c r="BT140" i="2"/>
  <c r="BV140" i="2" s="1"/>
  <c r="BT128" i="2"/>
  <c r="BV128" i="2" s="1"/>
  <c r="BT106" i="2"/>
  <c r="BV106" i="2" s="1"/>
  <c r="BT117" i="2"/>
  <c r="BV117" i="2" s="1"/>
  <c r="BT123" i="2"/>
  <c r="BV123" i="2" s="1"/>
  <c r="BT146" i="2"/>
  <c r="BV146" i="2" s="1"/>
  <c r="BT454" i="2"/>
  <c r="BV454" i="2" s="1"/>
  <c r="BT486" i="2"/>
  <c r="BV486" i="2" s="1"/>
  <c r="BT345" i="2"/>
  <c r="BV345" i="2" s="1"/>
  <c r="BT325" i="2"/>
  <c r="BV325" i="2" s="1"/>
  <c r="BT219" i="2"/>
  <c r="BV219" i="2" s="1"/>
  <c r="BT211" i="2"/>
  <c r="BV211" i="2" s="1"/>
  <c r="BT166" i="2"/>
  <c r="BV166" i="2" s="1"/>
  <c r="BT279" i="2"/>
  <c r="BV279" i="2" s="1"/>
  <c r="BT273" i="2"/>
  <c r="BV273" i="2" s="1"/>
  <c r="BT370" i="2"/>
  <c r="BV370" i="2" s="1"/>
  <c r="BT538" i="2"/>
  <c r="BV538" i="2" s="1"/>
  <c r="BT437" i="2"/>
  <c r="BV437" i="2" s="1"/>
  <c r="BT433" i="2"/>
  <c r="BV433" i="2" s="1"/>
  <c r="BT136" i="2"/>
  <c r="BV136" i="2" s="1"/>
  <c r="BT287" i="2"/>
  <c r="BV287" i="2" s="1"/>
  <c r="BT315" i="2"/>
  <c r="BV315" i="2" s="1"/>
  <c r="BT485" i="2"/>
  <c r="BV485" i="2" s="1"/>
  <c r="BT581" i="2"/>
  <c r="BV581" i="2" s="1"/>
  <c r="BT487" i="2"/>
  <c r="BV487" i="2" s="1"/>
  <c r="BT265" i="2"/>
  <c r="BV265" i="2" s="1"/>
  <c r="BT519" i="2"/>
  <c r="BV519" i="2" s="1"/>
  <c r="BT561" i="2"/>
  <c r="BV561" i="2" s="1"/>
  <c r="BT455" i="2"/>
  <c r="BV455" i="2" s="1"/>
  <c r="BT451" i="2"/>
  <c r="BV451" i="2" s="1"/>
  <c r="BT235" i="2"/>
  <c r="BV235" i="2" s="1"/>
  <c r="BT364" i="2"/>
  <c r="BV364" i="2" s="1"/>
  <c r="BT608" i="2"/>
  <c r="BV608" i="2" s="1"/>
  <c r="BT600" i="2"/>
  <c r="BV600" i="2" s="1"/>
  <c r="BT317" i="2"/>
  <c r="BV317" i="2" s="1"/>
  <c r="BT296" i="2"/>
  <c r="BV296" i="2" s="1"/>
  <c r="BT104" i="2"/>
  <c r="BV104" i="2" s="1"/>
  <c r="BT100" i="2"/>
  <c r="BV100" i="2" s="1"/>
  <c r="BT340" i="2"/>
  <c r="BV340" i="2" s="1"/>
  <c r="BT167" i="2"/>
  <c r="BV167" i="2" s="1"/>
  <c r="BT143" i="2"/>
  <c r="BV143" i="2" s="1"/>
  <c r="BT116" i="2"/>
  <c r="BV116" i="2" s="1"/>
  <c r="BT112" i="2"/>
  <c r="BV112" i="2" s="1"/>
  <c r="BT292" i="2"/>
  <c r="BV292" i="2" s="1"/>
  <c r="BT524" i="2"/>
  <c r="BV524" i="2" s="1"/>
  <c r="BT152" i="2"/>
  <c r="BV152" i="2" s="1"/>
  <c r="BT472" i="2"/>
  <c r="BV472" i="2" s="1"/>
  <c r="BT459" i="2"/>
  <c r="BV459" i="2" s="1"/>
  <c r="BT452" i="2"/>
  <c r="BV452" i="2" s="1"/>
  <c r="BT186" i="2"/>
  <c r="BV186" i="2" s="1"/>
  <c r="BT617" i="2"/>
  <c r="BV617" i="2" s="1"/>
  <c r="BT605" i="2"/>
  <c r="BV605" i="2" s="1"/>
  <c r="BT301" i="2"/>
  <c r="BV301" i="2" s="1"/>
  <c r="BT298" i="2"/>
  <c r="BV298" i="2" s="1"/>
  <c r="BT293" i="2"/>
  <c r="BV293" i="2" s="1"/>
  <c r="BT277" i="2"/>
  <c r="BV277" i="2" s="1"/>
  <c r="BT337" i="2"/>
  <c r="BV337" i="2" s="1"/>
  <c r="BT332" i="2"/>
  <c r="BV332" i="2" s="1"/>
  <c r="BT228" i="2"/>
  <c r="BV228" i="2" s="1"/>
  <c r="BT222" i="2"/>
  <c r="BV222" i="2" s="1"/>
  <c r="BT218" i="2"/>
  <c r="BV218" i="2" s="1"/>
  <c r="BT137" i="2"/>
  <c r="BV137" i="2" s="1"/>
  <c r="BT120" i="2"/>
  <c r="BV120" i="2" s="1"/>
  <c r="BT115" i="2"/>
  <c r="BV115" i="2" s="1"/>
  <c r="BT111" i="2"/>
  <c r="BV111" i="2" s="1"/>
  <c r="AY405" i="17"/>
  <c r="BC405" i="17" s="1"/>
  <c r="BE405" i="17" s="1"/>
  <c r="AY413" i="17"/>
  <c r="BC413" i="17" s="1"/>
  <c r="BE413" i="17" s="1"/>
  <c r="AY431" i="17"/>
  <c r="BC431" i="17" s="1"/>
  <c r="BE431" i="17" s="1"/>
  <c r="AY550" i="17"/>
  <c r="BC550" i="17" s="1"/>
  <c r="BE550" i="17" s="1"/>
  <c r="AY409" i="17"/>
  <c r="BC409" i="17" s="1"/>
  <c r="BE409" i="17" s="1"/>
  <c r="AY415" i="17"/>
  <c r="BC415" i="17" s="1"/>
  <c r="BE415" i="17" s="1"/>
  <c r="AY419" i="17"/>
  <c r="BC419" i="17" s="1"/>
  <c r="BE419" i="17" s="1"/>
  <c r="AY411" i="17"/>
  <c r="BC411" i="17" s="1"/>
  <c r="BE411" i="17" s="1"/>
  <c r="AY536" i="17"/>
  <c r="BC536" i="17" s="1"/>
  <c r="BE536" i="17" s="1"/>
  <c r="AY488" i="17"/>
  <c r="BC488" i="17" s="1"/>
  <c r="BE488" i="17" s="1"/>
  <c r="AY502" i="17"/>
  <c r="BC502" i="17" s="1"/>
  <c r="BE502" i="17" s="1"/>
  <c r="AY525" i="17"/>
  <c r="BC525" i="17" s="1"/>
  <c r="BE525" i="17" s="1"/>
  <c r="AY420" i="17"/>
  <c r="BC420" i="17" s="1"/>
  <c r="BE420" i="17" s="1"/>
  <c r="AY427" i="17"/>
  <c r="BC427" i="17" s="1"/>
  <c r="BE427" i="17" s="1"/>
  <c r="AY436" i="17"/>
  <c r="BC436" i="17" s="1"/>
  <c r="BE436" i="17" s="1"/>
  <c r="AY451" i="17"/>
  <c r="BC451" i="17" s="1"/>
  <c r="BE451" i="17" s="1"/>
  <c r="AY458" i="17"/>
  <c r="BC458" i="17" s="1"/>
  <c r="BE458" i="17" s="1"/>
  <c r="AY467" i="17"/>
  <c r="BC467" i="17" s="1"/>
  <c r="BE467" i="17" s="1"/>
  <c r="AY539" i="17"/>
  <c r="BC539" i="17" s="1"/>
  <c r="BE539" i="17" s="1"/>
  <c r="AY553" i="17"/>
  <c r="BC553" i="17" s="1"/>
  <c r="BE553" i="17" s="1"/>
  <c r="AY563" i="17"/>
  <c r="BC563" i="17" s="1"/>
  <c r="BE563" i="17" s="1"/>
  <c r="AY604" i="17"/>
  <c r="BC604" i="17" s="1"/>
  <c r="BE604" i="17" s="1"/>
  <c r="AY616" i="17"/>
  <c r="BC616" i="17" s="1"/>
  <c r="BE616" i="17" s="1"/>
  <c r="AY624" i="17"/>
  <c r="BC624" i="17" s="1"/>
  <c r="BE624" i="17" s="1"/>
  <c r="AY494" i="17"/>
  <c r="BC494" i="17" s="1"/>
  <c r="BE494" i="17" s="1"/>
  <c r="AY535" i="17"/>
  <c r="BC535" i="17" s="1"/>
  <c r="BE535" i="17" s="1"/>
  <c r="AY445" i="17"/>
  <c r="BC445" i="17" s="1"/>
  <c r="BE445" i="17" s="1"/>
  <c r="AY469" i="17"/>
  <c r="BC469" i="17" s="1"/>
  <c r="BE469" i="17" s="1"/>
  <c r="AY476" i="17"/>
  <c r="BC476" i="17" s="1"/>
  <c r="BE476" i="17" s="1"/>
  <c r="AY484" i="17"/>
  <c r="BC484" i="17" s="1"/>
  <c r="BE484" i="17" s="1"/>
  <c r="AY543" i="17"/>
  <c r="BC543" i="17" s="1"/>
  <c r="BE543" i="17" s="1"/>
  <c r="AY556" i="17"/>
  <c r="BC556" i="17" s="1"/>
  <c r="BE556" i="17" s="1"/>
  <c r="AY573" i="17"/>
  <c r="BC573" i="17" s="1"/>
  <c r="BE573" i="17" s="1"/>
  <c r="AY584" i="17"/>
  <c r="BC584" i="17" s="1"/>
  <c r="BE584" i="17" s="1"/>
  <c r="AY588" i="17"/>
  <c r="BC588" i="17" s="1"/>
  <c r="BE588" i="17" s="1"/>
  <c r="AY607" i="17"/>
  <c r="BC607" i="17" s="1"/>
  <c r="BE607" i="17" s="1"/>
  <c r="AY619" i="17"/>
  <c r="BC619" i="17" s="1"/>
  <c r="BE619" i="17" s="1"/>
  <c r="AY402" i="17"/>
  <c r="BC402" i="17" s="1"/>
  <c r="BE402" i="17" s="1"/>
  <c r="AY406" i="17"/>
  <c r="BC406" i="17" s="1"/>
  <c r="BE406" i="17" s="1"/>
  <c r="AY403" i="17"/>
  <c r="BC403" i="17" s="1"/>
  <c r="BE403" i="17" s="1"/>
  <c r="AY429" i="17"/>
  <c r="BC429" i="17" s="1"/>
  <c r="BE429" i="17" s="1"/>
  <c r="AY410" i="17"/>
  <c r="BC410" i="17" s="1"/>
  <c r="BE410" i="17" s="1"/>
  <c r="AY416" i="17"/>
  <c r="BC416" i="17" s="1"/>
  <c r="BE416" i="17" s="1"/>
  <c r="AY414" i="17"/>
  <c r="BC414" i="17" s="1"/>
  <c r="BE414" i="17" s="1"/>
  <c r="AY418" i="17"/>
  <c r="BC418" i="17" s="1"/>
  <c r="BE418" i="17" s="1"/>
  <c r="BC538" i="17"/>
  <c r="BE538" i="17" s="1"/>
  <c r="BC512" i="17"/>
  <c r="BE512" i="17" s="1"/>
  <c r="BE489" i="17"/>
  <c r="BC441" i="17"/>
  <c r="BE441" i="17" s="1"/>
  <c r="BC623" i="17"/>
  <c r="BE623" i="17" s="1"/>
  <c r="BC498" i="17"/>
  <c r="BE498" i="17" s="1"/>
  <c r="BC587" i="17"/>
  <c r="BE587" i="17" s="1"/>
  <c r="BC453" i="17"/>
  <c r="BE453" i="17" s="1"/>
  <c r="BC591" i="17"/>
  <c r="BE591" i="17" s="1"/>
  <c r="BC561" i="17"/>
  <c r="BE561" i="17" s="1"/>
  <c r="BC425" i="17"/>
  <c r="BE425" i="17" s="1"/>
  <c r="BC466" i="17"/>
  <c r="BE466" i="17" s="1"/>
  <c r="BC552" i="17"/>
  <c r="BE552" i="17" s="1"/>
  <c r="BC557" i="17"/>
  <c r="BE557" i="17" s="1"/>
  <c r="BC564" i="17"/>
  <c r="BE564" i="17" s="1"/>
  <c r="BC456" i="17"/>
  <c r="BE456" i="17" s="1"/>
  <c r="BC460" i="17"/>
  <c r="BE460" i="17" s="1"/>
  <c r="BC479" i="17"/>
  <c r="BE479" i="17" s="1"/>
  <c r="BC599" i="17"/>
  <c r="BE599" i="17" s="1"/>
  <c r="BC603" i="17"/>
  <c r="BE603" i="17" s="1"/>
  <c r="BC612" i="17"/>
  <c r="BE612" i="17" s="1"/>
  <c r="BC507" i="17"/>
  <c r="BE507" i="17" s="1"/>
  <c r="BC485" i="17"/>
  <c r="BE485" i="17" s="1"/>
  <c r="BC572" i="17"/>
  <c r="BE572" i="17" s="1"/>
  <c r="BC608" i="17"/>
  <c r="BE608" i="17" s="1"/>
  <c r="BC628" i="17"/>
  <c r="BE628" i="17" s="1"/>
  <c r="BC493" i="17"/>
  <c r="BE493" i="17" s="1"/>
  <c r="BC506" i="17"/>
  <c r="BE506" i="17" s="1"/>
  <c r="BC514" i="17"/>
  <c r="BE514" i="17" s="1"/>
  <c r="BC518" i="17"/>
  <c r="BE518" i="17" s="1"/>
  <c r="BC522" i="17"/>
  <c r="BE522" i="17" s="1"/>
  <c r="BC526" i="17"/>
  <c r="BE526" i="17" s="1"/>
  <c r="BC530" i="17"/>
  <c r="BE530" i="17" s="1"/>
  <c r="BC477" i="17"/>
  <c r="BE477" i="17" s="1"/>
  <c r="BC517" i="17"/>
  <c r="BE517" i="17" s="1"/>
  <c r="BC611" i="17"/>
  <c r="BE611" i="17" s="1"/>
  <c r="AY491" i="17"/>
  <c r="BC491" i="17" s="1"/>
  <c r="BE491" i="17" s="1"/>
  <c r="AY495" i="17"/>
  <c r="BC495" i="17" s="1"/>
  <c r="BE495" i="17" s="1"/>
  <c r="AY500" i="17"/>
  <c r="BC500" i="17" s="1"/>
  <c r="BE500" i="17" s="1"/>
  <c r="AY504" i="17"/>
  <c r="BC504" i="17" s="1"/>
  <c r="BE504" i="17" s="1"/>
  <c r="AY508" i="17"/>
  <c r="BC508" i="17" s="1"/>
  <c r="BE508" i="17" s="1"/>
  <c r="AY515" i="17"/>
  <c r="BC515" i="17" s="1"/>
  <c r="BE515" i="17" s="1"/>
  <c r="AY519" i="17"/>
  <c r="BC519" i="17" s="1"/>
  <c r="BE519" i="17" s="1"/>
  <c r="AY523" i="17"/>
  <c r="BC523" i="17" s="1"/>
  <c r="BE523" i="17" s="1"/>
  <c r="AY527" i="17"/>
  <c r="BC527" i="17" s="1"/>
  <c r="BE527" i="17" s="1"/>
  <c r="AY532" i="17"/>
  <c r="BC532" i="17" s="1"/>
  <c r="BE532" i="17" s="1"/>
  <c r="AY537" i="17"/>
  <c r="BC537" i="17" s="1"/>
  <c r="BE537" i="17" s="1"/>
  <c r="AY438" i="17"/>
  <c r="BC438" i="17" s="1"/>
  <c r="BE438" i="17" s="1"/>
  <c r="AY442" i="17"/>
  <c r="BC442" i="17" s="1"/>
  <c r="BE442" i="17" s="1"/>
  <c r="AY446" i="17"/>
  <c r="BC446" i="17" s="1"/>
  <c r="BE446" i="17" s="1"/>
  <c r="AY457" i="17"/>
  <c r="BC457" i="17" s="1"/>
  <c r="BE457" i="17" s="1"/>
  <c r="AY461" i="17"/>
  <c r="BC461" i="17" s="1"/>
  <c r="BE461" i="17" s="1"/>
  <c r="AY465" i="17"/>
  <c r="BC465" i="17" s="1"/>
  <c r="BE465" i="17" s="1"/>
  <c r="AY470" i="17"/>
  <c r="BC470" i="17" s="1"/>
  <c r="BE470" i="17" s="1"/>
  <c r="AY473" i="17"/>
  <c r="BC473" i="17" s="1"/>
  <c r="BE473" i="17" s="1"/>
  <c r="AY478" i="17"/>
  <c r="BC478" i="17" s="1"/>
  <c r="BE478" i="17" s="1"/>
  <c r="AY483" i="17"/>
  <c r="BC483" i="17" s="1"/>
  <c r="BE483" i="17" s="1"/>
  <c r="AY487" i="17"/>
  <c r="BC487" i="17" s="1"/>
  <c r="BE487" i="17" s="1"/>
  <c r="AY549" i="17"/>
  <c r="BC549" i="17" s="1"/>
  <c r="BE549" i="17" s="1"/>
  <c r="AY555" i="17"/>
  <c r="BC555" i="17" s="1"/>
  <c r="BE555" i="17" s="1"/>
  <c r="AY560" i="17"/>
  <c r="BC560" i="17" s="1"/>
  <c r="BE560" i="17" s="1"/>
  <c r="AY565" i="17"/>
  <c r="BC565" i="17" s="1"/>
  <c r="BE565" i="17" s="1"/>
  <c r="AY570" i="17"/>
  <c r="BC570" i="17" s="1"/>
  <c r="BE570" i="17" s="1"/>
  <c r="AY576" i="17"/>
  <c r="BC576" i="17" s="1"/>
  <c r="BE576" i="17" s="1"/>
  <c r="AY581" i="17"/>
  <c r="BC581" i="17" s="1"/>
  <c r="BE581" i="17" s="1"/>
  <c r="AY585" i="17"/>
  <c r="BC585" i="17" s="1"/>
  <c r="BE585" i="17" s="1"/>
  <c r="AY589" i="17"/>
  <c r="BC589" i="17" s="1"/>
  <c r="BE589" i="17" s="1"/>
  <c r="AY592" i="17"/>
  <c r="BC592" i="17" s="1"/>
  <c r="BE592" i="17" s="1"/>
  <c r="AY598" i="17"/>
  <c r="BC598" i="17" s="1"/>
  <c r="BE598" i="17" s="1"/>
  <c r="AY602" i="17"/>
  <c r="BC602" i="17" s="1"/>
  <c r="BE602" i="17" s="1"/>
  <c r="AY606" i="17"/>
  <c r="BC606" i="17" s="1"/>
  <c r="BE606" i="17" s="1"/>
  <c r="AY614" i="17"/>
  <c r="BC614" i="17" s="1"/>
  <c r="BE614" i="17" s="1"/>
  <c r="AY627" i="17"/>
  <c r="BC627" i="17" s="1"/>
  <c r="BE627" i="17" s="1"/>
  <c r="AY510" i="17"/>
  <c r="BC510" i="17" s="1"/>
  <c r="BE510" i="17" s="1"/>
  <c r="BE490" i="17"/>
  <c r="AY492" i="17"/>
  <c r="BC492" i="17" s="1"/>
  <c r="BE492" i="17" s="1"/>
  <c r="AY505" i="17"/>
  <c r="BC505" i="17" s="1"/>
  <c r="BE505" i="17" s="1"/>
  <c r="AY509" i="17"/>
  <c r="BC509" i="17" s="1"/>
  <c r="BE509" i="17" s="1"/>
  <c r="AY516" i="17"/>
  <c r="BC516" i="17" s="1"/>
  <c r="BE516" i="17" s="1"/>
  <c r="AY520" i="17"/>
  <c r="BC520" i="17" s="1"/>
  <c r="BE520" i="17" s="1"/>
  <c r="AY524" i="17"/>
  <c r="BC524" i="17" s="1"/>
  <c r="BE524" i="17" s="1"/>
  <c r="AY528" i="17"/>
  <c r="BC528" i="17" s="1"/>
  <c r="BE528" i="17" s="1"/>
  <c r="AY533" i="17"/>
  <c r="BC533" i="17" s="1"/>
  <c r="BE533" i="17" s="1"/>
  <c r="AY422" i="17"/>
  <c r="BC422" i="17" s="1"/>
  <c r="BE422" i="17" s="1"/>
  <c r="AY435" i="17"/>
  <c r="BC435" i="17" s="1"/>
  <c r="BE435" i="17" s="1"/>
  <c r="AY443" i="17"/>
  <c r="BC443" i="17" s="1"/>
  <c r="BE443" i="17" s="1"/>
  <c r="AY462" i="17"/>
  <c r="BC462" i="17" s="1"/>
  <c r="BE462" i="17" s="1"/>
  <c r="AY468" i="17"/>
  <c r="BC468" i="17" s="1"/>
  <c r="BE468" i="17" s="1"/>
  <c r="AY471" i="17"/>
  <c r="BC471" i="17" s="1"/>
  <c r="BE471" i="17" s="1"/>
  <c r="AY480" i="17"/>
  <c r="BC480" i="17" s="1"/>
  <c r="BE480" i="17" s="1"/>
  <c r="AY482" i="17"/>
  <c r="BC482" i="17" s="1"/>
  <c r="BE482" i="17" s="1"/>
  <c r="AY486" i="17"/>
  <c r="BC486" i="17" s="1"/>
  <c r="BE486" i="17" s="1"/>
  <c r="AY540" i="17"/>
  <c r="BC540" i="17" s="1"/>
  <c r="BE540" i="17" s="1"/>
  <c r="AY554" i="17"/>
  <c r="BC554" i="17" s="1"/>
  <c r="BE554" i="17" s="1"/>
  <c r="AY558" i="17"/>
  <c r="BC558" i="17" s="1"/>
  <c r="BE558" i="17" s="1"/>
  <c r="AY566" i="17"/>
  <c r="BC566" i="17" s="1"/>
  <c r="BE566" i="17" s="1"/>
  <c r="AY571" i="17"/>
  <c r="BC571" i="17" s="1"/>
  <c r="BE571" i="17" s="1"/>
  <c r="AY575" i="17"/>
  <c r="BC575" i="17" s="1"/>
  <c r="BE575" i="17" s="1"/>
  <c r="AY586" i="17"/>
  <c r="BC586" i="17" s="1"/>
  <c r="BE586" i="17" s="1"/>
  <c r="AY601" i="17"/>
  <c r="BC601" i="17" s="1"/>
  <c r="BE601" i="17" s="1"/>
  <c r="AY605" i="17"/>
  <c r="BC605" i="17" s="1"/>
  <c r="BE605" i="17" s="1"/>
  <c r="AY609" i="17"/>
  <c r="BC609" i="17" s="1"/>
  <c r="BE609" i="17" s="1"/>
  <c r="AY613" i="17"/>
  <c r="BC613" i="17" s="1"/>
  <c r="BE613" i="17" s="1"/>
  <c r="AY617" i="17"/>
  <c r="BC617" i="17" s="1"/>
  <c r="BE617" i="17" s="1"/>
  <c r="AY621" i="17"/>
  <c r="BC621" i="17" s="1"/>
  <c r="BE621" i="17" s="1"/>
  <c r="AY625" i="17"/>
  <c r="BC625" i="17" s="1"/>
  <c r="BE625" i="17" s="1"/>
  <c r="BL107" i="25"/>
  <c r="BT107" i="25" s="1"/>
  <c r="BV107" i="25" s="1"/>
  <c r="BV108" i="25"/>
  <c r="BV106" i="25"/>
  <c r="BT174" i="25"/>
  <c r="BV174" i="25" s="1"/>
  <c r="BC449" i="17"/>
  <c r="BE449" i="17" s="1"/>
  <c r="BT336" i="2"/>
  <c r="BV336" i="2" s="1"/>
  <c r="BL334" i="25"/>
  <c r="BT334" i="25" s="1"/>
  <c r="BV334" i="25" s="1"/>
  <c r="AY306" i="17"/>
  <c r="BC306" i="17" s="1"/>
  <c r="BE306" i="17" s="1"/>
  <c r="AY286" i="17"/>
  <c r="BC286" i="17" s="1"/>
  <c r="BE286" i="17" s="1"/>
  <c r="AY285" i="17"/>
  <c r="BC285" i="17" s="1"/>
  <c r="BE285" i="17" s="1"/>
  <c r="BT269" i="2"/>
  <c r="BV269" i="2" s="1"/>
  <c r="BL195" i="25"/>
  <c r="BT195" i="25" s="1"/>
  <c r="BV195" i="25" s="1"/>
  <c r="BT171" i="2"/>
  <c r="BV171" i="2" s="1"/>
  <c r="BV225" i="25"/>
  <c r="BT305" i="2"/>
  <c r="BV305" i="2" s="1"/>
  <c r="BT276" i="2"/>
  <c r="BV276" i="2" s="1"/>
  <c r="E118" i="16" l="1"/>
  <c r="AB118" i="16" s="1"/>
  <c r="Z118" i="16"/>
  <c r="Z137" i="16"/>
  <c r="Z135" i="16"/>
  <c r="Z114" i="16"/>
  <c r="Z146" i="16"/>
  <c r="E146" i="16"/>
  <c r="AB146" i="16" s="1"/>
  <c r="Z134" i="16"/>
  <c r="Z123" i="16"/>
  <c r="E123" i="16"/>
  <c r="AB123" i="16" s="1"/>
  <c r="Z141" i="16"/>
  <c r="E130" i="16"/>
  <c r="AB130" i="16" s="1"/>
  <c r="Z130" i="16"/>
  <c r="Z121" i="16"/>
  <c r="Z122" i="16"/>
  <c r="Z144" i="16"/>
  <c r="Z132" i="16"/>
  <c r="Z111" i="16"/>
  <c r="Z138" i="16"/>
  <c r="Z127" i="16"/>
  <c r="E120" i="16"/>
  <c r="AB120" i="16" s="1"/>
  <c r="Z120" i="16"/>
  <c r="Z115" i="16"/>
  <c r="E132" i="16"/>
  <c r="AB132" i="16" s="1"/>
  <c r="E135" i="16"/>
  <c r="AB135" i="16" s="1"/>
  <c r="E142" i="16"/>
  <c r="AB142" i="16" s="1"/>
  <c r="Z142" i="16"/>
  <c r="E124" i="16"/>
  <c r="AB124" i="16" s="1"/>
  <c r="Z124" i="16"/>
  <c r="E145" i="16"/>
  <c r="AB145" i="16" s="1"/>
  <c r="Z145" i="16"/>
  <c r="Z133" i="16"/>
  <c r="E133" i="16"/>
  <c r="AB133" i="16" s="1"/>
  <c r="Z112" i="16"/>
  <c r="E140" i="16"/>
  <c r="AB140" i="16" s="1"/>
  <c r="Z140" i="16"/>
  <c r="Z128" i="16"/>
  <c r="E119" i="16"/>
  <c r="AB119" i="16" s="1"/>
  <c r="Z119" i="16"/>
  <c r="E139" i="16"/>
  <c r="AB139" i="16" s="1"/>
  <c r="Z139" i="16"/>
  <c r="Z126" i="16"/>
  <c r="E126" i="16"/>
  <c r="AB126" i="16" s="1"/>
  <c r="E116" i="16"/>
  <c r="AB116" i="16" s="1"/>
  <c r="Z116" i="16"/>
  <c r="E122" i="16"/>
  <c r="AB122" i="16" s="1"/>
  <c r="Z131" i="16"/>
  <c r="E131" i="16"/>
  <c r="AB131" i="16" s="1"/>
  <c r="E136" i="16"/>
  <c r="AB136" i="16" s="1"/>
  <c r="Z136" i="16"/>
  <c r="Z113" i="16"/>
  <c r="E113" i="16"/>
  <c r="AB113" i="16" s="1"/>
  <c r="Z143" i="16"/>
  <c r="E138" i="16"/>
  <c r="AB138" i="16" s="1"/>
  <c r="Z129" i="16"/>
  <c r="E129" i="16"/>
  <c r="AB129" i="16" s="1"/>
  <c r="Z125" i="16"/>
  <c r="Z117" i="16"/>
  <c r="E117" i="16"/>
  <c r="AB117" i="16" s="1"/>
  <c r="E141" i="16"/>
  <c r="AB141" i="16" s="1"/>
  <c r="E125" i="16"/>
  <c r="AB125" i="16" s="1"/>
  <c r="E144" i="16"/>
  <c r="AB144" i="16" s="1"/>
  <c r="E128" i="16"/>
  <c r="AB128" i="16" s="1"/>
  <c r="E112" i="16"/>
  <c r="AB112" i="16" s="1"/>
  <c r="E115" i="16"/>
  <c r="AB115" i="16" s="1"/>
  <c r="E121" i="16"/>
  <c r="AB121" i="16" s="1"/>
  <c r="E127" i="16"/>
  <c r="AB127" i="16" s="1"/>
  <c r="E111" i="16"/>
  <c r="AB111" i="16" s="1"/>
  <c r="E134" i="16"/>
  <c r="AB134" i="16" s="1"/>
  <c r="E137" i="16"/>
  <c r="AB137" i="16" s="1"/>
  <c r="E143" i="16"/>
  <c r="AB143" i="16" s="1"/>
  <c r="E114" i="16"/>
  <c r="AB114" i="16" s="1"/>
  <c r="AE214" i="26"/>
  <c r="AC214" i="26"/>
  <c r="BV214" i="25" s="1"/>
  <c r="W626" i="22"/>
  <c r="AO626" i="22" s="1"/>
  <c r="BL626" i="25" s="1"/>
  <c r="BT626" i="25" s="1"/>
  <c r="BV626" i="25" s="1"/>
</calcChain>
</file>

<file path=xl/sharedStrings.xml><?xml version="1.0" encoding="utf-8"?>
<sst xmlns="http://schemas.openxmlformats.org/spreadsheetml/2006/main" count="16670" uniqueCount="900">
  <si>
    <t>Charges for</t>
  </si>
  <si>
    <t>Inter-</t>
  </si>
  <si>
    <t>Special</t>
  </si>
  <si>
    <t>Total</t>
  </si>
  <si>
    <t>County</t>
  </si>
  <si>
    <t>Taxes</t>
  </si>
  <si>
    <t>Services</t>
  </si>
  <si>
    <t>governmental</t>
  </si>
  <si>
    <t>Revenue</t>
  </si>
  <si>
    <t>Revenues</t>
  </si>
  <si>
    <t>Allen</t>
  </si>
  <si>
    <t>Ashland</t>
  </si>
  <si>
    <t>Ashtabula</t>
  </si>
  <si>
    <t>Athens</t>
  </si>
  <si>
    <t>Auglaize</t>
  </si>
  <si>
    <t>Belmont</t>
  </si>
  <si>
    <t>Carroll</t>
  </si>
  <si>
    <t>Clark</t>
  </si>
  <si>
    <t>Clinton</t>
  </si>
  <si>
    <t>Coshocton</t>
  </si>
  <si>
    <t>Cuyahoga</t>
  </si>
  <si>
    <t>Darke</t>
  </si>
  <si>
    <t>Defiance</t>
  </si>
  <si>
    <t>Delaware</t>
  </si>
  <si>
    <t>Erie</t>
  </si>
  <si>
    <t>Fairfield</t>
  </si>
  <si>
    <t>Fayette</t>
  </si>
  <si>
    <t>Franklin</t>
  </si>
  <si>
    <t>Fulton</t>
  </si>
  <si>
    <t>Gallia</t>
  </si>
  <si>
    <t>Geauga</t>
  </si>
  <si>
    <t>Guernsey</t>
  </si>
  <si>
    <t>Hamilton</t>
  </si>
  <si>
    <t>Hancock</t>
  </si>
  <si>
    <t>Henry</t>
  </si>
  <si>
    <t>Hocking</t>
  </si>
  <si>
    <t>Holmes</t>
  </si>
  <si>
    <t>Huron</t>
  </si>
  <si>
    <t>Jackson</t>
  </si>
  <si>
    <t>Jefferson</t>
  </si>
  <si>
    <t>Knox</t>
  </si>
  <si>
    <t>Lake</t>
  </si>
  <si>
    <t>Licking</t>
  </si>
  <si>
    <t>Logan</t>
  </si>
  <si>
    <t>Lorain</t>
  </si>
  <si>
    <t>Mahoning</t>
  </si>
  <si>
    <t>Marion</t>
  </si>
  <si>
    <t>Medina</t>
  </si>
  <si>
    <t>Miami</t>
  </si>
  <si>
    <t>Monroe</t>
  </si>
  <si>
    <t>Montgomery</t>
  </si>
  <si>
    <t>Muskingum</t>
  </si>
  <si>
    <t>Noble</t>
  </si>
  <si>
    <t>Ottawa</t>
  </si>
  <si>
    <t>Pickaway</t>
  </si>
  <si>
    <t>Pike</t>
  </si>
  <si>
    <t>Portage</t>
  </si>
  <si>
    <t>Preble</t>
  </si>
  <si>
    <t>Ross</t>
  </si>
  <si>
    <t>Scioto</t>
  </si>
  <si>
    <t>Seneca</t>
  </si>
  <si>
    <t>Shelby</t>
  </si>
  <si>
    <t>Stark</t>
  </si>
  <si>
    <t>Summit</t>
  </si>
  <si>
    <t>Trumbull</t>
  </si>
  <si>
    <t>Tuscarawas</t>
  </si>
  <si>
    <t>Union</t>
  </si>
  <si>
    <t>Van Wert</t>
  </si>
  <si>
    <t>Vinton</t>
  </si>
  <si>
    <t>Warren</t>
  </si>
  <si>
    <t>Washington</t>
  </si>
  <si>
    <t>Wayne</t>
  </si>
  <si>
    <t>Wood</t>
  </si>
  <si>
    <t>Capital</t>
  </si>
  <si>
    <t>Expenditures</t>
  </si>
  <si>
    <t>Outlay</t>
  </si>
  <si>
    <t>Principal</t>
  </si>
  <si>
    <t>Brown</t>
  </si>
  <si>
    <t>Morrow</t>
  </si>
  <si>
    <t>Sandusky</t>
  </si>
  <si>
    <t>Long-Term Obligations</t>
  </si>
  <si>
    <t>General</t>
  </si>
  <si>
    <t>Other</t>
  </si>
  <si>
    <t>Obligation</t>
  </si>
  <si>
    <t>Bonds</t>
  </si>
  <si>
    <t>Loans</t>
  </si>
  <si>
    <t>Obligations</t>
  </si>
  <si>
    <t>Assets</t>
  </si>
  <si>
    <t>Cash and</t>
  </si>
  <si>
    <t>Deferred</t>
  </si>
  <si>
    <t>Fund</t>
  </si>
  <si>
    <t>Investments</t>
  </si>
  <si>
    <t>Liabilities</t>
  </si>
  <si>
    <t>Fund Balance</t>
  </si>
  <si>
    <t>Compensated</t>
  </si>
  <si>
    <t>Notes</t>
  </si>
  <si>
    <t>Leases</t>
  </si>
  <si>
    <t>Absences</t>
  </si>
  <si>
    <t>Payables</t>
  </si>
  <si>
    <t>Current</t>
  </si>
  <si>
    <t>Net Assets</t>
  </si>
  <si>
    <t>Invested in</t>
  </si>
  <si>
    <t>Restricted</t>
  </si>
  <si>
    <t>Unrestricted</t>
  </si>
  <si>
    <t>Program Revenues - Governmental Activities</t>
  </si>
  <si>
    <t>Property</t>
  </si>
  <si>
    <t>Investment</t>
  </si>
  <si>
    <t>Grants</t>
  </si>
  <si>
    <t>Earnings</t>
  </si>
  <si>
    <t>Contributions</t>
  </si>
  <si>
    <t>Richland</t>
  </si>
  <si>
    <t>Crawford</t>
  </si>
  <si>
    <t>Columbiana</t>
  </si>
  <si>
    <t>Clermont</t>
  </si>
  <si>
    <t>Greene</t>
  </si>
  <si>
    <t>Lucas</t>
  </si>
  <si>
    <t>One Year</t>
  </si>
  <si>
    <t>Summary Data from the General Fund Balance Sheet</t>
  </si>
  <si>
    <t>Out</t>
  </si>
  <si>
    <t>Change in</t>
  </si>
  <si>
    <t>and Interest</t>
  </si>
  <si>
    <t>Capital Assets</t>
  </si>
  <si>
    <t>Expenses</t>
  </si>
  <si>
    <t>Grants,</t>
  </si>
  <si>
    <t>Expenses from the Statement of Activities - Governmental Activities</t>
  </si>
  <si>
    <t>Summary Data from the Statement of Net Assets - Governmental Activities</t>
  </si>
  <si>
    <t>General Fund Revenues - Modified Accrual Basis of Accounting</t>
  </si>
  <si>
    <t>All Other</t>
  </si>
  <si>
    <t>General Fund Expenditures - Modified Accrual Basis of Accounting</t>
  </si>
  <si>
    <t xml:space="preserve"> </t>
  </si>
  <si>
    <t>Revenues from the Statement of Activities - Governmental Activities</t>
  </si>
  <si>
    <t>Long-term Liabilities</t>
  </si>
  <si>
    <t>More Than 1 Yr</t>
  </si>
  <si>
    <t>Statement</t>
  </si>
  <si>
    <t>Balances if</t>
  </si>
  <si>
    <t>Value is "0"</t>
  </si>
  <si>
    <t>Program</t>
  </si>
  <si>
    <t>Grants and</t>
  </si>
  <si>
    <t>Entitlements</t>
  </si>
  <si>
    <t>Payments in</t>
  </si>
  <si>
    <t>Lieu of</t>
  </si>
  <si>
    <t>Program and</t>
  </si>
  <si>
    <t>Vocational</t>
  </si>
  <si>
    <t>Instruction</t>
  </si>
  <si>
    <t>Support Services</t>
  </si>
  <si>
    <t>Instructional</t>
  </si>
  <si>
    <t>Staff</t>
  </si>
  <si>
    <t>Board of</t>
  </si>
  <si>
    <t>Education</t>
  </si>
  <si>
    <t>Administration</t>
  </si>
  <si>
    <t>Fiscal</t>
  </si>
  <si>
    <t>Operation and</t>
  </si>
  <si>
    <t>Maintenance</t>
  </si>
  <si>
    <t>of Plant</t>
  </si>
  <si>
    <t>Pupil</t>
  </si>
  <si>
    <t>Transportation</t>
  </si>
  <si>
    <t>Non-Instructional Services</t>
  </si>
  <si>
    <t>Food</t>
  </si>
  <si>
    <t>Service</t>
  </si>
  <si>
    <t>Extracurricular</t>
  </si>
  <si>
    <t>Activities</t>
  </si>
  <si>
    <t>Interest</t>
  </si>
  <si>
    <t>Transfers</t>
  </si>
  <si>
    <t>Beginning</t>
  </si>
  <si>
    <t>of Year</t>
  </si>
  <si>
    <t>End of</t>
  </si>
  <si>
    <t>Year</t>
  </si>
  <si>
    <t>and Activities</t>
  </si>
  <si>
    <t>Balance if</t>
  </si>
  <si>
    <t>All Schools Reporting Under GAAP</t>
  </si>
  <si>
    <t>Tuition</t>
  </si>
  <si>
    <t>and Fees</t>
  </si>
  <si>
    <t>Extra-</t>
  </si>
  <si>
    <t>curricular</t>
  </si>
  <si>
    <t>Payments</t>
  </si>
  <si>
    <t>in Lieu</t>
  </si>
  <si>
    <t>of Taxes</t>
  </si>
  <si>
    <t>and</t>
  </si>
  <si>
    <t>Donations</t>
  </si>
  <si>
    <t>Debt Service</t>
  </si>
  <si>
    <t>Other Financing Uses</t>
  </si>
  <si>
    <t>Advances</t>
  </si>
  <si>
    <t>Uses</t>
  </si>
  <si>
    <t>All</t>
  </si>
  <si>
    <t>Net</t>
  </si>
  <si>
    <t>Balance</t>
  </si>
  <si>
    <t>End</t>
  </si>
  <si>
    <t>Other Uses</t>
  </si>
  <si>
    <t>Other Financing Sources</t>
  </si>
  <si>
    <t>Transfers in</t>
  </si>
  <si>
    <t>Advances in</t>
  </si>
  <si>
    <t>Proceeds</t>
  </si>
  <si>
    <t>Bond</t>
  </si>
  <si>
    <t>Financing</t>
  </si>
  <si>
    <t>Sources</t>
  </si>
  <si>
    <t>and Other</t>
  </si>
  <si>
    <t>Fund Bal.</t>
  </si>
  <si>
    <t>Governmental Fund Revenues - Modified Accrual Basis of Accounting</t>
  </si>
  <si>
    <t>Summary Data from the Governmental Fund Balance Sheet</t>
  </si>
  <si>
    <t>School District</t>
  </si>
  <si>
    <t>Adams</t>
  </si>
  <si>
    <t>Delphos City SD</t>
  </si>
  <si>
    <t>Perry Local SD</t>
  </si>
  <si>
    <t>Ashland City SD</t>
  </si>
  <si>
    <t>Hillsdale Local SD</t>
  </si>
  <si>
    <t>Mapleton Local SD</t>
  </si>
  <si>
    <t>Buckeye Local SD</t>
  </si>
  <si>
    <t>Conneaut Area City SD</t>
  </si>
  <si>
    <t>Grand Valley Local SD</t>
  </si>
  <si>
    <t>Jefferson Area Local SD</t>
  </si>
  <si>
    <t>Athens City SD</t>
  </si>
  <si>
    <t>Nelsonville-York City SD</t>
  </si>
  <si>
    <t>Trimble Local SD</t>
  </si>
  <si>
    <t>Minster Local SD</t>
  </si>
  <si>
    <t>New Bremen Local SD</t>
  </si>
  <si>
    <t>Bellaire Local SD</t>
  </si>
  <si>
    <t>Martins Ferry City SD</t>
  </si>
  <si>
    <t>Shadyside Local SD</t>
  </si>
  <si>
    <t>Eastern Local SD</t>
  </si>
  <si>
    <t>Fayetteville-Perry Local SD</t>
  </si>
  <si>
    <t>Western Brown Local SD</t>
  </si>
  <si>
    <t>Butler</t>
  </si>
  <si>
    <t>Fairfield City SD</t>
  </si>
  <si>
    <t>Lakota Local SD</t>
  </si>
  <si>
    <t>Madison Local SD</t>
  </si>
  <si>
    <t>Middletown City SD</t>
  </si>
  <si>
    <t>New Miami Local SD</t>
  </si>
  <si>
    <t>Brown Local SD</t>
  </si>
  <si>
    <t>Champaign</t>
  </si>
  <si>
    <t>Triad Local SD</t>
  </si>
  <si>
    <t>West Liberty-Salem Local SD</t>
  </si>
  <si>
    <t>Clark-Shawnee Local SD</t>
  </si>
  <si>
    <t>Greenon Local SD</t>
  </si>
  <si>
    <t>Northeastern Local SD</t>
  </si>
  <si>
    <t>Northwestern Local SD</t>
  </si>
  <si>
    <t>Southeastern Local SD</t>
  </si>
  <si>
    <t>Tecumseh Local SD</t>
  </si>
  <si>
    <t>Batavia Local SD</t>
  </si>
  <si>
    <t>Bethel-Tate Local SD</t>
  </si>
  <si>
    <t>Felicity-Franklin Local SD</t>
  </si>
  <si>
    <t>Goshen Local SD</t>
  </si>
  <si>
    <t>West Clermont Local SD</t>
  </si>
  <si>
    <t>Blanchester Local SD</t>
  </si>
  <si>
    <t>Clinton-Massie Local SD</t>
  </si>
  <si>
    <t>East Clinton Local SD</t>
  </si>
  <si>
    <t>Wilmington City SD</t>
  </si>
  <si>
    <t>Beaver Local SD</t>
  </si>
  <si>
    <t>Crestview Local SD</t>
  </si>
  <si>
    <t>East Liverpool City SD</t>
  </si>
  <si>
    <t>East Palestine City SD</t>
  </si>
  <si>
    <t>Southern Local SD</t>
  </si>
  <si>
    <t>United Local SD</t>
  </si>
  <si>
    <t>Wellsville Local SD</t>
  </si>
  <si>
    <t>Coshocton City SD</t>
  </si>
  <si>
    <t>Ridgewood Local SD</t>
  </si>
  <si>
    <t>River View Local SD</t>
  </si>
  <si>
    <t>Buckeye Central Local SD</t>
  </si>
  <si>
    <t>Bucyrus City SD</t>
  </si>
  <si>
    <t>Colonel Crawford Local SD</t>
  </si>
  <si>
    <t>Galion City SD</t>
  </si>
  <si>
    <t>Wynford Local SD</t>
  </si>
  <si>
    <t>Beachwood City SD</t>
  </si>
  <si>
    <t>Bedford City SD</t>
  </si>
  <si>
    <t>Berea City SD</t>
  </si>
  <si>
    <t>Brooklyn City SD</t>
  </si>
  <si>
    <t>Cleveland Municipal SD</t>
  </si>
  <si>
    <t>East Cleveland City SD</t>
  </si>
  <si>
    <t>Euclid City SD</t>
  </si>
  <si>
    <t>Fairview Park City SD</t>
  </si>
  <si>
    <t>Independence Local SD</t>
  </si>
  <si>
    <t>Lakewood City SD</t>
  </si>
  <si>
    <t>North Olmsted City SD</t>
  </si>
  <si>
    <t>North Royalton City SD</t>
  </si>
  <si>
    <t>Olmsted Falls City SD</t>
  </si>
  <si>
    <t>Orange City SD</t>
  </si>
  <si>
    <t>Parma City SD</t>
  </si>
  <si>
    <t>Richmond Heights Local SD</t>
  </si>
  <si>
    <t>Solon City SD</t>
  </si>
  <si>
    <t>South Euclid-Lyndhurst City SD</t>
  </si>
  <si>
    <t>Strongsville City SD</t>
  </si>
  <si>
    <t>Warrensville Heights City SD</t>
  </si>
  <si>
    <t>Westlake City SD</t>
  </si>
  <si>
    <t>Greenville City SD</t>
  </si>
  <si>
    <t>Ayersville Local SD</t>
  </si>
  <si>
    <t>Olentangy Local SD</t>
  </si>
  <si>
    <t>Berlin-Milan Local SD</t>
  </si>
  <si>
    <t>Huron City SD</t>
  </si>
  <si>
    <t>Kelleys Island Local SD</t>
  </si>
  <si>
    <t>Margaretta Local SD</t>
  </si>
  <si>
    <t>Perkins Local SD</t>
  </si>
  <si>
    <t>Sandusky City SD</t>
  </si>
  <si>
    <t>Vermilion Local SD</t>
  </si>
  <si>
    <t>Amanda-Clearcreek Local SD</t>
  </si>
  <si>
    <t>Bloom-Carroll Local SD</t>
  </si>
  <si>
    <t>Fairfield Union Local SD</t>
  </si>
  <si>
    <t>Lancaster City SD</t>
  </si>
  <si>
    <t>Pickerington Local SD</t>
  </si>
  <si>
    <t>Miami Trace Local SD</t>
  </si>
  <si>
    <t>Washington Court House City SD</t>
  </si>
  <si>
    <t>Bexley City SD</t>
  </si>
  <si>
    <t>Canal Winchester Local SD</t>
  </si>
  <si>
    <t>Columbus City SD</t>
  </si>
  <si>
    <t>Dublin City SD</t>
  </si>
  <si>
    <t>Grandview Heights City SD</t>
  </si>
  <si>
    <t>Groveport Madison Local SD</t>
  </si>
  <si>
    <t>Hilliard City SD</t>
  </si>
  <si>
    <t>Plain Local SD</t>
  </si>
  <si>
    <t>South-Western City SD</t>
  </si>
  <si>
    <t>Upper Arlington City SD</t>
  </si>
  <si>
    <t>Westerville City SD</t>
  </si>
  <si>
    <t>Whitehall City SD</t>
  </si>
  <si>
    <t>Worthington City SD</t>
  </si>
  <si>
    <t>Swanton Local SD</t>
  </si>
  <si>
    <t>Gallipolis City SD</t>
  </si>
  <si>
    <t>Kenston Local SD</t>
  </si>
  <si>
    <t>Ledgemont Local SD</t>
  </si>
  <si>
    <t>West Geauga Local SD</t>
  </si>
  <si>
    <t>Beavercreek City SD</t>
  </si>
  <si>
    <t>Greeneview Local SD</t>
  </si>
  <si>
    <t>Cambridge City SD</t>
  </si>
  <si>
    <t>East Guernsey Local SD</t>
  </si>
  <si>
    <t>Rolling Hills Local SD</t>
  </si>
  <si>
    <t>Finneytown Local SD</t>
  </si>
  <si>
    <t>Forest Hills Local SD</t>
  </si>
  <si>
    <t>Loveland City SD</t>
  </si>
  <si>
    <t>Madeira City SD</t>
  </si>
  <si>
    <t>Mariemont City SD</t>
  </si>
  <si>
    <t>Northwest Local SD</t>
  </si>
  <si>
    <t>Oak Hills Local SD</t>
  </si>
  <si>
    <t>Princeton City SD</t>
  </si>
  <si>
    <t>Reading Community City SD</t>
  </si>
  <si>
    <t>Southwest Local SD</t>
  </si>
  <si>
    <t>Winton Woods City SD</t>
  </si>
  <si>
    <t>Wyoming City SD</t>
  </si>
  <si>
    <t>Arcadia Local SD</t>
  </si>
  <si>
    <t>Arlington Local SD</t>
  </si>
  <si>
    <t>Cory-Rawson Local SD</t>
  </si>
  <si>
    <t>Findlay City SD</t>
  </si>
  <si>
    <t>Van Buren Local SD</t>
  </si>
  <si>
    <t>Hardin</t>
  </si>
  <si>
    <t>Hardin Northern Local SD</t>
  </si>
  <si>
    <t>Kenton City SD</t>
  </si>
  <si>
    <t>Conotton Valley Union Local SD</t>
  </si>
  <si>
    <t>Harrison</t>
  </si>
  <si>
    <t>Holgate Local SD</t>
  </si>
  <si>
    <t>Liberty Center Local SD</t>
  </si>
  <si>
    <t>Napoleon Area City SD</t>
  </si>
  <si>
    <t>Patrick Henry Local SD</t>
  </si>
  <si>
    <t>Highland</t>
  </si>
  <si>
    <t>Fairfield Local SD</t>
  </si>
  <si>
    <t>Hillsboro City SD</t>
  </si>
  <si>
    <t>Lynchburg-Clay Local SD</t>
  </si>
  <si>
    <t>Logan-Hocking Local SD</t>
  </si>
  <si>
    <t>East Holmes Local SD</t>
  </si>
  <si>
    <t>West Holmes Local SD</t>
  </si>
  <si>
    <t>Bellevue City SD</t>
  </si>
  <si>
    <t>Monroeville Local SD</t>
  </si>
  <si>
    <t>New London Local SD</t>
  </si>
  <si>
    <t>Norwalk City SD</t>
  </si>
  <si>
    <t>Western Reserve Local SD</t>
  </si>
  <si>
    <t>Willard City SD</t>
  </si>
  <si>
    <t>Wellston City SD</t>
  </si>
  <si>
    <t>Edison Local SD</t>
  </si>
  <si>
    <t>Indian Creek Local SD</t>
  </si>
  <si>
    <t>Steubenville City SD</t>
  </si>
  <si>
    <t>Willoughby-Eastlake City SD</t>
  </si>
  <si>
    <t>Lawrence</t>
  </si>
  <si>
    <t>Dawson-Bryant Local SD</t>
  </si>
  <si>
    <t>Fairland Local SD</t>
  </si>
  <si>
    <t>Ironton City SD</t>
  </si>
  <si>
    <t>Rock Hill Local SD</t>
  </si>
  <si>
    <t>South Point Local SD</t>
  </si>
  <si>
    <t>Symmes Valley Local SD</t>
  </si>
  <si>
    <t>Heath City SD</t>
  </si>
  <si>
    <t>Johnstown-Monroe Local SD</t>
  </si>
  <si>
    <t>Licking Valley Local SD</t>
  </si>
  <si>
    <t>Newark City SD</t>
  </si>
  <si>
    <t>North Fork Local SD</t>
  </si>
  <si>
    <t>Northridge Local SD</t>
  </si>
  <si>
    <t>Riverside Local SD</t>
  </si>
  <si>
    <t>Avon Lake City SD</t>
  </si>
  <si>
    <t>Avon Local SD</t>
  </si>
  <si>
    <t>Clearview Local SD</t>
  </si>
  <si>
    <t>Columbia Local SD</t>
  </si>
  <si>
    <t>Elyria City SD</t>
  </si>
  <si>
    <t>Firelands Local SD</t>
  </si>
  <si>
    <t>Lorain City SD</t>
  </si>
  <si>
    <t>Midview Local SD</t>
  </si>
  <si>
    <t>North Ridgeville City SD</t>
  </si>
  <si>
    <t>Oberlin City SD</t>
  </si>
  <si>
    <t>Anthony Wayne Local SD</t>
  </si>
  <si>
    <t>Oregon City SD</t>
  </si>
  <si>
    <t>Ottawa Hills Local SD</t>
  </si>
  <si>
    <t>Springfield Local SD</t>
  </si>
  <si>
    <t>Sylvania City SD</t>
  </si>
  <si>
    <t>Toledo City SD</t>
  </si>
  <si>
    <t>Washington Local SD</t>
  </si>
  <si>
    <t>Jefferson Local SD</t>
  </si>
  <si>
    <t>Madison</t>
  </si>
  <si>
    <t>Jonathan Alder Local SD</t>
  </si>
  <si>
    <t>London City SD</t>
  </si>
  <si>
    <t>Austintown Local SD</t>
  </si>
  <si>
    <t>Boardman Local SD</t>
  </si>
  <si>
    <t>Canfield Local SD</t>
  </si>
  <si>
    <t>Jackson-Milton Local SD</t>
  </si>
  <si>
    <t>Sebring Local SD</t>
  </si>
  <si>
    <t>South Range Local SD</t>
  </si>
  <si>
    <t>Struthers City SD</t>
  </si>
  <si>
    <t>West Branch Local SD</t>
  </si>
  <si>
    <t>Youngstown City SD</t>
  </si>
  <si>
    <t>Marion City SD</t>
  </si>
  <si>
    <t>Pleasant Local SD</t>
  </si>
  <si>
    <t>Ridgedale Local SD</t>
  </si>
  <si>
    <t>River Valley Local SD</t>
  </si>
  <si>
    <t>Black River Local SD</t>
  </si>
  <si>
    <t>Brunswick City SD</t>
  </si>
  <si>
    <t>Cloverleaf Local SD</t>
  </si>
  <si>
    <t>Highland Local SD</t>
  </si>
  <si>
    <t>Medina City SD</t>
  </si>
  <si>
    <t>Wadsworth City SD</t>
  </si>
  <si>
    <t>Meigs</t>
  </si>
  <si>
    <t>Meigs Local SD</t>
  </si>
  <si>
    <t>Mercer</t>
  </si>
  <si>
    <t>Bethel Local SD</t>
  </si>
  <si>
    <t>Miami East Local SD</t>
  </si>
  <si>
    <t>Piqua City SD</t>
  </si>
  <si>
    <t>Troy City SD</t>
  </si>
  <si>
    <t>Switzerland Of Ohio Local SD</t>
  </si>
  <si>
    <t>Brookville Local SD</t>
  </si>
  <si>
    <t>Dayton City SD</t>
  </si>
  <si>
    <t>Huber Heights City SD</t>
  </si>
  <si>
    <t>Kettering City SD</t>
  </si>
  <si>
    <t>Miamisburg City SD</t>
  </si>
  <si>
    <t>New Lebanon Local SD</t>
  </si>
  <si>
    <t>Northmont City SD</t>
  </si>
  <si>
    <t>Oakwood City SD</t>
  </si>
  <si>
    <t>Trotwood-Madison City SD</t>
  </si>
  <si>
    <t>Valley View Local SD</t>
  </si>
  <si>
    <t>Vandalia-Butler City SD</t>
  </si>
  <si>
    <t>Morgan Local SD</t>
  </si>
  <si>
    <t>Morgan</t>
  </si>
  <si>
    <t>Cardington-Lincoln Local SD</t>
  </si>
  <si>
    <t>Northmor Local SD</t>
  </si>
  <si>
    <t>East Muskingum Local SD</t>
  </si>
  <si>
    <t>Franklin Local SD</t>
  </si>
  <si>
    <t>Maysville Local SD</t>
  </si>
  <si>
    <t>Tri-Valley Local SD</t>
  </si>
  <si>
    <t>West Muskingum Local SD</t>
  </si>
  <si>
    <t>Zanesville City SD</t>
  </si>
  <si>
    <t>Noble Local SD</t>
  </si>
  <si>
    <t>Paulding</t>
  </si>
  <si>
    <t>Perry</t>
  </si>
  <si>
    <t>Circleville City SD</t>
  </si>
  <si>
    <t>Logan Elm Local SD</t>
  </si>
  <si>
    <t>Teays Valley Local SD</t>
  </si>
  <si>
    <t>Westfall Local SD</t>
  </si>
  <si>
    <t>Scioto Valley Local SD</t>
  </si>
  <si>
    <t>Waverly City SD</t>
  </si>
  <si>
    <t>Western Local SD</t>
  </si>
  <si>
    <t>Aurora City SD</t>
  </si>
  <si>
    <t>James A Garfield Local SD</t>
  </si>
  <si>
    <t>Kent City SD</t>
  </si>
  <si>
    <t>Rootstown Local SD</t>
  </si>
  <si>
    <t>Southeast Local SD</t>
  </si>
  <si>
    <t>Streetsboro City SD</t>
  </si>
  <si>
    <t>Waterloo Local SD</t>
  </si>
  <si>
    <t>Tri-County North Local SD</t>
  </si>
  <si>
    <t>Putnam</t>
  </si>
  <si>
    <t>Clear Fork Valley Local SD</t>
  </si>
  <si>
    <t>Mansfield City SD</t>
  </si>
  <si>
    <t>Ontario Local SD</t>
  </si>
  <si>
    <t>Plymouth-Shiloh Local SD</t>
  </si>
  <si>
    <t>Shelby City SD</t>
  </si>
  <si>
    <t>Chillicothe City SD</t>
  </si>
  <si>
    <t>Huntington Local SD</t>
  </si>
  <si>
    <t>Paint Valley Local SD</t>
  </si>
  <si>
    <t>Union-Scioto Local SD</t>
  </si>
  <si>
    <t>Zane Trace Local SD</t>
  </si>
  <si>
    <t>Woodmore Local SD</t>
  </si>
  <si>
    <t>Bloom-Vernon Local SD</t>
  </si>
  <si>
    <t>Clay Local SD</t>
  </si>
  <si>
    <t>Green Local SD</t>
  </si>
  <si>
    <t>Minford Local SD</t>
  </si>
  <si>
    <t>New Boston Local SD</t>
  </si>
  <si>
    <t>Portsmouth City SD</t>
  </si>
  <si>
    <t>Washington-Nile Local SD</t>
  </si>
  <si>
    <t>Wheelersburg Local SD</t>
  </si>
  <si>
    <t>Seneca East Local SD</t>
  </si>
  <si>
    <t>Tiffin City SD</t>
  </si>
  <si>
    <t>Botkins Local SD</t>
  </si>
  <si>
    <t>Fort Loramie Local SD</t>
  </si>
  <si>
    <t>Hardin-Houston Local SD</t>
  </si>
  <si>
    <t>Russia Local SD</t>
  </si>
  <si>
    <t>Alliance City SD</t>
  </si>
  <si>
    <t>Canton City SD</t>
  </si>
  <si>
    <t>Canton Local SD</t>
  </si>
  <si>
    <t>Fairless Local SD</t>
  </si>
  <si>
    <t>Jackson Local SD</t>
  </si>
  <si>
    <t>Lake Local SD</t>
  </si>
  <si>
    <t>Louisville City SD</t>
  </si>
  <si>
    <t>Marlington Local SD</t>
  </si>
  <si>
    <t>Massillon City SD</t>
  </si>
  <si>
    <t>Minerva Local SD</t>
  </si>
  <si>
    <t>North Canton City SD</t>
  </si>
  <si>
    <t>Sandy Valley Local SD</t>
  </si>
  <si>
    <t>Tuslaw Local SD</t>
  </si>
  <si>
    <t>Akron City SD</t>
  </si>
  <si>
    <t>Barberton City SD</t>
  </si>
  <si>
    <t>Copley-Fairlawn City SD</t>
  </si>
  <si>
    <t>Hudson City SD</t>
  </si>
  <si>
    <t>Mogadore Local SD</t>
  </si>
  <si>
    <t>Nordonia Hills City SD</t>
  </si>
  <si>
    <t>Norton City SD</t>
  </si>
  <si>
    <t>Revere Local SD</t>
  </si>
  <si>
    <t>Stow-Munroe Falls City SD</t>
  </si>
  <si>
    <t>Tallmadge City SD</t>
  </si>
  <si>
    <t>Twinsburg City SD</t>
  </si>
  <si>
    <t>Woodridge Local SD</t>
  </si>
  <si>
    <t>Bloomfield-Mespo Local SD</t>
  </si>
  <si>
    <t>Bristol Local SD</t>
  </si>
  <si>
    <t>Champion Local SD</t>
  </si>
  <si>
    <t>Girard City SD</t>
  </si>
  <si>
    <t>Howland Local SD</t>
  </si>
  <si>
    <t>Joseph Badger Local SD</t>
  </si>
  <si>
    <t>LaBrae Local SD</t>
  </si>
  <si>
    <t>Lakeview Local SD</t>
  </si>
  <si>
    <t>Liberty Local SD</t>
  </si>
  <si>
    <t>Lordstown Local SD</t>
  </si>
  <si>
    <t>Maplewood Local SD</t>
  </si>
  <si>
    <t>Mathews Local SD</t>
  </si>
  <si>
    <t>Southington Local SD</t>
  </si>
  <si>
    <t>Warren City SD</t>
  </si>
  <si>
    <t>Weathersfield Local SD</t>
  </si>
  <si>
    <t>Claymont City SD</t>
  </si>
  <si>
    <t>Dover City SD</t>
  </si>
  <si>
    <t>Garaway Local SD</t>
  </si>
  <si>
    <t>Indian Valley Local SD</t>
  </si>
  <si>
    <t>New Philadelphia City SD</t>
  </si>
  <si>
    <t>Tuscarawas Valley Local SD</t>
  </si>
  <si>
    <t>Fairbanks Local SD</t>
  </si>
  <si>
    <t>North Union Local SD</t>
  </si>
  <si>
    <t>Lincolnview Local SD</t>
  </si>
  <si>
    <t>Vinton County Local SD</t>
  </si>
  <si>
    <t>Carlisle Local SD</t>
  </si>
  <si>
    <t>Franklin City SD</t>
  </si>
  <si>
    <t>Little Miami Local SD</t>
  </si>
  <si>
    <t>Mason City SD</t>
  </si>
  <si>
    <t>Belpre City SD</t>
  </si>
  <si>
    <t>Frontier Local SD</t>
  </si>
  <si>
    <t>Warren Local SD</t>
  </si>
  <si>
    <t>Wolf Creek Local SD</t>
  </si>
  <si>
    <t>Chippewa Local SD</t>
  </si>
  <si>
    <t>Williams</t>
  </si>
  <si>
    <t>Stryker Local SD</t>
  </si>
  <si>
    <t>Bowling Green City SD</t>
  </si>
  <si>
    <t>Eastwood Local SD</t>
  </si>
  <si>
    <t>North Baltimore Local SD</t>
  </si>
  <si>
    <t>Otsego Local SD</t>
  </si>
  <si>
    <t>Wyandot</t>
  </si>
  <si>
    <t>Business</t>
  </si>
  <si>
    <t>Central</t>
  </si>
  <si>
    <t>capital</t>
  </si>
  <si>
    <t>outlay and</t>
  </si>
  <si>
    <t>debt</t>
  </si>
  <si>
    <t>principal</t>
  </si>
  <si>
    <t>Amounts</t>
  </si>
  <si>
    <t>Due within</t>
  </si>
  <si>
    <t>Due in More</t>
  </si>
  <si>
    <t>Than One Year/Tie</t>
  </si>
  <si>
    <t xml:space="preserve">to Statement of </t>
  </si>
  <si>
    <t>This Column</t>
  </si>
  <si>
    <t>Should not</t>
  </si>
  <si>
    <t>exist</t>
  </si>
  <si>
    <t xml:space="preserve">Income </t>
  </si>
  <si>
    <t>Income</t>
  </si>
  <si>
    <t>(including</t>
  </si>
  <si>
    <t>special items)</t>
  </si>
  <si>
    <t>Miscellaneous</t>
  </si>
  <si>
    <t>in reserve for</t>
  </si>
  <si>
    <t>Inventory</t>
  </si>
  <si>
    <t>in Reserve for</t>
  </si>
  <si>
    <t>Pass-through</t>
  </si>
  <si>
    <t xml:space="preserve">Capital </t>
  </si>
  <si>
    <t xml:space="preserve">Refund of </t>
  </si>
  <si>
    <t>Prior Year's</t>
  </si>
  <si>
    <t>Refund of</t>
  </si>
  <si>
    <t>Receipts</t>
  </si>
  <si>
    <t xml:space="preserve">Adena Local SD </t>
  </si>
  <si>
    <t>Increase or</t>
  </si>
  <si>
    <t>(Decrease)</t>
  </si>
  <si>
    <t>Special Items</t>
  </si>
  <si>
    <t>Proceeds of</t>
  </si>
  <si>
    <t>In / (Out)</t>
  </si>
  <si>
    <t xml:space="preserve">Extraordinary </t>
  </si>
  <si>
    <t>Item</t>
  </si>
  <si>
    <t>Extraordinary</t>
  </si>
  <si>
    <t>Earnings on</t>
  </si>
  <si>
    <t xml:space="preserve">Northwest Local SD    </t>
  </si>
  <si>
    <t>(Continued)</t>
  </si>
  <si>
    <t>Governmental Fund Expenditures - Modified Accrual Basis of Accounting</t>
  </si>
  <si>
    <t>Revenues,</t>
  </si>
  <si>
    <t>Debt</t>
  </si>
  <si>
    <t>Sources, and</t>
  </si>
  <si>
    <t xml:space="preserve">Darke </t>
  </si>
  <si>
    <t>Coventry Local SD</t>
  </si>
  <si>
    <t>Manchester Local SD</t>
  </si>
  <si>
    <t>Niles City SD</t>
  </si>
  <si>
    <t>Salem City SD</t>
  </si>
  <si>
    <t>New Albany-Plain Local SD</t>
  </si>
  <si>
    <t>Dalton Local SD</t>
  </si>
  <si>
    <t>College Corner Local SD (CASH)</t>
  </si>
  <si>
    <t>Columbus Grove Local SD (CASH)</t>
  </si>
  <si>
    <t>Marietta City SD (CASH)</t>
  </si>
  <si>
    <t>Millcreek-West Unity Local SD (CASH)</t>
  </si>
  <si>
    <t>Old Fort Local SD (CASH)</t>
  </si>
  <si>
    <t>Franklin Monroe Local SD (CASH)</t>
  </si>
  <si>
    <t>Fort Frye Local SD (CASH)</t>
  </si>
  <si>
    <t>Alexander Local SD (CASH)</t>
  </si>
  <si>
    <t>Celina City SD (CASH)</t>
  </si>
  <si>
    <t>Evergreen Local SD (CASH)</t>
  </si>
  <si>
    <t>Fairlawn Local SD (CASH)</t>
  </si>
  <si>
    <t>Mohawk Local SD (CASH)</t>
  </si>
  <si>
    <t>Wickliffe City SD (CASH)</t>
  </si>
  <si>
    <t>Wooster City SD</t>
  </si>
  <si>
    <t>Transfers and</t>
  </si>
  <si>
    <t>Other Financing</t>
  </si>
  <si>
    <t>Fairborn City SD</t>
  </si>
  <si>
    <t>`</t>
  </si>
  <si>
    <t>Switzerland of Ohio Local SD</t>
  </si>
  <si>
    <t>Springfield City SD</t>
  </si>
  <si>
    <t>Lakewood Local  SD</t>
  </si>
  <si>
    <t>Norwood City SD</t>
  </si>
  <si>
    <t>Ravenna City SD</t>
  </si>
  <si>
    <t>South Central Local SD</t>
  </si>
  <si>
    <t xml:space="preserve">Bay Village City SD </t>
  </si>
  <si>
    <t xml:space="preserve">Big Walnut Local SD </t>
  </si>
  <si>
    <t xml:space="preserve">Buckeye Valley Local SD </t>
  </si>
  <si>
    <t xml:space="preserve">Keystone Local SD </t>
  </si>
  <si>
    <t>McDonald Local SD</t>
  </si>
  <si>
    <t xml:space="preserve">Berkshire Local SD </t>
  </si>
  <si>
    <t>Mississinawa Valley Local SD  (CASH)</t>
  </si>
  <si>
    <t xml:space="preserve">Gahanna-Jefferson City SD </t>
  </si>
  <si>
    <t xml:space="preserve">Gallia County Local SD </t>
  </si>
  <si>
    <t>Geneva Area City SD</t>
  </si>
  <si>
    <t xml:space="preserve">Fremont City SD </t>
  </si>
  <si>
    <t xml:space="preserve">Southern Local SD </t>
  </si>
  <si>
    <t>Waynesfield-Goshen Local SD  (CASH)</t>
  </si>
  <si>
    <t xml:space="preserve">Campbell City SD </t>
  </si>
  <si>
    <t xml:space="preserve">Cardinal Local SD </t>
  </si>
  <si>
    <t xml:space="preserve">Cedar Cliff Local SD </t>
  </si>
  <si>
    <t xml:space="preserve">Centerville City SD </t>
  </si>
  <si>
    <t>Cleveland Heights-University Heights City SD</t>
  </si>
  <si>
    <t>Cincinnati City SD/Cincinnati Public SD</t>
  </si>
  <si>
    <t>Clermont Northeastern Local SD</t>
  </si>
  <si>
    <t>Coldwater Exempted Village SD (CASH)</t>
  </si>
  <si>
    <t>Crestview Local SD (CASH)</t>
  </si>
  <si>
    <t xml:space="preserve">Cuyahoga Falls City SD </t>
  </si>
  <si>
    <t>Danville Local SD (CASH)</t>
  </si>
  <si>
    <t>Defiance City SD (CASH)</t>
  </si>
  <si>
    <t>East Knox Local SD (CASH)</t>
  </si>
  <si>
    <t>Eastern Local SD (CASH)</t>
  </si>
  <si>
    <t>Edgerton Local SD (CASH)</t>
  </si>
  <si>
    <t xml:space="preserve">Edgewood City SD </t>
  </si>
  <si>
    <t>Elida Local SD (CASH)</t>
  </si>
  <si>
    <t>Fredericktown Local SD (CASH)</t>
  </si>
  <si>
    <t>Georgetown Exempted Village SD (CASH)</t>
  </si>
  <si>
    <t>Granville Exempted Village SD</t>
  </si>
  <si>
    <t>Hicksville Ex Vill SD  (CASH)</t>
  </si>
  <si>
    <t>Jackson Center Local SD (CASH)</t>
  </si>
  <si>
    <t xml:space="preserve">Ashtabula Area City SD </t>
  </si>
  <si>
    <t>Arcanum Butler Local SD (CASH)</t>
  </si>
  <si>
    <t>Bath Local SD (CASH)</t>
  </si>
  <si>
    <t>Bettsville Local SD (CASH)</t>
  </si>
  <si>
    <t xml:space="preserve">Brookfield Local SD </t>
  </si>
  <si>
    <t>Bryan City SD (CASH)</t>
  </si>
  <si>
    <t xml:space="preserve">Buckeye Local SD </t>
  </si>
  <si>
    <t>Continental Local SD (CASH) Two year Audit</t>
  </si>
  <si>
    <t xml:space="preserve">Elgin Local SD </t>
  </si>
  <si>
    <t xml:space="preserve">Garfield Heights City SD </t>
  </si>
  <si>
    <t>Jackson City SD (CASH)</t>
  </si>
  <si>
    <t xml:space="preserve">Jefferson Township Local SD </t>
  </si>
  <si>
    <t>Leipsic Local SD (CASH)</t>
  </si>
  <si>
    <t>Lima City School District (CASH)</t>
  </si>
  <si>
    <t>Loudonville-Perrysville Exempted Village SD</t>
  </si>
  <si>
    <t xml:space="preserve">Lowellville Local SD </t>
  </si>
  <si>
    <t>Marion Local SD (CASH)</t>
  </si>
  <si>
    <t>Pandora-Gilboa Local SD (CASH)  (Two year Audit)</t>
  </si>
  <si>
    <t>Parkway Local SD (CASH) (Two year Audit)</t>
  </si>
  <si>
    <t>Perry Local SD (CASH)</t>
  </si>
  <si>
    <t>Preble Shawnee Local SD (CASH)</t>
  </si>
  <si>
    <t>Tri-Village Local SD (CASH)</t>
  </si>
  <si>
    <t>Ansonia Local SD (CASH)</t>
  </si>
  <si>
    <t>Elmwood Local SD (CASH)</t>
  </si>
  <si>
    <t>Kirtland Local SD (CASH)</t>
  </si>
  <si>
    <t xml:space="preserve">Madison Plains Local SD </t>
  </si>
  <si>
    <t>Twin Valley Community Local SD (CASH)</t>
  </si>
  <si>
    <t>Upper Scioto Valley Local SD (CASH)</t>
  </si>
  <si>
    <t>Valley Local SD (CASH)</t>
  </si>
  <si>
    <t>Vanlue Local SD (CASH)</t>
  </si>
  <si>
    <t>Versailles Exempted Village SD (CASH)</t>
  </si>
  <si>
    <t>Shawnee Local SD (CASH)</t>
  </si>
  <si>
    <t>Southern Local SD (CASH)</t>
  </si>
  <si>
    <t>Spencerville Local SD (CASH)</t>
  </si>
  <si>
    <t>St Henry Consolidated Local SD (CASH)</t>
  </si>
  <si>
    <t>St Marys City SD (CASH)</t>
  </si>
  <si>
    <t>Strasburg-Franklin Local SD (CASH)</t>
  </si>
  <si>
    <t>New Knoxville Local SD (CASH)</t>
  </si>
  <si>
    <t>West Carrollton City SD</t>
  </si>
  <si>
    <t>Wayne Local SD (CASH)</t>
  </si>
  <si>
    <t xml:space="preserve">North College Hill City SD </t>
  </si>
  <si>
    <t>Ottawa-Glandorf Local SD (CASH)</t>
  </si>
  <si>
    <t xml:space="preserve">Mad River Local SD </t>
  </si>
  <si>
    <t xml:space="preserve">Mt. Healthy City SD </t>
  </si>
  <si>
    <t xml:space="preserve">Rocky River City SD </t>
  </si>
  <si>
    <t xml:space="preserve">Ross Local SD </t>
  </si>
  <si>
    <t xml:space="preserve">Shaker Heights City SD </t>
  </si>
  <si>
    <t xml:space="preserve">Springfield Local SD </t>
  </si>
  <si>
    <t xml:space="preserve">Talawanda City SD </t>
  </si>
  <si>
    <t xml:space="preserve">Crestwood Local SD </t>
  </si>
  <si>
    <t xml:space="preserve">Cuyahoga Heights Local SD </t>
  </si>
  <si>
    <t xml:space="preserve">Field Local SD </t>
  </si>
  <si>
    <t xml:space="preserve">Kings Local SD  </t>
  </si>
  <si>
    <t xml:space="preserve">Maple Heights City SD </t>
  </si>
  <si>
    <t xml:space="preserve">Mayfield City SD </t>
  </si>
  <si>
    <t xml:space="preserve">Poland Local SD </t>
  </si>
  <si>
    <t xml:space="preserve">Three Rivers Local SD </t>
  </si>
  <si>
    <t xml:space="preserve">Toronto City SD  </t>
  </si>
  <si>
    <t>In some instances, numbers were rounded on the financial statements.</t>
  </si>
  <si>
    <t xml:space="preserve"> In some instances, numbers were rounded on the financial statements.</t>
  </si>
  <si>
    <t xml:space="preserve">Lebanon City SD (CASH) </t>
  </si>
  <si>
    <t xml:space="preserve">Madison Local SD (CASH)  </t>
  </si>
  <si>
    <t>Nonspendable</t>
  </si>
  <si>
    <t>Committed</t>
  </si>
  <si>
    <t>Assigned</t>
  </si>
  <si>
    <t>Unassigned</t>
  </si>
  <si>
    <t>Bellbrook-Sugarcreek Local SD</t>
  </si>
  <si>
    <t>Central Local SD (CASH)</t>
  </si>
  <si>
    <t>Chardon Local SD (CASH)</t>
  </si>
  <si>
    <t>Oak Hill Union Local SD (CASH)</t>
  </si>
  <si>
    <t>Northwestern Local SD (CASH)</t>
  </si>
  <si>
    <t>Within 1 Yr</t>
  </si>
  <si>
    <t>Danbury Local SD (CASH)</t>
  </si>
  <si>
    <t>Delaware City SD</t>
  </si>
  <si>
    <t>Federal Hocking Local SD</t>
  </si>
  <si>
    <t>Liberty Union-Thurston Local SD</t>
  </si>
  <si>
    <t>Fayette Local SD (CASH)</t>
  </si>
  <si>
    <t>combine with debt</t>
  </si>
  <si>
    <t>Fostoria City SD (CASH)</t>
  </si>
  <si>
    <t>Gibsonburg Exempted Village SD</t>
  </si>
  <si>
    <t xml:space="preserve">Amherst Exempted Village SD </t>
  </si>
  <si>
    <t>Barnesville Exempted Village SD</t>
  </si>
  <si>
    <t>Bridgeport Exempted Village SD</t>
  </si>
  <si>
    <t>Caldwell Exempted Village SD</t>
  </si>
  <si>
    <t>Carrollton Exempted Village SD</t>
  </si>
  <si>
    <t>Chagrin Falls Exempted Village SD</t>
  </si>
  <si>
    <t>Chesapeake Union Exempted Village SD</t>
  </si>
  <si>
    <t>Clyde-Green Springs Exempted Village SD</t>
  </si>
  <si>
    <t>Columbiana Exempted Village SD</t>
  </si>
  <si>
    <t>Covington Exempted Village SD</t>
  </si>
  <si>
    <t>Crooksville Exempted Village SD</t>
  </si>
  <si>
    <t>Greenfield Exempted Village SD</t>
  </si>
  <si>
    <t>Hubbard Exempted Village SD</t>
  </si>
  <si>
    <t>Indian Hill Exempted Village SD</t>
  </si>
  <si>
    <t>Leetonia Exempted Village SD (CASH)</t>
  </si>
  <si>
    <t>Fort Recovery Local SD (CASH)</t>
  </si>
  <si>
    <t>National Trail Local SD (CASH)</t>
  </si>
  <si>
    <t>Lisbon Exempted Village SD</t>
  </si>
  <si>
    <t>Marysville Exempted Village SD</t>
  </si>
  <si>
    <t>Mechanicsburg Exempted Village SD</t>
  </si>
  <si>
    <t>Mentor Exempted Village SD</t>
  </si>
  <si>
    <t>Milford Exempted Village SD</t>
  </si>
  <si>
    <t>Mount Gilead Exempted Village SD</t>
  </si>
  <si>
    <t>New Richmond Exempted Village SD</t>
  </si>
  <si>
    <t>Newcomerstown Exempted Village SD</t>
  </si>
  <si>
    <t>Newton Falls Exempted Village SD</t>
  </si>
  <si>
    <t>Paulding Exempted Village SD (CASH)</t>
  </si>
  <si>
    <t>Perrysburg Exempted Village SD</t>
  </si>
  <si>
    <t>Rossford Exempted Village SD</t>
  </si>
  <si>
    <t>Tipp City Exempted Village SD</t>
  </si>
  <si>
    <t>Upper Sandusky Exempted Village SD (CASH)</t>
  </si>
  <si>
    <t>Wauseon Exempted Village SD</t>
  </si>
  <si>
    <t>Wellington Exempted Village SD</t>
  </si>
  <si>
    <t>Windham Exempted Village SD</t>
  </si>
  <si>
    <t>Yellow Springs Exempted Village SD</t>
  </si>
  <si>
    <t>Painesville Township Local SD - now RIVERSIDE LOCAL SCHOOL DISTRICT since 2007</t>
  </si>
  <si>
    <t>Brecksville-Broadview Heights City SD</t>
  </si>
  <si>
    <t>St. Bernard-Elmwood Place City SD</t>
  </si>
  <si>
    <t>St. Clairsville-Richland City SD</t>
  </si>
  <si>
    <t>Adams County/Ohio Valley Local SD</t>
  </si>
  <si>
    <t>Sheffield-Sheffield Lake City SD</t>
  </si>
  <si>
    <t>Gorham Fayette Local SD - name changed to Fayette Local.  See above</t>
  </si>
  <si>
    <t>Graham Local SD (CASH)</t>
  </si>
  <si>
    <t>Berne Union Local SD (CASH)</t>
  </si>
  <si>
    <t>Bright Local SD (CASH)</t>
  </si>
  <si>
    <t>Buckeye Online School for Success (now Community School)</t>
  </si>
  <si>
    <t>Indian Lake Local SD (CASH)</t>
  </si>
  <si>
    <t>Lake Local SD (CASH)</t>
  </si>
  <si>
    <t>Lakota Local SD (CASH)</t>
  </si>
  <si>
    <t>Lexington Local SD (CASH)</t>
  </si>
  <si>
    <t>Liberty Benton Local SD</t>
  </si>
  <si>
    <t>Lockland Local SD (CASH)</t>
  </si>
  <si>
    <t>Lucas Local SD</t>
  </si>
  <si>
    <t>Hamilton Local SD</t>
  </si>
  <si>
    <t>Wayne Trace Local SD (CASH)</t>
  </si>
  <si>
    <t>Anna Local SD</t>
  </si>
  <si>
    <t>Manchester Local SD (CASH)</t>
  </si>
  <si>
    <t>McComb Local SD (CASH)</t>
  </si>
  <si>
    <t>Milton-Union Exempted Village SD (CASH)</t>
  </si>
  <si>
    <t>Montpelier Exempted Village SD (CASH)</t>
  </si>
  <si>
    <t>New Lexington City SD (CASH)</t>
  </si>
  <si>
    <t>New Riegel Local SD (CASH)</t>
  </si>
  <si>
    <t>Newton Local SD (CASH)</t>
  </si>
  <si>
    <t>Middle Bass Local SD (Two year Audit - CASH)</t>
  </si>
  <si>
    <t>North Bass Local SD (Two year Audit - CASH)</t>
  </si>
  <si>
    <t>North Central Local SD (CASH)</t>
  </si>
  <si>
    <t>Northeastern Local SD (CASH)</t>
  </si>
  <si>
    <t>Northern Local SD (CASH)</t>
  </si>
  <si>
    <t>Norwayne Local SD (CASH)</t>
  </si>
  <si>
    <t>Orrville City SD (CASH)</t>
  </si>
  <si>
    <t>Ottoville Local SD (NO REPORT) (Two year Audit)</t>
  </si>
  <si>
    <t>Painesville City Local SD (CASH)</t>
  </si>
  <si>
    <t>Pike-Delta-York Local SD (CASH)</t>
  </si>
  <si>
    <t>Port Clinton City SD (CASH)</t>
  </si>
  <si>
    <t>Put-in-Bay Local SD (CASH) (Two year Audit)</t>
  </si>
  <si>
    <t>Pymatuning Valley Local SD (CASH)</t>
  </si>
  <si>
    <t>Reynoldsburg City SD (CASH)</t>
  </si>
  <si>
    <t>Ripley Union Lewis Huntington Local SD (CASH)</t>
  </si>
  <si>
    <t>Rittman Exempted Village SD (CASH)</t>
  </si>
  <si>
    <t>Riverdale Local SD (CASH)</t>
  </si>
  <si>
    <t>Southwest Licking Local SD (CASH)</t>
  </si>
  <si>
    <t>Van Wert City SD (CASH)</t>
  </si>
  <si>
    <t>Crestline Exempted Village SD (CASH)</t>
  </si>
  <si>
    <t>Genoa Area Local SD (CASH)</t>
  </si>
  <si>
    <t>Sidney City SD (CASH)</t>
  </si>
  <si>
    <t>Sycamore Community SD</t>
  </si>
  <si>
    <t>Triway Local SD (CASH)</t>
  </si>
  <si>
    <t>Union Local SD (CASH)</t>
  </si>
  <si>
    <t>Liabilities (continued)</t>
  </si>
  <si>
    <t>General Revenues -</t>
  </si>
  <si>
    <t>Governmental Activities</t>
  </si>
  <si>
    <t>Governmental Activities (Continued)</t>
  </si>
  <si>
    <t>Continuing</t>
  </si>
  <si>
    <t>Support</t>
  </si>
  <si>
    <t>Support Services (continued)</t>
  </si>
  <si>
    <t>Decrease</t>
  </si>
  <si>
    <t>(Increase)/</t>
  </si>
  <si>
    <t>Fund Balances</t>
  </si>
  <si>
    <t>Springboro Community City SD</t>
  </si>
  <si>
    <t>Total Long-Term</t>
  </si>
  <si>
    <t xml:space="preserve"> Taxes</t>
  </si>
  <si>
    <t>Issued</t>
  </si>
  <si>
    <t>As of June 30, 2012</t>
  </si>
  <si>
    <t>For the Fiscal Year Ended June 30, 2012</t>
  </si>
  <si>
    <t>Regular</t>
  </si>
  <si>
    <t>Pupils</t>
  </si>
  <si>
    <t>Retirement</t>
  </si>
  <si>
    <t>Green Local SD (CASH)</t>
  </si>
  <si>
    <t>Hamilton City SD (CASH)</t>
  </si>
  <si>
    <t>Harrison Hills City SD (CASH)</t>
  </si>
  <si>
    <t>Adult /</t>
  </si>
  <si>
    <t xml:space="preserve">Extraordinary / </t>
  </si>
  <si>
    <t>Extraordinary /</t>
  </si>
  <si>
    <t>Ada Exempted Village SD (CASH)</t>
  </si>
  <si>
    <t>.</t>
  </si>
  <si>
    <t>Allen East Local SD (CASH)</t>
  </si>
  <si>
    <t>Antwerp Local SD (CASH)</t>
  </si>
  <si>
    <t>Archbold Area Local SD</t>
  </si>
  <si>
    <t>Carey Exempted Village SD (CASH)</t>
  </si>
  <si>
    <t>Centerburg Local SD (CASH)</t>
  </si>
  <si>
    <t>Benton Carroll Salem Local SD (CASH)</t>
  </si>
  <si>
    <t>Eaton Community SD (CASH)</t>
  </si>
  <si>
    <t>Edon Northwest Local SD (CASH)</t>
  </si>
  <si>
    <t>Jennings Local SD (CASH)</t>
  </si>
  <si>
    <t>Kalida Local SD (CASH)</t>
  </si>
  <si>
    <t>Licking Heights Local SD (CASH)</t>
  </si>
  <si>
    <t>Walnut Township Local SD (CASH)</t>
  </si>
  <si>
    <t>Wapakoneta City SD (CASH)</t>
  </si>
  <si>
    <t>WAPS-FM Akron City SD (NOT A SCHOOL)</t>
  </si>
  <si>
    <t>Maumee City SD (CASH)</t>
  </si>
  <si>
    <t>Monroe Local SD (CASH)</t>
  </si>
  <si>
    <t>Mount Vernon City SD (CASH)</t>
  </si>
  <si>
    <t>Newbury Local SD (CASH)</t>
  </si>
  <si>
    <t>Northwood Local SD (CASH)</t>
  </si>
  <si>
    <t>Osnaburg Local SD (CASH)</t>
  </si>
  <si>
    <t>Xenia Community SD</t>
  </si>
  <si>
    <t>Bellefontaine City SD (CASH)</t>
  </si>
  <si>
    <t>Benjamin Logan Local SD (CASH)</t>
  </si>
  <si>
    <t>Bluffton Exempted Village SD (CASH)</t>
  </si>
  <si>
    <t>Bradford Exempted Village SD (CASH) Two year audit</t>
  </si>
  <si>
    <t>Deer Park Community City SD</t>
  </si>
  <si>
    <t>Fairport Harbor Exempted Village SD (CASH) Two Year Audit</t>
  </si>
  <si>
    <t>Hopewell-Loudon Local SD (CASH) Two year Audit</t>
  </si>
  <si>
    <t>Miller City-New Cleveland Local (CASH) Two year Audit</t>
  </si>
  <si>
    <t>Williamsburg Local SD (CASH)</t>
  </si>
  <si>
    <t>Toledo School for the Arts (Community School)</t>
  </si>
  <si>
    <t>Urbana City SD (CASH)</t>
  </si>
  <si>
    <t>Pettisville Local SD (CASH)</t>
  </si>
  <si>
    <t>Ridgemont Local SD (CASH)</t>
  </si>
  <si>
    <t>Stryker Local SD (CASH)</t>
  </si>
  <si>
    <t>Swanton Local SD (CASH)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</si>
</sst>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5" formatCode="&quot;$&quot;#,##0_);\(&quot;$&quot;#,##0\)"/>
  </numFmts>
  <fonts count="15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b/>
      <sz val="9"/>
      <color indexed="9"/>
      <name val="Times New Roman"/>
      <family val="1"/>
    </font>
    <font>
      <i/>
      <sz val="9"/>
      <name val="Times New Roman"/>
      <family val="1"/>
    </font>
    <font>
      <sz val="9"/>
      <color indexed="10"/>
      <name val="Times New Roman"/>
      <family val="1"/>
    </font>
    <font>
      <sz val="10"/>
      <name val="Arial"/>
      <family val="2"/>
    </font>
    <font>
      <sz val="9"/>
      <name val="Arial"/>
      <family val="2"/>
    </font>
    <font>
      <sz val="7.5"/>
      <name val="Times New Roman"/>
      <family val="1"/>
    </font>
    <font>
      <u/>
      <sz val="9"/>
      <name val="Arial"/>
      <family val="2"/>
    </font>
    <font>
      <b/>
      <sz val="9"/>
      <color rgb="FFFF0000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0"/>
      </bottom>
      <diagonal/>
    </border>
  </borders>
  <cellStyleXfs count="10">
    <xf numFmtId="0" fontId="0" fillId="0" borderId="0">
      <alignment vertical="top"/>
    </xf>
    <xf numFmtId="3" fontId="10" fillId="0" borderId="0" applyFont="0" applyFill="0" applyBorder="0" applyAlignment="0" applyProtection="0"/>
    <xf numFmtId="5" fontId="10" fillId="0" borderId="0" applyFont="0" applyFill="0" applyBorder="0" applyAlignment="0" applyProtection="0"/>
    <xf numFmtId="14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0" fontId="1" fillId="0" borderId="0" applyNumberFormat="0" applyFont="0" applyFill="0" applyAlignment="0" applyProtection="0"/>
    <xf numFmtId="0" fontId="2" fillId="0" borderId="0" applyNumberFormat="0" applyFont="0" applyFill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10" fontId="10" fillId="0" borderId="0" applyFont="0" applyFill="0" applyBorder="0" applyAlignment="0" applyProtection="0"/>
    <xf numFmtId="0" fontId="10" fillId="0" borderId="1" applyNumberFormat="0" applyFont="0" applyBorder="0" applyAlignment="0" applyProtection="0"/>
  </cellStyleXfs>
  <cellXfs count="69">
    <xf numFmtId="0" fontId="0" fillId="0" borderId="0" xfId="0" applyAlignment="1"/>
    <xf numFmtId="37" fontId="6" fillId="0" borderId="3" xfId="0" applyNumberFormat="1" applyFont="1" applyFill="1" applyBorder="1" applyAlignment="1">
      <alignment horizontal="center"/>
    </xf>
    <xf numFmtId="37" fontId="6" fillId="0" borderId="0" xfId="0" applyNumberFormat="1" applyFont="1" applyFill="1" applyBorder="1" applyAlignment="1">
      <alignment horizontal="right"/>
    </xf>
    <xf numFmtId="3" fontId="6" fillId="0" borderId="0" xfId="0" applyNumberFormat="1" applyFont="1" applyFill="1" applyBorder="1" applyAlignment="1">
      <alignment horizontal="center"/>
    </xf>
    <xf numFmtId="3" fontId="6" fillId="0" borderId="2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Alignment="1"/>
    <xf numFmtId="37" fontId="6" fillId="0" borderId="0" xfId="0" applyNumberFormat="1" applyFont="1" applyFill="1" applyAlignment="1"/>
    <xf numFmtId="37" fontId="6" fillId="0" borderId="0" xfId="0" applyNumberFormat="1" applyFont="1" applyFill="1" applyAlignment="1">
      <alignment horizontal="right"/>
    </xf>
    <xf numFmtId="0" fontId="6" fillId="0" borderId="0" xfId="0" applyFont="1" applyFill="1" applyAlignment="1"/>
    <xf numFmtId="37" fontId="6" fillId="0" borderId="0" xfId="0" applyNumberFormat="1" applyFont="1" applyFill="1" applyBorder="1" applyAlignment="1"/>
    <xf numFmtId="0" fontId="6" fillId="0" borderId="0" xfId="0" applyFont="1" applyFill="1">
      <alignment vertical="top"/>
    </xf>
    <xf numFmtId="37" fontId="6" fillId="0" borderId="0" xfId="0" applyNumberFormat="1" applyFont="1" applyFill="1">
      <alignment vertical="top"/>
    </xf>
    <xf numFmtId="37" fontId="6" fillId="0" borderId="0" xfId="1" applyNumberFormat="1" applyFont="1" applyFill="1" applyBorder="1" applyAlignment="1">
      <alignment horizontal="right"/>
    </xf>
    <xf numFmtId="37" fontId="5" fillId="0" borderId="0" xfId="0" applyNumberFormat="1" applyFont="1" applyFill="1" applyAlignment="1"/>
    <xf numFmtId="37" fontId="6" fillId="0" borderId="0" xfId="0" applyNumberFormat="1" applyFont="1" applyFill="1" applyAlignment="1">
      <alignment horizontal="center"/>
    </xf>
    <xf numFmtId="37" fontId="5" fillId="0" borderId="0" xfId="0" applyNumberFormat="1" applyFont="1" applyFill="1" applyBorder="1" applyAlignment="1">
      <alignment horizontal="right"/>
    </xf>
    <xf numFmtId="37" fontId="6" fillId="0" borderId="2" xfId="0" applyNumberFormat="1" applyFont="1" applyFill="1" applyBorder="1" applyAlignment="1">
      <alignment horizontal="centerContinuous"/>
    </xf>
    <xf numFmtId="0" fontId="6" fillId="0" borderId="0" xfId="0" applyFont="1" applyFill="1" applyAlignment="1">
      <alignment horizontal="center"/>
    </xf>
    <xf numFmtId="37" fontId="6" fillId="0" borderId="0" xfId="1" applyNumberFormat="1" applyFont="1" applyFill="1" applyBorder="1"/>
    <xf numFmtId="37" fontId="7" fillId="0" borderId="0" xfId="0" applyNumberFormat="1" applyFont="1" applyFill="1" applyAlignment="1"/>
    <xf numFmtId="37" fontId="5" fillId="0" borderId="0" xfId="0" applyNumberFormat="1" applyFont="1" applyFill="1" applyBorder="1" applyAlignment="1">
      <alignment horizontal="centerContinuous"/>
    </xf>
    <xf numFmtId="37" fontId="6" fillId="0" borderId="0" xfId="0" applyNumberFormat="1" applyFont="1" applyFill="1" applyBorder="1" applyAlignment="1">
      <alignment horizontal="centerContinuous"/>
    </xf>
    <xf numFmtId="37" fontId="5" fillId="0" borderId="0" xfId="0" applyNumberFormat="1" applyFont="1" applyFill="1" applyAlignment="1">
      <alignment horizontal="right"/>
    </xf>
    <xf numFmtId="37" fontId="6" fillId="0" borderId="0" xfId="0" applyNumberFormat="1" applyFont="1" applyFill="1" applyAlignment="1">
      <alignment horizontal="right" vertical="justify"/>
    </xf>
    <xf numFmtId="37" fontId="5" fillId="0" borderId="0" xfId="0" applyNumberFormat="1" applyFont="1" applyFill="1" applyBorder="1" applyAlignment="1"/>
    <xf numFmtId="37" fontId="9" fillId="0" borderId="0" xfId="0" applyNumberFormat="1" applyFont="1" applyFill="1" applyAlignment="1"/>
    <xf numFmtId="37" fontId="6" fillId="0" borderId="0" xfId="0" applyNumberFormat="1" applyFont="1" applyFill="1" applyBorder="1" applyAlignment="1">
      <alignment horizontal="right" vertical="justify"/>
    </xf>
    <xf numFmtId="5" fontId="6" fillId="0" borderId="0" xfId="0" applyNumberFormat="1" applyFont="1" applyFill="1">
      <alignment vertical="top"/>
    </xf>
    <xf numFmtId="5" fontId="6" fillId="0" borderId="0" xfId="0" applyNumberFormat="1" applyFont="1" applyFill="1" applyAlignment="1"/>
    <xf numFmtId="0" fontId="5" fillId="0" borderId="0" xfId="0" applyFont="1" applyFill="1" applyAlignment="1"/>
    <xf numFmtId="5" fontId="6" fillId="0" borderId="0" xfId="0" applyNumberFormat="1" applyFont="1" applyFill="1" applyBorder="1" applyAlignment="1">
      <alignment horizontal="right"/>
    </xf>
    <xf numFmtId="5" fontId="6" fillId="0" borderId="0" xfId="0" applyNumberFormat="1" applyFont="1" applyFill="1" applyAlignment="1">
      <alignment horizontal="right" vertical="justify"/>
    </xf>
    <xf numFmtId="5" fontId="6" fillId="0" borderId="0" xfId="0" applyNumberFormat="1" applyFont="1" applyFill="1" applyAlignment="1">
      <alignment horizontal="right"/>
    </xf>
    <xf numFmtId="37" fontId="6" fillId="0" borderId="0" xfId="0" applyNumberFormat="1" applyFont="1" applyFill="1" applyAlignment="1">
      <alignment horizontal="right" vertical="justify" wrapText="1"/>
    </xf>
    <xf numFmtId="37" fontId="5" fillId="0" borderId="0" xfId="0" applyNumberFormat="1" applyFont="1" applyFill="1" applyBorder="1" applyAlignment="1">
      <alignment horizontal="left"/>
    </xf>
    <xf numFmtId="37" fontId="6" fillId="0" borderId="0" xfId="0" applyNumberFormat="1" applyFont="1" applyFill="1" applyBorder="1" applyAlignment="1">
      <alignment horizontal="left"/>
    </xf>
    <xf numFmtId="37" fontId="6" fillId="0" borderId="0" xfId="1" applyNumberFormat="1" applyFont="1" applyFill="1" applyBorder="1" applyAlignment="1">
      <alignment horizontal="right" vertical="justify"/>
    </xf>
    <xf numFmtId="5" fontId="6" fillId="0" borderId="0" xfId="1" applyNumberFormat="1" applyFont="1" applyFill="1" applyBorder="1" applyAlignment="1">
      <alignment horizontal="right"/>
    </xf>
    <xf numFmtId="37" fontId="8" fillId="0" borderId="0" xfId="0" applyNumberFormat="1" applyFont="1" applyFill="1" applyAlignment="1"/>
    <xf numFmtId="0" fontId="6" fillId="0" borderId="2" xfId="0" applyFont="1" applyFill="1" applyBorder="1" applyAlignment="1">
      <alignment horizontal="center"/>
    </xf>
    <xf numFmtId="37" fontId="6" fillId="0" borderId="0" xfId="0" applyNumberFormat="1" applyFont="1" applyFill="1" applyAlignment="1">
      <alignment horizontal="centerContinuous"/>
    </xf>
    <xf numFmtId="5" fontId="6" fillId="0" borderId="0" xfId="0" applyNumberFormat="1" applyFont="1" applyFill="1" applyAlignment="1">
      <alignment horizontal="right" vertical="justify" wrapText="1"/>
    </xf>
    <xf numFmtId="37" fontId="6" fillId="0" borderId="0" xfId="0" applyNumberFormat="1" applyFont="1" applyFill="1" applyAlignment="1">
      <alignment vertical="top"/>
    </xf>
    <xf numFmtId="0" fontId="11" fillId="0" borderId="0" xfId="0" applyFont="1" applyFill="1" applyAlignment="1"/>
    <xf numFmtId="37" fontId="11" fillId="0" borderId="0" xfId="0" applyNumberFormat="1" applyFont="1" applyFill="1" applyAlignment="1"/>
    <xf numFmtId="37" fontId="12" fillId="0" borderId="0" xfId="0" applyNumberFormat="1" applyFont="1" applyFill="1" applyAlignment="1"/>
    <xf numFmtId="37" fontId="14" fillId="0" borderId="0" xfId="0" applyNumberFormat="1" applyFont="1" applyFill="1" applyAlignment="1"/>
    <xf numFmtId="3" fontId="6" fillId="0" borderId="0" xfId="0" applyNumberFormat="1" applyFont="1" applyFill="1" applyAlignment="1"/>
    <xf numFmtId="37" fontId="6" fillId="0" borderId="0" xfId="8" applyNumberFormat="1" applyFont="1" applyFill="1" applyBorder="1" applyAlignment="1">
      <alignment horizontal="center"/>
    </xf>
    <xf numFmtId="37" fontId="5" fillId="0" borderId="0" xfId="0" applyNumberFormat="1" applyFont="1" applyFill="1" applyAlignment="1">
      <alignment horizontal="left"/>
    </xf>
    <xf numFmtId="37" fontId="6" fillId="0" borderId="2" xfId="0" applyNumberFormat="1" applyFont="1" applyFill="1" applyBorder="1" applyAlignment="1">
      <alignment horizontal="center"/>
    </xf>
    <xf numFmtId="37" fontId="6" fillId="0" borderId="0" xfId="0" applyNumberFormat="1" applyFont="1" applyFill="1" applyBorder="1" applyAlignment="1">
      <alignment horizontal="center"/>
    </xf>
    <xf numFmtId="37" fontId="5" fillId="0" borderId="0" xfId="0" applyNumberFormat="1" applyFont="1" applyFill="1" applyAlignment="1">
      <alignment horizontal="left"/>
    </xf>
    <xf numFmtId="37" fontId="6" fillId="0" borderId="2" xfId="0" applyNumberFormat="1" applyFont="1" applyFill="1" applyBorder="1" applyAlignment="1">
      <alignment horizontal="center"/>
    </xf>
    <xf numFmtId="37" fontId="6" fillId="0" borderId="0" xfId="0" applyNumberFormat="1" applyFont="1" applyFill="1" applyBorder="1" applyAlignment="1">
      <alignment horizontal="center"/>
    </xf>
    <xf numFmtId="5" fontId="6" fillId="0" borderId="0" xfId="0" applyNumberFormat="1" applyFont="1" applyFill="1" applyBorder="1" applyAlignment="1"/>
    <xf numFmtId="5" fontId="11" fillId="0" borderId="0" xfId="0" applyNumberFormat="1" applyFont="1" applyFill="1" applyAlignment="1"/>
    <xf numFmtId="37" fontId="5" fillId="0" borderId="0" xfId="0" applyNumberFormat="1" applyFont="1" applyFill="1" applyAlignment="1">
      <alignment horizontal="center"/>
    </xf>
    <xf numFmtId="5" fontId="6" fillId="0" borderId="0" xfId="0" applyNumberFormat="1" applyFont="1" applyFill="1" applyAlignment="1">
      <alignment horizontal="right" vertical="top"/>
    </xf>
    <xf numFmtId="5" fontId="6" fillId="0" borderId="0" xfId="0" applyNumberFormat="1" applyFont="1" applyFill="1" applyAlignment="1">
      <alignment horizontal="left" vertical="top"/>
    </xf>
    <xf numFmtId="5" fontId="6" fillId="0" borderId="0" xfId="0" applyNumberFormat="1" applyFont="1" applyFill="1" applyBorder="1" applyAlignment="1">
      <alignment horizontal="right" vertical="justify"/>
    </xf>
    <xf numFmtId="37" fontId="6" fillId="0" borderId="0" xfId="0" applyNumberFormat="1" applyFont="1" applyFill="1" applyAlignment="1">
      <alignment horizontal="left" vertical="justify"/>
    </xf>
    <xf numFmtId="37" fontId="6" fillId="0" borderId="0" xfId="0" applyNumberFormat="1" applyFont="1" applyFill="1" applyAlignment="1">
      <alignment horizontal="right" wrapText="1"/>
    </xf>
    <xf numFmtId="37" fontId="13" fillId="0" borderId="0" xfId="7" applyNumberFormat="1" applyFont="1" applyFill="1" applyAlignment="1" applyProtection="1"/>
    <xf numFmtId="37" fontId="6" fillId="0" borderId="0" xfId="0" applyNumberFormat="1" applyFont="1" applyFill="1" applyBorder="1">
      <alignment vertical="top"/>
    </xf>
    <xf numFmtId="37" fontId="5" fillId="0" borderId="0" xfId="0" applyNumberFormat="1" applyFont="1" applyFill="1" applyAlignment="1">
      <alignment horizontal="left"/>
    </xf>
    <xf numFmtId="37" fontId="6" fillId="0" borderId="2" xfId="0" applyNumberFormat="1" applyFont="1" applyFill="1" applyBorder="1" applyAlignment="1">
      <alignment horizontal="center"/>
    </xf>
    <xf numFmtId="37" fontId="6" fillId="0" borderId="0" xfId="0" applyNumberFormat="1" applyFont="1" applyFill="1" applyBorder="1" applyAlignment="1">
      <alignment horizontal="center"/>
    </xf>
    <xf numFmtId="37" fontId="6" fillId="0" borderId="0" xfId="0" applyNumberFormat="1" applyFont="1" applyFill="1" applyAlignment="1">
      <alignment horizontal="left"/>
    </xf>
  </cellXfs>
  <cellStyles count="10">
    <cellStyle name="Comma0" xfId="1"/>
    <cellStyle name="Currency0" xfId="2"/>
    <cellStyle name="Date" xfId="3"/>
    <cellStyle name="Fixed" xfId="4"/>
    <cellStyle name="Heading 1" xfId="5" builtinId="16" customBuiltin="1"/>
    <cellStyle name="Heading 2" xfId="6" builtinId="17" customBuiltin="1"/>
    <cellStyle name="Hyperlink" xfId="7" builtinId="8"/>
    <cellStyle name="Normal" xfId="0" builtinId="0"/>
    <cellStyle name="Percent" xfId="8" builtinId="5"/>
    <cellStyle name="Total" xfId="9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FFFF"/>
      <color rgb="FFFF66CC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30"/>
  <sheetViews>
    <sheetView tabSelected="1" view="pageBreakPreview" zoomScaleNormal="100" zoomScaleSheetLayoutView="10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C4" sqref="C4"/>
    </sheetView>
  </sheetViews>
  <sheetFormatPr defaultColWidth="9.140625" defaultRowHeight="12"/>
  <cols>
    <col min="1" max="1" width="32" style="6" customWidth="1"/>
    <col min="2" max="2" width="1.7109375" style="6" customWidth="1"/>
    <col min="3" max="3" width="11.7109375" style="6" customWidth="1"/>
    <col min="4" max="4" width="1.7109375" style="6" customWidth="1"/>
    <col min="5" max="5" width="11.7109375" style="6" customWidth="1"/>
    <col min="6" max="6" width="1.7109375" style="6" customWidth="1"/>
    <col min="7" max="7" width="11.7109375" style="6" customWidth="1"/>
    <col min="8" max="8" width="1.7109375" style="6" customWidth="1"/>
    <col min="9" max="9" width="12.5703125" style="6" customWidth="1"/>
    <col min="10" max="10" width="1.7109375" style="6" customWidth="1"/>
    <col min="11" max="11" width="11.7109375" style="6" customWidth="1"/>
    <col min="12" max="12" width="1.7109375" style="6" customWidth="1"/>
    <col min="13" max="13" width="11.7109375" style="6" customWidth="1"/>
    <col min="14" max="14" width="1.7109375" style="6" customWidth="1"/>
    <col min="15" max="15" width="11.7109375" style="6" customWidth="1"/>
    <col min="16" max="16" width="1.7109375" style="6" customWidth="1"/>
    <col min="17" max="17" width="12" style="6" customWidth="1"/>
    <col min="18" max="18" width="1.7109375" style="6" customWidth="1"/>
    <col min="19" max="19" width="11.7109375" style="6" customWidth="1"/>
    <col min="20" max="20" width="1.7109375" style="6" customWidth="1"/>
    <col min="21" max="21" width="11.7109375" style="6" customWidth="1"/>
    <col min="22" max="22" width="1.7109375" style="6" customWidth="1"/>
    <col min="23" max="23" width="11.7109375" style="6" customWidth="1"/>
    <col min="24" max="24" width="1.7109375" style="6" customWidth="1"/>
    <col min="25" max="25" width="11.7109375" style="6" customWidth="1"/>
    <col min="26" max="26" width="11.7109375" style="6" hidden="1" customWidth="1"/>
    <col min="27" max="27" width="1.7109375" style="6" hidden="1" customWidth="1"/>
    <col min="28" max="28" width="11.7109375" style="6" hidden="1" customWidth="1"/>
    <col min="29" max="16384" width="9.140625" style="6"/>
  </cols>
  <sheetData>
    <row r="1" spans="1:28">
      <c r="A1" s="65" t="s">
        <v>125</v>
      </c>
      <c r="B1" s="65"/>
      <c r="C1" s="65"/>
      <c r="D1" s="65"/>
      <c r="E1" s="65"/>
      <c r="F1" s="65"/>
      <c r="G1" s="65"/>
    </row>
    <row r="2" spans="1:28">
      <c r="A2" s="13" t="s">
        <v>851</v>
      </c>
    </row>
    <row r="3" spans="1:28">
      <c r="A3" s="13"/>
      <c r="G3" s="43"/>
    </row>
    <row r="4" spans="1:28">
      <c r="A4" s="29" t="s">
        <v>169</v>
      </c>
      <c r="G4" s="43"/>
    </row>
    <row r="5" spans="1:28">
      <c r="A5" s="19"/>
    </row>
    <row r="6" spans="1:28" s="13" customFormat="1">
      <c r="A6" s="45" t="s">
        <v>727</v>
      </c>
      <c r="B6" s="6"/>
      <c r="C6" s="6"/>
      <c r="D6" s="6"/>
      <c r="E6" s="6"/>
      <c r="F6" s="6"/>
      <c r="G6" s="6"/>
      <c r="H6" s="6"/>
      <c r="I6" s="6"/>
      <c r="J6" s="49"/>
      <c r="K6" s="49"/>
      <c r="L6" s="49"/>
      <c r="M6" s="49"/>
      <c r="N6" s="49"/>
      <c r="O6" s="49"/>
      <c r="P6" s="49"/>
      <c r="Q6" s="49"/>
    </row>
    <row r="7" spans="1:28">
      <c r="E7" s="66" t="s">
        <v>87</v>
      </c>
      <c r="F7" s="66"/>
      <c r="G7" s="66"/>
      <c r="H7" s="66"/>
      <c r="I7" s="21"/>
      <c r="K7" s="50" t="s">
        <v>92</v>
      </c>
      <c r="L7" s="9"/>
      <c r="M7" s="66" t="s">
        <v>837</v>
      </c>
      <c r="N7" s="66"/>
      <c r="O7" s="66"/>
      <c r="P7" s="21"/>
      <c r="Q7" s="21"/>
      <c r="S7" s="66" t="s">
        <v>100</v>
      </c>
      <c r="T7" s="66"/>
      <c r="U7" s="66"/>
      <c r="V7" s="66"/>
      <c r="W7" s="66"/>
      <c r="X7" s="21"/>
      <c r="Y7" s="21"/>
      <c r="Z7" s="6" t="s">
        <v>133</v>
      </c>
      <c r="AB7" s="6" t="s">
        <v>133</v>
      </c>
    </row>
    <row r="8" spans="1:28">
      <c r="D8" s="51"/>
      <c r="E8" s="14" t="s">
        <v>99</v>
      </c>
      <c r="F8" s="14"/>
      <c r="G8" s="14" t="s">
        <v>73</v>
      </c>
      <c r="H8" s="14"/>
      <c r="I8" s="51" t="s">
        <v>3</v>
      </c>
      <c r="K8" s="14" t="s">
        <v>99</v>
      </c>
      <c r="L8" s="14"/>
      <c r="M8" s="40" t="s">
        <v>131</v>
      </c>
      <c r="N8" s="40"/>
      <c r="O8" s="40"/>
      <c r="P8" s="51"/>
      <c r="Q8" s="51" t="s">
        <v>3</v>
      </c>
      <c r="S8" s="51" t="s">
        <v>101</v>
      </c>
      <c r="T8" s="51"/>
      <c r="U8" s="51"/>
      <c r="V8" s="51"/>
      <c r="W8" s="51"/>
      <c r="X8" s="51"/>
      <c r="Y8" s="51" t="s">
        <v>3</v>
      </c>
      <c r="Z8" s="6" t="s">
        <v>134</v>
      </c>
      <c r="AB8" s="6" t="s">
        <v>134</v>
      </c>
    </row>
    <row r="9" spans="1:28">
      <c r="A9" s="50" t="s">
        <v>199</v>
      </c>
      <c r="B9" s="14"/>
      <c r="C9" s="50" t="s">
        <v>4</v>
      </c>
      <c r="D9" s="51"/>
      <c r="E9" s="50" t="s">
        <v>87</v>
      </c>
      <c r="F9" s="51"/>
      <c r="G9" s="50" t="s">
        <v>87</v>
      </c>
      <c r="H9" s="51"/>
      <c r="I9" s="50" t="s">
        <v>87</v>
      </c>
      <c r="J9" s="9"/>
      <c r="K9" s="50" t="s">
        <v>92</v>
      </c>
      <c r="L9" s="51"/>
      <c r="M9" s="50" t="s">
        <v>740</v>
      </c>
      <c r="N9" s="51"/>
      <c r="O9" s="50" t="s">
        <v>132</v>
      </c>
      <c r="P9" s="51"/>
      <c r="Q9" s="50" t="s">
        <v>92</v>
      </c>
      <c r="R9" s="9"/>
      <c r="S9" s="50" t="s">
        <v>121</v>
      </c>
      <c r="T9" s="51"/>
      <c r="U9" s="50" t="s">
        <v>102</v>
      </c>
      <c r="V9" s="51"/>
      <c r="W9" s="50" t="s">
        <v>103</v>
      </c>
      <c r="X9" s="51"/>
      <c r="Y9" s="50" t="s">
        <v>100</v>
      </c>
      <c r="Z9" s="6" t="s">
        <v>135</v>
      </c>
      <c r="AB9" s="6" t="s">
        <v>135</v>
      </c>
    </row>
    <row r="10" spans="1:28">
      <c r="A10" s="11"/>
      <c r="B10" s="11"/>
      <c r="C10" s="11"/>
      <c r="D10" s="51"/>
      <c r="E10" s="51"/>
      <c r="F10" s="51"/>
      <c r="G10" s="51"/>
      <c r="H10" s="51"/>
      <c r="I10" s="51"/>
      <c r="K10" s="51"/>
      <c r="L10" s="51"/>
      <c r="M10" s="51"/>
      <c r="N10" s="51"/>
      <c r="O10" s="51"/>
      <c r="P10" s="51"/>
      <c r="Q10" s="51"/>
      <c r="S10" s="51"/>
      <c r="T10" s="51"/>
      <c r="U10" s="51"/>
      <c r="V10" s="51"/>
      <c r="W10" s="51"/>
      <c r="X10" s="51"/>
      <c r="Y10" s="51"/>
    </row>
    <row r="11" spans="1:28" hidden="1">
      <c r="A11" s="11" t="s">
        <v>862</v>
      </c>
      <c r="B11" s="11"/>
      <c r="C11" s="11" t="s">
        <v>339</v>
      </c>
      <c r="E11" s="6">
        <f t="shared" ref="E11" si="0">+I11-G11</f>
        <v>0</v>
      </c>
      <c r="K11" s="6">
        <f t="shared" ref="K11" si="1">+Q11-M11-O11</f>
        <v>0</v>
      </c>
      <c r="U11" s="6">
        <f t="shared" ref="U11" si="2">Y11-W11-S11</f>
        <v>0</v>
      </c>
      <c r="Z11" s="6">
        <f t="shared" ref="Z11" si="3">+I11-Q11-Y11</f>
        <v>0</v>
      </c>
      <c r="AB11" s="6">
        <f t="shared" ref="AB11" si="4">+E11+G11+-K11-M11-S11-U11-W11-O11</f>
        <v>0</v>
      </c>
    </row>
    <row r="12" spans="1:28" s="28" customFormat="1">
      <c r="A12" s="27" t="s">
        <v>788</v>
      </c>
      <c r="B12" s="27"/>
      <c r="C12" s="27" t="s">
        <v>200</v>
      </c>
      <c r="D12" s="55"/>
      <c r="E12" s="28">
        <f>+I12-G12</f>
        <v>29366539</v>
      </c>
      <c r="G12" s="28">
        <f>1063713+95850696</f>
        <v>96914409</v>
      </c>
      <c r="I12" s="28">
        <v>126280948</v>
      </c>
      <c r="K12" s="28">
        <f>+Q12-M12-O12</f>
        <v>12449511</v>
      </c>
      <c r="M12" s="28">
        <v>1788590</v>
      </c>
      <c r="O12" s="28">
        <f>33283285-1788590</f>
        <v>31494695</v>
      </c>
      <c r="Q12" s="28">
        <v>45732796</v>
      </c>
      <c r="S12" s="28">
        <v>65420494</v>
      </c>
      <c r="U12" s="28">
        <f>Y12-W12-S12</f>
        <v>9518093</v>
      </c>
      <c r="W12" s="28">
        <v>5609565</v>
      </c>
      <c r="Y12" s="28">
        <v>80548152</v>
      </c>
      <c r="Z12" s="6">
        <f t="shared" ref="Z12:Z48" si="5">+I12-Q12-Y12</f>
        <v>0</v>
      </c>
      <c r="AA12" s="6"/>
      <c r="AB12" s="6">
        <f>+E12+G12+-K12-M12-S12-U12-W12-O12</f>
        <v>0</v>
      </c>
    </row>
    <row r="13" spans="1:28">
      <c r="A13" s="11" t="s">
        <v>587</v>
      </c>
      <c r="B13" s="11"/>
      <c r="C13" s="11" t="s">
        <v>58</v>
      </c>
      <c r="E13" s="6">
        <f t="shared" ref="E13:E83" si="6">+I13-G13</f>
        <v>9158020</v>
      </c>
      <c r="G13" s="6">
        <f>677044+18472385</f>
        <v>19149429</v>
      </c>
      <c r="I13" s="6">
        <v>28307449</v>
      </c>
      <c r="K13" s="6">
        <f t="shared" ref="K13:K83" si="7">+Q13-M13-O13</f>
        <v>3310740</v>
      </c>
      <c r="M13" s="6">
        <v>291740</v>
      </c>
      <c r="O13" s="6">
        <f>3676888-291740</f>
        <v>3385148</v>
      </c>
      <c r="Q13" s="6">
        <v>6987628</v>
      </c>
      <c r="S13" s="6">
        <v>16068882</v>
      </c>
      <c r="U13" s="6">
        <f t="shared" ref="U13:U83" si="8">Y13-W13-S13</f>
        <v>927044</v>
      </c>
      <c r="W13" s="6">
        <v>4323895</v>
      </c>
      <c r="Y13" s="6">
        <v>21319821</v>
      </c>
      <c r="Z13" s="6">
        <f t="shared" si="5"/>
        <v>0</v>
      </c>
      <c r="AB13" s="6">
        <f>+E13+G13+-K13-M13-S13-U13-W13-O13</f>
        <v>0</v>
      </c>
    </row>
    <row r="14" spans="1:28">
      <c r="A14" s="11" t="s">
        <v>506</v>
      </c>
      <c r="B14" s="11"/>
      <c r="C14" s="11" t="s">
        <v>63</v>
      </c>
      <c r="E14" s="6">
        <f t="shared" si="6"/>
        <v>361305982</v>
      </c>
      <c r="G14" s="6">
        <f>33071681+205672350</f>
        <v>238744031</v>
      </c>
      <c r="I14" s="6">
        <v>600050013</v>
      </c>
      <c r="K14" s="6">
        <f t="shared" si="7"/>
        <v>231098036</v>
      </c>
      <c r="M14" s="6">
        <v>1701658</v>
      </c>
      <c r="O14" s="6">
        <f>30830831-1701658</f>
        <v>29129173</v>
      </c>
      <c r="Q14" s="6">
        <v>261928867</v>
      </c>
      <c r="S14" s="6">
        <v>238744031</v>
      </c>
      <c r="U14" s="6">
        <f t="shared" si="8"/>
        <v>90653920</v>
      </c>
      <c r="W14" s="6">
        <v>8723195</v>
      </c>
      <c r="Y14" s="6">
        <v>338121146</v>
      </c>
      <c r="Z14" s="6">
        <f t="shared" si="5"/>
        <v>0</v>
      </c>
      <c r="AB14" s="6">
        <f t="shared" ref="AB14:AB84" si="9">+E14+G14+-K14-M14-S14-U14-W14-O14</f>
        <v>0</v>
      </c>
    </row>
    <row r="15" spans="1:28" hidden="1">
      <c r="A15" s="11" t="s">
        <v>617</v>
      </c>
      <c r="B15" s="11"/>
      <c r="C15" s="11" t="s">
        <v>13</v>
      </c>
      <c r="D15" s="9"/>
      <c r="E15" s="6">
        <f t="shared" si="6"/>
        <v>0</v>
      </c>
      <c r="K15" s="6">
        <f t="shared" si="7"/>
        <v>0</v>
      </c>
      <c r="U15" s="6">
        <f t="shared" si="8"/>
        <v>0</v>
      </c>
      <c r="Z15" s="6">
        <f t="shared" si="5"/>
        <v>0</v>
      </c>
      <c r="AB15" s="6">
        <f t="shared" si="9"/>
        <v>0</v>
      </c>
    </row>
    <row r="16" spans="1:28" hidden="1">
      <c r="A16" s="11" t="s">
        <v>864</v>
      </c>
      <c r="B16" s="11"/>
      <c r="C16" s="11" t="s">
        <v>10</v>
      </c>
      <c r="E16" s="6">
        <f t="shared" ref="E16" si="10">+I16-G16</f>
        <v>0</v>
      </c>
      <c r="K16" s="6">
        <f t="shared" ref="K16" si="11">+Q16-M16-O16</f>
        <v>0</v>
      </c>
      <c r="U16" s="6">
        <f t="shared" ref="U16" si="12">Y16-W16-S16</f>
        <v>0</v>
      </c>
      <c r="Z16" s="6">
        <f t="shared" ref="Z16" si="13">+I16-Q16-Y16</f>
        <v>0</v>
      </c>
      <c r="AB16" s="6">
        <f t="shared" ref="AB16" si="14">+E16+G16+-K16-M16-S16-U16-W16-O16</f>
        <v>0</v>
      </c>
    </row>
    <row r="17" spans="1:28">
      <c r="A17" s="11" t="s">
        <v>493</v>
      </c>
      <c r="B17" s="11"/>
      <c r="C17" s="11" t="s">
        <v>62</v>
      </c>
      <c r="E17" s="6">
        <f t="shared" si="6"/>
        <v>21064597</v>
      </c>
      <c r="G17" s="6">
        <f>2322643+42558980</f>
        <v>44881623</v>
      </c>
      <c r="I17" s="6">
        <v>65946220</v>
      </c>
      <c r="K17" s="6">
        <f t="shared" si="7"/>
        <v>11665646</v>
      </c>
      <c r="M17" s="6">
        <v>927884</v>
      </c>
      <c r="O17" s="6">
        <f>13689697-927884</f>
        <v>12761813</v>
      </c>
      <c r="Q17" s="6">
        <v>25355343</v>
      </c>
      <c r="S17" s="6">
        <v>37577394</v>
      </c>
      <c r="U17" s="6">
        <f t="shared" si="8"/>
        <v>5190841</v>
      </c>
      <c r="W17" s="6">
        <v>-2177358</v>
      </c>
      <c r="Y17" s="6">
        <v>40590877</v>
      </c>
      <c r="Z17" s="6">
        <f t="shared" si="5"/>
        <v>0</v>
      </c>
      <c r="AB17" s="6">
        <f t="shared" si="9"/>
        <v>0</v>
      </c>
    </row>
    <row r="18" spans="1:28">
      <c r="A18" s="11" t="s">
        <v>292</v>
      </c>
      <c r="B18" s="11"/>
      <c r="C18" s="11" t="s">
        <v>25</v>
      </c>
      <c r="E18" s="6">
        <f t="shared" si="6"/>
        <v>9622276</v>
      </c>
      <c r="G18" s="6">
        <f>292457+28284294</f>
        <v>28576751</v>
      </c>
      <c r="I18" s="6">
        <v>38199027</v>
      </c>
      <c r="K18" s="6">
        <f t="shared" si="7"/>
        <v>5154984</v>
      </c>
      <c r="M18" s="6">
        <v>379133</v>
      </c>
      <c r="O18" s="6">
        <f>3049746-379133</f>
        <v>2670613</v>
      </c>
      <c r="Q18" s="6">
        <v>8204730</v>
      </c>
      <c r="S18" s="6">
        <v>25791079</v>
      </c>
      <c r="U18" s="6">
        <f t="shared" si="8"/>
        <v>1082217</v>
      </c>
      <c r="W18" s="6">
        <v>3121001</v>
      </c>
      <c r="Y18" s="6">
        <v>29994297</v>
      </c>
      <c r="Z18" s="6">
        <f t="shared" si="5"/>
        <v>0</v>
      </c>
      <c r="AB18" s="6">
        <f t="shared" si="9"/>
        <v>0</v>
      </c>
    </row>
    <row r="19" spans="1:28">
      <c r="A19" s="11" t="s">
        <v>749</v>
      </c>
      <c r="B19" s="11"/>
      <c r="C19" s="11" t="s">
        <v>44</v>
      </c>
      <c r="D19" s="51"/>
      <c r="E19" s="6">
        <f>+I19-G19</f>
        <v>28471393</v>
      </c>
      <c r="G19" s="6">
        <f>1421676+24328801</f>
        <v>25750477</v>
      </c>
      <c r="I19" s="6">
        <v>54221870</v>
      </c>
      <c r="K19" s="6">
        <f>+Q19-M19-O19</f>
        <v>20986094</v>
      </c>
      <c r="M19" s="6">
        <v>611772</v>
      </c>
      <c r="O19" s="6">
        <f>22894836-611772</f>
        <v>22283064</v>
      </c>
      <c r="Q19" s="6">
        <v>43880930</v>
      </c>
      <c r="S19" s="6">
        <v>9037352</v>
      </c>
      <c r="U19" s="6">
        <f>Y19-W19-S19</f>
        <v>1931519</v>
      </c>
      <c r="W19" s="6">
        <v>-627931</v>
      </c>
      <c r="Y19" s="6">
        <v>10340940</v>
      </c>
      <c r="Z19" s="6">
        <f t="shared" si="5"/>
        <v>0</v>
      </c>
      <c r="AB19" s="6">
        <f t="shared" si="9"/>
        <v>0</v>
      </c>
    </row>
    <row r="20" spans="1:28">
      <c r="A20" s="11" t="s">
        <v>804</v>
      </c>
      <c r="B20" s="11"/>
      <c r="C20" s="11" t="s">
        <v>61</v>
      </c>
      <c r="E20" s="6">
        <f t="shared" si="6"/>
        <v>10239738</v>
      </c>
      <c r="G20" s="6">
        <f>10443809+840933</f>
        <v>11284742</v>
      </c>
      <c r="I20" s="6">
        <v>21524480</v>
      </c>
      <c r="K20" s="6">
        <f t="shared" si="7"/>
        <v>4186074</v>
      </c>
      <c r="M20" s="6">
        <v>310678</v>
      </c>
      <c r="O20" s="6">
        <f>4063908-310678</f>
        <v>3753230</v>
      </c>
      <c r="Q20" s="6">
        <v>8249982</v>
      </c>
      <c r="S20" s="6">
        <v>7852281</v>
      </c>
      <c r="U20" s="6">
        <f t="shared" si="8"/>
        <v>2877614</v>
      </c>
      <c r="W20" s="6">
        <v>2544603</v>
      </c>
      <c r="Y20" s="6">
        <v>13274498</v>
      </c>
      <c r="Z20" s="6">
        <f t="shared" si="5"/>
        <v>0</v>
      </c>
      <c r="AB20" s="6">
        <f t="shared" si="9"/>
        <v>0</v>
      </c>
    </row>
    <row r="21" spans="1:28" hidden="1">
      <c r="A21" s="11" t="s">
        <v>691</v>
      </c>
      <c r="B21" s="11"/>
      <c r="C21" s="11" t="s">
        <v>603</v>
      </c>
      <c r="E21" s="6">
        <f t="shared" si="6"/>
        <v>0</v>
      </c>
      <c r="K21" s="6">
        <f t="shared" si="7"/>
        <v>0</v>
      </c>
      <c r="U21" s="6">
        <f t="shared" si="8"/>
        <v>0</v>
      </c>
      <c r="Z21" s="6">
        <f t="shared" si="5"/>
        <v>0</v>
      </c>
      <c r="AB21" s="6">
        <f t="shared" si="9"/>
        <v>0</v>
      </c>
    </row>
    <row r="22" spans="1:28">
      <c r="A22" s="11" t="s">
        <v>390</v>
      </c>
      <c r="B22" s="11"/>
      <c r="C22" s="11" t="s">
        <v>115</v>
      </c>
      <c r="E22" s="6">
        <f t="shared" si="6"/>
        <v>36909927</v>
      </c>
      <c r="G22" s="6">
        <v>18816947</v>
      </c>
      <c r="I22" s="6">
        <v>55726874</v>
      </c>
      <c r="K22" s="6">
        <f t="shared" si="7"/>
        <v>28456452</v>
      </c>
      <c r="M22" s="6">
        <v>1784181</v>
      </c>
      <c r="O22" s="6">
        <f>24458793-1784181</f>
        <v>22674612</v>
      </c>
      <c r="Q22" s="6">
        <v>52915245</v>
      </c>
      <c r="S22" s="6">
        <v>-491513</v>
      </c>
      <c r="U22" s="6">
        <f t="shared" si="8"/>
        <v>3415679</v>
      </c>
      <c r="W22" s="6">
        <v>-112537</v>
      </c>
      <c r="Y22" s="6">
        <v>2811629</v>
      </c>
      <c r="Z22" s="6">
        <f t="shared" si="5"/>
        <v>0</v>
      </c>
      <c r="AB22" s="6">
        <f t="shared" si="9"/>
        <v>0</v>
      </c>
    </row>
    <row r="23" spans="1:28" hidden="1">
      <c r="A23" s="11" t="s">
        <v>865</v>
      </c>
      <c r="B23" s="11"/>
      <c r="C23" s="11" t="s">
        <v>450</v>
      </c>
      <c r="E23" s="6">
        <f t="shared" ref="E23" si="15">+I23-G23</f>
        <v>0</v>
      </c>
      <c r="K23" s="6">
        <f t="shared" ref="K23" si="16">+Q23-M23-O23</f>
        <v>0</v>
      </c>
      <c r="U23" s="6">
        <f t="shared" ref="U23" si="17">Y23-W23-S23</f>
        <v>0</v>
      </c>
      <c r="Z23" s="6">
        <f t="shared" ref="Z23" si="18">+I23-Q23-Y23</f>
        <v>0</v>
      </c>
      <c r="AB23" s="6">
        <f t="shared" ref="AB23" si="19">+E23+G23+-K23-M23-S23-U23-W23-O23</f>
        <v>0</v>
      </c>
    </row>
    <row r="24" spans="1:28">
      <c r="A24" s="11" t="s">
        <v>334</v>
      </c>
      <c r="B24" s="11"/>
      <c r="C24" s="11" t="s">
        <v>33</v>
      </c>
      <c r="E24" s="6">
        <f t="shared" si="6"/>
        <v>6803543</v>
      </c>
      <c r="G24" s="6">
        <f>27410+1625127</f>
        <v>1652537</v>
      </c>
      <c r="I24" s="6">
        <v>8456080</v>
      </c>
      <c r="K24" s="6">
        <f t="shared" si="7"/>
        <v>2459339</v>
      </c>
      <c r="M24" s="6">
        <v>15448</v>
      </c>
      <c r="O24" s="6">
        <f>370118-15448</f>
        <v>354670</v>
      </c>
      <c r="Q24" s="6">
        <v>2829457</v>
      </c>
      <c r="S24" s="6">
        <v>1652537</v>
      </c>
      <c r="U24" s="6">
        <f t="shared" si="8"/>
        <v>383836</v>
      </c>
      <c r="W24" s="6">
        <v>3590250</v>
      </c>
      <c r="Y24" s="6">
        <v>5626623</v>
      </c>
      <c r="Z24" s="6">
        <f t="shared" si="5"/>
        <v>0</v>
      </c>
      <c r="AB24" s="6">
        <f t="shared" si="9"/>
        <v>0</v>
      </c>
    </row>
    <row r="25" spans="1:28" hidden="1">
      <c r="A25" s="11" t="s">
        <v>670</v>
      </c>
      <c r="B25" s="11"/>
      <c r="C25" s="11" t="s">
        <v>21</v>
      </c>
      <c r="E25" s="6">
        <f t="shared" si="6"/>
        <v>0</v>
      </c>
      <c r="K25" s="6">
        <f t="shared" si="7"/>
        <v>0</v>
      </c>
      <c r="U25" s="6">
        <f t="shared" si="8"/>
        <v>0</v>
      </c>
      <c r="Z25" s="6">
        <f t="shared" si="5"/>
        <v>0</v>
      </c>
      <c r="AB25" s="6">
        <f t="shared" si="9"/>
        <v>0</v>
      </c>
    </row>
    <row r="26" spans="1:28">
      <c r="A26" s="11" t="s">
        <v>866</v>
      </c>
      <c r="B26" s="11"/>
      <c r="C26" s="11" t="s">
        <v>28</v>
      </c>
      <c r="E26" s="6">
        <f t="shared" si="6"/>
        <v>15050553</v>
      </c>
      <c r="G26" s="6">
        <f>1890120+15180009</f>
        <v>17070129</v>
      </c>
      <c r="I26" s="6">
        <v>32120682</v>
      </c>
      <c r="K26" s="6">
        <f t="shared" si="7"/>
        <v>7205690</v>
      </c>
      <c r="M26" s="6">
        <v>758048</v>
      </c>
      <c r="O26" s="6">
        <f>10648321-758048</f>
        <v>9890273</v>
      </c>
      <c r="Q26" s="6">
        <v>17854011</v>
      </c>
      <c r="S26" s="6">
        <v>9034421</v>
      </c>
      <c r="U26" s="6">
        <f t="shared" si="8"/>
        <v>2974166</v>
      </c>
      <c r="W26" s="6">
        <v>2258084</v>
      </c>
      <c r="Y26" s="6">
        <v>14266671</v>
      </c>
      <c r="Z26" s="6">
        <f t="shared" si="5"/>
        <v>0</v>
      </c>
      <c r="AB26" s="6">
        <f t="shared" si="9"/>
        <v>0</v>
      </c>
    </row>
    <row r="27" spans="1:28">
      <c r="A27" s="11" t="s">
        <v>335</v>
      </c>
      <c r="B27" s="11"/>
      <c r="C27" s="11" t="s">
        <v>33</v>
      </c>
      <c r="E27" s="6">
        <f t="shared" si="6"/>
        <v>4249939</v>
      </c>
      <c r="G27" s="6">
        <f>309090+4332847</f>
        <v>4641937</v>
      </c>
      <c r="I27" s="6">
        <v>8891876</v>
      </c>
      <c r="K27" s="6">
        <f t="shared" si="7"/>
        <v>1907571</v>
      </c>
      <c r="M27" s="6">
        <v>135083</v>
      </c>
      <c r="O27" s="6">
        <f>1270980-135083</f>
        <v>1135897</v>
      </c>
      <c r="Q27" s="6">
        <v>3178551</v>
      </c>
      <c r="S27" s="6">
        <v>3881937</v>
      </c>
      <c r="U27" s="6">
        <f t="shared" si="8"/>
        <v>627158</v>
      </c>
      <c r="W27" s="6">
        <v>1204230</v>
      </c>
      <c r="Y27" s="6">
        <v>5713325</v>
      </c>
      <c r="Z27" s="6">
        <f t="shared" si="5"/>
        <v>0</v>
      </c>
      <c r="AB27" s="6">
        <f t="shared" si="9"/>
        <v>0</v>
      </c>
    </row>
    <row r="28" spans="1:28" ht="11.25" customHeight="1">
      <c r="A28" s="11" t="s">
        <v>203</v>
      </c>
      <c r="B28" s="11"/>
      <c r="C28" s="11" t="s">
        <v>11</v>
      </c>
      <c r="D28" s="9"/>
      <c r="E28" s="6">
        <f t="shared" si="6"/>
        <v>24530578</v>
      </c>
      <c r="G28" s="6">
        <f>757979+10202479</f>
        <v>10960458</v>
      </c>
      <c r="I28" s="6">
        <v>35491036</v>
      </c>
      <c r="K28" s="6">
        <f t="shared" si="7"/>
        <v>15708897</v>
      </c>
      <c r="M28" s="6">
        <v>711957</v>
      </c>
      <c r="O28" s="6">
        <f>5658790-711957</f>
        <v>4946833</v>
      </c>
      <c r="Q28" s="6">
        <v>21367687</v>
      </c>
      <c r="S28" s="6">
        <v>7696749</v>
      </c>
      <c r="U28" s="6">
        <f t="shared" si="8"/>
        <v>902642</v>
      </c>
      <c r="W28" s="6">
        <v>5523958</v>
      </c>
      <c r="Y28" s="6">
        <v>14123349</v>
      </c>
      <c r="Z28" s="6">
        <f t="shared" si="5"/>
        <v>0</v>
      </c>
      <c r="AB28" s="6">
        <f t="shared" si="9"/>
        <v>0</v>
      </c>
    </row>
    <row r="29" spans="1:28">
      <c r="A29" s="11" t="s">
        <v>669</v>
      </c>
      <c r="B29" s="11"/>
      <c r="C29" s="11" t="s">
        <v>12</v>
      </c>
      <c r="D29" s="9"/>
      <c r="E29" s="6">
        <f t="shared" si="6"/>
        <v>33987095</v>
      </c>
      <c r="G29" s="6">
        <f>21299721+93532069</f>
        <v>114831790</v>
      </c>
      <c r="I29" s="6">
        <v>148818885</v>
      </c>
      <c r="K29" s="6">
        <f t="shared" si="7"/>
        <v>10139156</v>
      </c>
      <c r="M29" s="6">
        <v>2553808</v>
      </c>
      <c r="O29" s="6">
        <f>40153926-2553808</f>
        <v>37600118</v>
      </c>
      <c r="Q29" s="6">
        <v>50293082</v>
      </c>
      <c r="S29" s="6">
        <v>77827104</v>
      </c>
      <c r="U29" s="6">
        <f t="shared" si="8"/>
        <v>13567849</v>
      </c>
      <c r="W29" s="6">
        <v>7130850</v>
      </c>
      <c r="Y29" s="6">
        <v>98525803</v>
      </c>
      <c r="Z29" s="6">
        <f t="shared" si="5"/>
        <v>0</v>
      </c>
      <c r="AB29" s="6">
        <f t="shared" si="9"/>
        <v>0</v>
      </c>
    </row>
    <row r="30" spans="1:28">
      <c r="A30" s="11" t="s">
        <v>210</v>
      </c>
      <c r="B30" s="11"/>
      <c r="C30" s="11" t="s">
        <v>13</v>
      </c>
      <c r="D30" s="9"/>
      <c r="E30" s="6">
        <f t="shared" si="6"/>
        <v>36023201</v>
      </c>
      <c r="G30" s="6">
        <f>1519380+18805187</f>
        <v>20324567</v>
      </c>
      <c r="I30" s="6">
        <v>56347768</v>
      </c>
      <c r="K30" s="6">
        <f t="shared" si="7"/>
        <v>18711076</v>
      </c>
      <c r="M30" s="6">
        <v>1003067</v>
      </c>
      <c r="O30" s="6">
        <f>14005498-1003067</f>
        <v>13002431</v>
      </c>
      <c r="Q30" s="6">
        <v>32716574</v>
      </c>
      <c r="S30" s="6">
        <v>8767380</v>
      </c>
      <c r="U30" s="6">
        <f t="shared" si="8"/>
        <v>5665721</v>
      </c>
      <c r="W30" s="6">
        <v>9198093</v>
      </c>
      <c r="Y30" s="6">
        <v>23631194</v>
      </c>
      <c r="Z30" s="6">
        <f t="shared" si="5"/>
        <v>0</v>
      </c>
      <c r="AB30" s="6">
        <f t="shared" si="9"/>
        <v>0</v>
      </c>
    </row>
    <row r="31" spans="1:28">
      <c r="A31" s="11" t="s">
        <v>459</v>
      </c>
      <c r="B31" s="11"/>
      <c r="C31" s="11" t="s">
        <v>56</v>
      </c>
      <c r="E31" s="6">
        <f t="shared" si="6"/>
        <v>29795471</v>
      </c>
      <c r="G31" s="6">
        <v>39059714</v>
      </c>
      <c r="I31" s="6">
        <v>68855185</v>
      </c>
      <c r="K31" s="6">
        <f t="shared" si="7"/>
        <v>24621660</v>
      </c>
      <c r="M31" s="6">
        <v>2131668</v>
      </c>
      <c r="O31" s="6">
        <f>34016912-2131668</f>
        <v>31885244</v>
      </c>
      <c r="Q31" s="6">
        <v>58638572</v>
      </c>
      <c r="S31" s="6">
        <v>7300988</v>
      </c>
      <c r="U31" s="6">
        <f t="shared" si="8"/>
        <v>2132750</v>
      </c>
      <c r="W31" s="6">
        <v>782875</v>
      </c>
      <c r="Y31" s="6">
        <v>10216613</v>
      </c>
      <c r="Z31" s="6">
        <f t="shared" si="5"/>
        <v>0</v>
      </c>
      <c r="AB31" s="6">
        <f t="shared" si="9"/>
        <v>0</v>
      </c>
    </row>
    <row r="32" spans="1:28">
      <c r="A32" s="11" t="s">
        <v>401</v>
      </c>
      <c r="B32" s="11"/>
      <c r="C32" s="11" t="s">
        <v>45</v>
      </c>
      <c r="E32" s="6">
        <f t="shared" si="6"/>
        <v>75442513</v>
      </c>
      <c r="G32" s="6">
        <v>43895882</v>
      </c>
      <c r="I32" s="6">
        <v>119338395</v>
      </c>
      <c r="K32" s="6">
        <f t="shared" si="7"/>
        <v>26261151</v>
      </c>
      <c r="M32" s="6">
        <v>2170306</v>
      </c>
      <c r="O32" s="6">
        <f>52760485-2170306</f>
        <v>50590179</v>
      </c>
      <c r="Q32" s="6">
        <v>79021636</v>
      </c>
      <c r="S32" s="6">
        <v>21892505</v>
      </c>
      <c r="U32" s="6">
        <f t="shared" si="8"/>
        <v>15611971</v>
      </c>
      <c r="W32" s="6">
        <v>2812283</v>
      </c>
      <c r="Y32" s="6">
        <v>40316759</v>
      </c>
      <c r="Z32" s="6">
        <f t="shared" si="5"/>
        <v>0</v>
      </c>
      <c r="AB32" s="6">
        <f t="shared" si="9"/>
        <v>0</v>
      </c>
    </row>
    <row r="33" spans="1:28">
      <c r="A33" s="11" t="s">
        <v>380</v>
      </c>
      <c r="B33" s="11"/>
      <c r="C33" s="11" t="s">
        <v>44</v>
      </c>
      <c r="E33" s="6">
        <f t="shared" si="6"/>
        <v>53130658</v>
      </c>
      <c r="G33" s="6">
        <f>6041645+53493698</f>
        <v>59535343</v>
      </c>
      <c r="I33" s="6">
        <v>112666001</v>
      </c>
      <c r="K33" s="6">
        <f t="shared" si="7"/>
        <v>33992712</v>
      </c>
      <c r="M33" s="6">
        <v>3633924</v>
      </c>
      <c r="O33" s="6">
        <f>58334055-3633924</f>
        <v>54700131</v>
      </c>
      <c r="Q33" s="6">
        <v>92326767</v>
      </c>
      <c r="S33" s="6">
        <v>8871320</v>
      </c>
      <c r="U33" s="6">
        <f t="shared" si="8"/>
        <v>5964568</v>
      </c>
      <c r="W33" s="6">
        <v>5503346</v>
      </c>
      <c r="Y33" s="6">
        <v>20339234</v>
      </c>
      <c r="Z33" s="6">
        <f t="shared" si="5"/>
        <v>0</v>
      </c>
      <c r="AB33" s="6">
        <f t="shared" si="9"/>
        <v>0</v>
      </c>
    </row>
    <row r="34" spans="1:28">
      <c r="A34" s="11" t="s">
        <v>381</v>
      </c>
      <c r="B34" s="11"/>
      <c r="C34" s="11" t="s">
        <v>44</v>
      </c>
      <c r="E34" s="6">
        <f t="shared" si="6"/>
        <v>48108054</v>
      </c>
      <c r="G34" s="6">
        <f>3753706+49273394</f>
        <v>53027100</v>
      </c>
      <c r="I34" s="6">
        <v>101135154</v>
      </c>
      <c r="K34" s="6">
        <f t="shared" si="7"/>
        <v>34324920</v>
      </c>
      <c r="M34" s="6">
        <v>2845632</v>
      </c>
      <c r="O34" s="6">
        <f>36020828-2845632</f>
        <v>33175196</v>
      </c>
      <c r="Q34" s="6">
        <v>70345748</v>
      </c>
      <c r="S34" s="6">
        <v>16877501</v>
      </c>
      <c r="U34" s="6">
        <f t="shared" si="8"/>
        <v>5891277</v>
      </c>
      <c r="W34" s="6">
        <v>8020628</v>
      </c>
      <c r="Y34" s="6">
        <v>30789406</v>
      </c>
      <c r="Z34" s="6">
        <f t="shared" si="5"/>
        <v>0</v>
      </c>
      <c r="AB34" s="6">
        <f t="shared" si="9"/>
        <v>0</v>
      </c>
    </row>
    <row r="35" spans="1:28">
      <c r="A35" s="11" t="s">
        <v>283</v>
      </c>
      <c r="B35" s="11"/>
      <c r="C35" s="11" t="s">
        <v>22</v>
      </c>
      <c r="E35" s="6">
        <f t="shared" si="6"/>
        <v>7407332</v>
      </c>
      <c r="G35" s="6">
        <v>2426442</v>
      </c>
      <c r="I35" s="6">
        <v>9833774</v>
      </c>
      <c r="K35" s="6">
        <f t="shared" si="7"/>
        <v>3130851</v>
      </c>
      <c r="M35" s="6">
        <v>210705</v>
      </c>
      <c r="O35" s="6">
        <f>858215-210705</f>
        <v>647510</v>
      </c>
      <c r="Q35" s="6">
        <v>3989066</v>
      </c>
      <c r="S35" s="6">
        <v>2253932</v>
      </c>
      <c r="U35" s="6">
        <f t="shared" si="8"/>
        <v>226764</v>
      </c>
      <c r="W35" s="6">
        <v>3364012</v>
      </c>
      <c r="Y35" s="6">
        <v>5844708</v>
      </c>
      <c r="Z35" s="6">
        <f t="shared" si="5"/>
        <v>0</v>
      </c>
      <c r="AB35" s="6">
        <f t="shared" si="9"/>
        <v>0</v>
      </c>
    </row>
    <row r="36" spans="1:28">
      <c r="A36" s="11" t="s">
        <v>507</v>
      </c>
      <c r="B36" s="11"/>
      <c r="C36" s="11" t="s">
        <v>63</v>
      </c>
      <c r="E36" s="6">
        <f t="shared" si="6"/>
        <v>41645698</v>
      </c>
      <c r="G36" s="6">
        <v>115482207</v>
      </c>
      <c r="I36" s="6">
        <v>157127905</v>
      </c>
      <c r="K36" s="6">
        <f t="shared" si="7"/>
        <v>19602442</v>
      </c>
      <c r="M36" s="6">
        <v>2482705</v>
      </c>
      <c r="O36" s="6">
        <v>53177569</v>
      </c>
      <c r="Q36" s="6">
        <v>75262716</v>
      </c>
      <c r="S36" s="6">
        <v>75866765</v>
      </c>
      <c r="U36" s="6">
        <f t="shared" si="8"/>
        <v>4646699</v>
      </c>
      <c r="W36" s="6">
        <v>1351725</v>
      </c>
      <c r="Y36" s="6">
        <v>81865189</v>
      </c>
      <c r="Z36" s="6">
        <f t="shared" si="5"/>
        <v>0</v>
      </c>
      <c r="AB36" s="6">
        <f t="shared" si="9"/>
        <v>0</v>
      </c>
    </row>
    <row r="37" spans="1:28">
      <c r="A37" s="11" t="s">
        <v>750</v>
      </c>
      <c r="B37" s="11"/>
      <c r="C37" s="11" t="s">
        <v>15</v>
      </c>
      <c r="E37" s="6">
        <f t="shared" si="6"/>
        <v>9112539</v>
      </c>
      <c r="G37" s="6">
        <f>272950+15138874</f>
        <v>15411824</v>
      </c>
      <c r="I37" s="6">
        <v>24524363</v>
      </c>
      <c r="K37" s="6">
        <f t="shared" si="7"/>
        <v>5033112</v>
      </c>
      <c r="M37" s="6">
        <v>267572</v>
      </c>
      <c r="O37" s="6">
        <v>3425835</v>
      </c>
      <c r="Q37" s="6">
        <v>8726519</v>
      </c>
      <c r="S37" s="6">
        <v>12553822</v>
      </c>
      <c r="U37" s="6">
        <f t="shared" si="8"/>
        <v>879051</v>
      </c>
      <c r="W37" s="6">
        <v>2364971</v>
      </c>
      <c r="Y37" s="6">
        <v>15797844</v>
      </c>
      <c r="Z37" s="6">
        <f t="shared" si="5"/>
        <v>0</v>
      </c>
      <c r="AB37" s="6">
        <f t="shared" si="9"/>
        <v>0</v>
      </c>
    </row>
    <row r="38" spans="1:28">
      <c r="A38" s="11" t="s">
        <v>237</v>
      </c>
      <c r="B38" s="11"/>
      <c r="C38" s="11" t="s">
        <v>113</v>
      </c>
      <c r="D38" s="9"/>
      <c r="E38" s="6">
        <f t="shared" si="6"/>
        <v>10339257</v>
      </c>
      <c r="G38" s="6">
        <f>1230447+7521231</f>
        <v>8751678</v>
      </c>
      <c r="I38" s="6">
        <v>19090935</v>
      </c>
      <c r="K38" s="6">
        <f t="shared" si="7"/>
        <v>8304481</v>
      </c>
      <c r="M38" s="6">
        <v>904575</v>
      </c>
      <c r="O38" s="6">
        <v>6537669</v>
      </c>
      <c r="Q38" s="6">
        <v>15746725</v>
      </c>
      <c r="S38" s="6">
        <v>2542749</v>
      </c>
      <c r="U38" s="6">
        <f t="shared" si="8"/>
        <v>1932064</v>
      </c>
      <c r="W38" s="6">
        <v>-1130603</v>
      </c>
      <c r="Y38" s="6">
        <v>3344210</v>
      </c>
      <c r="Z38" s="6">
        <f t="shared" si="5"/>
        <v>0</v>
      </c>
      <c r="AB38" s="6">
        <f t="shared" si="9"/>
        <v>0</v>
      </c>
    </row>
    <row r="39" spans="1:28" ht="12" hidden="1" customHeight="1">
      <c r="A39" s="11" t="s">
        <v>671</v>
      </c>
      <c r="B39" s="11"/>
      <c r="C39" s="11" t="s">
        <v>10</v>
      </c>
      <c r="D39" s="9"/>
      <c r="E39" s="6">
        <f t="shared" si="6"/>
        <v>0</v>
      </c>
      <c r="K39" s="6">
        <f t="shared" si="7"/>
        <v>0</v>
      </c>
      <c r="U39" s="6">
        <f t="shared" si="8"/>
        <v>0</v>
      </c>
      <c r="Z39" s="6">
        <f t="shared" si="5"/>
        <v>0</v>
      </c>
      <c r="AB39" s="6">
        <f t="shared" si="9"/>
        <v>0</v>
      </c>
    </row>
    <row r="40" spans="1:28">
      <c r="A40" s="11" t="s">
        <v>634</v>
      </c>
      <c r="B40" s="11"/>
      <c r="C40" s="11" t="s">
        <v>20</v>
      </c>
      <c r="E40" s="6">
        <f t="shared" si="6"/>
        <v>37873551</v>
      </c>
      <c r="G40" s="6">
        <f>817517+27070794</f>
        <v>27888311</v>
      </c>
      <c r="I40" s="6">
        <v>65761862</v>
      </c>
      <c r="K40" s="6">
        <f t="shared" si="7"/>
        <v>24944155</v>
      </c>
      <c r="M40" s="6">
        <v>1462834</v>
      </c>
      <c r="O40" s="6">
        <v>17826285</v>
      </c>
      <c r="Q40" s="6">
        <v>44233274</v>
      </c>
      <c r="S40" s="6">
        <v>12191511</v>
      </c>
      <c r="U40" s="6">
        <f t="shared" si="8"/>
        <v>3992220</v>
      </c>
      <c r="W40" s="6">
        <v>5344857</v>
      </c>
      <c r="Y40" s="6">
        <v>21528588</v>
      </c>
      <c r="Z40" s="6">
        <f t="shared" si="5"/>
        <v>0</v>
      </c>
      <c r="AB40" s="6">
        <f t="shared" si="9"/>
        <v>0</v>
      </c>
    </row>
    <row r="41" spans="1:28">
      <c r="A41" s="11" t="s">
        <v>261</v>
      </c>
      <c r="B41" s="11"/>
      <c r="C41" s="11" t="s">
        <v>20</v>
      </c>
      <c r="E41" s="6">
        <f t="shared" si="6"/>
        <v>71564373</v>
      </c>
      <c r="G41" s="6">
        <f>17907381+26382887+978708</f>
        <v>45268976</v>
      </c>
      <c r="I41" s="6">
        <v>116833349</v>
      </c>
      <c r="K41" s="6">
        <f t="shared" si="7"/>
        <v>28536660</v>
      </c>
      <c r="M41" s="6">
        <v>2797267</v>
      </c>
      <c r="O41" s="6">
        <v>44273182</v>
      </c>
      <c r="Q41" s="6">
        <v>75607109</v>
      </c>
      <c r="S41" s="6">
        <v>18670053</v>
      </c>
      <c r="U41" s="6">
        <f t="shared" si="8"/>
        <v>3818435</v>
      </c>
      <c r="W41" s="6">
        <v>18737752</v>
      </c>
      <c r="Y41" s="6">
        <v>41226240</v>
      </c>
      <c r="Z41" s="6">
        <f t="shared" si="5"/>
        <v>0</v>
      </c>
      <c r="AB41" s="6">
        <f t="shared" si="9"/>
        <v>0</v>
      </c>
    </row>
    <row r="42" spans="1:28">
      <c r="A42" s="11" t="s">
        <v>246</v>
      </c>
      <c r="B42" s="11"/>
      <c r="C42" s="11" t="s">
        <v>112</v>
      </c>
      <c r="E42" s="6">
        <f t="shared" si="6"/>
        <v>8195401</v>
      </c>
      <c r="G42" s="6">
        <f>496847+3659769</f>
        <v>4156616</v>
      </c>
      <c r="I42" s="6">
        <v>12352017</v>
      </c>
      <c r="K42" s="6">
        <f t="shared" si="7"/>
        <v>7858105</v>
      </c>
      <c r="M42" s="6">
        <v>373977</v>
      </c>
      <c r="O42" s="6">
        <v>1130622</v>
      </c>
      <c r="Q42" s="6">
        <v>9362704</v>
      </c>
      <c r="S42" s="6">
        <v>4100570</v>
      </c>
      <c r="U42" s="6">
        <f>Y42-W42-S42</f>
        <v>431128</v>
      </c>
      <c r="W42" s="6">
        <v>-1542385</v>
      </c>
      <c r="Y42" s="6">
        <v>2989313</v>
      </c>
      <c r="Z42" s="6">
        <f t="shared" si="5"/>
        <v>0</v>
      </c>
      <c r="AB42" s="6">
        <f>+E42+G42+-K42-M42-S42-U42-W42-O42</f>
        <v>0</v>
      </c>
    </row>
    <row r="43" spans="1:28">
      <c r="A43" s="11" t="s">
        <v>317</v>
      </c>
      <c r="B43" s="11"/>
      <c r="C43" s="11" t="s">
        <v>114</v>
      </c>
      <c r="E43" s="6">
        <f t="shared" si="6"/>
        <v>156475546</v>
      </c>
      <c r="G43" s="6">
        <f>27935701+21494062</f>
        <v>49429763</v>
      </c>
      <c r="I43" s="6">
        <v>205905309</v>
      </c>
      <c r="K43" s="6">
        <f t="shared" si="7"/>
        <v>60647881</v>
      </c>
      <c r="M43" s="6">
        <v>3731925</v>
      </c>
      <c r="O43" s="6">
        <v>111200425</v>
      </c>
      <c r="Q43" s="6">
        <v>175580231</v>
      </c>
      <c r="S43" s="6">
        <v>-1290495</v>
      </c>
      <c r="U43" s="6">
        <f t="shared" si="8"/>
        <v>12047767</v>
      </c>
      <c r="W43" s="6">
        <v>19567806</v>
      </c>
      <c r="Y43" s="6">
        <v>30325078</v>
      </c>
      <c r="Z43" s="6">
        <f t="shared" si="5"/>
        <v>0</v>
      </c>
      <c r="AB43" s="6">
        <f t="shared" si="9"/>
        <v>0</v>
      </c>
    </row>
    <row r="44" spans="1:28">
      <c r="A44" s="11" t="s">
        <v>262</v>
      </c>
      <c r="B44" s="11"/>
      <c r="C44" s="11" t="s">
        <v>20</v>
      </c>
      <c r="E44" s="6">
        <f t="shared" si="6"/>
        <v>56044782</v>
      </c>
      <c r="G44" s="6">
        <f>1616723+18549916</f>
        <v>20166639</v>
      </c>
      <c r="I44" s="6">
        <f>76195603+15818</f>
        <v>76211421</v>
      </c>
      <c r="K44" s="6">
        <f t="shared" si="7"/>
        <v>28392119</v>
      </c>
      <c r="M44" s="6">
        <v>2098073</v>
      </c>
      <c r="O44" s="6">
        <v>5997930</v>
      </c>
      <c r="Q44" s="6">
        <f>13985858+22502264</f>
        <v>36488122</v>
      </c>
      <c r="S44" s="6">
        <v>16816971</v>
      </c>
      <c r="U44" s="6">
        <f t="shared" si="8"/>
        <v>2340525</v>
      </c>
      <c r="W44" s="6">
        <v>20565803</v>
      </c>
      <c r="Y44" s="6">
        <v>39723299</v>
      </c>
      <c r="Z44" s="6">
        <f t="shared" si="5"/>
        <v>0</v>
      </c>
      <c r="AB44" s="6">
        <f t="shared" si="9"/>
        <v>0</v>
      </c>
    </row>
    <row r="45" spans="1:28">
      <c r="A45" s="11" t="s">
        <v>215</v>
      </c>
      <c r="B45" s="11"/>
      <c r="C45" s="11" t="s">
        <v>15</v>
      </c>
      <c r="D45" s="9"/>
      <c r="E45" s="6">
        <f t="shared" si="6"/>
        <v>7681648</v>
      </c>
      <c r="G45" s="6">
        <f>718812+18463063</f>
        <v>19181875</v>
      </c>
      <c r="I45" s="6">
        <v>26863523</v>
      </c>
      <c r="K45" s="6">
        <f t="shared" si="7"/>
        <v>6326183</v>
      </c>
      <c r="M45" s="6">
        <v>414337</v>
      </c>
      <c r="O45" s="6">
        <v>3299145</v>
      </c>
      <c r="Q45" s="6">
        <v>10039665</v>
      </c>
      <c r="S45" s="6">
        <v>16727413</v>
      </c>
      <c r="U45" s="6">
        <f t="shared" si="8"/>
        <v>3074271</v>
      </c>
      <c r="W45" s="6">
        <v>-2977826</v>
      </c>
      <c r="Y45" s="6">
        <v>16823858</v>
      </c>
      <c r="Z45" s="6">
        <f t="shared" si="5"/>
        <v>0</v>
      </c>
      <c r="AB45" s="6">
        <f t="shared" si="9"/>
        <v>0</v>
      </c>
    </row>
    <row r="46" spans="1:28">
      <c r="A46" s="10" t="s">
        <v>735</v>
      </c>
      <c r="B46" s="10"/>
      <c r="C46" s="10" t="s">
        <v>114</v>
      </c>
      <c r="D46" s="9"/>
      <c r="E46" s="6">
        <f t="shared" ref="E46:E47" si="20">+I46-G46</f>
        <v>22484844</v>
      </c>
      <c r="G46" s="6">
        <f>3432055+44077580</f>
        <v>47509635</v>
      </c>
      <c r="I46" s="6">
        <v>69994479</v>
      </c>
      <c r="K46" s="6">
        <f t="shared" ref="K46:K47" si="21">+Q46-M46-O46</f>
        <v>19062492</v>
      </c>
      <c r="M46" s="6">
        <v>1855277</v>
      </c>
      <c r="O46" s="6">
        <v>44894652</v>
      </c>
      <c r="Q46" s="6">
        <v>65812421</v>
      </c>
      <c r="S46" s="6">
        <v>3528926</v>
      </c>
      <c r="U46" s="6">
        <f t="shared" ref="U46:U47" si="22">Y46-W46-S46</f>
        <v>538196</v>
      </c>
      <c r="W46" s="6">
        <v>114936</v>
      </c>
      <c r="Y46" s="6">
        <v>4182058</v>
      </c>
      <c r="Z46" s="6">
        <f t="shared" si="5"/>
        <v>0</v>
      </c>
      <c r="AB46" s="6">
        <f t="shared" si="9"/>
        <v>0</v>
      </c>
    </row>
    <row r="47" spans="1:28" hidden="1">
      <c r="A47" s="11" t="s">
        <v>885</v>
      </c>
      <c r="B47" s="11"/>
      <c r="C47" s="11" t="s">
        <v>43</v>
      </c>
      <c r="E47" s="6">
        <f t="shared" si="20"/>
        <v>0</v>
      </c>
      <c r="G47" s="6">
        <v>0</v>
      </c>
      <c r="I47" s="6">
        <v>0</v>
      </c>
      <c r="K47" s="6">
        <f t="shared" si="21"/>
        <v>0</v>
      </c>
      <c r="M47" s="6">
        <v>0</v>
      </c>
      <c r="O47" s="6">
        <v>0</v>
      </c>
      <c r="Q47" s="6">
        <v>0</v>
      </c>
      <c r="S47" s="6">
        <v>0</v>
      </c>
      <c r="U47" s="6">
        <f t="shared" si="22"/>
        <v>0</v>
      </c>
      <c r="W47" s="6">
        <v>0</v>
      </c>
      <c r="Y47" s="6">
        <v>0</v>
      </c>
      <c r="Z47" s="6">
        <f t="shared" ref="Z47" si="23">+I47-Q47-Y47</f>
        <v>0</v>
      </c>
      <c r="AB47" s="6">
        <f t="shared" ref="AB47" si="24">+E47+G47+-K47-M47-S47-U47-W47-O47</f>
        <v>0</v>
      </c>
    </row>
    <row r="48" spans="1:28">
      <c r="A48" s="11" t="s">
        <v>355</v>
      </c>
      <c r="B48" s="11"/>
      <c r="C48" s="11" t="s">
        <v>37</v>
      </c>
      <c r="E48" s="6">
        <f t="shared" si="6"/>
        <v>30802215</v>
      </c>
      <c r="G48" s="6">
        <v>36813327</v>
      </c>
      <c r="I48" s="6">
        <v>67615542</v>
      </c>
      <c r="K48" s="6">
        <f t="shared" si="7"/>
        <v>12965092</v>
      </c>
      <c r="M48" s="6">
        <v>981033</v>
      </c>
      <c r="O48" s="6">
        <v>25213654</v>
      </c>
      <c r="Q48" s="6">
        <v>39159779</v>
      </c>
      <c r="S48" s="6">
        <v>21520001</v>
      </c>
      <c r="U48" s="6">
        <f t="shared" si="8"/>
        <v>2897548</v>
      </c>
      <c r="W48" s="6">
        <v>4038214</v>
      </c>
      <c r="Y48" s="6">
        <v>28455763</v>
      </c>
      <c r="Z48" s="6">
        <f t="shared" si="5"/>
        <v>0</v>
      </c>
      <c r="AB48" s="6">
        <f t="shared" si="9"/>
        <v>0</v>
      </c>
    </row>
    <row r="49" spans="1:28">
      <c r="A49" s="11" t="s">
        <v>547</v>
      </c>
      <c r="B49" s="11"/>
      <c r="C49" s="11" t="s">
        <v>70</v>
      </c>
      <c r="E49" s="6">
        <f t="shared" si="6"/>
        <v>5822791</v>
      </c>
      <c r="G49" s="6">
        <v>5894826</v>
      </c>
      <c r="I49" s="6">
        <v>11717617</v>
      </c>
      <c r="K49" s="6">
        <f t="shared" si="7"/>
        <v>4379930</v>
      </c>
      <c r="M49" s="6">
        <v>42236</v>
      </c>
      <c r="O49" s="6">
        <v>469284</v>
      </c>
      <c r="Q49" s="6">
        <v>4891450</v>
      </c>
      <c r="S49" s="6">
        <v>5894826</v>
      </c>
      <c r="U49" s="6">
        <f t="shared" si="8"/>
        <v>114151</v>
      </c>
      <c r="W49" s="6">
        <v>817190</v>
      </c>
      <c r="Y49" s="6">
        <v>6826167</v>
      </c>
      <c r="Z49" s="6">
        <f t="shared" ref="Z49:Z81" si="25">+I49-Q49-Y49</f>
        <v>0</v>
      </c>
      <c r="AB49" s="6">
        <f t="shared" si="9"/>
        <v>0</v>
      </c>
    </row>
    <row r="50" spans="1:28" hidden="1">
      <c r="A50" s="11" t="s">
        <v>886</v>
      </c>
      <c r="B50" s="11"/>
      <c r="C50" s="11" t="s">
        <v>43</v>
      </c>
      <c r="E50" s="6">
        <f t="shared" ref="E50" si="26">+I50-G50</f>
        <v>0</v>
      </c>
      <c r="K50" s="6">
        <f t="shared" ref="K50" si="27">+Q50-M50-O50</f>
        <v>0</v>
      </c>
      <c r="U50" s="6">
        <f t="shared" ref="U50" si="28">Y50-W50-S50</f>
        <v>0</v>
      </c>
      <c r="Z50" s="6">
        <f t="shared" ref="Z50" si="29">+I50-Q50-Y50</f>
        <v>0</v>
      </c>
      <c r="AB50" s="6">
        <f t="shared" ref="AB50" si="30">+E50+G50+-K50-M50-S50-U50-W50-O50</f>
        <v>0</v>
      </c>
    </row>
    <row r="51" spans="1:28" hidden="1">
      <c r="A51" s="11" t="s">
        <v>869</v>
      </c>
      <c r="B51" s="11"/>
      <c r="C51" s="11" t="s">
        <v>53</v>
      </c>
      <c r="E51" s="6">
        <f t="shared" si="6"/>
        <v>0</v>
      </c>
      <c r="K51" s="6">
        <f t="shared" si="7"/>
        <v>0</v>
      </c>
      <c r="U51" s="6">
        <f t="shared" si="8"/>
        <v>0</v>
      </c>
      <c r="Z51" s="6">
        <f t="shared" si="25"/>
        <v>0</v>
      </c>
      <c r="AB51" s="6">
        <f t="shared" si="9"/>
        <v>0</v>
      </c>
    </row>
    <row r="52" spans="1:28">
      <c r="A52" s="11" t="s">
        <v>263</v>
      </c>
      <c r="B52" s="11"/>
      <c r="C52" s="11" t="s">
        <v>20</v>
      </c>
      <c r="E52" s="6">
        <f t="shared" si="6"/>
        <v>80341848</v>
      </c>
      <c r="G52" s="6">
        <f>893217+48536993</f>
        <v>49430210</v>
      </c>
      <c r="I52" s="6">
        <v>129772058</v>
      </c>
      <c r="K52" s="6">
        <f t="shared" si="7"/>
        <v>59996022</v>
      </c>
      <c r="M52" s="6">
        <v>2377766</v>
      </c>
      <c r="O52" s="6">
        <v>37804909</v>
      </c>
      <c r="Q52" s="6">
        <v>100178697</v>
      </c>
      <c r="S52" s="6">
        <v>13946538</v>
      </c>
      <c r="U52" s="6">
        <f t="shared" si="8"/>
        <v>7648006</v>
      </c>
      <c r="W52" s="6">
        <v>7998817</v>
      </c>
      <c r="Y52" s="6">
        <v>29593361</v>
      </c>
      <c r="Z52" s="6">
        <f t="shared" si="25"/>
        <v>0</v>
      </c>
      <c r="AB52" s="6">
        <f t="shared" si="9"/>
        <v>0</v>
      </c>
    </row>
    <row r="53" spans="1:28">
      <c r="A53" s="11" t="s">
        <v>639</v>
      </c>
      <c r="B53" s="11"/>
      <c r="C53" s="11" t="s">
        <v>30</v>
      </c>
      <c r="E53" s="6">
        <f t="shared" si="6"/>
        <v>7482629</v>
      </c>
      <c r="G53" s="6">
        <f>13810+3392894</f>
        <v>3406704</v>
      </c>
      <c r="I53" s="6">
        <v>10889333</v>
      </c>
      <c r="K53" s="6">
        <f t="shared" si="7"/>
        <v>5134945</v>
      </c>
      <c r="M53" s="6">
        <v>311618</v>
      </c>
      <c r="O53" s="6">
        <v>702445</v>
      </c>
      <c r="Q53" s="6">
        <v>6149008</v>
      </c>
      <c r="S53" s="6">
        <v>3357657</v>
      </c>
      <c r="U53" s="6">
        <f t="shared" si="8"/>
        <v>161337</v>
      </c>
      <c r="W53" s="6">
        <v>1221331</v>
      </c>
      <c r="Y53" s="6">
        <v>4740325</v>
      </c>
      <c r="Z53" s="6">
        <f t="shared" si="25"/>
        <v>0</v>
      </c>
      <c r="AB53" s="6">
        <f t="shared" si="9"/>
        <v>0</v>
      </c>
    </row>
    <row r="54" spans="1:28" hidden="1">
      <c r="A54" s="11" t="s">
        <v>285</v>
      </c>
      <c r="B54" s="11"/>
      <c r="C54" s="11" t="s">
        <v>24</v>
      </c>
      <c r="E54" s="6">
        <f t="shared" si="6"/>
        <v>0</v>
      </c>
      <c r="K54" s="6">
        <f t="shared" si="7"/>
        <v>0</v>
      </c>
      <c r="U54" s="6">
        <f t="shared" si="8"/>
        <v>0</v>
      </c>
      <c r="Z54" s="6">
        <f t="shared" si="25"/>
        <v>0</v>
      </c>
      <c r="AB54" s="6">
        <f t="shared" si="9"/>
        <v>0</v>
      </c>
    </row>
    <row r="55" spans="1:28" hidden="1">
      <c r="A55" s="11" t="s">
        <v>792</v>
      </c>
      <c r="B55" s="11"/>
      <c r="C55" s="11" t="s">
        <v>25</v>
      </c>
      <c r="E55" s="6">
        <f t="shared" si="6"/>
        <v>0</v>
      </c>
      <c r="K55" s="6">
        <f t="shared" si="7"/>
        <v>0</v>
      </c>
      <c r="U55" s="6">
        <f t="shared" si="8"/>
        <v>0</v>
      </c>
      <c r="Z55" s="6">
        <f t="shared" si="25"/>
        <v>0</v>
      </c>
      <c r="AB55" s="6">
        <f t="shared" si="9"/>
        <v>0</v>
      </c>
    </row>
    <row r="56" spans="1:28">
      <c r="A56" s="11" t="s">
        <v>423</v>
      </c>
      <c r="B56" s="11"/>
      <c r="C56" s="11" t="s">
        <v>48</v>
      </c>
      <c r="E56" s="6">
        <f t="shared" si="6"/>
        <v>5131035</v>
      </c>
      <c r="G56" s="6">
        <f>1165600+3749683</f>
        <v>4915283</v>
      </c>
      <c r="I56" s="6">
        <v>10046318</v>
      </c>
      <c r="K56" s="6">
        <f t="shared" si="7"/>
        <v>3327825</v>
      </c>
      <c r="M56" s="6">
        <v>194638</v>
      </c>
      <c r="O56" s="6">
        <v>1540408</v>
      </c>
      <c r="Q56" s="6">
        <v>5062871</v>
      </c>
      <c r="S56" s="6">
        <v>3520543</v>
      </c>
      <c r="U56" s="6">
        <f t="shared" si="8"/>
        <v>767740</v>
      </c>
      <c r="W56" s="6">
        <v>695164</v>
      </c>
      <c r="Y56" s="6">
        <v>4983447</v>
      </c>
      <c r="Z56" s="6">
        <f t="shared" si="25"/>
        <v>0</v>
      </c>
      <c r="AB56" s="6">
        <f t="shared" si="9"/>
        <v>0</v>
      </c>
    </row>
    <row r="57" spans="1:28">
      <c r="A57" s="11" t="s">
        <v>238</v>
      </c>
      <c r="B57" s="11"/>
      <c r="C57" s="11" t="s">
        <v>113</v>
      </c>
      <c r="D57" s="9"/>
      <c r="E57" s="6">
        <f t="shared" si="6"/>
        <v>9235033</v>
      </c>
      <c r="G57" s="6">
        <f>1712185+22294489</f>
        <v>24006674</v>
      </c>
      <c r="I57" s="6">
        <v>33241707</v>
      </c>
      <c r="K57" s="6">
        <f t="shared" si="7"/>
        <v>4812586</v>
      </c>
      <c r="M57" s="6">
        <v>543371</v>
      </c>
      <c r="O57" s="6">
        <v>6870640</v>
      </c>
      <c r="Q57" s="6">
        <v>12226597</v>
      </c>
      <c r="S57" s="6">
        <v>17790219</v>
      </c>
      <c r="U57" s="6">
        <f t="shared" si="8"/>
        <v>2459705</v>
      </c>
      <c r="W57" s="6">
        <v>765186</v>
      </c>
      <c r="Y57" s="6">
        <v>21015110</v>
      </c>
      <c r="Z57" s="6">
        <f t="shared" si="25"/>
        <v>0</v>
      </c>
      <c r="AB57" s="6">
        <f t="shared" si="9"/>
        <v>0</v>
      </c>
    </row>
    <row r="58" spans="1:28" ht="12.75" hidden="1" customHeight="1">
      <c r="A58" s="11" t="s">
        <v>672</v>
      </c>
      <c r="B58" s="11"/>
      <c r="C58" s="11" t="s">
        <v>60</v>
      </c>
      <c r="E58" s="6">
        <f t="shared" si="6"/>
        <v>0</v>
      </c>
      <c r="K58" s="6">
        <f t="shared" si="7"/>
        <v>0</v>
      </c>
      <c r="U58" s="6">
        <f t="shared" si="8"/>
        <v>0</v>
      </c>
      <c r="Z58" s="6">
        <f t="shared" si="25"/>
        <v>0</v>
      </c>
      <c r="AB58" s="6">
        <f t="shared" si="9"/>
        <v>0</v>
      </c>
    </row>
    <row r="59" spans="1:28">
      <c r="A59" s="11" t="s">
        <v>299</v>
      </c>
      <c r="B59" s="11"/>
      <c r="C59" s="11" t="s">
        <v>27</v>
      </c>
      <c r="E59" s="6">
        <f t="shared" si="6"/>
        <v>46134795</v>
      </c>
      <c r="G59" s="6">
        <f>154150+34363048</f>
        <v>34517198</v>
      </c>
      <c r="I59" s="6">
        <v>80651993</v>
      </c>
      <c r="K59" s="6">
        <f t="shared" si="7"/>
        <v>17547351</v>
      </c>
      <c r="M59" s="6">
        <v>1970000</v>
      </c>
      <c r="O59" s="6">
        <v>23969799</v>
      </c>
      <c r="Q59" s="6">
        <v>43487150</v>
      </c>
      <c r="S59" s="6">
        <v>11864890</v>
      </c>
      <c r="U59" s="6">
        <f t="shared" si="8"/>
        <v>3509034</v>
      </c>
      <c r="W59" s="6">
        <v>21790919</v>
      </c>
      <c r="Y59" s="6">
        <v>37164843</v>
      </c>
      <c r="Z59" s="6">
        <f t="shared" si="25"/>
        <v>0</v>
      </c>
      <c r="AB59" s="6">
        <f t="shared" si="9"/>
        <v>0</v>
      </c>
    </row>
    <row r="60" spans="1:28" ht="12.75" customHeight="1">
      <c r="A60" s="11" t="s">
        <v>635</v>
      </c>
      <c r="B60" s="11"/>
      <c r="C60" s="11" t="s">
        <v>23</v>
      </c>
      <c r="E60" s="6">
        <f t="shared" si="6"/>
        <v>34197941</v>
      </c>
      <c r="G60" s="6">
        <f>1762898+46503556</f>
        <v>48266454</v>
      </c>
      <c r="I60" s="6">
        <v>82464395</v>
      </c>
      <c r="K60" s="6">
        <f t="shared" si="7"/>
        <v>20818123</v>
      </c>
      <c r="M60" s="6">
        <v>1441676</v>
      </c>
      <c r="O60" s="6">
        <v>44284360</v>
      </c>
      <c r="Q60" s="6">
        <v>66544159</v>
      </c>
      <c r="S60" s="6">
        <v>5398816</v>
      </c>
      <c r="U60" s="6">
        <f t="shared" si="8"/>
        <v>3933198</v>
      </c>
      <c r="W60" s="6">
        <v>6588222</v>
      </c>
      <c r="Y60" s="6">
        <v>15920236</v>
      </c>
      <c r="Z60" s="6">
        <f t="shared" si="25"/>
        <v>0</v>
      </c>
      <c r="AB60" s="6">
        <f>+E60+G60+-K60-M60-S60-U60-W60-O60</f>
        <v>0</v>
      </c>
    </row>
    <row r="61" spans="1:28">
      <c r="A61" s="11" t="s">
        <v>414</v>
      </c>
      <c r="B61" s="11"/>
      <c r="C61" s="11" t="s">
        <v>47</v>
      </c>
      <c r="E61" s="6">
        <f t="shared" si="6"/>
        <v>5901745</v>
      </c>
      <c r="G61" s="6">
        <v>9516537</v>
      </c>
      <c r="I61" s="6">
        <v>15418282</v>
      </c>
      <c r="K61" s="6">
        <f t="shared" si="7"/>
        <v>4861783</v>
      </c>
      <c r="M61" s="6">
        <v>559680</v>
      </c>
      <c r="O61" s="6">
        <v>2830707</v>
      </c>
      <c r="Q61" s="6">
        <v>8252170</v>
      </c>
      <c r="S61" s="6">
        <v>6698455</v>
      </c>
      <c r="U61" s="6">
        <f t="shared" si="8"/>
        <v>1196305</v>
      </c>
      <c r="W61" s="6">
        <v>-728648</v>
      </c>
      <c r="Y61" s="6">
        <v>7166112</v>
      </c>
      <c r="Z61" s="6">
        <f t="shared" si="25"/>
        <v>0</v>
      </c>
      <c r="AB61" s="6">
        <f t="shared" si="9"/>
        <v>0</v>
      </c>
    </row>
    <row r="62" spans="1:28">
      <c r="A62" s="11" t="s">
        <v>242</v>
      </c>
      <c r="B62" s="11"/>
      <c r="C62" s="11" t="s">
        <v>18</v>
      </c>
      <c r="D62" s="9"/>
      <c r="E62" s="6">
        <f t="shared" si="6"/>
        <v>8376545</v>
      </c>
      <c r="G62" s="6">
        <f>474430+19827300</f>
        <v>20301730</v>
      </c>
      <c r="I62" s="6">
        <v>28678275</v>
      </c>
      <c r="K62" s="6">
        <f t="shared" si="7"/>
        <v>4387002</v>
      </c>
      <c r="M62" s="6">
        <v>268856</v>
      </c>
      <c r="O62" s="6">
        <v>2901709</v>
      </c>
      <c r="Q62" s="6">
        <v>7557567</v>
      </c>
      <c r="S62" s="6">
        <v>17658663</v>
      </c>
      <c r="U62" s="6">
        <f t="shared" si="8"/>
        <v>1117269</v>
      </c>
      <c r="W62" s="6">
        <v>2344776</v>
      </c>
      <c r="Y62" s="6">
        <v>21120708</v>
      </c>
      <c r="Z62" s="6">
        <f t="shared" si="25"/>
        <v>0</v>
      </c>
      <c r="AB62" s="6">
        <f t="shared" si="9"/>
        <v>0</v>
      </c>
    </row>
    <row r="63" spans="1:28">
      <c r="A63" s="11" t="s">
        <v>293</v>
      </c>
      <c r="B63" s="11"/>
      <c r="C63" s="11" t="s">
        <v>25</v>
      </c>
      <c r="E63" s="6">
        <f t="shared" si="6"/>
        <v>21200485</v>
      </c>
      <c r="G63" s="6">
        <f>18573274+5417852</f>
        <v>23991126</v>
      </c>
      <c r="I63" s="6">
        <v>45191611</v>
      </c>
      <c r="K63" s="6">
        <f t="shared" si="7"/>
        <v>10650408</v>
      </c>
      <c r="M63" s="6">
        <v>907160</v>
      </c>
      <c r="O63" s="6">
        <v>25121527</v>
      </c>
      <c r="Q63" s="6">
        <v>36679095</v>
      </c>
      <c r="S63" s="6">
        <v>5742799</v>
      </c>
      <c r="U63" s="6">
        <f t="shared" si="8"/>
        <v>817375</v>
      </c>
      <c r="W63" s="6">
        <v>1952342</v>
      </c>
      <c r="Y63" s="6">
        <v>8512516</v>
      </c>
      <c r="Z63" s="6">
        <f t="shared" si="25"/>
        <v>0</v>
      </c>
      <c r="AB63" s="6">
        <f t="shared" si="9"/>
        <v>0</v>
      </c>
    </row>
    <row r="64" spans="1:28" ht="12.75" customHeight="1">
      <c r="A64" s="11" t="s">
        <v>518</v>
      </c>
      <c r="B64" s="11"/>
      <c r="C64" s="11" t="s">
        <v>64</v>
      </c>
      <c r="E64" s="6">
        <f t="shared" si="6"/>
        <v>2514374</v>
      </c>
      <c r="G64" s="6">
        <v>1027121</v>
      </c>
      <c r="I64" s="6">
        <v>3541495</v>
      </c>
      <c r="K64" s="6">
        <f t="shared" si="7"/>
        <v>1736023</v>
      </c>
      <c r="M64" s="6">
        <v>77640</v>
      </c>
      <c r="O64" s="6">
        <v>403709</v>
      </c>
      <c r="Q64" s="6">
        <v>2217372</v>
      </c>
      <c r="S64" s="6">
        <v>752543</v>
      </c>
      <c r="U64" s="6">
        <f t="shared" si="8"/>
        <v>271511</v>
      </c>
      <c r="W64" s="6">
        <v>300069</v>
      </c>
      <c r="Y64" s="6">
        <v>1324123</v>
      </c>
      <c r="Z64" s="6">
        <f t="shared" si="25"/>
        <v>0</v>
      </c>
      <c r="AB64" s="6">
        <f t="shared" si="9"/>
        <v>0</v>
      </c>
    </row>
    <row r="65" spans="1:28">
      <c r="A65" s="11" t="s">
        <v>479</v>
      </c>
      <c r="B65" s="11"/>
      <c r="C65" s="11" t="s">
        <v>59</v>
      </c>
      <c r="D65" s="25"/>
      <c r="E65" s="6">
        <f>+I65-G65</f>
        <v>4190064</v>
      </c>
      <c r="G65" s="6">
        <f>269130+16155836</f>
        <v>16424966</v>
      </c>
      <c r="I65" s="6">
        <v>20615030</v>
      </c>
      <c r="K65" s="6">
        <f t="shared" si="7"/>
        <v>2111289</v>
      </c>
      <c r="M65" s="6">
        <v>189189</v>
      </c>
      <c r="O65" s="6">
        <v>1461852</v>
      </c>
      <c r="Q65" s="6">
        <v>3762330</v>
      </c>
      <c r="S65" s="6">
        <v>15503718</v>
      </c>
      <c r="U65" s="6">
        <f>Y65-W65-S65</f>
        <v>721511</v>
      </c>
      <c r="W65" s="6">
        <v>627471</v>
      </c>
      <c r="Y65" s="6">
        <v>16852700</v>
      </c>
      <c r="Z65" s="6">
        <f t="shared" si="25"/>
        <v>0</v>
      </c>
      <c r="AB65" s="6">
        <f>+E65+G65+-K65-M65-S65-U65-W65-O65</f>
        <v>0</v>
      </c>
    </row>
    <row r="66" spans="1:28" hidden="1">
      <c r="A66" s="11" t="s">
        <v>887</v>
      </c>
      <c r="B66" s="11"/>
      <c r="C66" s="11" t="s">
        <v>10</v>
      </c>
      <c r="D66" s="25"/>
      <c r="E66" s="6">
        <f t="shared" si="6"/>
        <v>0</v>
      </c>
      <c r="K66" s="6">
        <f t="shared" si="7"/>
        <v>0</v>
      </c>
      <c r="U66" s="6">
        <f t="shared" si="8"/>
        <v>0</v>
      </c>
      <c r="Z66" s="6">
        <f t="shared" si="25"/>
        <v>0</v>
      </c>
      <c r="AB66" s="6">
        <f t="shared" si="9"/>
        <v>0</v>
      </c>
    </row>
    <row r="67" spans="1:28">
      <c r="A67" s="11" t="s">
        <v>402</v>
      </c>
      <c r="B67" s="11"/>
      <c r="C67" s="11" t="s">
        <v>45</v>
      </c>
      <c r="E67" s="6">
        <f t="shared" si="6"/>
        <v>44080537</v>
      </c>
      <c r="G67" s="6">
        <f>3745329+21298250</f>
        <v>25043579</v>
      </c>
      <c r="I67" s="6">
        <v>69124116</v>
      </c>
      <c r="K67" s="6">
        <f t="shared" si="7"/>
        <v>32959939</v>
      </c>
      <c r="M67" s="6">
        <v>1341396</v>
      </c>
      <c r="O67" s="6">
        <v>11814289</v>
      </c>
      <c r="Q67" s="6">
        <v>46115624</v>
      </c>
      <c r="S67" s="6">
        <v>15389562</v>
      </c>
      <c r="U67" s="6">
        <f t="shared" si="8"/>
        <v>1433133</v>
      </c>
      <c r="W67" s="6">
        <v>6185797</v>
      </c>
      <c r="Y67" s="6">
        <v>23008492</v>
      </c>
      <c r="Z67" s="6">
        <f t="shared" si="25"/>
        <v>0</v>
      </c>
      <c r="AB67" s="6">
        <f t="shared" si="9"/>
        <v>0</v>
      </c>
    </row>
    <row r="68" spans="1:28">
      <c r="A68" s="11" t="s">
        <v>489</v>
      </c>
      <c r="B68" s="11"/>
      <c r="C68" s="11" t="s">
        <v>61</v>
      </c>
      <c r="E68" s="6">
        <f t="shared" si="6"/>
        <v>29601724</v>
      </c>
      <c r="G68" s="6">
        <f>4141756+484334</f>
        <v>4626090</v>
      </c>
      <c r="I68" s="6">
        <v>34227814</v>
      </c>
      <c r="K68" s="6">
        <f t="shared" si="7"/>
        <v>1991789</v>
      </c>
      <c r="M68" s="6">
        <v>56087</v>
      </c>
      <c r="O68" s="6">
        <v>7414171</v>
      </c>
      <c r="Q68" s="6">
        <v>9462047</v>
      </c>
      <c r="S68" s="6">
        <v>4107823</v>
      </c>
      <c r="U68" s="6">
        <f t="shared" si="8"/>
        <v>18065395</v>
      </c>
      <c r="W68" s="6">
        <v>2592549</v>
      </c>
      <c r="Y68" s="6">
        <v>24765767</v>
      </c>
      <c r="Z68" s="6">
        <f t="shared" si="25"/>
        <v>0</v>
      </c>
      <c r="AB68" s="6">
        <f t="shared" si="9"/>
        <v>0</v>
      </c>
    </row>
    <row r="69" spans="1:28">
      <c r="A69" s="10" t="s">
        <v>554</v>
      </c>
      <c r="B69" s="11"/>
      <c r="C69" s="11" t="s">
        <v>72</v>
      </c>
      <c r="E69" s="6">
        <f t="shared" si="6"/>
        <v>30526287</v>
      </c>
      <c r="G69" s="6">
        <f>3393458+30594062</f>
        <v>33987520</v>
      </c>
      <c r="I69" s="6">
        <v>64513807</v>
      </c>
      <c r="K69" s="6">
        <f t="shared" si="7"/>
        <v>19267585</v>
      </c>
      <c r="M69" s="6">
        <v>1069692</v>
      </c>
      <c r="O69" s="6">
        <v>29607054</v>
      </c>
      <c r="Q69" s="6">
        <v>49944331</v>
      </c>
      <c r="S69" s="6">
        <v>6428450</v>
      </c>
      <c r="U69" s="6">
        <f t="shared" si="8"/>
        <v>3676996</v>
      </c>
      <c r="W69" s="6">
        <v>4464030</v>
      </c>
      <c r="Y69" s="6">
        <v>14569476</v>
      </c>
      <c r="Z69" s="6">
        <f t="shared" si="25"/>
        <v>0</v>
      </c>
      <c r="AB69" s="6">
        <f t="shared" si="9"/>
        <v>0</v>
      </c>
    </row>
    <row r="70" spans="1:28" hidden="1">
      <c r="A70" s="11" t="s">
        <v>888</v>
      </c>
      <c r="B70" s="11"/>
      <c r="C70" s="11" t="s">
        <v>48</v>
      </c>
      <c r="E70" s="6">
        <f>+I70-G70</f>
        <v>0</v>
      </c>
      <c r="K70" s="6">
        <f t="shared" si="7"/>
        <v>0</v>
      </c>
      <c r="U70" s="6">
        <f>Y70-W70-S70</f>
        <v>0</v>
      </c>
      <c r="Z70" s="6">
        <f t="shared" si="25"/>
        <v>0</v>
      </c>
      <c r="AB70" s="6">
        <f>+E70+G70+-K70-M70-S70-U70-W70-O70</f>
        <v>0</v>
      </c>
    </row>
    <row r="71" spans="1:28">
      <c r="A71" s="11" t="s">
        <v>785</v>
      </c>
      <c r="B71" s="11"/>
      <c r="C71" s="11" t="s">
        <v>20</v>
      </c>
      <c r="E71" s="6">
        <f t="shared" si="6"/>
        <v>55534908</v>
      </c>
      <c r="G71" s="6">
        <f>3190033+31019044</f>
        <v>34209077</v>
      </c>
      <c r="I71" s="6">
        <v>89743985</v>
      </c>
      <c r="K71" s="6">
        <f t="shared" si="7"/>
        <v>36764558</v>
      </c>
      <c r="M71" s="6">
        <v>2257390</v>
      </c>
      <c r="O71" s="6">
        <v>23992697</v>
      </c>
      <c r="Q71" s="6">
        <v>63014645</v>
      </c>
      <c r="S71" s="6">
        <v>12524755</v>
      </c>
      <c r="U71" s="6">
        <f t="shared" si="8"/>
        <v>10408971</v>
      </c>
      <c r="W71" s="6">
        <v>3795614</v>
      </c>
      <c r="Y71" s="6">
        <v>26729340</v>
      </c>
      <c r="Z71" s="6">
        <f t="shared" si="25"/>
        <v>0</v>
      </c>
      <c r="AB71" s="6">
        <f t="shared" si="9"/>
        <v>0</v>
      </c>
    </row>
    <row r="72" spans="1:28">
      <c r="A72" s="10" t="s">
        <v>751</v>
      </c>
      <c r="B72" s="10"/>
      <c r="C72" s="10" t="s">
        <v>15</v>
      </c>
      <c r="E72" s="6">
        <f t="shared" si="6"/>
        <v>4773632</v>
      </c>
      <c r="G72" s="6">
        <v>18298548</v>
      </c>
      <c r="I72" s="6">
        <v>23072180</v>
      </c>
      <c r="K72" s="6">
        <f t="shared" si="7"/>
        <v>2418297</v>
      </c>
      <c r="M72" s="6">
        <v>303722</v>
      </c>
      <c r="O72" s="6">
        <v>4276522</v>
      </c>
      <c r="Q72" s="6">
        <v>6998541</v>
      </c>
      <c r="S72" s="6">
        <v>14149695</v>
      </c>
      <c r="U72" s="6">
        <f t="shared" si="8"/>
        <v>1087775</v>
      </c>
      <c r="W72" s="6">
        <v>836169</v>
      </c>
      <c r="Y72" s="6">
        <v>16073639</v>
      </c>
      <c r="Z72" s="6">
        <f t="shared" si="25"/>
        <v>0</v>
      </c>
      <c r="AB72" s="6">
        <f t="shared" si="9"/>
        <v>0</v>
      </c>
    </row>
    <row r="73" spans="1:28" hidden="1">
      <c r="A73" s="11" t="s">
        <v>793</v>
      </c>
      <c r="B73" s="11"/>
      <c r="C73" s="11" t="s">
        <v>348</v>
      </c>
      <c r="E73" s="6">
        <f t="shared" si="6"/>
        <v>0</v>
      </c>
      <c r="K73" s="6">
        <f t="shared" si="7"/>
        <v>0</v>
      </c>
      <c r="U73" s="6">
        <f t="shared" si="8"/>
        <v>0</v>
      </c>
      <c r="Z73" s="6">
        <f t="shared" si="25"/>
        <v>0</v>
      </c>
      <c r="AB73" s="6">
        <f t="shared" si="9"/>
        <v>0</v>
      </c>
    </row>
    <row r="74" spans="1:28">
      <c r="A74" s="11" t="s">
        <v>519</v>
      </c>
      <c r="B74" s="11"/>
      <c r="C74" s="11" t="s">
        <v>64</v>
      </c>
      <c r="E74" s="6">
        <f t="shared" si="6"/>
        <v>6326658</v>
      </c>
      <c r="G74" s="6">
        <v>9016429</v>
      </c>
      <c r="I74" s="6">
        <v>15343087</v>
      </c>
      <c r="K74" s="6">
        <f t="shared" si="7"/>
        <v>3254679</v>
      </c>
      <c r="M74" s="6">
        <v>259831</v>
      </c>
      <c r="O74" s="6">
        <v>1858890</v>
      </c>
      <c r="Q74" s="6">
        <v>5373400</v>
      </c>
      <c r="S74" s="6">
        <v>7749227</v>
      </c>
      <c r="U74" s="6">
        <f t="shared" si="8"/>
        <v>735757</v>
      </c>
      <c r="W74" s="6">
        <v>1484703</v>
      </c>
      <c r="Y74" s="6">
        <v>9969687</v>
      </c>
      <c r="Z74" s="6">
        <f t="shared" si="25"/>
        <v>0</v>
      </c>
      <c r="AB74" s="6">
        <f t="shared" si="9"/>
        <v>0</v>
      </c>
    </row>
    <row r="75" spans="1:28">
      <c r="A75" s="11" t="s">
        <v>673</v>
      </c>
      <c r="B75" s="11"/>
      <c r="C75" s="11" t="s">
        <v>64</v>
      </c>
      <c r="E75" s="6">
        <f t="shared" si="6"/>
        <v>6896063</v>
      </c>
      <c r="G75" s="6">
        <v>34527206</v>
      </c>
      <c r="I75" s="6">
        <v>41423269</v>
      </c>
      <c r="K75" s="6">
        <f t="shared" si="7"/>
        <v>5127454</v>
      </c>
      <c r="M75" s="6">
        <v>572694</v>
      </c>
      <c r="O75" s="6">
        <v>14715337</v>
      </c>
      <c r="Q75" s="6">
        <v>20415485</v>
      </c>
      <c r="S75" s="6">
        <v>20589425</v>
      </c>
      <c r="U75" s="6">
        <f t="shared" si="8"/>
        <v>2459801</v>
      </c>
      <c r="W75" s="6">
        <v>-2041442</v>
      </c>
      <c r="Y75" s="6">
        <v>21007784</v>
      </c>
      <c r="Z75" s="6">
        <f t="shared" si="25"/>
        <v>0</v>
      </c>
      <c r="AB75" s="6">
        <f t="shared" si="9"/>
        <v>0</v>
      </c>
    </row>
    <row r="76" spans="1:28">
      <c r="A76" s="11" t="s">
        <v>264</v>
      </c>
      <c r="B76" s="11"/>
      <c r="C76" s="11" t="s">
        <v>20</v>
      </c>
      <c r="E76" s="6">
        <f t="shared" si="6"/>
        <v>18217333</v>
      </c>
      <c r="G76" s="6">
        <f>33000+3191635</f>
        <v>3224635</v>
      </c>
      <c r="I76" s="6">
        <v>21441968</v>
      </c>
      <c r="K76" s="6">
        <f t="shared" si="7"/>
        <v>10337063</v>
      </c>
      <c r="M76" s="6">
        <v>179121</v>
      </c>
      <c r="O76" s="6">
        <v>1065191</v>
      </c>
      <c r="Q76" s="6">
        <v>11581375</v>
      </c>
      <c r="S76" s="6">
        <v>3224635</v>
      </c>
      <c r="U76" s="6">
        <f t="shared" si="8"/>
        <v>544919</v>
      </c>
      <c r="W76" s="6">
        <v>6091039</v>
      </c>
      <c r="Y76" s="6">
        <v>9860593</v>
      </c>
      <c r="Z76" s="6">
        <f t="shared" si="25"/>
        <v>0</v>
      </c>
      <c r="AB76" s="6">
        <f t="shared" si="9"/>
        <v>0</v>
      </c>
    </row>
    <row r="77" spans="1:28">
      <c r="A77" s="11" t="s">
        <v>428</v>
      </c>
      <c r="B77" s="11"/>
      <c r="C77" s="11" t="s">
        <v>50</v>
      </c>
      <c r="E77" s="6">
        <f t="shared" si="6"/>
        <v>18096161</v>
      </c>
      <c r="G77" s="6">
        <f>935308+32039504</f>
        <v>32974812</v>
      </c>
      <c r="I77" s="6">
        <v>51070973</v>
      </c>
      <c r="K77" s="6">
        <f t="shared" si="7"/>
        <v>7741412</v>
      </c>
      <c r="M77" s="6">
        <v>866897</v>
      </c>
      <c r="O77" s="6">
        <v>20671900</v>
      </c>
      <c r="Q77" s="6">
        <v>29280209</v>
      </c>
      <c r="S77" s="6">
        <v>13212037</v>
      </c>
      <c r="U77" s="6">
        <f t="shared" si="8"/>
        <v>6805661</v>
      </c>
      <c r="W77" s="6">
        <v>1773066</v>
      </c>
      <c r="Y77" s="6">
        <v>21790764</v>
      </c>
      <c r="Z77" s="6">
        <f t="shared" si="25"/>
        <v>0</v>
      </c>
      <c r="AB77" s="6">
        <f t="shared" si="9"/>
        <v>0</v>
      </c>
    </row>
    <row r="78" spans="1:28">
      <c r="A78" s="10" t="s">
        <v>227</v>
      </c>
      <c r="B78" s="10"/>
      <c r="C78" s="10" t="s">
        <v>16</v>
      </c>
      <c r="E78" s="6">
        <f t="shared" si="6"/>
        <v>7570897</v>
      </c>
      <c r="G78" s="6">
        <f>87317+996656</f>
        <v>1083973</v>
      </c>
      <c r="I78" s="6">
        <v>8654870</v>
      </c>
      <c r="K78" s="6">
        <f t="shared" si="7"/>
        <v>2498957</v>
      </c>
      <c r="M78" s="6">
        <v>148786</v>
      </c>
      <c r="O78" s="6">
        <v>261351</v>
      </c>
      <c r="Q78" s="6">
        <v>2909094</v>
      </c>
      <c r="S78" s="6">
        <v>1060825</v>
      </c>
      <c r="U78" s="6">
        <f t="shared" si="8"/>
        <v>674814</v>
      </c>
      <c r="W78" s="6">
        <v>4010137</v>
      </c>
      <c r="Y78" s="6">
        <v>5745776</v>
      </c>
      <c r="Z78" s="6">
        <f t="shared" si="25"/>
        <v>0</v>
      </c>
      <c r="AB78" s="6">
        <f t="shared" si="9"/>
        <v>0</v>
      </c>
    </row>
    <row r="79" spans="1:28">
      <c r="A79" s="11" t="s">
        <v>415</v>
      </c>
      <c r="B79" s="11"/>
      <c r="C79" s="11" t="s">
        <v>47</v>
      </c>
      <c r="E79" s="6">
        <f t="shared" si="6"/>
        <v>55575499</v>
      </c>
      <c r="G79" s="6">
        <f>1580645+38890214</f>
        <v>40470859</v>
      </c>
      <c r="I79" s="6">
        <v>96046358</v>
      </c>
      <c r="K79" s="6">
        <f t="shared" si="7"/>
        <v>41864777</v>
      </c>
      <c r="M79" s="6">
        <v>2844241</v>
      </c>
      <c r="O79" s="6">
        <v>40128729</v>
      </c>
      <c r="Q79" s="6">
        <v>84837747</v>
      </c>
      <c r="S79" s="6">
        <v>4097418</v>
      </c>
      <c r="U79" s="6">
        <f t="shared" si="8"/>
        <v>8035744</v>
      </c>
      <c r="W79" s="6">
        <v>-924551</v>
      </c>
      <c r="Y79" s="6">
        <v>11208611</v>
      </c>
      <c r="Z79" s="6">
        <f t="shared" si="25"/>
        <v>0</v>
      </c>
      <c r="AB79" s="6">
        <f t="shared" si="9"/>
        <v>0</v>
      </c>
    </row>
    <row r="80" spans="1:28" hidden="1">
      <c r="A80" s="11" t="s">
        <v>674</v>
      </c>
      <c r="B80" s="11"/>
      <c r="C80" s="11" t="s">
        <v>552</v>
      </c>
      <c r="E80" s="6">
        <f t="shared" si="6"/>
        <v>0</v>
      </c>
      <c r="K80" s="6">
        <f t="shared" si="7"/>
        <v>0</v>
      </c>
      <c r="U80" s="6">
        <f t="shared" si="8"/>
        <v>0</v>
      </c>
      <c r="Z80" s="6">
        <f t="shared" si="25"/>
        <v>0</v>
      </c>
      <c r="AB80" s="6">
        <f t="shared" si="9"/>
        <v>0</v>
      </c>
    </row>
    <row r="81" spans="1:28">
      <c r="A81" s="11" t="s">
        <v>256</v>
      </c>
      <c r="B81" s="11"/>
      <c r="C81" s="11" t="s">
        <v>111</v>
      </c>
      <c r="E81" s="6">
        <f t="shared" si="6"/>
        <v>8789589</v>
      </c>
      <c r="G81" s="6">
        <v>24776885</v>
      </c>
      <c r="I81" s="6">
        <v>33566474</v>
      </c>
      <c r="K81" s="6">
        <f t="shared" si="7"/>
        <v>3125289</v>
      </c>
      <c r="M81" s="6">
        <v>318791</v>
      </c>
      <c r="O81" s="6">
        <v>8520182</v>
      </c>
      <c r="Q81" s="6">
        <v>11964262</v>
      </c>
      <c r="S81" s="6">
        <v>16894814</v>
      </c>
      <c r="U81" s="6">
        <f t="shared" si="8"/>
        <v>2932776</v>
      </c>
      <c r="W81" s="6">
        <v>1774622</v>
      </c>
      <c r="Y81" s="6">
        <v>21602212</v>
      </c>
      <c r="Z81" s="6">
        <f t="shared" si="25"/>
        <v>0</v>
      </c>
      <c r="AB81" s="6">
        <f t="shared" si="9"/>
        <v>0</v>
      </c>
    </row>
    <row r="82" spans="1:28">
      <c r="A82" s="11" t="s">
        <v>206</v>
      </c>
      <c r="B82" s="11"/>
      <c r="C82" s="11" t="s">
        <v>12</v>
      </c>
      <c r="D82" s="9"/>
      <c r="E82" s="6">
        <f t="shared" si="6"/>
        <v>13979773</v>
      </c>
      <c r="G82" s="6">
        <f>402305+1760874</f>
        <v>2163179</v>
      </c>
      <c r="I82" s="6">
        <v>16142952</v>
      </c>
      <c r="K82" s="6">
        <f t="shared" si="7"/>
        <v>5974672</v>
      </c>
      <c r="M82" s="6">
        <v>74586</v>
      </c>
      <c r="O82" s="6">
        <v>998343</v>
      </c>
      <c r="Q82" s="6">
        <v>7047601</v>
      </c>
      <c r="S82" s="6">
        <v>2117487</v>
      </c>
      <c r="U82" s="6">
        <f t="shared" si="8"/>
        <v>941646</v>
      </c>
      <c r="W82" s="6">
        <v>6036218</v>
      </c>
      <c r="Y82" s="7">
        <v>9095351</v>
      </c>
      <c r="Z82" s="6">
        <f t="shared" ref="Z82:Z87" si="31">+I82-Q82-Y82</f>
        <v>0</v>
      </c>
      <c r="AB82" s="6">
        <f t="shared" si="9"/>
        <v>0</v>
      </c>
    </row>
    <row r="83" spans="1:28">
      <c r="A83" s="11" t="s">
        <v>206</v>
      </c>
      <c r="B83" s="11"/>
      <c r="C83" s="11" t="s">
        <v>39</v>
      </c>
      <c r="D83" s="9"/>
      <c r="E83" s="6">
        <f t="shared" si="6"/>
        <v>9086779</v>
      </c>
      <c r="G83" s="6">
        <f>597049+8664416</f>
        <v>9261465</v>
      </c>
      <c r="I83" s="6">
        <v>18348244</v>
      </c>
      <c r="K83" s="6">
        <f t="shared" si="7"/>
        <v>8576556</v>
      </c>
      <c r="M83" s="6">
        <v>141517</v>
      </c>
      <c r="O83" s="6">
        <v>1193351</v>
      </c>
      <c r="Q83" s="6">
        <v>9911424</v>
      </c>
      <c r="S83" s="6">
        <v>9234744</v>
      </c>
      <c r="U83" s="6">
        <f t="shared" si="8"/>
        <v>465044</v>
      </c>
      <c r="W83" s="6">
        <v>-1262968</v>
      </c>
      <c r="Y83" s="6">
        <v>8436820</v>
      </c>
      <c r="Z83" s="6">
        <f t="shared" si="31"/>
        <v>0</v>
      </c>
      <c r="AB83" s="6">
        <f t="shared" si="9"/>
        <v>0</v>
      </c>
    </row>
    <row r="84" spans="1:28">
      <c r="A84" s="11" t="s">
        <v>675</v>
      </c>
      <c r="B84" s="11"/>
      <c r="C84" s="11" t="s">
        <v>47</v>
      </c>
      <c r="E84" s="6">
        <f>+I84-G84</f>
        <v>14952188</v>
      </c>
      <c r="G84" s="6">
        <f>830095+26905560</f>
        <v>27735655</v>
      </c>
      <c r="I84" s="6">
        <v>42687843</v>
      </c>
      <c r="K84" s="6">
        <f t="shared" ref="K84:K147" si="32">+Q84-M84-O84</f>
        <v>11830266</v>
      </c>
      <c r="M84" s="6">
        <v>1385598</v>
      </c>
      <c r="O84" s="6">
        <v>20641421</v>
      </c>
      <c r="Q84" s="6">
        <v>33857285</v>
      </c>
      <c r="S84" s="6">
        <v>7877391</v>
      </c>
      <c r="U84" s="6">
        <f>Y84-W84-S84</f>
        <v>3025020</v>
      </c>
      <c r="W84" s="6">
        <v>-2071853</v>
      </c>
      <c r="Y84" s="6">
        <v>8830558</v>
      </c>
      <c r="Z84" s="6">
        <f t="shared" si="31"/>
        <v>0</v>
      </c>
      <c r="AB84" s="6">
        <f t="shared" si="9"/>
        <v>0</v>
      </c>
    </row>
    <row r="85" spans="1:28" hidden="1">
      <c r="A85" s="42" t="s">
        <v>794</v>
      </c>
      <c r="C85" s="6" t="s">
        <v>112</v>
      </c>
      <c r="E85" s="6">
        <f>+I85-G85</f>
        <v>0</v>
      </c>
      <c r="K85" s="6">
        <f t="shared" si="32"/>
        <v>0</v>
      </c>
      <c r="U85" s="6">
        <f>Y85-W85-S85</f>
        <v>0</v>
      </c>
      <c r="Z85" s="6">
        <f t="shared" si="31"/>
        <v>0</v>
      </c>
      <c r="AB85" s="6">
        <f>+E85+G85+-K85-M85-S85-U85-W85-O85</f>
        <v>0</v>
      </c>
    </row>
    <row r="86" spans="1:28">
      <c r="A86" s="11" t="s">
        <v>636</v>
      </c>
      <c r="B86" s="11"/>
      <c r="C86" s="11" t="s">
        <v>23</v>
      </c>
      <c r="E86" s="6">
        <f>+I86-G86</f>
        <v>22713521</v>
      </c>
      <c r="G86" s="6">
        <v>29522156</v>
      </c>
      <c r="I86" s="6">
        <v>52235677</v>
      </c>
      <c r="K86" s="6">
        <f t="shared" si="32"/>
        <v>12147628</v>
      </c>
      <c r="M86" s="6">
        <v>1380117</v>
      </c>
      <c r="O86" s="6">
        <v>22993436</v>
      </c>
      <c r="Q86" s="6">
        <v>36521181</v>
      </c>
      <c r="S86" s="6">
        <v>9282392</v>
      </c>
      <c r="U86" s="6">
        <f>Y86-W86-S86</f>
        <v>1779693</v>
      </c>
      <c r="W86" s="6">
        <v>4652411</v>
      </c>
      <c r="Y86" s="6">
        <v>15714496</v>
      </c>
      <c r="Z86" s="6">
        <f t="shared" si="31"/>
        <v>0</v>
      </c>
      <c r="AB86" s="6">
        <f>+E86+G86+-K86-M86-S86-U86-W86-O86</f>
        <v>0</v>
      </c>
    </row>
    <row r="87" spans="1:28">
      <c r="A87" s="11" t="s">
        <v>257</v>
      </c>
      <c r="B87" s="11"/>
      <c r="C87" s="11" t="s">
        <v>111</v>
      </c>
      <c r="D87" s="25"/>
      <c r="E87" s="6">
        <f>+I87-G87</f>
        <v>14256755</v>
      </c>
      <c r="G87" s="6">
        <f>424160+35480544</f>
        <v>35904704</v>
      </c>
      <c r="I87" s="6">
        <v>50161459</v>
      </c>
      <c r="K87" s="6">
        <f t="shared" si="32"/>
        <v>4987344</v>
      </c>
      <c r="M87" s="6">
        <v>358912</v>
      </c>
      <c r="O87" s="6">
        <v>13367680</v>
      </c>
      <c r="Q87" s="6">
        <v>18713936</v>
      </c>
      <c r="S87" s="6">
        <v>24046068</v>
      </c>
      <c r="U87" s="6">
        <f>Y87-W87-S87</f>
        <v>2720691</v>
      </c>
      <c r="W87" s="6">
        <v>4680764</v>
      </c>
      <c r="Y87" s="6">
        <v>31447523</v>
      </c>
      <c r="Z87" s="6">
        <f t="shared" si="31"/>
        <v>0</v>
      </c>
      <c r="AB87" s="6">
        <f>+E87+G87+-K87-M87-S87-U87-W87-O87</f>
        <v>0</v>
      </c>
    </row>
    <row r="88" spans="1:28">
      <c r="A88" s="11" t="s">
        <v>752</v>
      </c>
      <c r="B88" s="11"/>
      <c r="C88" s="11" t="s">
        <v>52</v>
      </c>
      <c r="E88" s="6">
        <f t="shared" ref="E88:E146" si="33">+I88-G88</f>
        <v>6119156</v>
      </c>
      <c r="G88" s="6">
        <f>381096+3732015</f>
        <v>4113111</v>
      </c>
      <c r="I88" s="6">
        <v>10232267</v>
      </c>
      <c r="K88" s="6">
        <f t="shared" si="32"/>
        <v>3381640</v>
      </c>
      <c r="M88" s="6">
        <v>13758</v>
      </c>
      <c r="O88" s="6">
        <f>351062-13758</f>
        <v>337304</v>
      </c>
      <c r="Q88" s="6">
        <v>3732702</v>
      </c>
      <c r="S88" s="6">
        <v>4100798</v>
      </c>
      <c r="U88" s="6">
        <f t="shared" ref="U88:U151" si="34">Y88-W88-S88</f>
        <v>398678</v>
      </c>
      <c r="W88" s="6">
        <v>2000089</v>
      </c>
      <c r="Y88" s="6">
        <v>6499565</v>
      </c>
      <c r="Z88" s="6">
        <f t="shared" ref="Z88:Z154" si="35">+I88-Q88-Y88</f>
        <v>0</v>
      </c>
      <c r="AB88" s="6">
        <f t="shared" ref="AB88:AB152" si="36">+E88+G88+-K88-M88-S88-U88-W88-O88</f>
        <v>0</v>
      </c>
    </row>
    <row r="89" spans="1:28">
      <c r="A89" s="11" t="s">
        <v>319</v>
      </c>
      <c r="B89" s="11"/>
      <c r="C89" s="11" t="s">
        <v>31</v>
      </c>
      <c r="E89" s="6">
        <f t="shared" si="33"/>
        <v>15506212</v>
      </c>
      <c r="G89" s="6">
        <f>5031339+33580245</f>
        <v>38611584</v>
      </c>
      <c r="I89" s="6">
        <v>54117796</v>
      </c>
      <c r="K89" s="6">
        <f t="shared" si="32"/>
        <v>7369296</v>
      </c>
      <c r="M89" s="6">
        <v>534684</v>
      </c>
      <c r="O89" s="6">
        <f>6975931-534684</f>
        <v>6441247</v>
      </c>
      <c r="Q89" s="6">
        <v>14345227</v>
      </c>
      <c r="S89" s="6">
        <v>33535361</v>
      </c>
      <c r="U89" s="6">
        <f t="shared" si="34"/>
        <v>4748097</v>
      </c>
      <c r="W89" s="6">
        <v>1489111</v>
      </c>
      <c r="Y89" s="6">
        <v>39772569</v>
      </c>
      <c r="Z89" s="6">
        <f t="shared" si="35"/>
        <v>0</v>
      </c>
      <c r="AB89" s="6">
        <f t="shared" si="36"/>
        <v>0</v>
      </c>
    </row>
    <row r="90" spans="1:28">
      <c r="A90" s="11" t="s">
        <v>647</v>
      </c>
      <c r="B90" s="11"/>
      <c r="C90" s="11" t="s">
        <v>45</v>
      </c>
      <c r="E90" s="6">
        <f t="shared" si="33"/>
        <v>5401625</v>
      </c>
      <c r="G90" s="6">
        <f>130245+32483700</f>
        <v>32613945</v>
      </c>
      <c r="I90" s="6">
        <v>38015570</v>
      </c>
      <c r="K90" s="6">
        <f t="shared" si="32"/>
        <v>4079052</v>
      </c>
      <c r="M90" s="6">
        <v>349413</v>
      </c>
      <c r="O90" s="6">
        <f>4521936-349413</f>
        <v>4172523</v>
      </c>
      <c r="Q90" s="6">
        <v>8600988</v>
      </c>
      <c r="S90" s="6">
        <v>29142944</v>
      </c>
      <c r="U90" s="6">
        <f t="shared" si="34"/>
        <v>1297263</v>
      </c>
      <c r="W90" s="6">
        <v>-1025625</v>
      </c>
      <c r="Y90" s="6">
        <v>29414582</v>
      </c>
      <c r="Z90" s="6">
        <f t="shared" si="35"/>
        <v>0</v>
      </c>
      <c r="AB90" s="6">
        <f t="shared" si="36"/>
        <v>0</v>
      </c>
    </row>
    <row r="91" spans="1:28">
      <c r="A91" s="11" t="s">
        <v>300</v>
      </c>
      <c r="B91" s="11"/>
      <c r="C91" s="11" t="s">
        <v>27</v>
      </c>
      <c r="E91" s="6">
        <f t="shared" si="33"/>
        <v>39491034</v>
      </c>
      <c r="G91" s="6">
        <v>70676648</v>
      </c>
      <c r="I91" s="6">
        <v>110167682</v>
      </c>
      <c r="K91" s="6">
        <f t="shared" si="32"/>
        <v>18924200</v>
      </c>
      <c r="M91" s="6">
        <v>2001174</v>
      </c>
      <c r="O91" s="6">
        <f>69541198-2001174</f>
        <v>67540024</v>
      </c>
      <c r="Q91" s="6">
        <v>88465398</v>
      </c>
      <c r="S91" s="6">
        <v>7489216</v>
      </c>
      <c r="U91" s="6">
        <f t="shared" si="34"/>
        <v>4488963</v>
      </c>
      <c r="W91" s="6">
        <v>9724105</v>
      </c>
      <c r="Y91" s="6">
        <v>21702284</v>
      </c>
      <c r="Z91" s="6">
        <f t="shared" si="35"/>
        <v>0</v>
      </c>
      <c r="AB91" s="6">
        <f t="shared" si="36"/>
        <v>0</v>
      </c>
    </row>
    <row r="92" spans="1:28">
      <c r="A92" s="11" t="s">
        <v>403</v>
      </c>
      <c r="B92" s="11"/>
      <c r="C92" s="11" t="s">
        <v>45</v>
      </c>
      <c r="E92" s="6">
        <f t="shared" si="33"/>
        <v>26553175</v>
      </c>
      <c r="G92" s="6">
        <f>441370+13442966</f>
        <v>13884336</v>
      </c>
      <c r="I92" s="6">
        <v>40437511</v>
      </c>
      <c r="K92" s="6">
        <f t="shared" si="32"/>
        <v>18138304</v>
      </c>
      <c r="M92" s="6">
        <v>211501</v>
      </c>
      <c r="O92" s="6">
        <f>3872191-211501</f>
        <v>3660690</v>
      </c>
      <c r="Q92" s="6">
        <v>22010495</v>
      </c>
      <c r="S92" s="6">
        <v>12897672</v>
      </c>
      <c r="U92" s="6">
        <f t="shared" si="34"/>
        <v>3169659</v>
      </c>
      <c r="W92" s="6">
        <v>2359685</v>
      </c>
      <c r="Y92" s="6">
        <v>18427016</v>
      </c>
      <c r="Z92" s="6">
        <f t="shared" si="35"/>
        <v>0</v>
      </c>
      <c r="AB92" s="6">
        <f t="shared" si="36"/>
        <v>0</v>
      </c>
    </row>
    <row r="93" spans="1:28">
      <c r="A93" s="11" t="s">
        <v>494</v>
      </c>
      <c r="B93" s="11"/>
      <c r="C93" s="11" t="s">
        <v>62</v>
      </c>
      <c r="E93" s="6">
        <f>+I93-G93</f>
        <v>91501000</v>
      </c>
      <c r="G93" s="6">
        <v>181817000</v>
      </c>
      <c r="I93" s="6">
        <v>273318000</v>
      </c>
      <c r="K93" s="6">
        <f>+Q93-M93-O93</f>
        <v>43988000</v>
      </c>
      <c r="M93" s="6">
        <v>2847000</v>
      </c>
      <c r="O93" s="6">
        <f>61289000-2847000</f>
        <v>58442000</v>
      </c>
      <c r="Q93" s="6">
        <v>105277000</v>
      </c>
      <c r="S93" s="6">
        <v>134307000</v>
      </c>
      <c r="U93" s="6">
        <f>Y93-W93-S93</f>
        <v>29287000</v>
      </c>
      <c r="W93" s="6">
        <v>4447000</v>
      </c>
      <c r="Y93" s="6">
        <v>168041000</v>
      </c>
      <c r="Z93" s="6">
        <f>+I93-Q93-Y93</f>
        <v>0</v>
      </c>
      <c r="AB93" s="6">
        <f>+E93+G93+-K93-M93-S93-U93-W93-O93</f>
        <v>0</v>
      </c>
    </row>
    <row r="94" spans="1:28">
      <c r="A94" s="11" t="s">
        <v>495</v>
      </c>
      <c r="B94" s="11"/>
      <c r="C94" s="11" t="s">
        <v>62</v>
      </c>
      <c r="E94" s="6">
        <f>+I94-G94</f>
        <v>11406257</v>
      </c>
      <c r="G94" s="6">
        <v>4761410</v>
      </c>
      <c r="I94" s="6">
        <v>16167667</v>
      </c>
      <c r="K94" s="6">
        <f t="shared" si="32"/>
        <v>10224859</v>
      </c>
      <c r="M94" s="6">
        <v>605634</v>
      </c>
      <c r="O94" s="6">
        <f>4274738-605634</f>
        <v>3669104</v>
      </c>
      <c r="Q94" s="6">
        <v>14499597</v>
      </c>
      <c r="S94" s="6">
        <v>4233842</v>
      </c>
      <c r="U94" s="6">
        <f>Y94-W94-S94</f>
        <v>401121</v>
      </c>
      <c r="W94" s="6">
        <v>-2966893</v>
      </c>
      <c r="Y94" s="6">
        <v>1668070</v>
      </c>
      <c r="Z94" s="6">
        <f>+I94-Q94-Y94</f>
        <v>0</v>
      </c>
      <c r="AB94" s="6">
        <f>+E94+G94+-K94-M94-S94-U94-W94-O94</f>
        <v>0</v>
      </c>
    </row>
    <row r="95" spans="1:28">
      <c r="A95" s="11" t="s">
        <v>648</v>
      </c>
      <c r="B95" s="11"/>
      <c r="C95" s="11" t="s">
        <v>30</v>
      </c>
      <c r="E95" s="6">
        <f t="shared" si="33"/>
        <v>9036969</v>
      </c>
      <c r="G95" s="6">
        <f>560094+9350088</f>
        <v>9910182</v>
      </c>
      <c r="I95" s="6">
        <v>18947151</v>
      </c>
      <c r="K95" s="6">
        <f t="shared" si="32"/>
        <v>6794320</v>
      </c>
      <c r="M95" s="6">
        <v>572634</v>
      </c>
      <c r="O95" s="6">
        <f>11069441-572634</f>
        <v>10496807</v>
      </c>
      <c r="Q95" s="6">
        <v>17863761</v>
      </c>
      <c r="S95" s="6">
        <v>2474349</v>
      </c>
      <c r="U95" s="6">
        <f t="shared" si="34"/>
        <v>665999</v>
      </c>
      <c r="W95" s="6">
        <v>-2056958</v>
      </c>
      <c r="Y95" s="6">
        <v>1083390</v>
      </c>
      <c r="Z95" s="6">
        <f t="shared" si="35"/>
        <v>0</v>
      </c>
      <c r="AB95" s="6">
        <f t="shared" si="36"/>
        <v>0</v>
      </c>
    </row>
    <row r="96" spans="1:28">
      <c r="A96" s="11" t="s">
        <v>441</v>
      </c>
      <c r="B96" s="11"/>
      <c r="C96" s="11" t="s">
        <v>78</v>
      </c>
      <c r="E96" s="6">
        <f t="shared" si="33"/>
        <v>5572999</v>
      </c>
      <c r="G96" s="6">
        <v>24156008</v>
      </c>
      <c r="I96" s="6">
        <v>29729007</v>
      </c>
      <c r="K96" s="6">
        <f t="shared" si="32"/>
        <v>3418124</v>
      </c>
      <c r="M96" s="6">
        <v>506021</v>
      </c>
      <c r="O96" s="6">
        <f>4973373-506021</f>
        <v>4467352</v>
      </c>
      <c r="Q96" s="6">
        <v>8391497</v>
      </c>
      <c r="S96" s="6">
        <v>20466014</v>
      </c>
      <c r="U96" s="6">
        <f t="shared" si="34"/>
        <v>1800355</v>
      </c>
      <c r="W96" s="6">
        <v>-928859</v>
      </c>
      <c r="Y96" s="6">
        <v>21337510</v>
      </c>
      <c r="Z96" s="6">
        <f t="shared" si="35"/>
        <v>0</v>
      </c>
      <c r="AB96" s="6">
        <f t="shared" si="36"/>
        <v>0</v>
      </c>
    </row>
    <row r="97" spans="1:28" hidden="1">
      <c r="A97" s="11" t="s">
        <v>867</v>
      </c>
      <c r="B97" s="11"/>
      <c r="C97" s="11" t="s">
        <v>558</v>
      </c>
      <c r="E97" s="6">
        <f t="shared" si="33"/>
        <v>0</v>
      </c>
      <c r="K97" s="6">
        <f t="shared" si="32"/>
        <v>0</v>
      </c>
      <c r="U97" s="6">
        <f t="shared" si="34"/>
        <v>0</v>
      </c>
      <c r="Z97" s="6">
        <f t="shared" si="35"/>
        <v>0</v>
      </c>
      <c r="AB97" s="6">
        <f t="shared" si="36"/>
        <v>0</v>
      </c>
    </row>
    <row r="98" spans="1:28">
      <c r="A98" s="11" t="s">
        <v>543</v>
      </c>
      <c r="B98" s="11"/>
      <c r="C98" s="11" t="s">
        <v>69</v>
      </c>
      <c r="E98" s="6">
        <f t="shared" si="33"/>
        <v>6071042</v>
      </c>
      <c r="G98" s="6">
        <f>325000+1950976</f>
        <v>2275976</v>
      </c>
      <c r="I98" s="6">
        <v>8347018</v>
      </c>
      <c r="K98" s="6">
        <f t="shared" si="32"/>
        <v>6441125</v>
      </c>
      <c r="M98" s="6">
        <v>158160</v>
      </c>
      <c r="O98" s="6">
        <f>798226-158160</f>
        <v>640066</v>
      </c>
      <c r="Q98" s="6">
        <v>7239351</v>
      </c>
      <c r="S98" s="6">
        <v>2190660</v>
      </c>
      <c r="U98" s="6">
        <f t="shared" si="34"/>
        <v>140843</v>
      </c>
      <c r="W98" s="6">
        <v>-1223836</v>
      </c>
      <c r="Y98" s="6">
        <v>1107667</v>
      </c>
      <c r="Z98" s="6">
        <f t="shared" si="35"/>
        <v>0</v>
      </c>
      <c r="AB98" s="6">
        <f t="shared" si="36"/>
        <v>0</v>
      </c>
    </row>
    <row r="99" spans="1:28">
      <c r="A99" s="11" t="s">
        <v>753</v>
      </c>
      <c r="B99" s="11"/>
      <c r="C99" s="11" t="s">
        <v>16</v>
      </c>
      <c r="D99" s="9"/>
      <c r="E99" s="28">
        <f t="shared" si="33"/>
        <v>14256102</v>
      </c>
      <c r="F99" s="28"/>
      <c r="G99" s="28">
        <f>112325+5582131</f>
        <v>5694456</v>
      </c>
      <c r="H99" s="28"/>
      <c r="I99" s="28">
        <v>19950558</v>
      </c>
      <c r="J99" s="28"/>
      <c r="K99" s="28">
        <f t="shared" si="32"/>
        <v>7675784</v>
      </c>
      <c r="L99" s="28"/>
      <c r="M99" s="28">
        <v>169928</v>
      </c>
      <c r="N99" s="28"/>
      <c r="O99" s="28">
        <f>1932931-169928</f>
        <v>1763003</v>
      </c>
      <c r="P99" s="28"/>
      <c r="Q99" s="28">
        <v>9608715</v>
      </c>
      <c r="R99" s="28"/>
      <c r="S99" s="28">
        <v>5694456</v>
      </c>
      <c r="T99" s="28"/>
      <c r="U99" s="28">
        <f t="shared" si="34"/>
        <v>25284</v>
      </c>
      <c r="V99" s="28"/>
      <c r="W99" s="28">
        <v>4622103</v>
      </c>
      <c r="X99" s="28"/>
      <c r="Y99" s="28">
        <v>10341843</v>
      </c>
      <c r="Z99" s="6">
        <f t="shared" si="35"/>
        <v>0</v>
      </c>
      <c r="AB99" s="6">
        <f t="shared" si="36"/>
        <v>0</v>
      </c>
    </row>
    <row r="100" spans="1:28">
      <c r="A100" s="11" t="s">
        <v>649</v>
      </c>
      <c r="B100" s="11"/>
      <c r="C100" s="11" t="s">
        <v>114</v>
      </c>
      <c r="E100" s="6">
        <f t="shared" si="33"/>
        <v>17077234</v>
      </c>
      <c r="G100" s="6">
        <f>15405640+936769</f>
        <v>16342409</v>
      </c>
      <c r="I100" s="6">
        <v>33419643</v>
      </c>
      <c r="K100" s="6">
        <f t="shared" si="32"/>
        <v>3473161</v>
      </c>
      <c r="M100" s="6">
        <v>35000</v>
      </c>
      <c r="O100" s="6">
        <f>14032266-35000</f>
        <v>13997266</v>
      </c>
      <c r="Q100" s="6">
        <v>17505427</v>
      </c>
      <c r="S100" s="6">
        <v>14165561</v>
      </c>
      <c r="U100" s="6">
        <f t="shared" si="34"/>
        <v>955925</v>
      </c>
      <c r="W100" s="6">
        <v>792730</v>
      </c>
      <c r="Y100" s="6">
        <v>15914216</v>
      </c>
      <c r="Z100" s="6">
        <f>+I100-Q100-Y100</f>
        <v>0</v>
      </c>
      <c r="AB100" s="6">
        <f t="shared" si="36"/>
        <v>0</v>
      </c>
    </row>
    <row r="101" spans="1:28" hidden="1">
      <c r="A101" s="11" t="s">
        <v>618</v>
      </c>
      <c r="B101" s="11"/>
      <c r="C101" s="11" t="s">
        <v>422</v>
      </c>
      <c r="E101" s="6">
        <f t="shared" si="33"/>
        <v>0</v>
      </c>
      <c r="K101" s="6">
        <f t="shared" si="32"/>
        <v>0</v>
      </c>
      <c r="U101" s="6">
        <f t="shared" si="34"/>
        <v>0</v>
      </c>
      <c r="Z101" s="6">
        <f t="shared" si="35"/>
        <v>0</v>
      </c>
      <c r="AB101" s="6">
        <f t="shared" si="36"/>
        <v>0</v>
      </c>
    </row>
    <row r="102" spans="1:28" hidden="1">
      <c r="A102" s="11" t="s">
        <v>868</v>
      </c>
      <c r="B102" s="11"/>
      <c r="C102" s="11" t="s">
        <v>40</v>
      </c>
      <c r="E102" s="6">
        <f t="shared" si="33"/>
        <v>0</v>
      </c>
      <c r="K102" s="6">
        <f t="shared" si="32"/>
        <v>0</v>
      </c>
      <c r="U102" s="6">
        <f t="shared" si="34"/>
        <v>0</v>
      </c>
      <c r="Z102" s="6">
        <f t="shared" si="35"/>
        <v>0</v>
      </c>
      <c r="AB102" s="6">
        <f t="shared" si="36"/>
        <v>0</v>
      </c>
    </row>
    <row r="103" spans="1:28" s="28" customFormat="1">
      <c r="A103" s="27" t="s">
        <v>650</v>
      </c>
      <c r="B103" s="27"/>
      <c r="C103" s="27" t="s">
        <v>50</v>
      </c>
      <c r="E103" s="6">
        <f t="shared" si="33"/>
        <v>106201984</v>
      </c>
      <c r="F103" s="6"/>
      <c r="G103" s="6">
        <f>4613053+77609367</f>
        <v>82222420</v>
      </c>
      <c r="H103" s="6"/>
      <c r="I103" s="6">
        <v>188424404</v>
      </c>
      <c r="J103" s="6"/>
      <c r="K103" s="6">
        <f t="shared" si="32"/>
        <v>68093075</v>
      </c>
      <c r="L103" s="6"/>
      <c r="M103" s="6">
        <v>5479779</v>
      </c>
      <c r="N103" s="6"/>
      <c r="O103" s="6">
        <f>63025510-5479779</f>
        <v>57545731</v>
      </c>
      <c r="P103" s="6"/>
      <c r="Q103" s="6">
        <v>131118585</v>
      </c>
      <c r="R103" s="6"/>
      <c r="S103" s="6">
        <v>22826512</v>
      </c>
      <c r="T103" s="6"/>
      <c r="U103" s="6">
        <f t="shared" si="34"/>
        <v>17422268</v>
      </c>
      <c r="V103" s="6"/>
      <c r="W103" s="6">
        <v>17057039</v>
      </c>
      <c r="X103" s="6"/>
      <c r="Y103" s="6">
        <v>57305819</v>
      </c>
      <c r="Z103" s="6">
        <f t="shared" si="35"/>
        <v>0</v>
      </c>
      <c r="AA103" s="6"/>
      <c r="AB103" s="6">
        <f t="shared" si="36"/>
        <v>0</v>
      </c>
    </row>
    <row r="104" spans="1:28" hidden="1">
      <c r="A104" s="11" t="s">
        <v>736</v>
      </c>
      <c r="B104" s="11"/>
      <c r="C104" s="11" t="s">
        <v>22</v>
      </c>
      <c r="E104" s="6">
        <f t="shared" si="33"/>
        <v>0</v>
      </c>
      <c r="K104" s="6">
        <f t="shared" si="32"/>
        <v>0</v>
      </c>
      <c r="U104" s="6">
        <f t="shared" si="34"/>
        <v>0</v>
      </c>
      <c r="Z104" s="6">
        <f t="shared" si="35"/>
        <v>0</v>
      </c>
      <c r="AB104" s="6">
        <f t="shared" si="36"/>
        <v>0</v>
      </c>
    </row>
    <row r="105" spans="1:28">
      <c r="A105" s="11" t="s">
        <v>754</v>
      </c>
      <c r="B105" s="11"/>
      <c r="C105" s="11" t="s">
        <v>20</v>
      </c>
      <c r="E105" s="6">
        <f t="shared" si="33"/>
        <v>33520064</v>
      </c>
      <c r="G105" s="6">
        <f>1386635+28720948</f>
        <v>30107583</v>
      </c>
      <c r="I105" s="6">
        <v>63627647</v>
      </c>
      <c r="K105" s="6">
        <f t="shared" si="32"/>
        <v>22327768</v>
      </c>
      <c r="M105" s="6">
        <v>1535867</v>
      </c>
      <c r="O105" s="6">
        <f>28060896-1535867</f>
        <v>26525029</v>
      </c>
      <c r="Q105" s="6">
        <v>50388664</v>
      </c>
      <c r="S105" s="6">
        <v>5197653</v>
      </c>
      <c r="U105" s="6">
        <f t="shared" si="34"/>
        <v>3923873</v>
      </c>
      <c r="W105" s="6">
        <v>4117457</v>
      </c>
      <c r="Y105" s="6">
        <v>13238983</v>
      </c>
      <c r="Z105" s="6">
        <f t="shared" si="35"/>
        <v>0</v>
      </c>
      <c r="AB105" s="6">
        <f t="shared" si="36"/>
        <v>0</v>
      </c>
    </row>
    <row r="106" spans="1:28">
      <c r="A106" s="11" t="s">
        <v>520</v>
      </c>
      <c r="B106" s="11"/>
      <c r="C106" s="11" t="s">
        <v>64</v>
      </c>
      <c r="E106" s="6">
        <f t="shared" si="33"/>
        <v>7307785</v>
      </c>
      <c r="G106" s="6">
        <v>1999410</v>
      </c>
      <c r="I106" s="6">
        <v>9307195</v>
      </c>
      <c r="K106" s="6">
        <f t="shared" si="32"/>
        <v>6268582</v>
      </c>
      <c r="M106" s="6">
        <v>341682</v>
      </c>
      <c r="O106" s="6">
        <f>2972302-341682</f>
        <v>2630620</v>
      </c>
      <c r="Q106" s="6">
        <v>9240884</v>
      </c>
      <c r="S106" s="6">
        <v>1183942</v>
      </c>
      <c r="U106" s="6">
        <f t="shared" si="34"/>
        <v>482838</v>
      </c>
      <c r="W106" s="6">
        <v>-1600469</v>
      </c>
      <c r="Y106" s="6">
        <v>66311</v>
      </c>
      <c r="Z106" s="6">
        <f t="shared" si="35"/>
        <v>0</v>
      </c>
      <c r="AB106" s="6">
        <f t="shared" si="36"/>
        <v>0</v>
      </c>
    </row>
    <row r="107" spans="1:28" hidden="1">
      <c r="A107" s="11" t="s">
        <v>737</v>
      </c>
      <c r="B107" s="11"/>
      <c r="C107" s="11" t="s">
        <v>30</v>
      </c>
      <c r="E107" s="6">
        <f t="shared" si="33"/>
        <v>0</v>
      </c>
      <c r="K107" s="6">
        <f t="shared" si="32"/>
        <v>0</v>
      </c>
      <c r="U107" s="6">
        <f t="shared" si="34"/>
        <v>0</v>
      </c>
      <c r="Z107" s="6">
        <f t="shared" si="35"/>
        <v>0</v>
      </c>
      <c r="AB107" s="6">
        <f t="shared" si="36"/>
        <v>0</v>
      </c>
    </row>
    <row r="108" spans="1:28">
      <c r="A108" s="11" t="s">
        <v>755</v>
      </c>
      <c r="B108" s="11"/>
      <c r="C108" s="11" t="s">
        <v>366</v>
      </c>
      <c r="D108" s="28"/>
      <c r="E108" s="6">
        <f t="shared" si="33"/>
        <v>6648407</v>
      </c>
      <c r="G108" s="6">
        <f>18317611+729597</f>
        <v>19047208</v>
      </c>
      <c r="I108" s="6">
        <v>25695615</v>
      </c>
      <c r="K108" s="6">
        <f t="shared" si="32"/>
        <v>3786558</v>
      </c>
      <c r="M108" s="6">
        <v>323605</v>
      </c>
      <c r="O108" s="6">
        <f>2270602-323605</f>
        <v>1946997</v>
      </c>
      <c r="Q108" s="6">
        <v>6057160</v>
      </c>
      <c r="S108" s="6">
        <v>17490755</v>
      </c>
      <c r="U108" s="6">
        <f t="shared" si="34"/>
        <v>1726255</v>
      </c>
      <c r="W108" s="6">
        <v>421445</v>
      </c>
      <c r="Y108" s="6">
        <v>19638455</v>
      </c>
      <c r="Z108" s="6">
        <f t="shared" si="35"/>
        <v>0</v>
      </c>
      <c r="AB108" s="6">
        <f t="shared" si="36"/>
        <v>0</v>
      </c>
    </row>
    <row r="109" spans="1:28">
      <c r="A109" s="11" t="s">
        <v>473</v>
      </c>
      <c r="B109" s="11"/>
      <c r="C109" s="11" t="s">
        <v>58</v>
      </c>
      <c r="E109" s="6">
        <f t="shared" si="33"/>
        <v>18590239</v>
      </c>
      <c r="G109" s="6">
        <f>545010+34358175</f>
        <v>34903185</v>
      </c>
      <c r="I109" s="6">
        <v>53493424</v>
      </c>
      <c r="K109" s="6">
        <f t="shared" si="32"/>
        <v>14601477</v>
      </c>
      <c r="M109" s="6">
        <v>834461</v>
      </c>
      <c r="O109" s="6">
        <f>34769914-834461</f>
        <v>33935453</v>
      </c>
      <c r="Q109" s="6">
        <v>49371391</v>
      </c>
      <c r="S109" s="6">
        <v>4015542</v>
      </c>
      <c r="U109" s="6">
        <f t="shared" si="34"/>
        <v>3089456</v>
      </c>
      <c r="W109" s="6">
        <v>-2982965</v>
      </c>
      <c r="Y109" s="6">
        <v>4122033</v>
      </c>
      <c r="Z109" s="6">
        <f t="shared" si="35"/>
        <v>0</v>
      </c>
      <c r="AB109" s="6">
        <f t="shared" si="36"/>
        <v>0</v>
      </c>
    </row>
    <row r="110" spans="1:28">
      <c r="A110" s="11" t="s">
        <v>551</v>
      </c>
      <c r="B110" s="11"/>
      <c r="C110" s="11" t="s">
        <v>71</v>
      </c>
      <c r="E110" s="6">
        <f t="shared" si="33"/>
        <v>14320170</v>
      </c>
      <c r="G110" s="6">
        <v>2673338</v>
      </c>
      <c r="I110" s="6">
        <v>16993508</v>
      </c>
      <c r="K110" s="6">
        <f t="shared" si="32"/>
        <v>4963347</v>
      </c>
      <c r="M110" s="6">
        <v>103651</v>
      </c>
      <c r="O110" s="6">
        <f>575404-103651</f>
        <v>471753</v>
      </c>
      <c r="Q110" s="6">
        <v>5538751</v>
      </c>
      <c r="S110" s="6">
        <v>2673338</v>
      </c>
      <c r="U110" s="6">
        <f t="shared" si="34"/>
        <v>299228</v>
      </c>
      <c r="W110" s="6">
        <v>8482191</v>
      </c>
      <c r="Y110" s="6">
        <v>11454757</v>
      </c>
      <c r="Z110" s="6">
        <f t="shared" si="35"/>
        <v>0</v>
      </c>
      <c r="AB110" s="6">
        <f t="shared" si="36"/>
        <v>0</v>
      </c>
    </row>
    <row r="111" spans="1:28">
      <c r="A111" s="11" t="s">
        <v>652</v>
      </c>
      <c r="B111" s="11"/>
      <c r="C111" s="11" t="s">
        <v>32</v>
      </c>
      <c r="E111" s="6">
        <f t="shared" si="33"/>
        <v>710700984</v>
      </c>
      <c r="G111" s="6">
        <f>250659299+745990013</f>
        <v>996649312</v>
      </c>
      <c r="I111" s="6">
        <v>1707350296</v>
      </c>
      <c r="K111" s="6">
        <f t="shared" si="32"/>
        <v>297847343</v>
      </c>
      <c r="M111" s="6">
        <v>41201840</v>
      </c>
      <c r="O111" s="6">
        <f>797754592-41201840</f>
        <v>756552752</v>
      </c>
      <c r="Q111" s="6">
        <v>1095601935</v>
      </c>
      <c r="S111" s="6">
        <v>389607776</v>
      </c>
      <c r="U111" s="6">
        <f t="shared" si="34"/>
        <v>54792016</v>
      </c>
      <c r="W111" s="6">
        <v>167348569</v>
      </c>
      <c r="Y111" s="6">
        <v>611748361</v>
      </c>
      <c r="Z111" s="6">
        <f t="shared" si="35"/>
        <v>0</v>
      </c>
      <c r="AB111" s="6">
        <f t="shared" si="36"/>
        <v>0</v>
      </c>
    </row>
    <row r="112" spans="1:28">
      <c r="A112" s="11" t="s">
        <v>452</v>
      </c>
      <c r="B112" s="11"/>
      <c r="C112" s="11" t="s">
        <v>54</v>
      </c>
      <c r="E112" s="6">
        <f t="shared" si="33"/>
        <v>98149147</v>
      </c>
      <c r="G112" s="6">
        <v>11939598</v>
      </c>
      <c r="I112" s="6">
        <v>110088745</v>
      </c>
      <c r="K112" s="6">
        <f t="shared" si="32"/>
        <v>14040653</v>
      </c>
      <c r="M112" s="6">
        <v>822238</v>
      </c>
      <c r="O112" s="6">
        <f>47876114-822238</f>
        <v>47053876</v>
      </c>
      <c r="Q112" s="6">
        <v>61916767</v>
      </c>
      <c r="S112" s="6">
        <v>10672377</v>
      </c>
      <c r="U112" s="6">
        <f t="shared" si="34"/>
        <v>24794752</v>
      </c>
      <c r="W112" s="6">
        <v>12704849</v>
      </c>
      <c r="Y112" s="6">
        <v>48171978</v>
      </c>
      <c r="Z112" s="6">
        <f t="shared" si="35"/>
        <v>0</v>
      </c>
      <c r="AB112" s="6">
        <f t="shared" si="36"/>
        <v>0</v>
      </c>
    </row>
    <row r="113" spans="1:28">
      <c r="A113" s="11" t="s">
        <v>231</v>
      </c>
      <c r="B113" s="11"/>
      <c r="C113" s="11" t="s">
        <v>17</v>
      </c>
      <c r="D113" s="9"/>
      <c r="E113" s="6">
        <f t="shared" si="33"/>
        <v>12383386</v>
      </c>
      <c r="G113" s="6">
        <f>12078260+641103</f>
        <v>12719363</v>
      </c>
      <c r="I113" s="6">
        <v>25102749</v>
      </c>
      <c r="K113" s="6">
        <f t="shared" si="32"/>
        <v>9874425</v>
      </c>
      <c r="M113" s="6">
        <v>57142</v>
      </c>
      <c r="O113" s="6">
        <f>1331452-57142</f>
        <v>1274310</v>
      </c>
      <c r="Q113" s="6">
        <v>11205877</v>
      </c>
      <c r="S113" s="6">
        <v>12718004</v>
      </c>
      <c r="U113" s="6">
        <f t="shared" si="34"/>
        <v>851226</v>
      </c>
      <c r="W113" s="6">
        <v>327642</v>
      </c>
      <c r="Y113" s="6">
        <v>13896872</v>
      </c>
      <c r="Z113" s="6">
        <f t="shared" si="35"/>
        <v>0</v>
      </c>
      <c r="AB113" s="6">
        <f t="shared" si="36"/>
        <v>0</v>
      </c>
    </row>
    <row r="114" spans="1:28">
      <c r="A114" s="11" t="s">
        <v>480</v>
      </c>
      <c r="B114" s="11"/>
      <c r="C114" s="11" t="s">
        <v>59</v>
      </c>
      <c r="E114" s="6">
        <f t="shared" si="33"/>
        <v>3360899</v>
      </c>
      <c r="G114" s="6">
        <f>38512+23206468</f>
        <v>23244980</v>
      </c>
      <c r="I114" s="6">
        <v>26605879</v>
      </c>
      <c r="K114" s="6">
        <f t="shared" si="32"/>
        <v>2343123</v>
      </c>
      <c r="M114" s="6">
        <v>213224</v>
      </c>
      <c r="O114" s="6">
        <f>6040458-213224</f>
        <v>5827234</v>
      </c>
      <c r="Q114" s="6">
        <v>8383581</v>
      </c>
      <c r="S114" s="6">
        <v>17707659</v>
      </c>
      <c r="U114" s="6">
        <f t="shared" si="34"/>
        <v>1284808</v>
      </c>
      <c r="W114" s="6">
        <v>-770169</v>
      </c>
      <c r="Y114" s="6">
        <v>18222298</v>
      </c>
      <c r="Z114" s="6">
        <f t="shared" si="35"/>
        <v>0</v>
      </c>
      <c r="AB114" s="6">
        <f t="shared" si="36"/>
        <v>0</v>
      </c>
    </row>
    <row r="115" spans="1:28">
      <c r="A115" s="11" t="s">
        <v>533</v>
      </c>
      <c r="B115" s="11"/>
      <c r="C115" s="11" t="s">
        <v>65</v>
      </c>
      <c r="E115" s="6">
        <f t="shared" si="33"/>
        <v>8749595</v>
      </c>
      <c r="G115" s="6">
        <v>20080220</v>
      </c>
      <c r="I115" s="6">
        <v>28829815</v>
      </c>
      <c r="K115" s="6">
        <f t="shared" si="32"/>
        <v>5023707</v>
      </c>
      <c r="M115" s="6">
        <v>575090</v>
      </c>
      <c r="O115" s="6">
        <f>4495702-575090</f>
        <v>3920612</v>
      </c>
      <c r="Q115" s="6">
        <v>9519409</v>
      </c>
      <c r="S115" s="6">
        <v>17408137</v>
      </c>
      <c r="U115" s="6">
        <f t="shared" si="34"/>
        <v>1156905</v>
      </c>
      <c r="W115" s="6">
        <v>745364</v>
      </c>
      <c r="Y115" s="6">
        <v>19310406</v>
      </c>
      <c r="Z115" s="6">
        <f t="shared" si="35"/>
        <v>0</v>
      </c>
      <c r="AB115" s="6">
        <f t="shared" si="36"/>
        <v>0</v>
      </c>
    </row>
    <row r="116" spans="1:28">
      <c r="A116" s="11" t="s">
        <v>468</v>
      </c>
      <c r="B116" s="11"/>
      <c r="C116" s="11" t="s">
        <v>110</v>
      </c>
      <c r="E116" s="6">
        <f t="shared" si="33"/>
        <v>13660904</v>
      </c>
      <c r="G116" s="6">
        <v>8678892</v>
      </c>
      <c r="I116" s="6">
        <v>22339796</v>
      </c>
      <c r="K116" s="6">
        <f t="shared" si="32"/>
        <v>4992660</v>
      </c>
      <c r="M116" s="6">
        <v>526046</v>
      </c>
      <c r="O116" s="6">
        <f>7177043-526046</f>
        <v>6650997</v>
      </c>
      <c r="Q116" s="6">
        <v>12169703</v>
      </c>
      <c r="S116" s="6">
        <v>3360382</v>
      </c>
      <c r="U116" s="6">
        <f t="shared" si="34"/>
        <v>1050642</v>
      </c>
      <c r="W116" s="6">
        <v>5759069</v>
      </c>
      <c r="Y116" s="6">
        <v>10170093</v>
      </c>
      <c r="Z116" s="6">
        <f t="shared" si="35"/>
        <v>0</v>
      </c>
      <c r="AB116" s="6">
        <f t="shared" si="36"/>
        <v>0</v>
      </c>
    </row>
    <row r="117" spans="1:28">
      <c r="A117" s="11" t="s">
        <v>382</v>
      </c>
      <c r="B117" s="11"/>
      <c r="C117" s="11" t="s">
        <v>44</v>
      </c>
      <c r="E117" s="6">
        <f t="shared" si="33"/>
        <v>4616344</v>
      </c>
      <c r="G117" s="6">
        <f>47080+17960107</f>
        <v>18007187</v>
      </c>
      <c r="I117" s="6">
        <v>22623531</v>
      </c>
      <c r="K117" s="6">
        <f t="shared" si="32"/>
        <v>4809251</v>
      </c>
      <c r="M117" s="6">
        <v>465193</v>
      </c>
      <c r="O117" s="6">
        <f>5752668-465193</f>
        <v>5287475</v>
      </c>
      <c r="Q117" s="6">
        <v>10561919</v>
      </c>
      <c r="S117" s="6">
        <v>13644197</v>
      </c>
      <c r="U117" s="6">
        <f t="shared" si="34"/>
        <v>603623</v>
      </c>
      <c r="W117" s="6">
        <v>-2186208</v>
      </c>
      <c r="Y117" s="6">
        <v>12061612</v>
      </c>
      <c r="Z117" s="6">
        <f t="shared" si="35"/>
        <v>0</v>
      </c>
      <c r="AB117" s="6">
        <f t="shared" si="36"/>
        <v>0</v>
      </c>
    </row>
    <row r="118" spans="1:28">
      <c r="A118" s="11" t="s">
        <v>653</v>
      </c>
      <c r="B118" s="11"/>
      <c r="C118" s="11" t="s">
        <v>113</v>
      </c>
      <c r="E118" s="6">
        <f t="shared" si="33"/>
        <v>10100233</v>
      </c>
      <c r="G118" s="6">
        <f>2024809+3989346</f>
        <v>6014155</v>
      </c>
      <c r="I118" s="6">
        <v>16114388</v>
      </c>
      <c r="K118" s="6">
        <f t="shared" si="32"/>
        <v>7448931</v>
      </c>
      <c r="M118" s="6">
        <v>294002</v>
      </c>
      <c r="O118" s="6">
        <f>1377866-294002</f>
        <v>1083864</v>
      </c>
      <c r="Q118" s="6">
        <v>8826797</v>
      </c>
      <c r="S118" s="6">
        <v>5515561</v>
      </c>
      <c r="U118" s="6">
        <f t="shared" si="34"/>
        <v>1270251</v>
      </c>
      <c r="W118" s="6">
        <v>501779</v>
      </c>
      <c r="Y118" s="6">
        <v>7287591</v>
      </c>
      <c r="Z118" s="6">
        <f t="shared" si="35"/>
        <v>0</v>
      </c>
      <c r="AB118" s="6">
        <f t="shared" si="36"/>
        <v>0</v>
      </c>
    </row>
    <row r="119" spans="1:28">
      <c r="A119" s="11" t="s">
        <v>651</v>
      </c>
      <c r="B119" s="11"/>
      <c r="C119" s="11" t="s">
        <v>20</v>
      </c>
      <c r="E119" s="6">
        <f t="shared" si="33"/>
        <v>133964950</v>
      </c>
      <c r="G119" s="6">
        <f>2517608+32378450</f>
        <v>34896058</v>
      </c>
      <c r="I119" s="6">
        <v>168861008</v>
      </c>
      <c r="K119" s="6">
        <f t="shared" si="32"/>
        <v>67990122</v>
      </c>
      <c r="M119" s="6">
        <v>1911435</v>
      </c>
      <c r="O119" s="6">
        <f>20895517-1911435</f>
        <v>18984082</v>
      </c>
      <c r="Q119" s="6">
        <v>88885639</v>
      </c>
      <c r="S119" s="6">
        <v>27342544</v>
      </c>
      <c r="U119" s="6">
        <f t="shared" si="34"/>
        <v>6496403</v>
      </c>
      <c r="W119" s="6">
        <v>46136422</v>
      </c>
      <c r="Y119" s="6">
        <v>79975369</v>
      </c>
      <c r="Z119" s="6">
        <f t="shared" si="35"/>
        <v>0</v>
      </c>
      <c r="AB119" s="6">
        <f t="shared" si="36"/>
        <v>0</v>
      </c>
    </row>
    <row r="120" spans="1:28">
      <c r="A120" s="11" t="s">
        <v>265</v>
      </c>
      <c r="B120" s="11"/>
      <c r="C120" s="11" t="s">
        <v>20</v>
      </c>
      <c r="E120" s="6">
        <f t="shared" si="33"/>
        <v>745803094</v>
      </c>
      <c r="G120" s="6">
        <f>90150983+621315521</f>
        <v>711466504</v>
      </c>
      <c r="I120" s="6">
        <v>1457269598</v>
      </c>
      <c r="K120" s="6">
        <f t="shared" si="32"/>
        <v>230483830</v>
      </c>
      <c r="M120" s="6">
        <v>11902538</v>
      </c>
      <c r="O120" s="6">
        <f>237480612-11902538</f>
        <v>225578074</v>
      </c>
      <c r="Q120" s="6">
        <v>467964442</v>
      </c>
      <c r="S120" s="6">
        <v>518814295</v>
      </c>
      <c r="U120" s="6">
        <f t="shared" si="34"/>
        <v>397228215</v>
      </c>
      <c r="W120" s="6">
        <v>73262646</v>
      </c>
      <c r="Y120" s="6">
        <v>989305156</v>
      </c>
      <c r="Z120" s="6">
        <f t="shared" si="35"/>
        <v>0</v>
      </c>
      <c r="AB120" s="6">
        <f t="shared" si="36"/>
        <v>0</v>
      </c>
    </row>
    <row r="121" spans="1:28">
      <c r="A121" s="10" t="s">
        <v>243</v>
      </c>
      <c r="B121" s="10"/>
      <c r="C121" s="10" t="s">
        <v>18</v>
      </c>
      <c r="E121" s="6">
        <f t="shared" si="33"/>
        <v>10912653</v>
      </c>
      <c r="G121" s="6">
        <f>505643+43151580</f>
        <v>43657223</v>
      </c>
      <c r="I121" s="6">
        <v>54569876</v>
      </c>
      <c r="K121" s="6">
        <f t="shared" si="32"/>
        <v>6389551</v>
      </c>
      <c r="M121" s="6">
        <v>755660</v>
      </c>
      <c r="O121" s="6">
        <f>9382783-755660</f>
        <v>8627123</v>
      </c>
      <c r="Q121" s="6">
        <v>15772334</v>
      </c>
      <c r="S121" s="6">
        <v>35172383</v>
      </c>
      <c r="U121" s="6">
        <f t="shared" si="34"/>
        <v>1620740</v>
      </c>
      <c r="W121" s="6">
        <v>2004419</v>
      </c>
      <c r="Y121" s="6">
        <v>38797542</v>
      </c>
      <c r="Z121" s="6">
        <f t="shared" si="35"/>
        <v>0</v>
      </c>
      <c r="AB121" s="6">
        <f t="shared" si="36"/>
        <v>0</v>
      </c>
    </row>
    <row r="122" spans="1:28">
      <c r="A122" s="11" t="s">
        <v>416</v>
      </c>
      <c r="B122" s="11"/>
      <c r="C122" s="11" t="s">
        <v>47</v>
      </c>
      <c r="E122" s="6">
        <f t="shared" si="33"/>
        <v>23475153</v>
      </c>
      <c r="G122" s="6">
        <v>34130905</v>
      </c>
      <c r="I122" s="6">
        <v>57606058</v>
      </c>
      <c r="K122" s="6">
        <f t="shared" si="32"/>
        <v>17089035</v>
      </c>
      <c r="M122" s="6">
        <v>484218</v>
      </c>
      <c r="O122" s="6">
        <f>28564577-484218</f>
        <v>28080359</v>
      </c>
      <c r="Q122" s="6">
        <v>45653612</v>
      </c>
      <c r="S122" s="6">
        <v>10068801</v>
      </c>
      <c r="U122" s="6">
        <f t="shared" si="34"/>
        <v>4582557</v>
      </c>
      <c r="W122" s="6">
        <v>-2698912</v>
      </c>
      <c r="Y122" s="6">
        <v>11952446</v>
      </c>
      <c r="Z122" s="6">
        <f t="shared" si="35"/>
        <v>0</v>
      </c>
      <c r="AB122" s="6">
        <f t="shared" si="36"/>
        <v>0</v>
      </c>
    </row>
    <row r="123" spans="1:28">
      <c r="A123" s="11" t="s">
        <v>756</v>
      </c>
      <c r="B123" s="11"/>
      <c r="C123" s="11" t="s">
        <v>79</v>
      </c>
      <c r="E123" s="6">
        <f t="shared" si="33"/>
        <v>22243521</v>
      </c>
      <c r="G123" s="6">
        <v>44710111</v>
      </c>
      <c r="I123" s="6">
        <v>66953632</v>
      </c>
      <c r="K123" s="6">
        <f t="shared" si="32"/>
        <v>8094824</v>
      </c>
      <c r="M123" s="6">
        <v>1221765</v>
      </c>
      <c r="O123" s="6">
        <f>28884168-1221765</f>
        <v>27662403</v>
      </c>
      <c r="Q123" s="6">
        <v>36978992</v>
      </c>
      <c r="S123" s="6">
        <v>27008335</v>
      </c>
      <c r="U123" s="6">
        <f t="shared" si="34"/>
        <v>3603819</v>
      </c>
      <c r="W123" s="6">
        <v>-637514</v>
      </c>
      <c r="Y123" s="6">
        <v>29974640</v>
      </c>
      <c r="Z123" s="6">
        <f t="shared" si="35"/>
        <v>0</v>
      </c>
      <c r="AB123" s="6">
        <f t="shared" si="36"/>
        <v>0</v>
      </c>
    </row>
    <row r="124" spans="1:28" hidden="1">
      <c r="A124" s="11" t="s">
        <v>654</v>
      </c>
      <c r="B124" s="11"/>
      <c r="C124" s="11" t="s">
        <v>422</v>
      </c>
      <c r="E124" s="6">
        <f t="shared" si="33"/>
        <v>0</v>
      </c>
      <c r="K124" s="6">
        <f t="shared" si="32"/>
        <v>0</v>
      </c>
      <c r="U124" s="6">
        <f t="shared" si="34"/>
        <v>0</v>
      </c>
      <c r="Z124" s="6">
        <f t="shared" si="35"/>
        <v>0</v>
      </c>
      <c r="AB124" s="6">
        <f t="shared" si="36"/>
        <v>0</v>
      </c>
    </row>
    <row r="125" spans="1:28" hidden="1">
      <c r="A125" s="11" t="s">
        <v>610</v>
      </c>
      <c r="B125" s="11"/>
      <c r="C125" s="11" t="s">
        <v>57</v>
      </c>
      <c r="E125" s="6">
        <f t="shared" si="33"/>
        <v>0</v>
      </c>
      <c r="K125" s="6">
        <f t="shared" si="32"/>
        <v>0</v>
      </c>
      <c r="U125" s="6">
        <f t="shared" si="34"/>
        <v>0</v>
      </c>
      <c r="Z125" s="6">
        <f t="shared" si="35"/>
        <v>0</v>
      </c>
      <c r="AB125" s="6">
        <f t="shared" si="36"/>
        <v>0</v>
      </c>
    </row>
    <row r="126" spans="1:28">
      <c r="A126" s="11" t="s">
        <v>258</v>
      </c>
      <c r="B126" s="11"/>
      <c r="C126" s="11" t="s">
        <v>111</v>
      </c>
      <c r="E126" s="6">
        <f t="shared" si="33"/>
        <v>7118008</v>
      </c>
      <c r="G126" s="6">
        <v>15260694</v>
      </c>
      <c r="I126" s="6">
        <v>22378702</v>
      </c>
      <c r="K126" s="6">
        <f t="shared" si="32"/>
        <v>3260798</v>
      </c>
      <c r="M126" s="6">
        <v>461283</v>
      </c>
      <c r="O126" s="6">
        <f>13886528-461283</f>
        <v>13425245</v>
      </c>
      <c r="Q126" s="6">
        <v>17147326</v>
      </c>
      <c r="S126" s="6">
        <v>2900280</v>
      </c>
      <c r="U126" s="6">
        <f t="shared" si="34"/>
        <v>818034</v>
      </c>
      <c r="W126" s="6">
        <v>1513062</v>
      </c>
      <c r="Y126" s="6">
        <v>5231376</v>
      </c>
      <c r="Z126" s="6">
        <f t="shared" si="35"/>
        <v>0</v>
      </c>
      <c r="AB126" s="6">
        <f t="shared" si="36"/>
        <v>0</v>
      </c>
    </row>
    <row r="127" spans="1:28">
      <c r="A127" s="11" t="s">
        <v>383</v>
      </c>
      <c r="B127" s="11"/>
      <c r="C127" s="11" t="s">
        <v>44</v>
      </c>
      <c r="E127" s="6">
        <f t="shared" si="33"/>
        <v>9081351</v>
      </c>
      <c r="G127" s="6">
        <v>8472989</v>
      </c>
      <c r="I127" s="6">
        <v>17554340</v>
      </c>
      <c r="K127" s="6">
        <f t="shared" si="32"/>
        <v>7492393</v>
      </c>
      <c r="M127" s="6">
        <v>365624</v>
      </c>
      <c r="O127" s="6">
        <f>8459145-365624</f>
        <v>8093521</v>
      </c>
      <c r="Q127" s="6">
        <v>15951538</v>
      </c>
      <c r="S127" s="6">
        <v>1071926</v>
      </c>
      <c r="U127" s="6">
        <f t="shared" si="34"/>
        <v>1731441</v>
      </c>
      <c r="W127" s="6">
        <v>-1200565</v>
      </c>
      <c r="Y127" s="6">
        <v>1602802</v>
      </c>
      <c r="Z127" s="6">
        <f t="shared" si="35"/>
        <v>0</v>
      </c>
      <c r="AB127" s="6">
        <f t="shared" si="36"/>
        <v>0</v>
      </c>
    </row>
    <row r="128" spans="1:28">
      <c r="A128" s="11" t="s">
        <v>757</v>
      </c>
      <c r="B128" s="11"/>
      <c r="C128" s="11" t="s">
        <v>112</v>
      </c>
      <c r="E128" s="6">
        <f t="shared" si="33"/>
        <v>9315256</v>
      </c>
      <c r="G128" s="6">
        <f>1129342+12293504</f>
        <v>13422846</v>
      </c>
      <c r="I128" s="6">
        <v>22738102</v>
      </c>
      <c r="K128" s="6">
        <f t="shared" si="32"/>
        <v>4631279</v>
      </c>
      <c r="M128" s="6">
        <v>336447</v>
      </c>
      <c r="O128" s="6">
        <f>15169204-336447</f>
        <v>14832757</v>
      </c>
      <c r="Q128" s="6">
        <v>19800483</v>
      </c>
      <c r="S128" s="6">
        <v>1251221</v>
      </c>
      <c r="U128" s="6">
        <f t="shared" si="34"/>
        <v>123542</v>
      </c>
      <c r="W128" s="6">
        <v>1562856</v>
      </c>
      <c r="Y128" s="6">
        <v>2937619</v>
      </c>
      <c r="Z128" s="6">
        <f t="shared" si="35"/>
        <v>0</v>
      </c>
      <c r="AB128" s="6">
        <f t="shared" si="36"/>
        <v>0</v>
      </c>
    </row>
    <row r="129" spans="1:28">
      <c r="A129" s="11" t="s">
        <v>301</v>
      </c>
      <c r="B129" s="11"/>
      <c r="C129" s="11" t="s">
        <v>27</v>
      </c>
      <c r="E129" s="6">
        <f t="shared" si="33"/>
        <v>943290036</v>
      </c>
      <c r="G129" s="6">
        <f>31042870+105381804+492703009</f>
        <v>629127683</v>
      </c>
      <c r="I129" s="6">
        <v>1572417719</v>
      </c>
      <c r="K129" s="6">
        <f t="shared" si="32"/>
        <v>391723080</v>
      </c>
      <c r="M129" s="6">
        <v>29611678</v>
      </c>
      <c r="O129" s="6">
        <f>585356733-29611678</f>
        <v>555745055</v>
      </c>
      <c r="Q129" s="6">
        <v>977079813</v>
      </c>
      <c r="S129" s="6">
        <v>189974600</v>
      </c>
      <c r="U129" s="6">
        <f t="shared" si="34"/>
        <v>169226263</v>
      </c>
      <c r="W129" s="6">
        <v>236137043</v>
      </c>
      <c r="Y129" s="6">
        <v>595337906</v>
      </c>
      <c r="Z129" s="6">
        <f t="shared" si="35"/>
        <v>0</v>
      </c>
      <c r="AB129" s="6">
        <f t="shared" si="36"/>
        <v>0</v>
      </c>
    </row>
    <row r="130" spans="1:28" hidden="1">
      <c r="A130" s="11" t="s">
        <v>611</v>
      </c>
      <c r="B130" s="11"/>
      <c r="C130" s="11" t="s">
        <v>467</v>
      </c>
      <c r="E130" s="6">
        <f t="shared" si="33"/>
        <v>0</v>
      </c>
      <c r="K130" s="6">
        <f t="shared" si="32"/>
        <v>0</v>
      </c>
      <c r="U130" s="6">
        <f t="shared" si="34"/>
        <v>0</v>
      </c>
      <c r="Z130" s="6">
        <f>+I130-Q130-Y130</f>
        <v>0</v>
      </c>
      <c r="AB130" s="6">
        <f t="shared" si="36"/>
        <v>0</v>
      </c>
    </row>
    <row r="131" spans="1:28">
      <c r="A131" s="10" t="s">
        <v>207</v>
      </c>
      <c r="B131" s="10"/>
      <c r="C131" s="10" t="s">
        <v>12</v>
      </c>
      <c r="E131" s="6">
        <f t="shared" si="33"/>
        <v>14340966</v>
      </c>
      <c r="G131" s="6">
        <f>2678662+34703808</f>
        <v>37382470</v>
      </c>
      <c r="I131" s="6">
        <v>51723436</v>
      </c>
      <c r="K131" s="6">
        <f t="shared" si="32"/>
        <v>4456722</v>
      </c>
      <c r="M131" s="6">
        <v>490259</v>
      </c>
      <c r="O131" s="6">
        <f>7388043-490259</f>
        <v>6897784</v>
      </c>
      <c r="Q131" s="6">
        <v>11844765</v>
      </c>
      <c r="S131" s="6">
        <v>31318456</v>
      </c>
      <c r="U131" s="6">
        <f t="shared" si="34"/>
        <v>5195736</v>
      </c>
      <c r="W131" s="6">
        <v>3364479</v>
      </c>
      <c r="Y131" s="6">
        <v>39878671</v>
      </c>
      <c r="Z131" s="6">
        <f>+I131-Q131-Y131</f>
        <v>0</v>
      </c>
      <c r="AB131" s="6">
        <f t="shared" si="36"/>
        <v>0</v>
      </c>
    </row>
    <row r="132" spans="1:28">
      <c r="A132" s="11" t="s">
        <v>342</v>
      </c>
      <c r="B132" s="11"/>
      <c r="C132" s="11" t="s">
        <v>343</v>
      </c>
      <c r="E132" s="6">
        <f t="shared" si="33"/>
        <v>2834582</v>
      </c>
      <c r="G132" s="6">
        <v>529569</v>
      </c>
      <c r="I132" s="6">
        <v>3364151</v>
      </c>
      <c r="K132" s="6">
        <f t="shared" si="32"/>
        <v>2122564</v>
      </c>
      <c r="M132" s="6">
        <v>77263</v>
      </c>
      <c r="O132" s="6">
        <f>198585-77263</f>
        <v>121322</v>
      </c>
      <c r="Q132" s="6">
        <v>2321149</v>
      </c>
      <c r="S132" s="6">
        <v>515249</v>
      </c>
      <c r="U132" s="6">
        <f t="shared" si="34"/>
        <v>128502</v>
      </c>
      <c r="W132" s="6">
        <v>399251</v>
      </c>
      <c r="Y132" s="6">
        <v>1043002</v>
      </c>
      <c r="Z132" s="6">
        <f t="shared" si="35"/>
        <v>0</v>
      </c>
      <c r="AB132" s="6">
        <f t="shared" si="36"/>
        <v>0</v>
      </c>
    </row>
    <row r="133" spans="1:28" hidden="1">
      <c r="A133" s="11" t="s">
        <v>676</v>
      </c>
      <c r="B133" s="11"/>
      <c r="C133" s="11" t="s">
        <v>467</v>
      </c>
      <c r="E133" s="6">
        <f t="shared" si="33"/>
        <v>0</v>
      </c>
      <c r="K133" s="6">
        <f t="shared" si="32"/>
        <v>0</v>
      </c>
      <c r="U133" s="6">
        <f t="shared" si="34"/>
        <v>0</v>
      </c>
      <c r="Z133" s="6">
        <f>+I133-Q133-Y133</f>
        <v>0</v>
      </c>
      <c r="AB133" s="6">
        <f t="shared" si="36"/>
        <v>0</v>
      </c>
    </row>
    <row r="134" spans="1:28">
      <c r="A134" s="11" t="s">
        <v>508</v>
      </c>
      <c r="B134" s="11"/>
      <c r="C134" s="11" t="s">
        <v>63</v>
      </c>
      <c r="E134" s="6">
        <f t="shared" si="33"/>
        <v>42465574</v>
      </c>
      <c r="G134" s="6">
        <v>18746160</v>
      </c>
      <c r="I134" s="6">
        <v>61211734</v>
      </c>
      <c r="K134" s="6">
        <f t="shared" si="32"/>
        <v>28693427</v>
      </c>
      <c r="M134" s="6">
        <v>954408</v>
      </c>
      <c r="O134" s="6">
        <f>4539342-954408</f>
        <v>3584934</v>
      </c>
      <c r="Q134" s="6">
        <v>33232769</v>
      </c>
      <c r="S134" s="6">
        <v>15965837</v>
      </c>
      <c r="U134" s="6">
        <f t="shared" si="34"/>
        <v>2625410</v>
      </c>
      <c r="W134" s="6">
        <v>9387718</v>
      </c>
      <c r="Y134" s="6">
        <v>27978965</v>
      </c>
      <c r="Z134" s="6">
        <f t="shared" si="35"/>
        <v>0</v>
      </c>
      <c r="AB134" s="6">
        <f t="shared" si="36"/>
        <v>0</v>
      </c>
    </row>
    <row r="135" spans="1:28">
      <c r="A135" s="11" t="s">
        <v>336</v>
      </c>
      <c r="B135" s="11"/>
      <c r="C135" s="11" t="s">
        <v>33</v>
      </c>
      <c r="E135" s="6">
        <f t="shared" si="33"/>
        <v>13421214</v>
      </c>
      <c r="G135" s="6">
        <f>5156189+2169999</f>
        <v>7326188</v>
      </c>
      <c r="I135" s="6">
        <v>20747402</v>
      </c>
      <c r="K135" s="6">
        <f t="shared" si="32"/>
        <v>4139223</v>
      </c>
      <c r="M135" s="6">
        <v>202840</v>
      </c>
      <c r="O135" s="6">
        <f>6824348-202840</f>
        <v>6621508</v>
      </c>
      <c r="Q135" s="6">
        <v>10963571</v>
      </c>
      <c r="S135" s="6">
        <v>7015906</v>
      </c>
      <c r="U135" s="6">
        <f t="shared" si="34"/>
        <v>2858278</v>
      </c>
      <c r="W135" s="6">
        <v>-90353</v>
      </c>
      <c r="Y135" s="6">
        <v>9783831</v>
      </c>
      <c r="Z135" s="6">
        <f>+I135-Q135-Y135</f>
        <v>0</v>
      </c>
      <c r="AB135" s="6">
        <f t="shared" si="36"/>
        <v>0</v>
      </c>
    </row>
    <row r="136" spans="1:28">
      <c r="A136" s="11" t="s">
        <v>253</v>
      </c>
      <c r="B136" s="11"/>
      <c r="C136" s="11" t="s">
        <v>19</v>
      </c>
      <c r="E136" s="6">
        <f t="shared" si="33"/>
        <v>35594298</v>
      </c>
      <c r="G136" s="6">
        <f>4535865+3869536</f>
        <v>8405401</v>
      </c>
      <c r="I136" s="6">
        <v>43999699</v>
      </c>
      <c r="K136" s="6">
        <f t="shared" si="32"/>
        <v>6682621</v>
      </c>
      <c r="M136" s="6">
        <v>519062</v>
      </c>
      <c r="O136" s="6">
        <f>11568361-519062</f>
        <v>11049299</v>
      </c>
      <c r="Q136" s="6">
        <v>18250982</v>
      </c>
      <c r="S136" s="6">
        <v>8304580</v>
      </c>
      <c r="U136" s="6">
        <f t="shared" si="34"/>
        <v>13034581</v>
      </c>
      <c r="W136" s="6">
        <v>4409556</v>
      </c>
      <c r="Y136" s="6">
        <v>25748717</v>
      </c>
      <c r="Z136" s="6">
        <f t="shared" si="35"/>
        <v>0</v>
      </c>
      <c r="AB136" s="6">
        <f t="shared" si="36"/>
        <v>0</v>
      </c>
    </row>
    <row r="137" spans="1:28">
      <c r="A137" s="11" t="s">
        <v>604</v>
      </c>
      <c r="B137" s="11"/>
      <c r="C137" s="11" t="s">
        <v>63</v>
      </c>
      <c r="E137" s="6">
        <f t="shared" si="33"/>
        <v>12000705</v>
      </c>
      <c r="G137" s="6">
        <f>544210+4609106</f>
        <v>5153316</v>
      </c>
      <c r="I137" s="6">
        <v>17154021</v>
      </c>
      <c r="K137" s="6">
        <f t="shared" si="32"/>
        <v>13672680</v>
      </c>
      <c r="M137" s="6">
        <v>696648</v>
      </c>
      <c r="O137" s="6">
        <f>6550515-696648</f>
        <v>5853867</v>
      </c>
      <c r="Q137" s="6">
        <v>20223195</v>
      </c>
      <c r="S137" s="6">
        <v>2473673</v>
      </c>
      <c r="U137" s="6">
        <f t="shared" si="34"/>
        <v>286646</v>
      </c>
      <c r="W137" s="6">
        <v>-5829493</v>
      </c>
      <c r="Y137" s="6">
        <v>-3069174</v>
      </c>
      <c r="Z137" s="6">
        <f>+I137-Q137-Y137</f>
        <v>0</v>
      </c>
      <c r="AB137" s="6">
        <f t="shared" si="36"/>
        <v>0</v>
      </c>
    </row>
    <row r="138" spans="1:28">
      <c r="A138" s="11" t="s">
        <v>758</v>
      </c>
      <c r="B138" s="11"/>
      <c r="C138" s="11" t="s">
        <v>48</v>
      </c>
      <c r="E138" s="6">
        <f t="shared" si="33"/>
        <v>4281109</v>
      </c>
      <c r="G138" s="6">
        <v>1599683</v>
      </c>
      <c r="I138" s="6">
        <v>5880792</v>
      </c>
      <c r="K138" s="6">
        <f t="shared" si="32"/>
        <v>2441846</v>
      </c>
      <c r="M138" s="6">
        <v>91123</v>
      </c>
      <c r="O138" s="6">
        <f>797465-91123</f>
        <v>706342</v>
      </c>
      <c r="Q138" s="6">
        <v>3239311</v>
      </c>
      <c r="S138" s="6">
        <v>1413886</v>
      </c>
      <c r="U138" s="6">
        <f t="shared" si="34"/>
        <v>371854</v>
      </c>
      <c r="W138" s="6">
        <v>855741</v>
      </c>
      <c r="Y138" s="6">
        <v>2641481</v>
      </c>
      <c r="Z138" s="6">
        <f t="shared" si="35"/>
        <v>0</v>
      </c>
      <c r="AB138" s="6">
        <f t="shared" si="36"/>
        <v>0</v>
      </c>
    </row>
    <row r="139" spans="1:28" hidden="1">
      <c r="A139" s="11" t="s">
        <v>831</v>
      </c>
      <c r="B139" s="11"/>
      <c r="C139" s="11" t="s">
        <v>111</v>
      </c>
      <c r="E139" s="6">
        <f t="shared" si="33"/>
        <v>0</v>
      </c>
      <c r="K139" s="6">
        <f t="shared" si="32"/>
        <v>0</v>
      </c>
      <c r="U139" s="6">
        <f t="shared" si="34"/>
        <v>0</v>
      </c>
      <c r="Z139" s="6">
        <f t="shared" si="35"/>
        <v>0</v>
      </c>
      <c r="AB139" s="6">
        <f t="shared" si="36"/>
        <v>0</v>
      </c>
    </row>
    <row r="140" spans="1:28">
      <c r="A140" s="11" t="s">
        <v>247</v>
      </c>
      <c r="B140" s="11"/>
      <c r="C140" s="11" t="s">
        <v>112</v>
      </c>
      <c r="E140" s="6">
        <f t="shared" si="33"/>
        <v>6821951</v>
      </c>
      <c r="G140" s="6">
        <f>4950956+11501189</f>
        <v>16452145</v>
      </c>
      <c r="I140" s="6">
        <v>23274096</v>
      </c>
      <c r="K140" s="6">
        <f t="shared" si="32"/>
        <v>4281683</v>
      </c>
      <c r="M140" s="6">
        <v>684526</v>
      </c>
      <c r="O140" s="6">
        <f>6176979-684526</f>
        <v>5492453</v>
      </c>
      <c r="Q140" s="6">
        <v>10458662</v>
      </c>
      <c r="S140" s="6">
        <v>10833958</v>
      </c>
      <c r="U140" s="6">
        <f t="shared" si="34"/>
        <v>831557</v>
      </c>
      <c r="W140" s="6">
        <v>1149919</v>
      </c>
      <c r="Y140" s="6">
        <v>12815434</v>
      </c>
      <c r="Z140" s="6">
        <f t="shared" si="35"/>
        <v>0</v>
      </c>
      <c r="AB140" s="6">
        <f t="shared" si="36"/>
        <v>0</v>
      </c>
    </row>
    <row r="141" spans="1:28">
      <c r="A141" s="11" t="s">
        <v>247</v>
      </c>
      <c r="B141" s="11"/>
      <c r="C141" s="11" t="s">
        <v>110</v>
      </c>
      <c r="E141" s="6">
        <f t="shared" si="33"/>
        <v>10107330</v>
      </c>
      <c r="G141" s="6">
        <v>22711036</v>
      </c>
      <c r="I141" s="6">
        <v>32818366</v>
      </c>
      <c r="K141" s="6">
        <f t="shared" si="32"/>
        <v>3287191</v>
      </c>
      <c r="M141" s="6">
        <v>338818</v>
      </c>
      <c r="O141" s="6">
        <f>2887674-338818</f>
        <v>2548856</v>
      </c>
      <c r="Q141" s="6">
        <v>6174865</v>
      </c>
      <c r="S141" s="6">
        <v>20534571</v>
      </c>
      <c r="U141" s="6">
        <f t="shared" si="34"/>
        <v>1124227</v>
      </c>
      <c r="W141" s="6">
        <v>4984703</v>
      </c>
      <c r="Y141" s="6">
        <v>26643501</v>
      </c>
      <c r="Z141" s="6">
        <f t="shared" si="35"/>
        <v>0</v>
      </c>
      <c r="AB141" s="6">
        <f t="shared" si="36"/>
        <v>0</v>
      </c>
    </row>
    <row r="142" spans="1:28" hidden="1">
      <c r="A142" s="11" t="s">
        <v>655</v>
      </c>
      <c r="B142" s="11"/>
      <c r="C142" s="11" t="s">
        <v>67</v>
      </c>
      <c r="E142" s="6">
        <f t="shared" si="33"/>
        <v>0</v>
      </c>
      <c r="K142" s="6">
        <f t="shared" si="32"/>
        <v>0</v>
      </c>
      <c r="U142" s="6">
        <f t="shared" si="34"/>
        <v>0</v>
      </c>
      <c r="Z142" s="6">
        <f t="shared" si="35"/>
        <v>0</v>
      </c>
      <c r="AB142" s="6">
        <f t="shared" si="36"/>
        <v>0</v>
      </c>
    </row>
    <row r="143" spans="1:28">
      <c r="A143" s="11" t="s">
        <v>718</v>
      </c>
      <c r="B143" s="11"/>
      <c r="C143" s="11" t="s">
        <v>56</v>
      </c>
      <c r="E143" s="6">
        <f t="shared" si="33"/>
        <v>14280788</v>
      </c>
      <c r="G143" s="6">
        <f>1529042+21315253</f>
        <v>22844295</v>
      </c>
      <c r="I143" s="6">
        <v>37125083</v>
      </c>
      <c r="K143" s="6">
        <f t="shared" si="32"/>
        <v>8649120</v>
      </c>
      <c r="M143" s="6">
        <v>648926</v>
      </c>
      <c r="O143" s="6">
        <f>7985875-648926</f>
        <v>7336949</v>
      </c>
      <c r="Q143" s="6">
        <v>16634995</v>
      </c>
      <c r="S143" s="6">
        <v>17037392</v>
      </c>
      <c r="U143" s="6">
        <f t="shared" si="34"/>
        <v>4039259</v>
      </c>
      <c r="W143" s="6">
        <v>-586563</v>
      </c>
      <c r="Y143" s="6">
        <v>20490088</v>
      </c>
      <c r="Z143" s="6">
        <f t="shared" si="35"/>
        <v>0</v>
      </c>
      <c r="AB143" s="6">
        <f t="shared" si="36"/>
        <v>0</v>
      </c>
    </row>
    <row r="144" spans="1:28">
      <c r="A144" s="11" t="s">
        <v>759</v>
      </c>
      <c r="B144" s="11"/>
      <c r="C144" s="11" t="s">
        <v>451</v>
      </c>
      <c r="E144" s="6">
        <f t="shared" si="33"/>
        <v>4949970</v>
      </c>
      <c r="G144" s="6">
        <f>98680+8961953</f>
        <v>9060633</v>
      </c>
      <c r="I144" s="6">
        <v>14010603</v>
      </c>
      <c r="K144" s="6">
        <f t="shared" si="32"/>
        <v>2992597</v>
      </c>
      <c r="M144" s="6">
        <v>118640</v>
      </c>
      <c r="O144" s="6">
        <f>1684853-118640</f>
        <v>1566213</v>
      </c>
      <c r="Q144" s="6">
        <v>4677450</v>
      </c>
      <c r="S144" s="6">
        <v>7890269</v>
      </c>
      <c r="U144" s="6">
        <f t="shared" si="34"/>
        <v>738527</v>
      </c>
      <c r="W144" s="6">
        <v>704357</v>
      </c>
      <c r="Y144" s="6">
        <v>9333153</v>
      </c>
      <c r="Z144" s="6">
        <f>+I144-Q144-Y144</f>
        <v>0</v>
      </c>
      <c r="AB144" s="6">
        <f t="shared" si="36"/>
        <v>0</v>
      </c>
    </row>
    <row r="145" spans="1:28">
      <c r="A145" s="11" t="s">
        <v>656</v>
      </c>
      <c r="B145" s="11"/>
      <c r="C145" s="11" t="s">
        <v>63</v>
      </c>
      <c r="E145" s="6">
        <f t="shared" si="33"/>
        <v>36002134</v>
      </c>
      <c r="G145" s="6">
        <v>8891567</v>
      </c>
      <c r="I145" s="6">
        <v>44893701</v>
      </c>
      <c r="K145" s="6">
        <f t="shared" si="32"/>
        <v>30451372</v>
      </c>
      <c r="M145" s="6">
        <v>864607</v>
      </c>
      <c r="O145" s="6">
        <f>6132781-864607</f>
        <v>5268174</v>
      </c>
      <c r="Q145" s="6">
        <v>36584153</v>
      </c>
      <c r="S145" s="6">
        <v>5239830</v>
      </c>
      <c r="U145" s="6">
        <f t="shared" si="34"/>
        <v>928066</v>
      </c>
      <c r="W145" s="6">
        <v>2141652</v>
      </c>
      <c r="Y145" s="6">
        <v>8309548</v>
      </c>
      <c r="Z145" s="6">
        <f t="shared" si="35"/>
        <v>0</v>
      </c>
      <c r="AB145" s="6">
        <f t="shared" si="36"/>
        <v>0</v>
      </c>
    </row>
    <row r="146" spans="1:28">
      <c r="A146" s="11" t="s">
        <v>719</v>
      </c>
      <c r="B146" s="11"/>
      <c r="C146" s="11" t="s">
        <v>20</v>
      </c>
      <c r="E146" s="6">
        <f t="shared" si="33"/>
        <v>12307055</v>
      </c>
      <c r="G146" s="6">
        <f>798600+5010921</f>
        <v>5809521</v>
      </c>
      <c r="I146" s="6">
        <v>18116576</v>
      </c>
      <c r="K146" s="6">
        <f t="shared" si="32"/>
        <v>8788881</v>
      </c>
      <c r="M146" s="6">
        <v>928937</v>
      </c>
      <c r="O146" s="6">
        <f>3106202-928937</f>
        <v>2177265</v>
      </c>
      <c r="Q146" s="6">
        <v>11895083</v>
      </c>
      <c r="S146" s="6">
        <v>3950122</v>
      </c>
      <c r="U146" s="6">
        <f t="shared" si="34"/>
        <v>1477114</v>
      </c>
      <c r="W146" s="6">
        <v>794257</v>
      </c>
      <c r="Y146" s="6">
        <v>6221493</v>
      </c>
      <c r="Z146" s="6">
        <f t="shared" si="35"/>
        <v>0</v>
      </c>
      <c r="AB146" s="6">
        <f t="shared" si="36"/>
        <v>0</v>
      </c>
    </row>
    <row r="147" spans="1:28">
      <c r="A147" s="11" t="s">
        <v>609</v>
      </c>
      <c r="B147" s="11"/>
      <c r="C147" s="11" t="s">
        <v>71</v>
      </c>
      <c r="E147" s="6">
        <f t="shared" ref="E147:E154" si="37">+I147-G147</f>
        <v>19461465</v>
      </c>
      <c r="G147" s="6">
        <v>5551703</v>
      </c>
      <c r="I147" s="6">
        <v>25013168</v>
      </c>
      <c r="K147" s="6">
        <f t="shared" si="32"/>
        <v>4649971</v>
      </c>
      <c r="M147" s="6">
        <v>76326</v>
      </c>
      <c r="O147" s="6">
        <f>15767121-76326</f>
        <v>15690795</v>
      </c>
      <c r="Q147" s="6">
        <v>20417092</v>
      </c>
      <c r="S147" s="6">
        <v>4148528</v>
      </c>
      <c r="U147" s="6">
        <f t="shared" si="34"/>
        <v>510333</v>
      </c>
      <c r="W147" s="6">
        <v>-62785</v>
      </c>
      <c r="Y147" s="6">
        <v>4596076</v>
      </c>
      <c r="Z147" s="6">
        <f>+I147-Q147-Y147</f>
        <v>0</v>
      </c>
      <c r="AB147" s="6">
        <f>+E147+G147+-K147-M147-S147-U147-W147-O147</f>
        <v>0</v>
      </c>
    </row>
    <row r="148" spans="1:28" hidden="1">
      <c r="A148" s="10" t="s">
        <v>741</v>
      </c>
      <c r="B148" s="11"/>
      <c r="C148" s="11" t="s">
        <v>53</v>
      </c>
      <c r="E148" s="28">
        <f t="shared" si="37"/>
        <v>0</v>
      </c>
      <c r="F148" s="28"/>
      <c r="G148" s="28"/>
      <c r="H148" s="28"/>
      <c r="I148" s="28"/>
      <c r="J148" s="28"/>
      <c r="K148" s="6">
        <f t="shared" ref="K148:K212" si="38">+Q148-M148-O148</f>
        <v>0</v>
      </c>
      <c r="L148" s="28"/>
      <c r="M148" s="28"/>
      <c r="N148" s="28"/>
      <c r="O148" s="28"/>
      <c r="P148" s="28"/>
      <c r="Q148" s="28"/>
      <c r="R148" s="28"/>
      <c r="S148" s="28"/>
      <c r="T148" s="28"/>
      <c r="U148" s="28">
        <f t="shared" si="34"/>
        <v>0</v>
      </c>
      <c r="V148" s="28"/>
      <c r="W148" s="28"/>
      <c r="X148" s="28"/>
      <c r="Y148" s="28"/>
      <c r="Z148" s="6">
        <f>+I148-Q148-Y148</f>
        <v>0</v>
      </c>
      <c r="AB148" s="6">
        <f t="shared" si="36"/>
        <v>0</v>
      </c>
    </row>
    <row r="149" spans="1:28" hidden="1">
      <c r="A149" s="11" t="s">
        <v>657</v>
      </c>
      <c r="B149" s="11"/>
      <c r="C149" s="11" t="s">
        <v>40</v>
      </c>
      <c r="E149" s="6">
        <f t="shared" si="37"/>
        <v>0</v>
      </c>
      <c r="K149" s="6">
        <f t="shared" si="38"/>
        <v>0</v>
      </c>
      <c r="U149" s="6">
        <f t="shared" si="34"/>
        <v>0</v>
      </c>
      <c r="Z149" s="6">
        <f t="shared" si="35"/>
        <v>0</v>
      </c>
      <c r="AB149" s="6">
        <f t="shared" si="36"/>
        <v>0</v>
      </c>
    </row>
    <row r="150" spans="1:28">
      <c r="A150" s="11" t="s">
        <v>367</v>
      </c>
      <c r="B150" s="11"/>
      <c r="C150" s="11" t="s">
        <v>366</v>
      </c>
      <c r="D150" s="28"/>
      <c r="E150" s="6">
        <f t="shared" si="37"/>
        <v>8160590</v>
      </c>
      <c r="G150" s="6">
        <f>712884+29645479</f>
        <v>30358363</v>
      </c>
      <c r="I150" s="6">
        <v>38518953</v>
      </c>
      <c r="K150" s="6">
        <f t="shared" si="38"/>
        <v>2620238</v>
      </c>
      <c r="M150" s="6">
        <v>331082</v>
      </c>
      <c r="O150" s="6">
        <f>2992915-331082</f>
        <v>2661833</v>
      </c>
      <c r="Q150" s="6">
        <v>5613153</v>
      </c>
      <c r="S150" s="6">
        <v>27866542</v>
      </c>
      <c r="U150" s="6">
        <f t="shared" si="34"/>
        <v>2183408</v>
      </c>
      <c r="W150" s="6">
        <v>2855850</v>
      </c>
      <c r="Y150" s="6">
        <v>32905800</v>
      </c>
      <c r="Z150" s="6">
        <f t="shared" si="35"/>
        <v>0</v>
      </c>
      <c r="AB150" s="6">
        <f t="shared" si="36"/>
        <v>0</v>
      </c>
    </row>
    <row r="151" spans="1:28">
      <c r="A151" s="11" t="s">
        <v>429</v>
      </c>
      <c r="B151" s="11"/>
      <c r="C151" s="11" t="s">
        <v>50</v>
      </c>
      <c r="E151" s="6">
        <f t="shared" si="37"/>
        <v>608610727</v>
      </c>
      <c r="G151" s="6">
        <f>68737508+43154397</f>
        <v>111891905</v>
      </c>
      <c r="I151" s="6">
        <v>720502632</v>
      </c>
      <c r="K151" s="6">
        <f t="shared" si="38"/>
        <v>87417236</v>
      </c>
      <c r="M151" s="6">
        <v>11914333</v>
      </c>
      <c r="O151" s="6">
        <f>281357353-11914333</f>
        <v>269443020</v>
      </c>
      <c r="Q151" s="6">
        <v>368774589</v>
      </c>
      <c r="S151" s="6">
        <v>238805006</v>
      </c>
      <c r="U151" s="6">
        <f t="shared" si="34"/>
        <v>66107281</v>
      </c>
      <c r="W151" s="6">
        <v>46815756</v>
      </c>
      <c r="Y151" s="6">
        <v>351728043</v>
      </c>
      <c r="Z151" s="6">
        <f t="shared" si="35"/>
        <v>0</v>
      </c>
      <c r="AB151" s="6">
        <f t="shared" si="36"/>
        <v>0</v>
      </c>
    </row>
    <row r="152" spans="1:28" ht="12.75" customHeight="1">
      <c r="A152" s="11" t="s">
        <v>889</v>
      </c>
      <c r="B152" s="11"/>
      <c r="C152" s="11" t="s">
        <v>32</v>
      </c>
      <c r="E152" s="6">
        <f t="shared" si="37"/>
        <v>15536236</v>
      </c>
      <c r="G152" s="6">
        <f>330425+2812349</f>
        <v>3142774</v>
      </c>
      <c r="I152" s="6">
        <v>18679010</v>
      </c>
      <c r="K152" s="6">
        <f t="shared" si="38"/>
        <v>6297232</v>
      </c>
      <c r="M152" s="6">
        <v>268221</v>
      </c>
      <c r="O152" s="6">
        <f>1156919-268221</f>
        <v>888698</v>
      </c>
      <c r="Q152" s="6">
        <v>7454151</v>
      </c>
      <c r="S152" s="6">
        <v>2861279</v>
      </c>
      <c r="U152" s="6">
        <f>Y152-W152-S152</f>
        <v>1095766</v>
      </c>
      <c r="W152" s="6">
        <v>7267814</v>
      </c>
      <c r="Y152" s="6">
        <v>11224859</v>
      </c>
      <c r="Z152" s="6">
        <f t="shared" si="35"/>
        <v>0</v>
      </c>
      <c r="AB152" s="6">
        <f t="shared" si="36"/>
        <v>0</v>
      </c>
    </row>
    <row r="153" spans="1:28" hidden="1">
      <c r="A153" s="11" t="s">
        <v>658</v>
      </c>
      <c r="B153" s="11"/>
      <c r="C153" s="11" t="s">
        <v>22</v>
      </c>
      <c r="E153" s="6">
        <f t="shared" si="37"/>
        <v>0</v>
      </c>
      <c r="K153" s="6">
        <f t="shared" si="38"/>
        <v>0</v>
      </c>
      <c r="U153" s="6">
        <f>Y153-W153-S153</f>
        <v>0</v>
      </c>
      <c r="Z153" s="6">
        <f t="shared" si="35"/>
        <v>0</v>
      </c>
      <c r="AB153" s="6">
        <f t="shared" ref="AB153:AB223" si="39">+E153+G153+-K153-M153-S153-U153-W153-O153</f>
        <v>0</v>
      </c>
    </row>
    <row r="154" spans="1:28">
      <c r="A154" s="11" t="s">
        <v>742</v>
      </c>
      <c r="B154" s="11"/>
      <c r="C154" s="11" t="s">
        <v>23</v>
      </c>
      <c r="E154" s="6">
        <f t="shared" si="37"/>
        <v>45918473</v>
      </c>
      <c r="G154" s="6">
        <f>5138568+33509788</f>
        <v>38648356</v>
      </c>
      <c r="I154" s="6">
        <v>84566829</v>
      </c>
      <c r="K154" s="6">
        <f t="shared" si="38"/>
        <v>34360339</v>
      </c>
      <c r="M154" s="6">
        <v>2763537</v>
      </c>
      <c r="O154" s="6">
        <f>32091132-2763537</f>
        <v>29327595</v>
      </c>
      <c r="Q154" s="6">
        <v>66451471</v>
      </c>
      <c r="S154" s="6">
        <v>9102298</v>
      </c>
      <c r="U154" s="6">
        <f>Y154-W154-S154</f>
        <v>3669938</v>
      </c>
      <c r="W154" s="6">
        <v>5343122</v>
      </c>
      <c r="Y154" s="6">
        <v>18115358</v>
      </c>
      <c r="Z154" s="6">
        <f t="shared" si="35"/>
        <v>0</v>
      </c>
      <c r="AB154" s="6">
        <f t="shared" si="39"/>
        <v>0</v>
      </c>
    </row>
    <row r="155" spans="1:28">
      <c r="A155" s="11" t="s">
        <v>201</v>
      </c>
      <c r="B155" s="11"/>
      <c r="C155" s="11" t="s">
        <v>10</v>
      </c>
      <c r="D155" s="9"/>
      <c r="E155" s="6">
        <f t="shared" ref="E155:E219" si="40">+I155-G155</f>
        <v>5989981</v>
      </c>
      <c r="G155" s="6">
        <f>126685+3990083</f>
        <v>4116768</v>
      </c>
      <c r="I155" s="6">
        <v>10106749</v>
      </c>
      <c r="K155" s="6">
        <f t="shared" si="38"/>
        <v>4952993</v>
      </c>
      <c r="M155" s="6">
        <v>5080</v>
      </c>
      <c r="O155" s="6">
        <f>535231-5080</f>
        <v>530151</v>
      </c>
      <c r="Q155" s="6">
        <v>5488224</v>
      </c>
      <c r="S155" s="6">
        <v>4116768</v>
      </c>
      <c r="U155" s="6">
        <f t="shared" ref="U155:U226" si="41">Y155-W155-S155</f>
        <v>1110676</v>
      </c>
      <c r="W155" s="6">
        <v>-608919</v>
      </c>
      <c r="Y155" s="6">
        <v>4618525</v>
      </c>
      <c r="Z155" s="6">
        <f t="shared" ref="Z155:Z225" si="42">+I155-Q155-Y155</f>
        <v>0</v>
      </c>
      <c r="AB155" s="6">
        <f t="shared" si="39"/>
        <v>0</v>
      </c>
    </row>
    <row r="156" spans="1:28">
      <c r="A156" s="11" t="s">
        <v>534</v>
      </c>
      <c r="B156" s="11"/>
      <c r="C156" s="11" t="s">
        <v>65</v>
      </c>
      <c r="E156" s="6">
        <f t="shared" si="40"/>
        <v>24603903</v>
      </c>
      <c r="G156" s="6">
        <f>517106+8232067</f>
        <v>8749173</v>
      </c>
      <c r="I156" s="6">
        <v>33353076</v>
      </c>
      <c r="K156" s="6">
        <f t="shared" si="38"/>
        <v>13964143</v>
      </c>
      <c r="M156" s="6">
        <v>694869</v>
      </c>
      <c r="O156" s="6">
        <f>5201223-694869</f>
        <v>4506354</v>
      </c>
      <c r="Q156" s="6">
        <v>19165366</v>
      </c>
      <c r="S156" s="6">
        <v>6091504</v>
      </c>
      <c r="U156" s="6">
        <f t="shared" si="41"/>
        <v>1386176</v>
      </c>
      <c r="W156" s="6">
        <v>6710030</v>
      </c>
      <c r="Y156" s="6">
        <v>14187710</v>
      </c>
      <c r="Z156" s="6">
        <f t="shared" si="42"/>
        <v>0</v>
      </c>
      <c r="AB156" s="6">
        <f t="shared" si="39"/>
        <v>0</v>
      </c>
    </row>
    <row r="157" spans="1:28">
      <c r="A157" s="11" t="s">
        <v>302</v>
      </c>
      <c r="B157" s="11"/>
      <c r="C157" s="11" t="s">
        <v>27</v>
      </c>
      <c r="E157" s="6">
        <f t="shared" si="40"/>
        <v>300811228</v>
      </c>
      <c r="G157" s="6">
        <f>12044021+163547021</f>
        <v>175591042</v>
      </c>
      <c r="I157" s="6">
        <v>476402270</v>
      </c>
      <c r="K157" s="6">
        <f t="shared" si="38"/>
        <v>191996463</v>
      </c>
      <c r="M157" s="6">
        <v>19976972</v>
      </c>
      <c r="O157" s="6">
        <f>211931937-19976972</f>
        <v>191954965</v>
      </c>
      <c r="Q157" s="6">
        <v>403928400</v>
      </c>
      <c r="S157" s="6">
        <v>6811490</v>
      </c>
      <c r="U157" s="6">
        <f t="shared" si="41"/>
        <v>18196976</v>
      </c>
      <c r="W157" s="6">
        <v>47465404</v>
      </c>
      <c r="Y157" s="6">
        <v>72473870</v>
      </c>
      <c r="Z157" s="6">
        <f t="shared" si="42"/>
        <v>0</v>
      </c>
      <c r="AB157" s="6">
        <f t="shared" si="39"/>
        <v>0</v>
      </c>
    </row>
    <row r="158" spans="1:28">
      <c r="A158" s="11" t="s">
        <v>266</v>
      </c>
      <c r="B158" s="11"/>
      <c r="C158" s="11" t="s">
        <v>20</v>
      </c>
      <c r="E158" s="6">
        <f t="shared" si="40"/>
        <v>102965131</v>
      </c>
      <c r="G158" s="6">
        <f>39023841+7874</f>
        <v>39031715</v>
      </c>
      <c r="I158" s="6">
        <v>141996846</v>
      </c>
      <c r="K158" s="6">
        <f t="shared" si="38"/>
        <v>11730652</v>
      </c>
      <c r="M158" s="6">
        <v>1829132</v>
      </c>
      <c r="O158" s="6">
        <f>10805467-1829132</f>
        <v>8976335</v>
      </c>
      <c r="Q158" s="6">
        <v>22536119</v>
      </c>
      <c r="S158" s="6">
        <v>77925563</v>
      </c>
      <c r="U158" s="6">
        <f t="shared" si="41"/>
        <v>8166208</v>
      </c>
      <c r="W158" s="6">
        <v>33368956</v>
      </c>
      <c r="Y158" s="6">
        <v>119460727</v>
      </c>
      <c r="Z158" s="6">
        <f t="shared" si="42"/>
        <v>0</v>
      </c>
      <c r="AB158" s="6">
        <f t="shared" si="39"/>
        <v>0</v>
      </c>
    </row>
    <row r="159" spans="1:28">
      <c r="A159" s="11" t="s">
        <v>244</v>
      </c>
      <c r="B159" s="11"/>
      <c r="C159" s="11" t="s">
        <v>18</v>
      </c>
      <c r="D159" s="9"/>
      <c r="E159" s="6">
        <f t="shared" si="40"/>
        <v>8298835</v>
      </c>
      <c r="G159" s="6">
        <f>426976+14474000</f>
        <v>14900976</v>
      </c>
      <c r="I159" s="6">
        <v>23199811</v>
      </c>
      <c r="K159" s="6">
        <f t="shared" si="38"/>
        <v>4323537</v>
      </c>
      <c r="M159" s="6">
        <v>336197</v>
      </c>
      <c r="O159" s="6">
        <f>2394073-336197</f>
        <v>2057876</v>
      </c>
      <c r="Q159" s="6">
        <v>6717610</v>
      </c>
      <c r="S159" s="6">
        <v>13420907</v>
      </c>
      <c r="U159" s="6">
        <f t="shared" si="41"/>
        <v>1890786</v>
      </c>
      <c r="W159" s="6">
        <v>1170508</v>
      </c>
      <c r="Y159" s="6">
        <v>16482201</v>
      </c>
      <c r="Z159" s="6">
        <f t="shared" si="42"/>
        <v>0</v>
      </c>
      <c r="AB159" s="6">
        <f t="shared" si="39"/>
        <v>0</v>
      </c>
    </row>
    <row r="160" spans="1:28">
      <c r="A160" s="11" t="s">
        <v>320</v>
      </c>
      <c r="B160" s="11"/>
      <c r="C160" s="11" t="s">
        <v>31</v>
      </c>
      <c r="E160" s="6">
        <f t="shared" si="40"/>
        <v>10942518</v>
      </c>
      <c r="G160" s="6">
        <f>550129+21228314</f>
        <v>21778443</v>
      </c>
      <c r="I160" s="6">
        <v>32720961</v>
      </c>
      <c r="K160" s="6">
        <f t="shared" si="38"/>
        <v>3264387</v>
      </c>
      <c r="M160" s="6">
        <v>635989</v>
      </c>
      <c r="O160" s="6">
        <f>3539452-635989</f>
        <v>2903463</v>
      </c>
      <c r="Q160" s="6">
        <v>6803839</v>
      </c>
      <c r="S160" s="6">
        <v>18885966</v>
      </c>
      <c r="U160" s="6">
        <f t="shared" si="41"/>
        <v>2883001</v>
      </c>
      <c r="W160" s="6">
        <v>4148155</v>
      </c>
      <c r="Y160" s="6">
        <v>25917122</v>
      </c>
      <c r="Z160" s="6">
        <f t="shared" si="42"/>
        <v>0</v>
      </c>
      <c r="AB160" s="6">
        <f t="shared" si="39"/>
        <v>0</v>
      </c>
    </row>
    <row r="161" spans="1:28">
      <c r="A161" s="11" t="s">
        <v>353</v>
      </c>
      <c r="B161" s="11"/>
      <c r="C161" s="11" t="s">
        <v>36</v>
      </c>
      <c r="E161" s="6">
        <f t="shared" si="40"/>
        <v>15338240</v>
      </c>
      <c r="G161" s="6">
        <f>1067816+9055885</f>
        <v>10123701</v>
      </c>
      <c r="I161" s="6">
        <v>25461941</v>
      </c>
      <c r="K161" s="6">
        <f t="shared" si="38"/>
        <v>9403138</v>
      </c>
      <c r="M161" s="6">
        <v>315497</v>
      </c>
      <c r="O161" s="6">
        <f>2999043-315497</f>
        <v>2683546</v>
      </c>
      <c r="Q161" s="6">
        <v>12402181</v>
      </c>
      <c r="S161" s="6">
        <v>8533698</v>
      </c>
      <c r="U161" s="6">
        <f t="shared" si="41"/>
        <v>2219850</v>
      </c>
      <c r="W161" s="6">
        <v>2306212</v>
      </c>
      <c r="Y161" s="6">
        <v>13059760</v>
      </c>
      <c r="Z161" s="6">
        <f t="shared" si="42"/>
        <v>0</v>
      </c>
      <c r="AB161" s="6">
        <f t="shared" si="39"/>
        <v>0</v>
      </c>
    </row>
    <row r="162" spans="1:28" hidden="1">
      <c r="A162" s="11" t="s">
        <v>659</v>
      </c>
      <c r="B162" s="11"/>
      <c r="C162" s="11" t="s">
        <v>40</v>
      </c>
      <c r="E162" s="6">
        <f t="shared" si="40"/>
        <v>0</v>
      </c>
      <c r="K162" s="6">
        <f t="shared" si="38"/>
        <v>0</v>
      </c>
      <c r="U162" s="6">
        <f t="shared" si="41"/>
        <v>0</v>
      </c>
      <c r="Z162" s="6">
        <f t="shared" si="42"/>
        <v>0</v>
      </c>
      <c r="AB162" s="6">
        <f t="shared" si="39"/>
        <v>0</v>
      </c>
    </row>
    <row r="163" spans="1:28">
      <c r="A163" s="11" t="s">
        <v>248</v>
      </c>
      <c r="B163" s="11"/>
      <c r="C163" s="11" t="s">
        <v>112</v>
      </c>
      <c r="E163" s="6">
        <f t="shared" si="40"/>
        <v>22011058</v>
      </c>
      <c r="G163" s="6">
        <f>365473+46188891</f>
        <v>46554364</v>
      </c>
      <c r="I163" s="6">
        <v>68565422</v>
      </c>
      <c r="K163" s="6">
        <f t="shared" si="38"/>
        <v>7275855</v>
      </c>
      <c r="M163" s="6">
        <v>721720</v>
      </c>
      <c r="O163" s="6">
        <f>11474441-721720</f>
        <v>10752721</v>
      </c>
      <c r="Q163" s="6">
        <v>18750296</v>
      </c>
      <c r="S163" s="6">
        <v>35030680</v>
      </c>
      <c r="U163" s="6">
        <f t="shared" si="41"/>
        <v>9576909</v>
      </c>
      <c r="W163" s="6">
        <v>5207537</v>
      </c>
      <c r="Y163" s="6">
        <v>49815126</v>
      </c>
      <c r="Z163" s="6">
        <f t="shared" si="42"/>
        <v>0</v>
      </c>
      <c r="AB163" s="6">
        <f t="shared" si="39"/>
        <v>0</v>
      </c>
    </row>
    <row r="164" spans="1:28">
      <c r="A164" s="11" t="s">
        <v>443</v>
      </c>
      <c r="B164" s="11"/>
      <c r="C164" s="11" t="s">
        <v>51</v>
      </c>
      <c r="E164" s="6">
        <f t="shared" si="40"/>
        <v>19005896</v>
      </c>
      <c r="G164" s="6">
        <f>150965+25471241</f>
        <v>25622206</v>
      </c>
      <c r="I164" s="6">
        <v>44628102</v>
      </c>
      <c r="K164" s="6">
        <f t="shared" si="38"/>
        <v>8457648</v>
      </c>
      <c r="M164" s="6">
        <v>584694</v>
      </c>
      <c r="O164" s="6">
        <f>7134961-584694</f>
        <v>6550267</v>
      </c>
      <c r="Q164" s="6">
        <v>15592609</v>
      </c>
      <c r="S164" s="6">
        <v>20161290</v>
      </c>
      <c r="U164" s="6">
        <f t="shared" si="41"/>
        <v>2981780</v>
      </c>
      <c r="W164" s="6">
        <v>5892423</v>
      </c>
      <c r="Y164" s="6">
        <v>29035493</v>
      </c>
      <c r="Z164" s="6">
        <f>+I164-Q164-Y164</f>
        <v>0</v>
      </c>
      <c r="AB164" s="6">
        <f>+E164+G164+-K164-M164-S164-U164-W164-O164</f>
        <v>0</v>
      </c>
    </row>
    <row r="165" spans="1:28">
      <c r="A165" s="11" t="s">
        <v>249</v>
      </c>
      <c r="B165" s="11"/>
      <c r="C165" s="11" t="s">
        <v>112</v>
      </c>
      <c r="E165" s="6">
        <f t="shared" si="40"/>
        <v>5335021</v>
      </c>
      <c r="G165" s="6">
        <f>475814+22239416</f>
        <v>22715230</v>
      </c>
      <c r="I165" s="6">
        <v>28050251</v>
      </c>
      <c r="K165" s="6">
        <f t="shared" si="38"/>
        <v>3635844</v>
      </c>
      <c r="M165" s="6">
        <v>353906</v>
      </c>
      <c r="O165" s="6">
        <f>1938678-353906</f>
        <v>1584772</v>
      </c>
      <c r="Q165" s="6">
        <v>5574522</v>
      </c>
      <c r="S165" s="6">
        <v>21196541</v>
      </c>
      <c r="U165" s="6">
        <f t="shared" si="41"/>
        <v>984849</v>
      </c>
      <c r="W165" s="6">
        <v>294339</v>
      </c>
      <c r="Y165" s="6">
        <v>22475729</v>
      </c>
      <c r="Z165" s="6">
        <f t="shared" si="42"/>
        <v>0</v>
      </c>
      <c r="AB165" s="6">
        <f t="shared" si="39"/>
        <v>0</v>
      </c>
    </row>
    <row r="166" spans="1:28">
      <c r="A166" s="10" t="s">
        <v>218</v>
      </c>
      <c r="B166" s="10"/>
      <c r="C166" s="10" t="s">
        <v>77</v>
      </c>
      <c r="E166" s="6">
        <f t="shared" si="40"/>
        <v>8787461</v>
      </c>
      <c r="G166" s="6">
        <f>271526+44694573</f>
        <v>44966099</v>
      </c>
      <c r="I166" s="6">
        <v>53753560</v>
      </c>
      <c r="K166" s="6">
        <f t="shared" si="38"/>
        <v>4823631</v>
      </c>
      <c r="M166" s="6">
        <v>608769</v>
      </c>
      <c r="O166" s="6">
        <f>8746555-608769</f>
        <v>8137786</v>
      </c>
      <c r="Q166" s="6">
        <v>13570186</v>
      </c>
      <c r="S166" s="6">
        <v>37091099</v>
      </c>
      <c r="U166" s="6">
        <f t="shared" si="41"/>
        <v>2483489</v>
      </c>
      <c r="W166" s="6">
        <v>608786</v>
      </c>
      <c r="Y166" s="6">
        <v>40183374</v>
      </c>
      <c r="Z166" s="6">
        <f t="shared" si="42"/>
        <v>0</v>
      </c>
      <c r="AB166" s="6">
        <f t="shared" si="39"/>
        <v>0</v>
      </c>
    </row>
    <row r="167" spans="1:28">
      <c r="A167" s="10" t="s">
        <v>218</v>
      </c>
      <c r="B167" s="10"/>
      <c r="C167" s="10" t="s">
        <v>420</v>
      </c>
      <c r="E167" s="6">
        <f t="shared" si="40"/>
        <v>4578960</v>
      </c>
      <c r="G167" s="6">
        <f>23487+7583813</f>
        <v>7607300</v>
      </c>
      <c r="I167" s="6">
        <v>12186260</v>
      </c>
      <c r="K167" s="6">
        <f t="shared" si="38"/>
        <v>1890820</v>
      </c>
      <c r="M167" s="6">
        <v>106440</v>
      </c>
      <c r="O167" s="6">
        <f>1031378-106440</f>
        <v>924938</v>
      </c>
      <c r="Q167" s="6">
        <v>2922198</v>
      </c>
      <c r="S167" s="6">
        <v>6800882</v>
      </c>
      <c r="U167" s="6">
        <f t="shared" si="41"/>
        <v>1059166</v>
      </c>
      <c r="W167" s="6">
        <v>1404014</v>
      </c>
      <c r="Y167" s="6">
        <v>9264062</v>
      </c>
      <c r="Z167" s="6">
        <f t="shared" si="42"/>
        <v>0</v>
      </c>
      <c r="AB167" s="6">
        <f t="shared" si="39"/>
        <v>0</v>
      </c>
    </row>
    <row r="168" spans="1:28" hidden="1">
      <c r="A168" s="11" t="s">
        <v>660</v>
      </c>
      <c r="B168" s="11"/>
      <c r="C168" s="11" t="s">
        <v>55</v>
      </c>
      <c r="E168" s="6">
        <f t="shared" si="40"/>
        <v>0</v>
      </c>
      <c r="K168" s="6">
        <f t="shared" si="38"/>
        <v>0</v>
      </c>
      <c r="U168" s="6">
        <f t="shared" si="41"/>
        <v>0</v>
      </c>
      <c r="Z168" s="6">
        <f t="shared" si="42"/>
        <v>0</v>
      </c>
      <c r="AB168" s="6">
        <f t="shared" si="39"/>
        <v>0</v>
      </c>
    </row>
    <row r="169" spans="1:28">
      <c r="A169" s="10" t="s">
        <v>555</v>
      </c>
      <c r="B169" s="10"/>
      <c r="C169" s="10" t="s">
        <v>72</v>
      </c>
      <c r="E169" s="6">
        <f t="shared" si="40"/>
        <v>14837239</v>
      </c>
      <c r="G169" s="6">
        <f>261067+4732106</f>
        <v>4993173</v>
      </c>
      <c r="I169" s="6">
        <v>19830412</v>
      </c>
      <c r="K169" s="6">
        <f t="shared" si="38"/>
        <v>6021293</v>
      </c>
      <c r="M169" s="6">
        <v>293279</v>
      </c>
      <c r="O169" s="6">
        <f>4568111-293279</f>
        <v>4274832</v>
      </c>
      <c r="Q169" s="6">
        <v>10589404</v>
      </c>
      <c r="S169" s="6">
        <v>1680988</v>
      </c>
      <c r="U169" s="6">
        <f t="shared" si="41"/>
        <v>1374707</v>
      </c>
      <c r="W169" s="6">
        <v>6185313</v>
      </c>
      <c r="Y169" s="6">
        <v>9241008</v>
      </c>
      <c r="Z169" s="6">
        <f t="shared" si="42"/>
        <v>0</v>
      </c>
      <c r="AB169" s="6">
        <f t="shared" si="39"/>
        <v>0</v>
      </c>
    </row>
    <row r="170" spans="1:28" hidden="1">
      <c r="A170" s="10" t="s">
        <v>870</v>
      </c>
      <c r="B170" s="10"/>
      <c r="C170" s="10" t="s">
        <v>57</v>
      </c>
      <c r="E170" s="6">
        <f t="shared" si="40"/>
        <v>0</v>
      </c>
      <c r="K170" s="6">
        <f t="shared" si="38"/>
        <v>0</v>
      </c>
      <c r="U170" s="6">
        <f t="shared" si="41"/>
        <v>0</v>
      </c>
      <c r="Z170" s="6">
        <f t="shared" si="42"/>
        <v>0</v>
      </c>
      <c r="AB170" s="6">
        <f t="shared" si="39"/>
        <v>0</v>
      </c>
    </row>
    <row r="171" spans="1:28" hidden="1">
      <c r="A171" s="10" t="s">
        <v>661</v>
      </c>
      <c r="B171" s="10"/>
      <c r="C171" s="10" t="s">
        <v>552</v>
      </c>
      <c r="E171" s="6">
        <f t="shared" si="40"/>
        <v>0</v>
      </c>
      <c r="K171" s="6">
        <f t="shared" si="38"/>
        <v>0</v>
      </c>
      <c r="U171" s="6">
        <f t="shared" si="41"/>
        <v>0</v>
      </c>
      <c r="Z171" s="6">
        <f t="shared" si="42"/>
        <v>0</v>
      </c>
      <c r="AB171" s="6">
        <f t="shared" si="39"/>
        <v>0</v>
      </c>
    </row>
    <row r="172" spans="1:28">
      <c r="A172" s="10" t="s">
        <v>662</v>
      </c>
      <c r="B172" s="10"/>
      <c r="C172" s="10" t="s">
        <v>221</v>
      </c>
      <c r="E172" s="6">
        <f t="shared" si="40"/>
        <v>36173930</v>
      </c>
      <c r="G172" s="6">
        <v>58644440</v>
      </c>
      <c r="I172" s="6">
        <v>94818370</v>
      </c>
      <c r="K172" s="6">
        <f t="shared" si="38"/>
        <v>20041944</v>
      </c>
      <c r="M172" s="6">
        <v>2002355</v>
      </c>
      <c r="O172" s="6">
        <f>43201050-2002355</f>
        <v>41198695</v>
      </c>
      <c r="Q172" s="6">
        <v>63242994</v>
      </c>
      <c r="S172" s="6">
        <v>31568007</v>
      </c>
      <c r="U172" s="6">
        <f t="shared" si="41"/>
        <v>4769773</v>
      </c>
      <c r="W172" s="6">
        <v>-4762404</v>
      </c>
      <c r="Y172" s="6">
        <v>31575376</v>
      </c>
      <c r="Z172" s="6">
        <f t="shared" si="42"/>
        <v>0</v>
      </c>
      <c r="AB172" s="6">
        <f t="shared" si="39"/>
        <v>0</v>
      </c>
    </row>
    <row r="173" spans="1:28">
      <c r="A173" s="10" t="s">
        <v>362</v>
      </c>
      <c r="B173" s="10"/>
      <c r="C173" s="10" t="s">
        <v>24</v>
      </c>
      <c r="E173" s="6">
        <f t="shared" ref="E173" si="43">+I173-G173</f>
        <v>11334268</v>
      </c>
      <c r="G173" s="6">
        <v>4139233</v>
      </c>
      <c r="I173" s="6">
        <v>15473501</v>
      </c>
      <c r="K173" s="6">
        <f t="shared" ref="K173" si="44">+Q173-M173-O173</f>
        <v>6142749</v>
      </c>
      <c r="M173" s="6">
        <v>45014</v>
      </c>
      <c r="O173" s="6">
        <f>778812-45014</f>
        <v>733798</v>
      </c>
      <c r="Q173" s="6">
        <v>6921561</v>
      </c>
      <c r="S173" s="6">
        <v>4035431</v>
      </c>
      <c r="U173" s="6">
        <f t="shared" ref="U173" si="45">Y173-W173-S173</f>
        <v>2253779</v>
      </c>
      <c r="W173" s="6">
        <v>2262730</v>
      </c>
      <c r="Y173" s="6">
        <v>8551940</v>
      </c>
      <c r="Z173" s="6">
        <f t="shared" ref="Z173" si="46">+I173-Q173-Y173</f>
        <v>0</v>
      </c>
      <c r="AB173" s="6">
        <f t="shared" ref="AB173" si="47">+E173+G173+-K173-M173-S173-U173-W173-O173</f>
        <v>0</v>
      </c>
    </row>
    <row r="174" spans="1:28">
      <c r="A174" s="10" t="s">
        <v>362</v>
      </c>
      <c r="B174" s="10"/>
      <c r="C174" s="10" t="s">
        <v>39</v>
      </c>
      <c r="E174" s="6">
        <f t="shared" si="40"/>
        <v>9629210</v>
      </c>
      <c r="G174" s="6">
        <v>4279293</v>
      </c>
      <c r="I174" s="6">
        <v>13908503</v>
      </c>
      <c r="K174" s="6">
        <f t="shared" si="38"/>
        <v>9108380</v>
      </c>
      <c r="M174" s="6">
        <v>561439</v>
      </c>
      <c r="O174" s="6">
        <f>1832220-561439</f>
        <v>1270781</v>
      </c>
      <c r="Q174" s="6">
        <v>10940600</v>
      </c>
      <c r="S174" s="6">
        <v>4135275</v>
      </c>
      <c r="U174" s="6">
        <f t="shared" si="41"/>
        <v>153258</v>
      </c>
      <c r="W174" s="6">
        <v>-1320630</v>
      </c>
      <c r="Y174" s="6">
        <v>2967903</v>
      </c>
      <c r="Z174" s="6">
        <f t="shared" si="42"/>
        <v>0</v>
      </c>
      <c r="AB174" s="6">
        <f t="shared" si="39"/>
        <v>0</v>
      </c>
    </row>
    <row r="175" spans="1:28" hidden="1">
      <c r="A175" s="11" t="s">
        <v>871</v>
      </c>
      <c r="B175" s="10"/>
      <c r="C175" s="10" t="s">
        <v>552</v>
      </c>
      <c r="E175" s="6">
        <f t="shared" si="40"/>
        <v>0</v>
      </c>
      <c r="K175" s="6">
        <f t="shared" si="38"/>
        <v>0</v>
      </c>
      <c r="U175" s="6">
        <f t="shared" si="41"/>
        <v>0</v>
      </c>
      <c r="Z175" s="6">
        <f t="shared" si="42"/>
        <v>0</v>
      </c>
      <c r="AB175" s="6">
        <f t="shared" si="39"/>
        <v>0</v>
      </c>
    </row>
    <row r="176" spans="1:28">
      <c r="A176" s="10" t="s">
        <v>677</v>
      </c>
      <c r="B176" s="10"/>
      <c r="C176" s="10" t="s">
        <v>46</v>
      </c>
      <c r="D176" s="9"/>
      <c r="E176" s="6">
        <f t="shared" ref="E176" si="48">+I176-G176</f>
        <v>42174355</v>
      </c>
      <c r="G176" s="6">
        <f>8391094+2296254</f>
        <v>10687348</v>
      </c>
      <c r="I176" s="6">
        <v>52861703</v>
      </c>
      <c r="K176" s="6">
        <f t="shared" ref="K176" si="49">+Q176-M176-O176</f>
        <v>6243079</v>
      </c>
      <c r="M176" s="6">
        <v>814676</v>
      </c>
      <c r="O176" s="6">
        <f>17381267-814676</f>
        <v>16566591</v>
      </c>
      <c r="Q176" s="6">
        <v>23624346</v>
      </c>
      <c r="S176" s="6">
        <v>10910163</v>
      </c>
      <c r="U176" s="6">
        <f t="shared" ref="U176" si="50">Y176-W176-S176</f>
        <v>14105981</v>
      </c>
      <c r="W176" s="6">
        <v>4221213</v>
      </c>
      <c r="Y176" s="6">
        <v>29237357</v>
      </c>
      <c r="Z176" s="6">
        <f t="shared" ref="Z176" si="51">+I176-Q176-Y176</f>
        <v>0</v>
      </c>
      <c r="AB176" s="6">
        <f t="shared" ref="AB176" si="52">+E176+G176+-K176-M176-S176-U176-W176-O176</f>
        <v>0</v>
      </c>
    </row>
    <row r="177" spans="1:28" hidden="1">
      <c r="A177" s="11" t="s">
        <v>663</v>
      </c>
      <c r="B177" s="11"/>
      <c r="C177" s="11" t="s">
        <v>10</v>
      </c>
      <c r="E177" s="6">
        <f t="shared" si="40"/>
        <v>0</v>
      </c>
      <c r="K177" s="6">
        <f t="shared" si="38"/>
        <v>0</v>
      </c>
      <c r="U177" s="6">
        <f t="shared" si="41"/>
        <v>0</v>
      </c>
      <c r="Z177" s="6">
        <f t="shared" si="42"/>
        <v>0</v>
      </c>
      <c r="AB177" s="6">
        <f t="shared" si="39"/>
        <v>0</v>
      </c>
    </row>
    <row r="178" spans="1:28" hidden="1">
      <c r="A178" s="10" t="s">
        <v>692</v>
      </c>
      <c r="B178" s="10"/>
      <c r="C178" s="10" t="s">
        <v>72</v>
      </c>
      <c r="D178" s="9"/>
      <c r="E178" s="6">
        <f t="shared" si="40"/>
        <v>0</v>
      </c>
      <c r="K178" s="6">
        <f t="shared" si="38"/>
        <v>0</v>
      </c>
      <c r="U178" s="6">
        <f t="shared" si="41"/>
        <v>0</v>
      </c>
      <c r="Z178" s="6">
        <f t="shared" si="42"/>
        <v>0</v>
      </c>
      <c r="AB178" s="6">
        <f t="shared" si="39"/>
        <v>0</v>
      </c>
    </row>
    <row r="179" spans="1:28">
      <c r="A179" s="10" t="s">
        <v>384</v>
      </c>
      <c r="B179" s="10"/>
      <c r="C179" s="10" t="s">
        <v>44</v>
      </c>
      <c r="E179" s="6">
        <f t="shared" si="40"/>
        <v>52100793</v>
      </c>
      <c r="G179" s="6">
        <f>8900828+66602755</f>
        <v>75503583</v>
      </c>
      <c r="I179" s="6">
        <v>127604376</v>
      </c>
      <c r="K179" s="6">
        <f t="shared" si="38"/>
        <v>40426441</v>
      </c>
      <c r="M179" s="6">
        <v>2247049</v>
      </c>
      <c r="O179" s="6">
        <f>54215075-2247049</f>
        <v>51968026</v>
      </c>
      <c r="Q179" s="6">
        <v>94641516</v>
      </c>
      <c r="S179" s="6">
        <v>27873333</v>
      </c>
      <c r="U179" s="6">
        <f t="shared" si="41"/>
        <v>5377238</v>
      </c>
      <c r="W179" s="6">
        <v>-287711</v>
      </c>
      <c r="Y179" s="6">
        <v>32962860</v>
      </c>
      <c r="Z179" s="6">
        <f t="shared" si="42"/>
        <v>0</v>
      </c>
      <c r="AB179" s="6">
        <f t="shared" si="39"/>
        <v>0</v>
      </c>
    </row>
    <row r="180" spans="1:28">
      <c r="A180" s="10" t="s">
        <v>267</v>
      </c>
      <c r="B180" s="10"/>
      <c r="C180" s="10" t="s">
        <v>20</v>
      </c>
      <c r="E180" s="6">
        <f t="shared" si="40"/>
        <v>125445639</v>
      </c>
      <c r="G180" s="6">
        <f>21637608+12545186</f>
        <v>34182794</v>
      </c>
      <c r="I180" s="6">
        <v>159628433</v>
      </c>
      <c r="K180" s="6">
        <f t="shared" si="38"/>
        <v>42118237</v>
      </c>
      <c r="M180" s="6">
        <v>4104935</v>
      </c>
      <c r="O180" s="6">
        <f>52537523-4104935</f>
        <v>48432588</v>
      </c>
      <c r="Q180" s="6">
        <v>94655760</v>
      </c>
      <c r="S180" s="6">
        <v>34828640</v>
      </c>
      <c r="U180" s="6">
        <f t="shared" si="41"/>
        <v>17980664</v>
      </c>
      <c r="W180" s="6">
        <v>12163369</v>
      </c>
      <c r="Y180" s="6">
        <v>64972673</v>
      </c>
      <c r="Z180" s="6">
        <f t="shared" si="42"/>
        <v>0</v>
      </c>
      <c r="AB180" s="6">
        <f t="shared" si="39"/>
        <v>0</v>
      </c>
    </row>
    <row r="181" spans="1:28" hidden="1">
      <c r="A181" s="11" t="s">
        <v>619</v>
      </c>
      <c r="B181" s="10"/>
      <c r="C181" s="10" t="s">
        <v>28</v>
      </c>
      <c r="E181" s="6">
        <f t="shared" si="40"/>
        <v>0</v>
      </c>
      <c r="K181" s="6">
        <f t="shared" si="38"/>
        <v>0</v>
      </c>
      <c r="U181" s="6">
        <f t="shared" si="41"/>
        <v>0</v>
      </c>
      <c r="Z181" s="6">
        <f>+I181-Q181-Y181</f>
        <v>0</v>
      </c>
      <c r="AB181" s="6">
        <f t="shared" si="39"/>
        <v>0</v>
      </c>
    </row>
    <row r="182" spans="1:28">
      <c r="A182" s="10" t="s">
        <v>539</v>
      </c>
      <c r="B182" s="10"/>
      <c r="C182" s="10" t="s">
        <v>66</v>
      </c>
      <c r="E182" s="6">
        <f t="shared" si="40"/>
        <v>10490604</v>
      </c>
      <c r="G182" s="6">
        <v>16482986</v>
      </c>
      <c r="I182" s="6">
        <v>26973590</v>
      </c>
      <c r="K182" s="6">
        <f t="shared" si="38"/>
        <v>5977693</v>
      </c>
      <c r="M182" s="6">
        <v>547935</v>
      </c>
      <c r="O182" s="6">
        <f>12093923-547935</f>
        <v>11545988</v>
      </c>
      <c r="Q182" s="6">
        <v>18071616</v>
      </c>
      <c r="S182" s="6">
        <v>5444462</v>
      </c>
      <c r="U182" s="6">
        <f t="shared" si="41"/>
        <v>1213444</v>
      </c>
      <c r="W182" s="6">
        <v>2244068</v>
      </c>
      <c r="Y182" s="6">
        <v>8901974</v>
      </c>
      <c r="Z182" s="6">
        <f t="shared" si="42"/>
        <v>0</v>
      </c>
      <c r="AB182" s="6">
        <f t="shared" si="39"/>
        <v>0</v>
      </c>
    </row>
    <row r="183" spans="1:28" s="28" customFormat="1">
      <c r="A183" s="27" t="s">
        <v>626</v>
      </c>
      <c r="B183" s="27"/>
      <c r="C183" s="27" t="s">
        <v>114</v>
      </c>
      <c r="E183" s="6">
        <f>+I183-G183</f>
        <v>27779479</v>
      </c>
      <c r="F183" s="6"/>
      <c r="G183" s="6">
        <f>299675+11764330</f>
        <v>12064005</v>
      </c>
      <c r="H183" s="6"/>
      <c r="I183" s="6">
        <v>39843484</v>
      </c>
      <c r="J183" s="6"/>
      <c r="K183" s="6">
        <f t="shared" si="38"/>
        <v>19727376</v>
      </c>
      <c r="L183" s="6"/>
      <c r="M183" s="6">
        <v>1340342</v>
      </c>
      <c r="N183" s="6"/>
      <c r="O183" s="6">
        <f>19662179-1340342</f>
        <v>18321837</v>
      </c>
      <c r="P183" s="6"/>
      <c r="Q183" s="6">
        <v>39389555</v>
      </c>
      <c r="R183" s="6"/>
      <c r="S183" s="6">
        <v>-3312870</v>
      </c>
      <c r="T183" s="6"/>
      <c r="U183" s="6">
        <f>Y183-W183-S183</f>
        <v>3002788</v>
      </c>
      <c r="V183" s="6"/>
      <c r="W183" s="6">
        <v>764011</v>
      </c>
      <c r="X183" s="6"/>
      <c r="Y183" s="6">
        <v>453929</v>
      </c>
      <c r="Z183" s="6">
        <f>+I183-Q183-Y183</f>
        <v>0</v>
      </c>
      <c r="AA183" s="6"/>
      <c r="AB183" s="6">
        <f>+E183+G183+-K183-M183-S183-U183-W183-O183</f>
        <v>0</v>
      </c>
    </row>
    <row r="184" spans="1:28">
      <c r="A184" s="10" t="s">
        <v>222</v>
      </c>
      <c r="B184" s="10"/>
      <c r="C184" s="10" t="s">
        <v>221</v>
      </c>
      <c r="E184" s="6">
        <f t="shared" si="40"/>
        <v>76167097</v>
      </c>
      <c r="G184" s="6">
        <f>3803351+58204084</f>
        <v>62007435</v>
      </c>
      <c r="I184" s="6">
        <v>138174532</v>
      </c>
      <c r="K184" s="6">
        <f t="shared" si="38"/>
        <v>63569956</v>
      </c>
      <c r="M184" s="6">
        <v>1516765</v>
      </c>
      <c r="O184" s="6">
        <f>42343759-1516765</f>
        <v>40826994</v>
      </c>
      <c r="Q184" s="6">
        <v>105913715</v>
      </c>
      <c r="S184" s="6">
        <v>30526588</v>
      </c>
      <c r="U184" s="6">
        <f t="shared" si="41"/>
        <v>2743100</v>
      </c>
      <c r="W184" s="6">
        <v>-1008871</v>
      </c>
      <c r="Y184" s="6">
        <v>32260817</v>
      </c>
      <c r="Z184" s="6">
        <f t="shared" si="42"/>
        <v>0</v>
      </c>
      <c r="AB184" s="6">
        <f t="shared" si="39"/>
        <v>0</v>
      </c>
    </row>
    <row r="185" spans="1:28">
      <c r="A185" s="10" t="s">
        <v>349</v>
      </c>
      <c r="B185" s="10"/>
      <c r="C185" s="10" t="s">
        <v>348</v>
      </c>
      <c r="E185" s="6">
        <f t="shared" si="40"/>
        <v>5069685</v>
      </c>
      <c r="G185" s="6">
        <f>399200+14056137</f>
        <v>14455337</v>
      </c>
      <c r="I185" s="6">
        <v>19525022</v>
      </c>
      <c r="K185" s="6">
        <f t="shared" si="38"/>
        <v>2474246</v>
      </c>
      <c r="M185" s="6">
        <v>180994</v>
      </c>
      <c r="O185" s="6">
        <f>2274733-180994</f>
        <v>2093739</v>
      </c>
      <c r="Q185" s="6">
        <v>4748979</v>
      </c>
      <c r="S185" s="6">
        <v>12910093</v>
      </c>
      <c r="U185" s="6">
        <f t="shared" si="41"/>
        <v>948318</v>
      </c>
      <c r="W185" s="6">
        <v>917632</v>
      </c>
      <c r="Y185" s="6">
        <v>14776043</v>
      </c>
      <c r="Z185" s="6">
        <f t="shared" si="42"/>
        <v>0</v>
      </c>
      <c r="AB185" s="6">
        <f t="shared" si="39"/>
        <v>0</v>
      </c>
    </row>
    <row r="186" spans="1:28">
      <c r="A186" s="10" t="s">
        <v>294</v>
      </c>
      <c r="B186" s="10"/>
      <c r="C186" s="10" t="s">
        <v>25</v>
      </c>
      <c r="E186" s="6">
        <f t="shared" si="40"/>
        <v>28949709</v>
      </c>
      <c r="G186" s="6">
        <v>66163348</v>
      </c>
      <c r="I186" s="6">
        <v>95113057</v>
      </c>
      <c r="K186" s="6">
        <f t="shared" si="38"/>
        <v>7645652</v>
      </c>
      <c r="M186" s="6">
        <v>798955</v>
      </c>
      <c r="O186" s="6">
        <f>27197963-798955</f>
        <v>26399008</v>
      </c>
      <c r="Q186" s="6">
        <v>34843615</v>
      </c>
      <c r="S186" s="6">
        <v>40519503</v>
      </c>
      <c r="U186" s="6">
        <f t="shared" si="41"/>
        <v>12514481</v>
      </c>
      <c r="W186" s="6">
        <v>7235458</v>
      </c>
      <c r="Y186" s="6">
        <v>60269442</v>
      </c>
      <c r="Z186" s="6">
        <f>+I186-Q186-Y186</f>
        <v>0</v>
      </c>
      <c r="AB186" s="6">
        <f>+E186+G186+-K186-M186-S186-U186-W186-O186</f>
        <v>0</v>
      </c>
    </row>
    <row r="187" spans="1:28">
      <c r="A187" s="10" t="s">
        <v>368</v>
      </c>
      <c r="B187" s="10"/>
      <c r="C187" s="10" t="s">
        <v>366</v>
      </c>
      <c r="E187" s="6">
        <f t="shared" si="40"/>
        <v>11183462</v>
      </c>
      <c r="G187" s="6">
        <f>198591+28228582</f>
        <v>28427173</v>
      </c>
      <c r="I187" s="6">
        <v>39610635</v>
      </c>
      <c r="K187" s="6">
        <f t="shared" si="38"/>
        <v>4627547</v>
      </c>
      <c r="M187" s="6">
        <v>414970</v>
      </c>
      <c r="O187" s="6">
        <f>3408593-414970</f>
        <v>2993623</v>
      </c>
      <c r="Q187" s="6">
        <v>8036140</v>
      </c>
      <c r="S187" s="6">
        <v>26137173</v>
      </c>
      <c r="U187" s="6">
        <f t="shared" si="41"/>
        <v>1915711</v>
      </c>
      <c r="W187" s="6">
        <v>3521611</v>
      </c>
      <c r="Y187" s="6">
        <v>31574495</v>
      </c>
      <c r="Z187" s="6">
        <f>+I187-Q187-Y187</f>
        <v>0</v>
      </c>
      <c r="AB187" s="6">
        <f>+E187+G187+-K187-M187-S187-U187-W187-O187</f>
        <v>0</v>
      </c>
    </row>
    <row r="188" spans="1:28" hidden="1">
      <c r="A188" s="10" t="s">
        <v>620</v>
      </c>
      <c r="B188" s="10"/>
      <c r="C188" s="10" t="s">
        <v>61</v>
      </c>
      <c r="E188" s="6">
        <f t="shared" si="40"/>
        <v>0</v>
      </c>
      <c r="K188" s="6">
        <f t="shared" si="38"/>
        <v>0</v>
      </c>
      <c r="U188" s="6">
        <f t="shared" si="41"/>
        <v>0</v>
      </c>
      <c r="Z188" s="6">
        <f>+I188-Q188-Y188</f>
        <v>0</v>
      </c>
      <c r="AB188" s="6">
        <f t="shared" si="39"/>
        <v>0</v>
      </c>
    </row>
    <row r="189" spans="1:28">
      <c r="A189" s="10" t="s">
        <v>496</v>
      </c>
      <c r="B189" s="10"/>
      <c r="C189" s="10" t="s">
        <v>62</v>
      </c>
      <c r="E189" s="6">
        <f t="shared" si="40"/>
        <v>12297118</v>
      </c>
      <c r="G189" s="6">
        <v>27143116</v>
      </c>
      <c r="I189" s="6">
        <v>39440234</v>
      </c>
      <c r="K189" s="6">
        <f t="shared" si="38"/>
        <v>7693038</v>
      </c>
      <c r="M189" s="6">
        <v>732488</v>
      </c>
      <c r="O189" s="6">
        <f>13019877-732488</f>
        <v>12287389</v>
      </c>
      <c r="Q189" s="6">
        <v>20712915</v>
      </c>
      <c r="S189" s="6">
        <v>14972591</v>
      </c>
      <c r="U189" s="6">
        <f t="shared" si="41"/>
        <v>1637595</v>
      </c>
      <c r="W189" s="6">
        <v>2117133</v>
      </c>
      <c r="Y189" s="6">
        <v>18727319</v>
      </c>
      <c r="Z189" s="6">
        <f>+I189-Q189-Y189</f>
        <v>0</v>
      </c>
      <c r="AB189" s="6">
        <f>+E189+G189+-K189-M189-S189-U189-W189-O189</f>
        <v>0</v>
      </c>
    </row>
    <row r="190" spans="1:28" hidden="1">
      <c r="A190" s="10" t="s">
        <v>890</v>
      </c>
      <c r="B190" s="10"/>
      <c r="C190" s="10" t="s">
        <v>41</v>
      </c>
      <c r="D190" s="9"/>
      <c r="E190" s="6">
        <f t="shared" si="40"/>
        <v>0</v>
      </c>
      <c r="K190" s="6">
        <f t="shared" si="38"/>
        <v>0</v>
      </c>
      <c r="U190" s="6">
        <f t="shared" si="41"/>
        <v>0</v>
      </c>
      <c r="Z190" s="6">
        <f t="shared" si="42"/>
        <v>0</v>
      </c>
      <c r="AB190" s="6">
        <f t="shared" si="39"/>
        <v>0</v>
      </c>
    </row>
    <row r="191" spans="1:28">
      <c r="A191" s="10" t="s">
        <v>268</v>
      </c>
      <c r="B191" s="10"/>
      <c r="C191" s="10" t="s">
        <v>20</v>
      </c>
      <c r="E191" s="28">
        <f t="shared" si="40"/>
        <v>34163821</v>
      </c>
      <c r="F191" s="28"/>
      <c r="G191" s="28">
        <v>34644483</v>
      </c>
      <c r="H191" s="28"/>
      <c r="I191" s="28">
        <v>68808304</v>
      </c>
      <c r="J191" s="28"/>
      <c r="K191" s="28">
        <f t="shared" si="38"/>
        <v>16239776</v>
      </c>
      <c r="L191" s="28"/>
      <c r="M191" s="28">
        <v>1644714</v>
      </c>
      <c r="N191" s="28"/>
      <c r="O191" s="28">
        <f>29018047-1644714</f>
        <v>27373333</v>
      </c>
      <c r="P191" s="28"/>
      <c r="Q191" s="28">
        <v>45257823</v>
      </c>
      <c r="R191" s="28"/>
      <c r="S191" s="28">
        <v>8373342</v>
      </c>
      <c r="T191" s="28"/>
      <c r="U191" s="28">
        <f t="shared" si="41"/>
        <v>2614797</v>
      </c>
      <c r="V191" s="28"/>
      <c r="W191" s="28">
        <v>12562342</v>
      </c>
      <c r="X191" s="28"/>
      <c r="Y191" s="28">
        <v>23550481</v>
      </c>
      <c r="Z191" s="6">
        <f t="shared" si="42"/>
        <v>0</v>
      </c>
      <c r="AB191" s="6">
        <f t="shared" si="39"/>
        <v>0</v>
      </c>
    </row>
    <row r="192" spans="1:28" hidden="1">
      <c r="A192" s="10" t="s">
        <v>745</v>
      </c>
      <c r="B192" s="10"/>
      <c r="C192" s="10" t="s">
        <v>28</v>
      </c>
      <c r="E192" s="6">
        <f t="shared" si="40"/>
        <v>0</v>
      </c>
      <c r="K192" s="6">
        <f t="shared" si="38"/>
        <v>0</v>
      </c>
      <c r="U192" s="6">
        <f t="shared" si="41"/>
        <v>0</v>
      </c>
      <c r="Z192" s="6">
        <f t="shared" si="42"/>
        <v>0</v>
      </c>
      <c r="AB192" s="6">
        <f t="shared" si="39"/>
        <v>0</v>
      </c>
    </row>
    <row r="193" spans="1:28">
      <c r="A193" s="10" t="s">
        <v>219</v>
      </c>
      <c r="B193" s="10"/>
      <c r="C193" s="10" t="s">
        <v>77</v>
      </c>
      <c r="E193" s="6">
        <f t="shared" si="40"/>
        <v>6746382</v>
      </c>
      <c r="G193" s="6">
        <f>89380+27655498</f>
        <v>27744878</v>
      </c>
      <c r="I193" s="6">
        <v>34491260</v>
      </c>
      <c r="K193" s="6">
        <f t="shared" si="38"/>
        <v>2644796</v>
      </c>
      <c r="M193" s="6">
        <v>418881</v>
      </c>
      <c r="O193" s="6">
        <f>7857903-418881</f>
        <v>7439022</v>
      </c>
      <c r="Q193" s="6">
        <v>10502699</v>
      </c>
      <c r="S193" s="6">
        <v>20401767</v>
      </c>
      <c r="U193" s="6">
        <f t="shared" si="41"/>
        <v>2667537</v>
      </c>
      <c r="W193" s="6">
        <v>919257</v>
      </c>
      <c r="Y193" s="6">
        <v>23988561</v>
      </c>
      <c r="Z193" s="6">
        <f t="shared" si="42"/>
        <v>0</v>
      </c>
      <c r="AB193" s="6">
        <f t="shared" si="39"/>
        <v>0</v>
      </c>
    </row>
    <row r="194" spans="1:28">
      <c r="A194" s="11" t="s">
        <v>743</v>
      </c>
      <c r="B194" s="11"/>
      <c r="C194" s="11" t="s">
        <v>13</v>
      </c>
      <c r="E194" s="6">
        <f t="shared" si="40"/>
        <v>8096828</v>
      </c>
      <c r="G194" s="6">
        <f>44623+8586466</f>
        <v>8631089</v>
      </c>
      <c r="I194" s="6">
        <v>16727917</v>
      </c>
      <c r="K194" s="6">
        <f t="shared" si="38"/>
        <v>3982072</v>
      </c>
      <c r="M194" s="6">
        <v>121183</v>
      </c>
      <c r="O194" s="6">
        <f>1054142-121183</f>
        <v>932959</v>
      </c>
      <c r="Q194" s="6">
        <v>5036214</v>
      </c>
      <c r="S194" s="6">
        <v>8171086</v>
      </c>
      <c r="U194" s="6">
        <f t="shared" si="41"/>
        <v>1444433</v>
      </c>
      <c r="W194" s="6">
        <v>2076184</v>
      </c>
      <c r="Y194" s="6">
        <v>11691703</v>
      </c>
      <c r="Z194" s="6">
        <f t="shared" si="42"/>
        <v>0</v>
      </c>
      <c r="AB194" s="6">
        <f t="shared" si="39"/>
        <v>0</v>
      </c>
    </row>
    <row r="195" spans="1:28">
      <c r="A195" s="10" t="s">
        <v>239</v>
      </c>
      <c r="B195" s="10"/>
      <c r="C195" s="10" t="s">
        <v>113</v>
      </c>
      <c r="E195" s="6">
        <f t="shared" si="40"/>
        <v>5608920</v>
      </c>
      <c r="G195" s="6">
        <f>620692+17149296</f>
        <v>17769988</v>
      </c>
      <c r="I195" s="6">
        <v>23378908</v>
      </c>
      <c r="K195" s="6">
        <f t="shared" si="38"/>
        <v>2543447</v>
      </c>
      <c r="M195" s="6">
        <v>359322</v>
      </c>
      <c r="O195" s="6">
        <f>3176764-359322</f>
        <v>2817442</v>
      </c>
      <c r="Q195" s="6">
        <v>5720211</v>
      </c>
      <c r="S195" s="6">
        <v>15209022</v>
      </c>
      <c r="U195" s="6">
        <f t="shared" si="41"/>
        <v>1488002</v>
      </c>
      <c r="W195" s="6">
        <v>961673</v>
      </c>
      <c r="Y195" s="6">
        <v>17658697</v>
      </c>
      <c r="Z195" s="6">
        <f t="shared" si="42"/>
        <v>0</v>
      </c>
      <c r="AB195" s="6">
        <f t="shared" si="39"/>
        <v>0</v>
      </c>
    </row>
    <row r="196" spans="1:28">
      <c r="A196" s="10" t="s">
        <v>720</v>
      </c>
      <c r="B196" s="10"/>
      <c r="C196" s="10" t="s">
        <v>56</v>
      </c>
      <c r="E196" s="6">
        <f t="shared" si="40"/>
        <v>39210169</v>
      </c>
      <c r="G196" s="6">
        <f>2182541+11715</f>
        <v>2194256</v>
      </c>
      <c r="I196" s="6">
        <v>41404425</v>
      </c>
      <c r="K196" s="6">
        <f t="shared" si="38"/>
        <v>10903342</v>
      </c>
      <c r="M196" s="6">
        <v>618612</v>
      </c>
      <c r="O196" s="6">
        <f>26472690-618612</f>
        <v>25854078</v>
      </c>
      <c r="Q196" s="6">
        <v>37376032</v>
      </c>
      <c r="S196" s="6">
        <v>3469785</v>
      </c>
      <c r="U196" s="6">
        <f t="shared" si="41"/>
        <v>1376858</v>
      </c>
      <c r="W196" s="6">
        <v>-818250</v>
      </c>
      <c r="Y196" s="6">
        <v>4028393</v>
      </c>
      <c r="Z196" s="6">
        <f t="shared" si="42"/>
        <v>0</v>
      </c>
      <c r="AB196" s="6">
        <f t="shared" si="39"/>
        <v>0</v>
      </c>
    </row>
    <row r="197" spans="1:28">
      <c r="A197" s="10" t="s">
        <v>337</v>
      </c>
      <c r="B197" s="10"/>
      <c r="C197" s="10" t="s">
        <v>33</v>
      </c>
      <c r="E197" s="6">
        <f t="shared" si="40"/>
        <v>88215507</v>
      </c>
      <c r="G197" s="6">
        <v>58746154</v>
      </c>
      <c r="I197" s="6">
        <v>146961661</v>
      </c>
      <c r="K197" s="6">
        <f t="shared" si="38"/>
        <v>35116650</v>
      </c>
      <c r="M197" s="6">
        <v>2381004</v>
      </c>
      <c r="O197" s="6">
        <f>57743291-2381004</f>
        <v>55362287</v>
      </c>
      <c r="Q197" s="6">
        <v>92859941</v>
      </c>
      <c r="S197" s="6">
        <v>34328221</v>
      </c>
      <c r="U197" s="6">
        <f t="shared" si="41"/>
        <v>9747567</v>
      </c>
      <c r="W197" s="6">
        <v>10025932</v>
      </c>
      <c r="Y197" s="6">
        <v>54101720</v>
      </c>
      <c r="Z197" s="6">
        <f t="shared" si="42"/>
        <v>0</v>
      </c>
      <c r="AB197" s="6">
        <f t="shared" si="39"/>
        <v>0</v>
      </c>
    </row>
    <row r="198" spans="1:28">
      <c r="A198" s="10" t="s">
        <v>322</v>
      </c>
      <c r="B198" s="10"/>
      <c r="C198" s="10" t="s">
        <v>32</v>
      </c>
      <c r="E198" s="6">
        <f t="shared" si="40"/>
        <v>15154426</v>
      </c>
      <c r="G198" s="6">
        <f>1154812+5817071</f>
        <v>6971883</v>
      </c>
      <c r="I198" s="6">
        <v>22126309</v>
      </c>
      <c r="K198" s="6">
        <f t="shared" si="38"/>
        <v>9210756</v>
      </c>
      <c r="M198" s="6">
        <v>536266</v>
      </c>
      <c r="O198" s="6">
        <f>7365669-536266</f>
        <v>6829403</v>
      </c>
      <c r="Q198" s="6">
        <v>16576425</v>
      </c>
      <c r="S198" s="6">
        <v>705397</v>
      </c>
      <c r="U198" s="6">
        <f t="shared" si="41"/>
        <v>1389562</v>
      </c>
      <c r="W198" s="6">
        <v>3454925</v>
      </c>
      <c r="Y198" s="6">
        <v>5549884</v>
      </c>
      <c r="Z198" s="6">
        <f t="shared" si="42"/>
        <v>0</v>
      </c>
      <c r="AB198" s="6">
        <f t="shared" si="39"/>
        <v>0</v>
      </c>
    </row>
    <row r="199" spans="1:28">
      <c r="A199" s="10" t="s">
        <v>385</v>
      </c>
      <c r="B199" s="10"/>
      <c r="C199" s="10" t="s">
        <v>44</v>
      </c>
      <c r="E199" s="6">
        <f t="shared" si="40"/>
        <v>11803930</v>
      </c>
      <c r="G199" s="6">
        <v>5607717</v>
      </c>
      <c r="I199" s="6">
        <v>17411647</v>
      </c>
      <c r="K199" s="6">
        <f t="shared" si="38"/>
        <v>9275036</v>
      </c>
      <c r="M199" s="6">
        <v>305492</v>
      </c>
      <c r="O199" s="6">
        <f>2125422-305492</f>
        <v>1819930</v>
      </c>
      <c r="Q199" s="6">
        <v>11400458</v>
      </c>
      <c r="S199" s="6">
        <v>4513834</v>
      </c>
      <c r="U199" s="6">
        <f t="shared" si="41"/>
        <v>54313</v>
      </c>
      <c r="W199" s="6">
        <v>1443042</v>
      </c>
      <c r="Y199" s="6">
        <v>6011189</v>
      </c>
      <c r="Z199" s="6">
        <f t="shared" si="42"/>
        <v>0</v>
      </c>
      <c r="AB199" s="6">
        <f t="shared" si="39"/>
        <v>0</v>
      </c>
    </row>
    <row r="200" spans="1:28">
      <c r="A200" s="10" t="s">
        <v>323</v>
      </c>
      <c r="B200" s="10"/>
      <c r="C200" s="10" t="s">
        <v>32</v>
      </c>
      <c r="E200" s="6">
        <f t="shared" si="40"/>
        <v>66465330</v>
      </c>
      <c r="G200" s="6">
        <f>1268597+24021448</f>
        <v>25290045</v>
      </c>
      <c r="I200" s="6">
        <v>91755375</v>
      </c>
      <c r="K200" s="6">
        <f t="shared" si="38"/>
        <v>39155787</v>
      </c>
      <c r="M200" s="6">
        <v>3108395</v>
      </c>
      <c r="O200" s="6">
        <f>11731917-3108395</f>
        <v>8623522</v>
      </c>
      <c r="Q200" s="6">
        <v>50887704</v>
      </c>
      <c r="S200" s="6">
        <v>16233014</v>
      </c>
      <c r="U200" s="6">
        <f t="shared" si="41"/>
        <v>6090325</v>
      </c>
      <c r="W200" s="6">
        <v>18544332</v>
      </c>
      <c r="Y200" s="6">
        <v>40867671</v>
      </c>
      <c r="Z200" s="6">
        <f t="shared" si="42"/>
        <v>0</v>
      </c>
      <c r="AB200" s="6">
        <f t="shared" si="39"/>
        <v>0</v>
      </c>
    </row>
    <row r="201" spans="1:28" hidden="1">
      <c r="A201" s="10" t="s">
        <v>616</v>
      </c>
      <c r="B201" s="10"/>
      <c r="C201" s="10" t="s">
        <v>70</v>
      </c>
      <c r="E201" s="6">
        <f t="shared" si="40"/>
        <v>0</v>
      </c>
      <c r="K201" s="6">
        <f t="shared" si="38"/>
        <v>0</v>
      </c>
      <c r="U201" s="6">
        <f t="shared" si="41"/>
        <v>0</v>
      </c>
      <c r="Z201" s="6">
        <f t="shared" si="42"/>
        <v>0</v>
      </c>
      <c r="AB201" s="6">
        <f t="shared" si="39"/>
        <v>0</v>
      </c>
    </row>
    <row r="202" spans="1:28">
      <c r="A202" s="10" t="s">
        <v>490</v>
      </c>
      <c r="B202" s="10"/>
      <c r="C202" s="10" t="s">
        <v>61</v>
      </c>
      <c r="E202" s="6">
        <f t="shared" si="40"/>
        <v>8087732</v>
      </c>
      <c r="G202" s="6">
        <f>140200+22700362</f>
        <v>22840562</v>
      </c>
      <c r="I202" s="6">
        <v>30928294</v>
      </c>
      <c r="K202" s="6">
        <f t="shared" si="38"/>
        <v>3120467</v>
      </c>
      <c r="M202" s="6">
        <v>588727</v>
      </c>
      <c r="O202" s="6">
        <f>11052104-588727</f>
        <v>10463377</v>
      </c>
      <c r="Q202" s="6">
        <v>14172571</v>
      </c>
      <c r="S202" s="6">
        <v>12738585</v>
      </c>
      <c r="U202" s="6">
        <f t="shared" si="41"/>
        <v>1345268</v>
      </c>
      <c r="W202" s="6">
        <v>2671870</v>
      </c>
      <c r="Y202" s="6">
        <v>16755723</v>
      </c>
      <c r="Z202" s="6">
        <f t="shared" si="42"/>
        <v>0</v>
      </c>
      <c r="AB202" s="6">
        <f t="shared" si="39"/>
        <v>0</v>
      </c>
    </row>
    <row r="203" spans="1:28" hidden="1">
      <c r="A203" s="11" t="s">
        <v>764</v>
      </c>
      <c r="B203" s="11"/>
      <c r="C203" s="11" t="s">
        <v>422</v>
      </c>
      <c r="E203" s="6">
        <f t="shared" si="40"/>
        <v>0</v>
      </c>
      <c r="K203" s="6">
        <f t="shared" si="38"/>
        <v>0</v>
      </c>
      <c r="U203" s="6">
        <f t="shared" si="41"/>
        <v>0</v>
      </c>
      <c r="Z203" s="6">
        <f t="shared" si="42"/>
        <v>0</v>
      </c>
      <c r="AB203" s="6">
        <f t="shared" si="39"/>
        <v>0</v>
      </c>
    </row>
    <row r="204" spans="1:28" hidden="1">
      <c r="A204" s="10" t="s">
        <v>747</v>
      </c>
      <c r="B204" s="10"/>
      <c r="C204" s="10" t="s">
        <v>60</v>
      </c>
      <c r="E204" s="6">
        <f t="shared" si="40"/>
        <v>0</v>
      </c>
      <c r="K204" s="6">
        <f t="shared" si="38"/>
        <v>0</v>
      </c>
      <c r="U204" s="6">
        <f t="shared" si="41"/>
        <v>0</v>
      </c>
      <c r="Z204" s="6">
        <f t="shared" si="42"/>
        <v>0</v>
      </c>
      <c r="AB204" s="6">
        <f t="shared" si="39"/>
        <v>0</v>
      </c>
    </row>
    <row r="205" spans="1:28">
      <c r="A205" s="10" t="s">
        <v>544</v>
      </c>
      <c r="B205" s="10"/>
      <c r="C205" s="10" t="s">
        <v>69</v>
      </c>
      <c r="E205" s="6">
        <f t="shared" si="40"/>
        <v>26608225</v>
      </c>
      <c r="G205" s="6">
        <f>15482809+409574</f>
        <v>15892383</v>
      </c>
      <c r="I205" s="6">
        <v>42500608</v>
      </c>
      <c r="K205" s="6">
        <f t="shared" si="38"/>
        <v>14038130</v>
      </c>
      <c r="M205" s="6">
        <v>513570</v>
      </c>
      <c r="O205" s="6">
        <f>5546378-513570</f>
        <v>5032808</v>
      </c>
      <c r="Q205" s="6">
        <v>19584508</v>
      </c>
      <c r="S205" s="6">
        <v>14753580</v>
      </c>
      <c r="U205" s="6">
        <f t="shared" si="41"/>
        <v>2802691</v>
      </c>
      <c r="W205" s="6">
        <v>5359829</v>
      </c>
      <c r="Y205" s="6">
        <v>22916100</v>
      </c>
      <c r="Z205" s="6">
        <f t="shared" si="42"/>
        <v>0</v>
      </c>
      <c r="AB205" s="6">
        <f t="shared" si="39"/>
        <v>0</v>
      </c>
    </row>
    <row r="206" spans="1:28">
      <c r="A206" s="10" t="s">
        <v>444</v>
      </c>
      <c r="B206" s="10"/>
      <c r="C206" s="10" t="s">
        <v>51</v>
      </c>
      <c r="E206" s="6">
        <f t="shared" si="40"/>
        <v>21311110</v>
      </c>
      <c r="G206" s="6">
        <f>1122451+35309469</f>
        <v>36431920</v>
      </c>
      <c r="I206" s="6">
        <v>57743030</v>
      </c>
      <c r="K206" s="6">
        <f t="shared" si="38"/>
        <v>6870802</v>
      </c>
      <c r="M206" s="6">
        <v>531497</v>
      </c>
      <c r="O206" s="6">
        <f>7283786-531479</f>
        <v>6752307</v>
      </c>
      <c r="Q206" s="6">
        <v>14154606</v>
      </c>
      <c r="S206" s="6">
        <v>31220378</v>
      </c>
      <c r="U206" s="6">
        <f t="shared" si="41"/>
        <v>4035342</v>
      </c>
      <c r="W206" s="6">
        <v>8332704</v>
      </c>
      <c r="Y206" s="6">
        <v>43588424</v>
      </c>
      <c r="Z206" s="6">
        <f t="shared" si="42"/>
        <v>0</v>
      </c>
      <c r="AB206" s="6">
        <f t="shared" si="39"/>
        <v>0</v>
      </c>
    </row>
    <row r="207" spans="1:28" hidden="1">
      <c r="A207" s="10" t="s">
        <v>615</v>
      </c>
      <c r="B207" s="10"/>
      <c r="C207" s="10" t="s">
        <v>21</v>
      </c>
      <c r="E207" s="6">
        <f t="shared" si="40"/>
        <v>0</v>
      </c>
      <c r="K207" s="6">
        <f t="shared" si="38"/>
        <v>0</v>
      </c>
      <c r="U207" s="6">
        <f t="shared" si="41"/>
        <v>0</v>
      </c>
      <c r="Z207" s="6">
        <f>+I207-Q207-Y207</f>
        <v>0</v>
      </c>
      <c r="AB207" s="6">
        <f t="shared" si="39"/>
        <v>0</v>
      </c>
    </row>
    <row r="208" spans="1:28" hidden="1">
      <c r="A208" s="10" t="s">
        <v>664</v>
      </c>
      <c r="B208" s="10"/>
      <c r="C208" s="10" t="s">
        <v>40</v>
      </c>
      <c r="E208" s="6">
        <f t="shared" si="40"/>
        <v>0</v>
      </c>
      <c r="K208" s="6">
        <f t="shared" si="38"/>
        <v>0</v>
      </c>
      <c r="U208" s="6">
        <f t="shared" si="41"/>
        <v>0</v>
      </c>
      <c r="Z208" s="6">
        <f t="shared" si="42"/>
        <v>0</v>
      </c>
      <c r="AB208" s="6">
        <f t="shared" si="39"/>
        <v>0</v>
      </c>
    </row>
    <row r="209" spans="1:28">
      <c r="A209" s="10" t="s">
        <v>644</v>
      </c>
      <c r="B209" s="10"/>
      <c r="C209" s="10" t="s">
        <v>79</v>
      </c>
      <c r="E209" s="6">
        <f t="shared" si="40"/>
        <v>46850509</v>
      </c>
      <c r="G209" s="6">
        <f>16642629+13454224</f>
        <v>30096853</v>
      </c>
      <c r="I209" s="6">
        <v>76947362</v>
      </c>
      <c r="K209" s="6">
        <f t="shared" si="38"/>
        <v>15101061</v>
      </c>
      <c r="M209" s="6">
        <v>1057950</v>
      </c>
      <c r="O209" s="6">
        <f>22763559-1057950</f>
        <v>21705609</v>
      </c>
      <c r="Q209" s="6">
        <v>37864620</v>
      </c>
      <c r="S209" s="6">
        <v>11900195</v>
      </c>
      <c r="U209" s="6">
        <f t="shared" si="41"/>
        <v>15314982</v>
      </c>
      <c r="W209" s="6">
        <v>11867565</v>
      </c>
      <c r="Y209" s="6">
        <v>39082742</v>
      </c>
      <c r="Z209" s="6">
        <f t="shared" si="42"/>
        <v>0</v>
      </c>
      <c r="AB209" s="6">
        <f t="shared" si="39"/>
        <v>0</v>
      </c>
    </row>
    <row r="210" spans="1:28">
      <c r="A210" s="10" t="s">
        <v>548</v>
      </c>
      <c r="B210" s="10"/>
      <c r="C210" s="10" t="s">
        <v>70</v>
      </c>
      <c r="E210" s="6">
        <f t="shared" si="40"/>
        <v>4559508</v>
      </c>
      <c r="G210" s="6">
        <v>18226270</v>
      </c>
      <c r="I210" s="6">
        <v>22785778</v>
      </c>
      <c r="K210" s="6">
        <f t="shared" si="38"/>
        <v>2317132</v>
      </c>
      <c r="M210" s="6">
        <v>143855</v>
      </c>
      <c r="O210" s="6">
        <f>2349753-143855</f>
        <v>2205898</v>
      </c>
      <c r="Q210" s="6">
        <v>4666885</v>
      </c>
      <c r="S210" s="6">
        <v>16687893</v>
      </c>
      <c r="U210" s="6">
        <f t="shared" si="41"/>
        <v>1295838</v>
      </c>
      <c r="W210" s="6">
        <v>135162</v>
      </c>
      <c r="Y210" s="6">
        <v>18118893</v>
      </c>
      <c r="Z210" s="6">
        <f t="shared" si="42"/>
        <v>0</v>
      </c>
      <c r="AB210" s="6">
        <f t="shared" si="39"/>
        <v>0</v>
      </c>
    </row>
    <row r="211" spans="1:28">
      <c r="A211" s="10" t="s">
        <v>641</v>
      </c>
      <c r="B211" s="10"/>
      <c r="C211" s="10" t="s">
        <v>27</v>
      </c>
      <c r="E211" s="6">
        <f t="shared" si="40"/>
        <v>110466037</v>
      </c>
      <c r="G211" s="6">
        <f>20701899+26409264</f>
        <v>47111163</v>
      </c>
      <c r="I211" s="6">
        <v>157577200</v>
      </c>
      <c r="K211" s="6">
        <f t="shared" si="38"/>
        <v>75066791</v>
      </c>
      <c r="M211" s="6">
        <v>4373895</v>
      </c>
      <c r="O211" s="6">
        <f>42050341-4373895</f>
        <v>37676446</v>
      </c>
      <c r="Q211" s="6">
        <v>117117132</v>
      </c>
      <c r="S211" s="6">
        <v>14550868</v>
      </c>
      <c r="U211" s="6">
        <f t="shared" si="41"/>
        <v>6105581</v>
      </c>
      <c r="W211" s="6">
        <v>19803619</v>
      </c>
      <c r="Y211" s="6">
        <v>40460068</v>
      </c>
      <c r="Z211" s="6">
        <f t="shared" si="42"/>
        <v>0</v>
      </c>
      <c r="AB211" s="6">
        <f t="shared" si="39"/>
        <v>0</v>
      </c>
    </row>
    <row r="212" spans="1:28">
      <c r="A212" s="10" t="s">
        <v>259</v>
      </c>
      <c r="B212" s="10"/>
      <c r="C212" s="10" t="s">
        <v>111</v>
      </c>
      <c r="E212" s="6">
        <f t="shared" si="40"/>
        <v>10986147</v>
      </c>
      <c r="G212" s="6">
        <f>873865+53806116</f>
        <v>54679981</v>
      </c>
      <c r="I212" s="6">
        <v>65666128</v>
      </c>
      <c r="K212" s="6">
        <f t="shared" si="38"/>
        <v>5702281</v>
      </c>
      <c r="M212" s="6">
        <v>250487</v>
      </c>
      <c r="O212" s="6">
        <f>19013103-250487</f>
        <v>18762616</v>
      </c>
      <c r="Q212" s="6">
        <v>24715384</v>
      </c>
      <c r="S212" s="6">
        <v>37671024</v>
      </c>
      <c r="U212" s="6">
        <f t="shared" si="41"/>
        <v>3006704</v>
      </c>
      <c r="W212" s="6">
        <v>273016</v>
      </c>
      <c r="Y212" s="6">
        <v>40950744</v>
      </c>
      <c r="Z212" s="6">
        <f t="shared" si="42"/>
        <v>0</v>
      </c>
      <c r="AB212" s="6">
        <f t="shared" si="39"/>
        <v>0</v>
      </c>
    </row>
    <row r="213" spans="1:28">
      <c r="A213" s="10" t="s">
        <v>642</v>
      </c>
      <c r="B213" s="10"/>
      <c r="C213" s="10" t="s">
        <v>29</v>
      </c>
      <c r="E213" s="6">
        <f t="shared" si="40"/>
        <v>31136415</v>
      </c>
      <c r="G213" s="6">
        <f>6990804+50589704</f>
        <v>57580508</v>
      </c>
      <c r="I213" s="6">
        <v>88716923</v>
      </c>
      <c r="K213" s="6">
        <f t="shared" ref="K213:K278" si="53">+Q213-M213-O213</f>
        <v>15414569</v>
      </c>
      <c r="M213" s="6">
        <v>1245811</v>
      </c>
      <c r="O213" s="6">
        <f>44500602-1245811</f>
        <v>43254791</v>
      </c>
      <c r="Q213" s="6">
        <v>59915171</v>
      </c>
      <c r="S213" s="6">
        <v>15221652</v>
      </c>
      <c r="U213" s="6">
        <f t="shared" si="41"/>
        <v>10849035</v>
      </c>
      <c r="W213" s="6">
        <v>2731065</v>
      </c>
      <c r="Y213" s="6">
        <v>28801752</v>
      </c>
      <c r="Z213" s="6">
        <f t="shared" si="42"/>
        <v>0</v>
      </c>
      <c r="AB213" s="6">
        <f t="shared" si="39"/>
        <v>0</v>
      </c>
    </row>
    <row r="214" spans="1:28">
      <c r="A214" s="10" t="s">
        <v>313</v>
      </c>
      <c r="B214" s="10"/>
      <c r="C214" s="10" t="s">
        <v>29</v>
      </c>
      <c r="E214" s="6">
        <f t="shared" si="40"/>
        <v>16224443</v>
      </c>
      <c r="G214" s="6">
        <v>71682336</v>
      </c>
      <c r="I214" s="6">
        <v>87906779</v>
      </c>
      <c r="K214" s="6">
        <f t="shared" si="53"/>
        <v>10007657</v>
      </c>
      <c r="M214" s="6">
        <v>716282</v>
      </c>
      <c r="O214" s="6">
        <f>23840377-716282</f>
        <v>23124095</v>
      </c>
      <c r="Q214" s="6">
        <v>33848034</v>
      </c>
      <c r="S214" s="6">
        <v>49606535</v>
      </c>
      <c r="U214" s="6">
        <f t="shared" si="41"/>
        <v>4848724</v>
      </c>
      <c r="W214" s="6">
        <v>-396514</v>
      </c>
      <c r="Y214" s="6">
        <v>54058745</v>
      </c>
      <c r="Z214" s="6">
        <f t="shared" si="42"/>
        <v>0</v>
      </c>
      <c r="AB214" s="6">
        <f t="shared" si="39"/>
        <v>0</v>
      </c>
    </row>
    <row r="215" spans="1:28">
      <c r="A215" s="10" t="s">
        <v>535</v>
      </c>
      <c r="B215" s="10"/>
      <c r="C215" s="10" t="s">
        <v>65</v>
      </c>
      <c r="D215" s="28"/>
      <c r="E215" s="6">
        <f t="shared" si="40"/>
        <v>10125592</v>
      </c>
      <c r="G215" s="6">
        <v>2868439</v>
      </c>
      <c r="I215" s="6">
        <v>12994031</v>
      </c>
      <c r="K215" s="6">
        <f t="shared" si="53"/>
        <v>6923962</v>
      </c>
      <c r="M215" s="6">
        <v>244482</v>
      </c>
      <c r="O215" s="6">
        <f>1499874-244482</f>
        <v>1255392</v>
      </c>
      <c r="Q215" s="6">
        <v>8423836</v>
      </c>
      <c r="S215" s="6">
        <v>2288572</v>
      </c>
      <c r="U215" s="6">
        <f t="shared" si="41"/>
        <v>951090</v>
      </c>
      <c r="W215" s="6">
        <v>1330533</v>
      </c>
      <c r="Y215" s="6">
        <v>4570195</v>
      </c>
      <c r="Z215" s="6">
        <f t="shared" si="42"/>
        <v>0</v>
      </c>
      <c r="AB215" s="6">
        <f t="shared" si="39"/>
        <v>0</v>
      </c>
    </row>
    <row r="216" spans="1:28">
      <c r="A216" s="10" t="s">
        <v>678</v>
      </c>
      <c r="B216" s="10"/>
      <c r="C216" s="10" t="s">
        <v>20</v>
      </c>
      <c r="E216" s="6">
        <f t="shared" si="40"/>
        <v>34014113</v>
      </c>
      <c r="G216" s="6">
        <f>833150+59745286</f>
        <v>60578436</v>
      </c>
      <c r="I216" s="6">
        <v>94592549</v>
      </c>
      <c r="K216" s="6">
        <f t="shared" si="53"/>
        <v>18928635</v>
      </c>
      <c r="M216" s="6">
        <v>1813113</v>
      </c>
      <c r="O216" s="6">
        <f>53537975-1813113</f>
        <v>51724862</v>
      </c>
      <c r="Q216" s="6">
        <v>72466610</v>
      </c>
      <c r="S216" s="6">
        <v>15417984</v>
      </c>
      <c r="U216" s="6">
        <f t="shared" si="41"/>
        <v>8561817</v>
      </c>
      <c r="W216" s="6">
        <v>-1853862</v>
      </c>
      <c r="Y216" s="6">
        <v>22125939</v>
      </c>
      <c r="Z216" s="6">
        <f t="shared" si="42"/>
        <v>0</v>
      </c>
      <c r="AB216" s="6">
        <f t="shared" si="39"/>
        <v>0</v>
      </c>
    </row>
    <row r="217" spans="1:28">
      <c r="A217" s="10" t="s">
        <v>643</v>
      </c>
      <c r="B217" s="10"/>
      <c r="C217" s="10" t="s">
        <v>12</v>
      </c>
      <c r="D217" s="9"/>
      <c r="E217" s="6">
        <f t="shared" si="40"/>
        <v>21503475</v>
      </c>
      <c r="G217" s="6">
        <v>70611413</v>
      </c>
      <c r="I217" s="6">
        <v>92114888</v>
      </c>
      <c r="K217" s="6">
        <f t="shared" si="53"/>
        <v>8212406</v>
      </c>
      <c r="M217" s="6">
        <v>1068223</v>
      </c>
      <c r="O217" s="6">
        <f>19521958-1068223</f>
        <v>18453735</v>
      </c>
      <c r="Q217" s="6">
        <v>27734364</v>
      </c>
      <c r="S217" s="6">
        <v>53681423</v>
      </c>
      <c r="U217" s="6">
        <f t="shared" si="41"/>
        <v>8379770</v>
      </c>
      <c r="W217" s="6">
        <v>2319331</v>
      </c>
      <c r="Y217" s="6">
        <v>64380524</v>
      </c>
      <c r="Z217" s="6">
        <f t="shared" si="42"/>
        <v>0</v>
      </c>
      <c r="AB217" s="6">
        <f t="shared" si="39"/>
        <v>0</v>
      </c>
    </row>
    <row r="218" spans="1:28" hidden="1">
      <c r="A218" s="10" t="s">
        <v>832</v>
      </c>
      <c r="B218" s="10"/>
      <c r="C218" s="10" t="s">
        <v>53</v>
      </c>
      <c r="E218" s="6">
        <f>+I218-G218</f>
        <v>0</v>
      </c>
      <c r="K218" s="6">
        <f t="shared" si="53"/>
        <v>0</v>
      </c>
      <c r="U218" s="6">
        <f>Y218-W218-S218</f>
        <v>0</v>
      </c>
      <c r="Z218" s="6">
        <f>+I218-Q218-Y218</f>
        <v>0</v>
      </c>
      <c r="AB218" s="6">
        <f>+E218+G218+-K218-M218-S218-U218-W218-O218</f>
        <v>0</v>
      </c>
    </row>
    <row r="219" spans="1:28" hidden="1">
      <c r="A219" s="10" t="s">
        <v>665</v>
      </c>
      <c r="B219" s="10"/>
      <c r="C219" s="10" t="s">
        <v>77</v>
      </c>
      <c r="E219" s="6">
        <f t="shared" si="40"/>
        <v>0</v>
      </c>
      <c r="K219" s="6">
        <f t="shared" si="53"/>
        <v>0</v>
      </c>
      <c r="U219" s="6">
        <f t="shared" si="41"/>
        <v>0</v>
      </c>
      <c r="Z219" s="6">
        <f t="shared" si="42"/>
        <v>0</v>
      </c>
      <c r="AB219" s="6">
        <f t="shared" si="39"/>
        <v>0</v>
      </c>
    </row>
    <row r="220" spans="1:28">
      <c r="A220" s="10" t="s">
        <v>748</v>
      </c>
      <c r="B220" s="10"/>
      <c r="C220" s="10" t="s">
        <v>79</v>
      </c>
      <c r="E220" s="6">
        <f t="shared" ref="E220:E231" si="54">+I220-G220</f>
        <v>6011360</v>
      </c>
      <c r="G220" s="6">
        <v>20961152</v>
      </c>
      <c r="I220" s="6">
        <v>26972512</v>
      </c>
      <c r="K220" s="6">
        <f t="shared" si="53"/>
        <v>3325107</v>
      </c>
      <c r="M220" s="6">
        <v>403397</v>
      </c>
      <c r="O220" s="6">
        <f>4347308-403397</f>
        <v>3943911</v>
      </c>
      <c r="Q220" s="6">
        <v>7672415</v>
      </c>
      <c r="S220" s="6">
        <v>17589080</v>
      </c>
      <c r="U220" s="6">
        <f t="shared" si="41"/>
        <v>1455172</v>
      </c>
      <c r="W220" s="6">
        <v>255845</v>
      </c>
      <c r="Y220" s="6">
        <v>19300097</v>
      </c>
      <c r="Z220" s="6">
        <f t="shared" si="42"/>
        <v>0</v>
      </c>
      <c r="AB220" s="6">
        <f t="shared" si="39"/>
        <v>0</v>
      </c>
    </row>
    <row r="221" spans="1:28">
      <c r="A221" s="10" t="s">
        <v>521</v>
      </c>
      <c r="B221" s="10"/>
      <c r="C221" s="10" t="s">
        <v>64</v>
      </c>
      <c r="E221" s="6">
        <f t="shared" si="54"/>
        <v>17010167</v>
      </c>
      <c r="G221" s="6">
        <v>34274272</v>
      </c>
      <c r="I221" s="6">
        <v>51284439</v>
      </c>
      <c r="K221" s="6">
        <f t="shared" si="53"/>
        <v>5947976</v>
      </c>
      <c r="M221" s="6">
        <v>843704</v>
      </c>
      <c r="O221" s="6">
        <f>12798983-843704</f>
        <v>11955279</v>
      </c>
      <c r="Q221" s="6">
        <v>18746959</v>
      </c>
      <c r="S221" s="6">
        <v>24261673</v>
      </c>
      <c r="U221" s="6">
        <f t="shared" si="41"/>
        <v>3109016</v>
      </c>
      <c r="W221" s="6">
        <v>5166791</v>
      </c>
      <c r="Y221" s="6">
        <v>32537480</v>
      </c>
      <c r="Z221" s="6">
        <f t="shared" si="42"/>
        <v>0</v>
      </c>
      <c r="AB221" s="6">
        <f t="shared" si="39"/>
        <v>0</v>
      </c>
    </row>
    <row r="222" spans="1:28" hidden="1">
      <c r="A222" s="11" t="s">
        <v>790</v>
      </c>
      <c r="B222" s="10"/>
      <c r="C222" s="10" t="s">
        <v>28</v>
      </c>
      <c r="E222" s="6">
        <f>+I222-G222</f>
        <v>0</v>
      </c>
      <c r="K222" s="6">
        <f t="shared" si="53"/>
        <v>0</v>
      </c>
      <c r="U222" s="6">
        <f>Y222-W222-S222</f>
        <v>0</v>
      </c>
      <c r="Z222" s="6">
        <f>+I222-Q222-Y222</f>
        <v>0</v>
      </c>
      <c r="AB222" s="6">
        <f>+E222+G222+-K222-M222-S222-U222-W222-O222</f>
        <v>0</v>
      </c>
    </row>
    <row r="223" spans="1:28">
      <c r="A223" s="10" t="s">
        <v>240</v>
      </c>
      <c r="B223" s="10"/>
      <c r="C223" s="10" t="s">
        <v>113</v>
      </c>
      <c r="E223" s="6">
        <f>+I223-G223</f>
        <v>13706392</v>
      </c>
      <c r="G223" s="6">
        <f>855205+32200191</f>
        <v>33055396</v>
      </c>
      <c r="I223" s="6">
        <v>46761788</v>
      </c>
      <c r="K223" s="6">
        <f t="shared" si="53"/>
        <v>7456615</v>
      </c>
      <c r="M223" s="6">
        <v>671802</v>
      </c>
      <c r="O223" s="6">
        <f>10555866-671802</f>
        <v>9884064</v>
      </c>
      <c r="Q223" s="6">
        <v>18012481</v>
      </c>
      <c r="S223" s="6">
        <v>24313451</v>
      </c>
      <c r="U223" s="6">
        <f>Y223-W223-S223</f>
        <v>2832988</v>
      </c>
      <c r="W223" s="6">
        <v>1602868</v>
      </c>
      <c r="Y223" s="6">
        <v>28749307</v>
      </c>
      <c r="Z223" s="6">
        <f t="shared" si="42"/>
        <v>0</v>
      </c>
      <c r="AB223" s="6">
        <f t="shared" si="39"/>
        <v>0</v>
      </c>
    </row>
    <row r="224" spans="1:28" hidden="1">
      <c r="A224" s="11" t="s">
        <v>791</v>
      </c>
      <c r="B224" s="10"/>
      <c r="C224" s="10" t="s">
        <v>228</v>
      </c>
      <c r="E224" s="6">
        <f t="shared" si="54"/>
        <v>0</v>
      </c>
      <c r="K224" s="6">
        <f t="shared" si="53"/>
        <v>0</v>
      </c>
      <c r="U224" s="6">
        <f t="shared" si="41"/>
        <v>0</v>
      </c>
      <c r="Z224" s="6">
        <f t="shared" si="42"/>
        <v>0</v>
      </c>
      <c r="AB224" s="6">
        <f t="shared" ref="AB224:AB290" si="55">+E224+G224+-K224-M224-S224-U224-W224-O224</f>
        <v>0</v>
      </c>
    </row>
    <row r="225" spans="1:28">
      <c r="A225" s="10" t="s">
        <v>208</v>
      </c>
      <c r="B225" s="10"/>
      <c r="C225" s="10" t="s">
        <v>12</v>
      </c>
      <c r="E225" s="6">
        <f t="shared" si="54"/>
        <v>15904260</v>
      </c>
      <c r="G225" s="6">
        <f>845993+26478781</f>
        <v>27324774</v>
      </c>
      <c r="I225" s="6">
        <f>42572699+656335</f>
        <v>43229034</v>
      </c>
      <c r="K225" s="6">
        <f t="shared" si="53"/>
        <v>4173962</v>
      </c>
      <c r="M225" s="6">
        <v>793130</v>
      </c>
      <c r="O225" s="6">
        <f>11686563-793130</f>
        <v>10893433</v>
      </c>
      <c r="Q225" s="6">
        <f>13085121+2775404</f>
        <v>15860525</v>
      </c>
      <c r="S225" s="6">
        <v>16983540</v>
      </c>
      <c r="U225" s="6">
        <f t="shared" si="41"/>
        <v>9103621</v>
      </c>
      <c r="W225" s="6">
        <v>1281348</v>
      </c>
      <c r="Y225" s="6">
        <v>27368509</v>
      </c>
      <c r="Z225" s="6">
        <f t="shared" si="42"/>
        <v>0</v>
      </c>
      <c r="AB225" s="6">
        <f t="shared" si="55"/>
        <v>0</v>
      </c>
    </row>
    <row r="226" spans="1:28">
      <c r="A226" s="10" t="s">
        <v>303</v>
      </c>
      <c r="B226" s="10"/>
      <c r="C226" s="10" t="s">
        <v>27</v>
      </c>
      <c r="E226" s="6">
        <f t="shared" si="54"/>
        <v>20697633</v>
      </c>
      <c r="G226" s="6">
        <v>12233463</v>
      </c>
      <c r="I226" s="6">
        <v>32931096</v>
      </c>
      <c r="K226" s="6">
        <f t="shared" si="53"/>
        <v>9962229</v>
      </c>
      <c r="M226" s="6">
        <v>588681</v>
      </c>
      <c r="O226" s="6">
        <f>5623175-588681</f>
        <v>5034494</v>
      </c>
      <c r="Q226" s="6">
        <v>15585404</v>
      </c>
      <c r="S226" s="6">
        <v>7736930</v>
      </c>
      <c r="U226" s="6">
        <f t="shared" si="41"/>
        <v>1784065</v>
      </c>
      <c r="W226" s="6">
        <v>7824697</v>
      </c>
      <c r="Y226" s="6">
        <v>17345692</v>
      </c>
      <c r="Z226" s="6">
        <f t="shared" ref="Z226:Z295" si="56">+I226-Q226-Y226</f>
        <v>0</v>
      </c>
      <c r="AB226" s="6">
        <f t="shared" si="55"/>
        <v>0</v>
      </c>
    </row>
    <row r="227" spans="1:28">
      <c r="A227" s="10" t="s">
        <v>666</v>
      </c>
      <c r="B227" s="10"/>
      <c r="C227" s="10" t="s">
        <v>42</v>
      </c>
      <c r="E227" s="6">
        <f t="shared" si="54"/>
        <v>23963473</v>
      </c>
      <c r="G227" s="6">
        <f>1465969+33515784</f>
        <v>34981753</v>
      </c>
      <c r="I227" s="6">
        <v>58945226</v>
      </c>
      <c r="K227" s="6">
        <f t="shared" si="53"/>
        <v>20776898</v>
      </c>
      <c r="M227" s="6">
        <v>940221</v>
      </c>
      <c r="O227" s="6">
        <f>34296331-940221</f>
        <v>33356110</v>
      </c>
      <c r="Q227" s="6">
        <v>55073229</v>
      </c>
      <c r="S227" s="6">
        <v>9694614</v>
      </c>
      <c r="U227" s="6">
        <f t="shared" ref="U227:U231" si="57">Y227-W227-S227</f>
        <v>3133406</v>
      </c>
      <c r="W227" s="6">
        <v>-8956023</v>
      </c>
      <c r="Y227" s="6">
        <v>3871997</v>
      </c>
      <c r="Z227" s="6">
        <f t="shared" si="56"/>
        <v>0</v>
      </c>
      <c r="AB227" s="6">
        <f t="shared" si="55"/>
        <v>0</v>
      </c>
    </row>
    <row r="228" spans="1:28">
      <c r="A228" s="10" t="s">
        <v>481</v>
      </c>
      <c r="B228" s="10"/>
      <c r="C228" s="10" t="s">
        <v>59</v>
      </c>
      <c r="E228" s="6">
        <f t="shared" si="54"/>
        <v>3183432</v>
      </c>
      <c r="G228" s="6">
        <f>72079+2612699</f>
        <v>2684778</v>
      </c>
      <c r="I228" s="6">
        <v>5868210</v>
      </c>
      <c r="K228" s="6">
        <f t="shared" si="53"/>
        <v>1854771</v>
      </c>
      <c r="M228" s="6">
        <v>110255</v>
      </c>
      <c r="O228" s="6">
        <f>572984-110255</f>
        <v>462729</v>
      </c>
      <c r="Q228" s="6">
        <v>2427755</v>
      </c>
      <c r="S228" s="6">
        <v>2468309</v>
      </c>
      <c r="U228" s="6">
        <f t="shared" si="57"/>
        <v>319091</v>
      </c>
      <c r="W228" s="6">
        <v>653055</v>
      </c>
      <c r="Y228" s="6">
        <v>3440455</v>
      </c>
      <c r="Z228" s="6">
        <f t="shared" si="56"/>
        <v>0</v>
      </c>
      <c r="AB228" s="6">
        <f t="shared" si="55"/>
        <v>0</v>
      </c>
    </row>
    <row r="229" spans="1:28">
      <c r="A229" s="10" t="s">
        <v>481</v>
      </c>
      <c r="B229" s="10"/>
      <c r="C229" s="10" t="s">
        <v>63</v>
      </c>
      <c r="E229" s="6">
        <f t="shared" si="54"/>
        <v>29553818</v>
      </c>
      <c r="G229" s="6">
        <f>1038036+37890356</f>
        <v>38928392</v>
      </c>
      <c r="I229" s="6">
        <v>68482210</v>
      </c>
      <c r="K229" s="6">
        <f t="shared" si="53"/>
        <v>32471455</v>
      </c>
      <c r="M229" s="6">
        <v>2166105</v>
      </c>
      <c r="O229" s="6">
        <f>33999355-2166105</f>
        <v>31833250</v>
      </c>
      <c r="Q229" s="6">
        <v>66470810</v>
      </c>
      <c r="S229" s="6">
        <v>19946452</v>
      </c>
      <c r="U229" s="6">
        <f t="shared" si="57"/>
        <v>1244846</v>
      </c>
      <c r="W229" s="6">
        <v>-19179898</v>
      </c>
      <c r="Y229" s="6">
        <v>2011400</v>
      </c>
      <c r="Z229" s="6">
        <f t="shared" si="56"/>
        <v>0</v>
      </c>
      <c r="AB229" s="6">
        <f t="shared" si="55"/>
        <v>0</v>
      </c>
    </row>
    <row r="230" spans="1:28" hidden="1">
      <c r="A230" s="10" t="s">
        <v>856</v>
      </c>
      <c r="B230" s="10"/>
      <c r="C230" s="10" t="s">
        <v>71</v>
      </c>
      <c r="E230" s="6">
        <f t="shared" si="54"/>
        <v>0</v>
      </c>
      <c r="K230" s="6">
        <f t="shared" si="53"/>
        <v>0</v>
      </c>
      <c r="U230" s="6">
        <f t="shared" si="57"/>
        <v>0</v>
      </c>
      <c r="Z230" s="6">
        <f>+I230-Q230-Y230</f>
        <v>0</v>
      </c>
      <c r="AB230" s="6">
        <f>+E230+G230+-K230-M230-S230-U230-W230-O230</f>
        <v>0</v>
      </c>
    </row>
    <row r="231" spans="1:28">
      <c r="A231" s="10" t="s">
        <v>318</v>
      </c>
      <c r="B231" s="10"/>
      <c r="C231" s="10" t="s">
        <v>114</v>
      </c>
      <c r="E231" s="6">
        <f t="shared" si="54"/>
        <v>16531296</v>
      </c>
      <c r="G231" s="6">
        <f>8272930+512556+14392344</f>
        <v>23177830</v>
      </c>
      <c r="I231" s="6">
        <v>39709126</v>
      </c>
      <c r="K231" s="6">
        <f t="shared" si="53"/>
        <v>5980955</v>
      </c>
      <c r="M231" s="6">
        <v>443529</v>
      </c>
      <c r="O231" s="6">
        <f>7255283-443529</f>
        <v>6811754</v>
      </c>
      <c r="Q231" s="6">
        <v>13236238</v>
      </c>
      <c r="S231" s="6">
        <v>16620912</v>
      </c>
      <c r="U231" s="6">
        <f t="shared" si="57"/>
        <v>3371033</v>
      </c>
      <c r="W231" s="6">
        <v>6480943</v>
      </c>
      <c r="Y231" s="6">
        <v>26472888</v>
      </c>
      <c r="Z231" s="6">
        <f t="shared" si="56"/>
        <v>0</v>
      </c>
      <c r="AB231" s="6">
        <f t="shared" si="55"/>
        <v>0</v>
      </c>
    </row>
    <row r="232" spans="1:28">
      <c r="A232" s="11" t="s">
        <v>760</v>
      </c>
      <c r="B232" s="11"/>
      <c r="C232" s="11" t="s">
        <v>348</v>
      </c>
      <c r="E232" s="6">
        <f t="shared" ref="E232:E293" si="58">+I232-G232</f>
        <v>18760547</v>
      </c>
      <c r="G232" s="6">
        <f>42231+22640039</f>
        <v>22682270</v>
      </c>
      <c r="I232" s="6">
        <v>41442817</v>
      </c>
      <c r="K232" s="6">
        <f t="shared" si="53"/>
        <v>5059235</v>
      </c>
      <c r="M232" s="6">
        <v>316403</v>
      </c>
      <c r="O232" s="6">
        <f>3836827-316403</f>
        <v>3520424</v>
      </c>
      <c r="Q232" s="6">
        <v>8896062</v>
      </c>
      <c r="S232" s="6">
        <v>20639744</v>
      </c>
      <c r="U232" s="6">
        <f t="shared" ref="U232:U300" si="59">Y232-W232-S232</f>
        <v>3304942</v>
      </c>
      <c r="W232" s="6">
        <v>8602069</v>
      </c>
      <c r="Y232" s="6">
        <v>32546755</v>
      </c>
      <c r="Z232" s="6">
        <f t="shared" si="56"/>
        <v>0</v>
      </c>
      <c r="AB232" s="6">
        <f t="shared" si="55"/>
        <v>0</v>
      </c>
    </row>
    <row r="233" spans="1:28">
      <c r="A233" s="11" t="s">
        <v>232</v>
      </c>
      <c r="B233" s="11"/>
      <c r="C233" s="11" t="s">
        <v>17</v>
      </c>
      <c r="E233" s="6">
        <f t="shared" si="58"/>
        <v>10773693</v>
      </c>
      <c r="G233" s="6">
        <f>84740+6730023</f>
        <v>6814763</v>
      </c>
      <c r="I233" s="6">
        <v>17588456</v>
      </c>
      <c r="K233" s="6">
        <f t="shared" si="53"/>
        <v>6972020</v>
      </c>
      <c r="M233" s="6">
        <v>155826</v>
      </c>
      <c r="O233" s="6">
        <f>1198710-155826</f>
        <v>1042884</v>
      </c>
      <c r="Q233" s="6">
        <v>8170730</v>
      </c>
      <c r="S233" s="6">
        <v>6737537</v>
      </c>
      <c r="U233" s="6">
        <f t="shared" si="59"/>
        <v>1433696</v>
      </c>
      <c r="W233" s="6">
        <v>1246493</v>
      </c>
      <c r="Y233" s="6">
        <v>9417726</v>
      </c>
      <c r="Z233" s="6">
        <f t="shared" si="56"/>
        <v>0</v>
      </c>
      <c r="AB233" s="6">
        <f t="shared" si="55"/>
        <v>0</v>
      </c>
    </row>
    <row r="234" spans="1:28">
      <c r="A234" s="10" t="s">
        <v>282</v>
      </c>
      <c r="B234" s="10"/>
      <c r="C234" s="10" t="s">
        <v>21</v>
      </c>
      <c r="E234" s="6">
        <f t="shared" si="58"/>
        <v>23646247</v>
      </c>
      <c r="G234" s="6">
        <v>8846891</v>
      </c>
      <c r="I234" s="6">
        <v>32493138</v>
      </c>
      <c r="K234" s="6">
        <f t="shared" si="53"/>
        <v>12255700</v>
      </c>
      <c r="M234" s="6">
        <v>123696</v>
      </c>
      <c r="O234" s="6">
        <f>975230-123696</f>
        <v>851534</v>
      </c>
      <c r="Q234" s="6">
        <v>13230930</v>
      </c>
      <c r="S234" s="6">
        <v>8846891</v>
      </c>
      <c r="U234" s="6">
        <f t="shared" si="59"/>
        <v>3583761</v>
      </c>
      <c r="W234" s="6">
        <v>6831556</v>
      </c>
      <c r="Y234" s="6">
        <v>19262208</v>
      </c>
      <c r="Z234" s="6">
        <f>+I234-Q234-Y234</f>
        <v>0</v>
      </c>
      <c r="AB234" s="6">
        <f>+E234+G234+-K234-M234-S234-U234-W234-O234</f>
        <v>0</v>
      </c>
    </row>
    <row r="235" spans="1:28">
      <c r="A235" s="10" t="s">
        <v>304</v>
      </c>
      <c r="B235" s="10"/>
      <c r="C235" s="10" t="s">
        <v>27</v>
      </c>
      <c r="E235" s="6">
        <f t="shared" si="58"/>
        <v>30169595</v>
      </c>
      <c r="G235" s="6">
        <f>11764231+8138814</f>
        <v>19903045</v>
      </c>
      <c r="I235" s="6">
        <v>50072640</v>
      </c>
      <c r="K235" s="6">
        <f t="shared" si="53"/>
        <v>21881692</v>
      </c>
      <c r="M235" s="6">
        <v>1250738</v>
      </c>
      <c r="O235" s="6">
        <f>12829964-1250738</f>
        <v>11579226</v>
      </c>
      <c r="Q235" s="6">
        <v>34711656</v>
      </c>
      <c r="S235" s="6">
        <v>9717500</v>
      </c>
      <c r="U235" s="6">
        <f t="shared" si="59"/>
        <v>3845396</v>
      </c>
      <c r="W235" s="6">
        <v>1798088</v>
      </c>
      <c r="Y235" s="6">
        <v>15360984</v>
      </c>
      <c r="Z235" s="6">
        <f t="shared" si="56"/>
        <v>0</v>
      </c>
      <c r="AB235" s="6">
        <f t="shared" si="55"/>
        <v>0</v>
      </c>
    </row>
    <row r="236" spans="1:28" hidden="1">
      <c r="A236" s="10" t="s">
        <v>857</v>
      </c>
      <c r="B236" s="10"/>
      <c r="C236" s="10" t="s">
        <v>221</v>
      </c>
      <c r="E236" s="6">
        <f t="shared" si="58"/>
        <v>0</v>
      </c>
      <c r="K236" s="6">
        <f t="shared" si="53"/>
        <v>0</v>
      </c>
      <c r="U236" s="6">
        <f t="shared" si="59"/>
        <v>0</v>
      </c>
      <c r="Z236" s="6">
        <f t="shared" si="56"/>
        <v>0</v>
      </c>
      <c r="AB236" s="6">
        <f t="shared" si="55"/>
        <v>0</v>
      </c>
    </row>
    <row r="237" spans="1:28">
      <c r="A237" s="10" t="s">
        <v>802</v>
      </c>
      <c r="B237" s="10"/>
      <c r="C237" s="10" t="s">
        <v>27</v>
      </c>
      <c r="D237" s="9"/>
      <c r="E237" s="6">
        <f t="shared" si="58"/>
        <v>23237367</v>
      </c>
      <c r="G237" s="6">
        <f>806378+68831896</f>
        <v>69638274</v>
      </c>
      <c r="I237" s="6">
        <v>92875641</v>
      </c>
      <c r="K237" s="6">
        <f t="shared" si="53"/>
        <v>5981362</v>
      </c>
      <c r="M237" s="6">
        <v>1145509</v>
      </c>
      <c r="O237" s="6">
        <f>25259355-1145509</f>
        <v>24113846</v>
      </c>
      <c r="Q237" s="6">
        <v>31240717</v>
      </c>
      <c r="S237" s="6">
        <v>46524849</v>
      </c>
      <c r="U237" s="6">
        <f t="shared" si="59"/>
        <v>5025558</v>
      </c>
      <c r="W237" s="6">
        <v>10084517</v>
      </c>
      <c r="Y237" s="6">
        <v>61634924</v>
      </c>
      <c r="Z237" s="6">
        <f t="shared" si="56"/>
        <v>0</v>
      </c>
      <c r="AB237" s="6">
        <f t="shared" si="55"/>
        <v>0</v>
      </c>
    </row>
    <row r="238" spans="1:28">
      <c r="A238" s="10" t="s">
        <v>340</v>
      </c>
      <c r="B238" s="10"/>
      <c r="C238" s="10" t="s">
        <v>339</v>
      </c>
      <c r="E238" s="6">
        <f t="shared" si="58"/>
        <v>5371410</v>
      </c>
      <c r="G238" s="6">
        <f>20000+14306487</f>
        <v>14326487</v>
      </c>
      <c r="I238" s="6">
        <v>19697897</v>
      </c>
      <c r="K238" s="6">
        <f t="shared" si="53"/>
        <v>1429509</v>
      </c>
      <c r="M238" s="6">
        <v>103261</v>
      </c>
      <c r="O238" s="6">
        <f>4254347-103261</f>
        <v>4151086</v>
      </c>
      <c r="Q238" s="6">
        <v>5683856</v>
      </c>
      <c r="S238" s="6">
        <v>10410832</v>
      </c>
      <c r="U238" s="6">
        <f t="shared" si="59"/>
        <v>698290</v>
      </c>
      <c r="W238" s="6">
        <v>2904919</v>
      </c>
      <c r="Y238" s="6">
        <v>14014041</v>
      </c>
      <c r="Z238" s="6">
        <f t="shared" si="56"/>
        <v>0</v>
      </c>
      <c r="AB238" s="6">
        <f t="shared" si="55"/>
        <v>0</v>
      </c>
    </row>
    <row r="239" spans="1:28">
      <c r="A239" s="10" t="s">
        <v>491</v>
      </c>
      <c r="B239" s="10"/>
      <c r="C239" s="10" t="s">
        <v>61</v>
      </c>
      <c r="E239" s="6">
        <f t="shared" si="58"/>
        <v>6571696</v>
      </c>
      <c r="G239" s="6">
        <f>24500533+313452</f>
        <v>24813985</v>
      </c>
      <c r="I239" s="6">
        <v>31385681</v>
      </c>
      <c r="K239" s="6">
        <f t="shared" si="53"/>
        <v>3199014</v>
      </c>
      <c r="M239" s="6">
        <v>259597</v>
      </c>
      <c r="O239" s="6">
        <f>9549962-259597</f>
        <v>9290365</v>
      </c>
      <c r="Q239" s="6">
        <v>12748976</v>
      </c>
      <c r="S239" s="6">
        <v>15020071</v>
      </c>
      <c r="U239" s="6">
        <f t="shared" si="59"/>
        <v>1026459</v>
      </c>
      <c r="W239" s="6">
        <v>2590175</v>
      </c>
      <c r="Y239" s="6">
        <v>18636705</v>
      </c>
      <c r="Z239" s="6">
        <f t="shared" si="56"/>
        <v>0</v>
      </c>
      <c r="AB239" s="6">
        <f t="shared" si="55"/>
        <v>0</v>
      </c>
    </row>
    <row r="240" spans="1:28" hidden="1">
      <c r="A240" s="10" t="s">
        <v>858</v>
      </c>
      <c r="B240" s="10"/>
      <c r="C240" s="10" t="s">
        <v>343</v>
      </c>
      <c r="E240" s="6">
        <f t="shared" si="58"/>
        <v>0</v>
      </c>
      <c r="K240" s="6">
        <f t="shared" si="53"/>
        <v>0</v>
      </c>
      <c r="U240" s="6">
        <f t="shared" si="59"/>
        <v>0</v>
      </c>
      <c r="Z240" s="6">
        <f t="shared" si="56"/>
        <v>0</v>
      </c>
      <c r="AB240" s="6">
        <f t="shared" si="55"/>
        <v>0</v>
      </c>
    </row>
    <row r="241" spans="1:28">
      <c r="A241" s="10" t="s">
        <v>373</v>
      </c>
      <c r="B241" s="10"/>
      <c r="C241" s="10" t="s">
        <v>42</v>
      </c>
      <c r="E241" s="6">
        <f t="shared" si="58"/>
        <v>14322930</v>
      </c>
      <c r="G241" s="6">
        <v>14909461</v>
      </c>
      <c r="I241" s="6">
        <v>29232391</v>
      </c>
      <c r="K241" s="6">
        <f t="shared" si="53"/>
        <v>9987620</v>
      </c>
      <c r="M241" s="6">
        <v>1278987</v>
      </c>
      <c r="O241" s="6">
        <f>16242177-1278987</f>
        <v>14963190</v>
      </c>
      <c r="Q241" s="6">
        <v>26229797</v>
      </c>
      <c r="S241" s="6">
        <v>2239306</v>
      </c>
      <c r="U241" s="6">
        <f t="shared" si="59"/>
        <v>2052056</v>
      </c>
      <c r="W241" s="6">
        <v>-1288768</v>
      </c>
      <c r="Y241" s="6">
        <v>3002594</v>
      </c>
      <c r="Z241" s="6">
        <f t="shared" si="56"/>
        <v>0</v>
      </c>
      <c r="AB241" s="6">
        <f t="shared" si="55"/>
        <v>0</v>
      </c>
    </row>
    <row r="242" spans="1:28" hidden="1">
      <c r="A242" s="10" t="s">
        <v>667</v>
      </c>
      <c r="B242" s="10"/>
      <c r="C242" s="10" t="s">
        <v>22</v>
      </c>
      <c r="E242" s="6">
        <f t="shared" si="58"/>
        <v>0</v>
      </c>
      <c r="K242" s="6">
        <f t="shared" si="53"/>
        <v>0</v>
      </c>
      <c r="U242" s="6">
        <f t="shared" si="59"/>
        <v>0</v>
      </c>
      <c r="Z242" s="6">
        <f t="shared" si="56"/>
        <v>0</v>
      </c>
      <c r="AB242" s="6">
        <f t="shared" si="55"/>
        <v>0</v>
      </c>
    </row>
    <row r="243" spans="1:28">
      <c r="A243" s="10" t="s">
        <v>417</v>
      </c>
      <c r="B243" s="10"/>
      <c r="C243" s="10" t="s">
        <v>47</v>
      </c>
      <c r="E243" s="6">
        <f t="shared" si="58"/>
        <v>35927428</v>
      </c>
      <c r="G243" s="6">
        <f>1299013+38071394</f>
        <v>39370407</v>
      </c>
      <c r="I243" s="6">
        <v>75297835</v>
      </c>
      <c r="K243" s="6">
        <f t="shared" si="53"/>
        <v>23245826</v>
      </c>
      <c r="M243" s="6">
        <v>1484103</v>
      </c>
      <c r="O243" s="6">
        <f>32176637-1484103</f>
        <v>30692534</v>
      </c>
      <c r="Q243" s="6">
        <v>55422463</v>
      </c>
      <c r="S243" s="6">
        <v>10755278</v>
      </c>
      <c r="U243" s="6">
        <f t="shared" si="59"/>
        <v>5904736</v>
      </c>
      <c r="W243" s="6">
        <v>3215358</v>
      </c>
      <c r="Y243" s="6">
        <v>19875372</v>
      </c>
      <c r="Z243" s="6">
        <f>+I243-Q243-Y243</f>
        <v>0</v>
      </c>
      <c r="AB243" s="6">
        <f>+E243+G243+-K243-M243-S243-U243-W243-O243</f>
        <v>0</v>
      </c>
    </row>
    <row r="244" spans="1:28">
      <c r="A244" s="10" t="s">
        <v>417</v>
      </c>
      <c r="B244" s="10"/>
      <c r="C244" s="10" t="s">
        <v>78</v>
      </c>
      <c r="E244" s="6">
        <f t="shared" si="58"/>
        <v>16440083</v>
      </c>
      <c r="G244" s="6">
        <f>727987+58158612</f>
        <v>58886599</v>
      </c>
      <c r="I244" s="6">
        <v>75326682</v>
      </c>
      <c r="K244" s="6">
        <f t="shared" si="53"/>
        <v>6649310</v>
      </c>
      <c r="M244" s="6">
        <v>198064</v>
      </c>
      <c r="O244" s="6">
        <f>16203943-198064</f>
        <v>16005879</v>
      </c>
      <c r="Q244" s="6">
        <v>22853253</v>
      </c>
      <c r="S244" s="6">
        <v>44533680</v>
      </c>
      <c r="U244" s="6">
        <f t="shared" si="59"/>
        <v>3705560</v>
      </c>
      <c r="W244" s="6">
        <v>4234189</v>
      </c>
      <c r="Y244" s="6">
        <v>52473429</v>
      </c>
      <c r="Z244" s="6">
        <f>+I244-Q244-Y244</f>
        <v>0</v>
      </c>
      <c r="AB244" s="6">
        <f>+E244+G244+-K244-M244-S244-U244-W244-O244</f>
        <v>0</v>
      </c>
    </row>
    <row r="245" spans="1:28">
      <c r="A245" s="10" t="s">
        <v>305</v>
      </c>
      <c r="B245" s="10"/>
      <c r="C245" s="10" t="s">
        <v>27</v>
      </c>
      <c r="E245" s="6">
        <f t="shared" si="58"/>
        <v>175573973</v>
      </c>
      <c r="G245" s="6">
        <f>19106375+4383981+150986886</f>
        <v>174477242</v>
      </c>
      <c r="I245" s="6">
        <v>350051215</v>
      </c>
      <c r="K245" s="6">
        <f t="shared" si="53"/>
        <v>95335296</v>
      </c>
      <c r="M245" s="6">
        <v>15218901</v>
      </c>
      <c r="O245" s="6">
        <f>196422064-15218901</f>
        <v>181203163</v>
      </c>
      <c r="Q245" s="6">
        <v>291757360</v>
      </c>
      <c r="S245" s="6">
        <v>-2460276</v>
      </c>
      <c r="U245" s="6">
        <f t="shared" si="59"/>
        <v>22977705</v>
      </c>
      <c r="W245" s="6">
        <v>37776426</v>
      </c>
      <c r="Y245" s="6">
        <v>58293855</v>
      </c>
      <c r="Z245" s="6">
        <f t="shared" si="56"/>
        <v>0</v>
      </c>
      <c r="AB245" s="6">
        <f t="shared" si="55"/>
        <v>0</v>
      </c>
    </row>
    <row r="246" spans="1:28">
      <c r="A246" s="10" t="s">
        <v>350</v>
      </c>
      <c r="B246" s="10"/>
      <c r="C246" s="10" t="s">
        <v>348</v>
      </c>
      <c r="E246" s="6">
        <f t="shared" si="58"/>
        <v>18080741</v>
      </c>
      <c r="G246" s="6">
        <f>600793+57533433</f>
        <v>58134226</v>
      </c>
      <c r="I246" s="6">
        <v>76214967</v>
      </c>
      <c r="K246" s="6">
        <f t="shared" si="53"/>
        <v>8553548</v>
      </c>
      <c r="M246" s="6">
        <v>637383</v>
      </c>
      <c r="O246" s="6">
        <f>12052586-637383</f>
        <v>11415203</v>
      </c>
      <c r="Q246" s="6">
        <v>20606134</v>
      </c>
      <c r="S246" s="6">
        <v>47148418</v>
      </c>
      <c r="U246" s="6">
        <f t="shared" si="59"/>
        <v>4585368</v>
      </c>
      <c r="W246" s="6">
        <v>3875047</v>
      </c>
      <c r="Y246" s="6">
        <v>55608833</v>
      </c>
      <c r="Z246" s="6">
        <f t="shared" si="56"/>
        <v>0</v>
      </c>
      <c r="AB246" s="6">
        <f t="shared" si="55"/>
        <v>0</v>
      </c>
    </row>
    <row r="247" spans="1:28">
      <c r="A247" s="10" t="s">
        <v>204</v>
      </c>
      <c r="B247" s="10"/>
      <c r="C247" s="10" t="s">
        <v>11</v>
      </c>
      <c r="E247" s="6">
        <f t="shared" si="58"/>
        <v>6690869</v>
      </c>
      <c r="G247" s="6">
        <f>51970+1941560</f>
        <v>1993530</v>
      </c>
      <c r="I247" s="6">
        <v>8684399</v>
      </c>
      <c r="K247" s="6">
        <f t="shared" si="53"/>
        <v>5077384</v>
      </c>
      <c r="M247" s="6">
        <v>179741</v>
      </c>
      <c r="O247" s="6">
        <f>1129605-179741</f>
        <v>949864</v>
      </c>
      <c r="Q247" s="6">
        <v>6206989</v>
      </c>
      <c r="S247" s="6">
        <v>1823680</v>
      </c>
      <c r="U247" s="6">
        <f t="shared" si="59"/>
        <v>183391</v>
      </c>
      <c r="W247" s="6">
        <v>470339</v>
      </c>
      <c r="Y247" s="6">
        <v>2477410</v>
      </c>
      <c r="Z247" s="6">
        <f t="shared" si="56"/>
        <v>0</v>
      </c>
      <c r="AB247" s="6">
        <f t="shared" si="55"/>
        <v>0</v>
      </c>
    </row>
    <row r="248" spans="1:28">
      <c r="A248" s="10" t="s">
        <v>344</v>
      </c>
      <c r="B248" s="10"/>
      <c r="C248" s="10" t="s">
        <v>34</v>
      </c>
      <c r="E248" s="6">
        <f t="shared" si="58"/>
        <v>5079629</v>
      </c>
      <c r="G248" s="6">
        <f>623397+20236338</f>
        <v>20859735</v>
      </c>
      <c r="I248" s="6">
        <v>25939364</v>
      </c>
      <c r="K248" s="6">
        <f t="shared" si="53"/>
        <v>2083557</v>
      </c>
      <c r="M248" s="6">
        <v>186875</v>
      </c>
      <c r="O248" s="6">
        <f>4324942-186875</f>
        <v>4138067</v>
      </c>
      <c r="Q248" s="6">
        <v>6408499</v>
      </c>
      <c r="S248" s="6">
        <v>16803730</v>
      </c>
      <c r="U248" s="6">
        <f t="shared" si="59"/>
        <v>895749</v>
      </c>
      <c r="W248" s="6">
        <v>1831386</v>
      </c>
      <c r="Y248" s="6">
        <v>19530865</v>
      </c>
      <c r="Z248" s="6">
        <f t="shared" si="56"/>
        <v>0</v>
      </c>
      <c r="AB248" s="6">
        <f t="shared" si="55"/>
        <v>0</v>
      </c>
    </row>
    <row r="249" spans="1:28" hidden="1">
      <c r="A249" s="10" t="s">
        <v>891</v>
      </c>
      <c r="B249" s="10"/>
      <c r="C249" s="10" t="s">
        <v>60</v>
      </c>
      <c r="E249" s="6">
        <f t="shared" ref="E249" si="60">+I249-G249</f>
        <v>0</v>
      </c>
      <c r="K249" s="6">
        <f t="shared" ref="K249" si="61">+Q249-M249-O249</f>
        <v>0</v>
      </c>
      <c r="U249" s="6">
        <f t="shared" ref="U249" si="62">Y249-W249-S249</f>
        <v>0</v>
      </c>
      <c r="Z249" s="6">
        <f t="shared" ref="Z249" si="63">+I249-Q249-Y249</f>
        <v>0</v>
      </c>
      <c r="AB249" s="6">
        <f t="shared" ref="AB249" si="64">+E249+G249+-K249-M249-S249-U249-W249-O249</f>
        <v>0</v>
      </c>
    </row>
    <row r="250" spans="1:28">
      <c r="A250" s="10" t="s">
        <v>522</v>
      </c>
      <c r="B250" s="10"/>
      <c r="C250" s="10" t="s">
        <v>64</v>
      </c>
      <c r="E250" s="6">
        <f t="shared" si="58"/>
        <v>22988391</v>
      </c>
      <c r="G250" s="6">
        <v>3692281</v>
      </c>
      <c r="I250" s="6">
        <v>26680672</v>
      </c>
      <c r="K250" s="6">
        <f t="shared" si="53"/>
        <v>20082206</v>
      </c>
      <c r="M250" s="6">
        <v>475094</v>
      </c>
      <c r="O250" s="6">
        <f>4336752-475094</f>
        <v>3861658</v>
      </c>
      <c r="Q250" s="6">
        <v>24418958</v>
      </c>
      <c r="S250" s="6">
        <v>3692281</v>
      </c>
      <c r="U250" s="6">
        <f t="shared" si="59"/>
        <v>630241</v>
      </c>
      <c r="W250" s="6">
        <v>-2060808</v>
      </c>
      <c r="Y250" s="6">
        <v>2261714</v>
      </c>
      <c r="Z250" s="6">
        <f t="shared" si="56"/>
        <v>0</v>
      </c>
      <c r="AB250" s="6">
        <f t="shared" si="55"/>
        <v>0</v>
      </c>
    </row>
    <row r="251" spans="1:28">
      <c r="A251" s="10" t="s">
        <v>761</v>
      </c>
      <c r="B251" s="10"/>
      <c r="C251" s="10" t="s">
        <v>64</v>
      </c>
      <c r="E251" s="6">
        <f t="shared" si="58"/>
        <v>22828051</v>
      </c>
      <c r="G251" s="6">
        <f>19650085+34364986</f>
        <v>54015071</v>
      </c>
      <c r="I251" s="6">
        <v>76843122</v>
      </c>
      <c r="K251" s="6">
        <f t="shared" si="53"/>
        <v>9992352</v>
      </c>
      <c r="M251" s="6">
        <v>616792</v>
      </c>
      <c r="O251" s="6">
        <f>18113315-616792</f>
        <v>17496523</v>
      </c>
      <c r="Q251" s="6">
        <v>28105667</v>
      </c>
      <c r="S251" s="6">
        <v>36649863</v>
      </c>
      <c r="U251" s="6">
        <f t="shared" si="59"/>
        <v>8900401</v>
      </c>
      <c r="W251" s="6">
        <v>3187191</v>
      </c>
      <c r="Y251" s="6">
        <v>48737455</v>
      </c>
      <c r="Z251" s="6">
        <f t="shared" si="56"/>
        <v>0</v>
      </c>
      <c r="AB251" s="6">
        <f t="shared" si="55"/>
        <v>0</v>
      </c>
    </row>
    <row r="252" spans="1:28">
      <c r="A252" s="10" t="s">
        <v>430</v>
      </c>
      <c r="B252" s="10"/>
      <c r="C252" s="10" t="s">
        <v>50</v>
      </c>
      <c r="E252" s="6">
        <f t="shared" si="58"/>
        <v>91733132</v>
      </c>
      <c r="G252" s="6">
        <f>54882075+85789070</f>
        <v>140671145</v>
      </c>
      <c r="I252" s="6">
        <v>232404277</v>
      </c>
      <c r="K252" s="6">
        <f t="shared" si="53"/>
        <v>39107670</v>
      </c>
      <c r="M252" s="6">
        <v>2167270</v>
      </c>
      <c r="O252" s="6">
        <f>82937577-2167270</f>
        <v>80770307</v>
      </c>
      <c r="Q252" s="6">
        <v>122045247</v>
      </c>
      <c r="S252" s="6">
        <v>98446254</v>
      </c>
      <c r="U252" s="6">
        <f t="shared" si="59"/>
        <v>7336663</v>
      </c>
      <c r="W252" s="6">
        <v>4576113</v>
      </c>
      <c r="Y252" s="6">
        <v>110359030</v>
      </c>
      <c r="Z252" s="6">
        <f t="shared" si="56"/>
        <v>0</v>
      </c>
      <c r="AB252" s="6">
        <f t="shared" si="55"/>
        <v>0</v>
      </c>
    </row>
    <row r="253" spans="1:28">
      <c r="A253" s="10" t="s">
        <v>509</v>
      </c>
      <c r="B253" s="10"/>
      <c r="C253" s="10" t="s">
        <v>63</v>
      </c>
      <c r="E253" s="6">
        <f t="shared" si="58"/>
        <v>70137885</v>
      </c>
      <c r="G253" s="6">
        <f>1032204+49737573</f>
        <v>50769777</v>
      </c>
      <c r="I253" s="6">
        <v>120907662</v>
      </c>
      <c r="K253" s="6">
        <f t="shared" si="53"/>
        <v>47421408</v>
      </c>
      <c r="M253" s="6">
        <v>3644079</v>
      </c>
      <c r="O253" s="6">
        <f>32401171-3644079</f>
        <v>28757092</v>
      </c>
      <c r="Q253" s="6">
        <v>79822579</v>
      </c>
      <c r="S253" s="6">
        <v>23427664</v>
      </c>
      <c r="U253" s="6">
        <f t="shared" si="59"/>
        <v>6910143</v>
      </c>
      <c r="W253" s="6">
        <v>10747276</v>
      </c>
      <c r="Y253" s="6">
        <v>41085083</v>
      </c>
      <c r="Z253" s="6">
        <f t="shared" si="56"/>
        <v>0</v>
      </c>
      <c r="AB253" s="6">
        <f t="shared" si="55"/>
        <v>0</v>
      </c>
    </row>
    <row r="254" spans="1:28">
      <c r="A254" s="10" t="s">
        <v>474</v>
      </c>
      <c r="B254" s="10"/>
      <c r="C254" s="10" t="s">
        <v>58</v>
      </c>
      <c r="E254" s="6">
        <f t="shared" si="58"/>
        <v>7363713</v>
      </c>
      <c r="G254" s="6">
        <f>769307+10492060</f>
        <v>11261367</v>
      </c>
      <c r="I254" s="6">
        <v>18625080</v>
      </c>
      <c r="K254" s="6">
        <f t="shared" si="53"/>
        <v>2886136</v>
      </c>
      <c r="M254" s="6">
        <v>171282</v>
      </c>
      <c r="O254" s="6">
        <f>1303781-171282</f>
        <v>1132499</v>
      </c>
      <c r="Q254" s="6">
        <v>4189917</v>
      </c>
      <c r="S254" s="6">
        <v>10615160</v>
      </c>
      <c r="U254" s="6">
        <f t="shared" si="59"/>
        <v>276065</v>
      </c>
      <c r="W254" s="6">
        <v>3543938</v>
      </c>
      <c r="Y254" s="6">
        <v>14435163</v>
      </c>
      <c r="Z254" s="6">
        <f t="shared" si="56"/>
        <v>0</v>
      </c>
      <c r="AB254" s="6">
        <f t="shared" si="55"/>
        <v>0</v>
      </c>
    </row>
    <row r="255" spans="1:28">
      <c r="A255" s="10" t="s">
        <v>286</v>
      </c>
      <c r="B255" s="10"/>
      <c r="C255" s="10" t="s">
        <v>24</v>
      </c>
      <c r="E255" s="6">
        <f t="shared" si="58"/>
        <v>18871481</v>
      </c>
      <c r="G255" s="6">
        <v>8454025</v>
      </c>
      <c r="I255" s="6">
        <v>27325506</v>
      </c>
      <c r="K255" s="6">
        <f t="shared" si="53"/>
        <v>9967169</v>
      </c>
      <c r="M255" s="6">
        <v>942933</v>
      </c>
      <c r="O255" s="6">
        <f>9099168-942933</f>
        <v>8156235</v>
      </c>
      <c r="Q255" s="6">
        <v>19066337</v>
      </c>
      <c r="S255" s="6">
        <v>3684186</v>
      </c>
      <c r="U255" s="6">
        <f t="shared" si="59"/>
        <v>562833</v>
      </c>
      <c r="W255" s="6">
        <v>4012150</v>
      </c>
      <c r="Y255" s="6">
        <v>8259169</v>
      </c>
      <c r="Z255" s="6">
        <f t="shared" si="56"/>
        <v>0</v>
      </c>
      <c r="AB255" s="6">
        <f t="shared" si="55"/>
        <v>0</v>
      </c>
    </row>
    <row r="256" spans="1:28">
      <c r="A256" s="10" t="s">
        <v>269</v>
      </c>
      <c r="B256" s="10"/>
      <c r="C256" s="10" t="s">
        <v>20</v>
      </c>
      <c r="E256" s="6">
        <f t="shared" si="58"/>
        <v>23805155</v>
      </c>
      <c r="G256" s="6">
        <f>147099+22962324</f>
        <v>23109423</v>
      </c>
      <c r="I256" s="6">
        <v>46914578</v>
      </c>
      <c r="K256" s="6">
        <f t="shared" si="53"/>
        <v>13604588</v>
      </c>
      <c r="M256" s="6">
        <v>685167</v>
      </c>
      <c r="O256" s="6">
        <f>16958223-685167</f>
        <v>16273056</v>
      </c>
      <c r="Q256" s="6">
        <v>30562811</v>
      </c>
      <c r="S256" s="6">
        <v>8920057</v>
      </c>
      <c r="U256" s="6">
        <f t="shared" si="59"/>
        <v>3139332</v>
      </c>
      <c r="W256" s="6">
        <v>4292378</v>
      </c>
      <c r="Y256" s="6">
        <v>16351767</v>
      </c>
      <c r="Z256" s="6">
        <f t="shared" si="56"/>
        <v>0</v>
      </c>
      <c r="AB256" s="6">
        <f t="shared" si="55"/>
        <v>0</v>
      </c>
    </row>
    <row r="257" spans="1:28">
      <c r="A257" s="10" t="s">
        <v>363</v>
      </c>
      <c r="B257" s="10"/>
      <c r="C257" s="10" t="s">
        <v>39</v>
      </c>
      <c r="D257" s="9"/>
      <c r="E257" s="6">
        <f t="shared" si="58"/>
        <v>20184097</v>
      </c>
      <c r="G257" s="6">
        <f>10293570+4340547</f>
        <v>14634117</v>
      </c>
      <c r="I257" s="6">
        <v>34818214</v>
      </c>
      <c r="K257" s="6">
        <f t="shared" si="53"/>
        <v>11606765</v>
      </c>
      <c r="M257" s="6">
        <v>740298</v>
      </c>
      <c r="O257" s="6">
        <f>13046138-740298</f>
        <v>12305840</v>
      </c>
      <c r="Q257" s="6">
        <v>24652903</v>
      </c>
      <c r="S257" s="6">
        <v>3150232</v>
      </c>
      <c r="U257" s="6">
        <f t="shared" si="59"/>
        <v>7454625</v>
      </c>
      <c r="W257" s="6">
        <v>-439546</v>
      </c>
      <c r="Y257" s="6">
        <v>10165311</v>
      </c>
      <c r="Z257" s="6">
        <f t="shared" si="56"/>
        <v>0</v>
      </c>
      <c r="AB257" s="6">
        <f t="shared" si="55"/>
        <v>0</v>
      </c>
    </row>
    <row r="258" spans="1:28">
      <c r="A258" s="10" t="s">
        <v>762</v>
      </c>
      <c r="B258" s="10"/>
      <c r="C258" s="10" t="s">
        <v>32</v>
      </c>
      <c r="E258" s="6">
        <f t="shared" si="58"/>
        <v>66049392</v>
      </c>
      <c r="G258" s="6">
        <v>42738446</v>
      </c>
      <c r="I258" s="6">
        <v>108787838</v>
      </c>
      <c r="K258" s="6">
        <f t="shared" si="53"/>
        <v>22399774</v>
      </c>
      <c r="M258" s="6">
        <v>2841280</v>
      </c>
      <c r="O258" s="6">
        <f>35043930-2841280</f>
        <v>32202650</v>
      </c>
      <c r="Q258" s="6">
        <v>57443704</v>
      </c>
      <c r="S258" s="6">
        <v>10757664</v>
      </c>
      <c r="U258" s="6">
        <f t="shared" si="59"/>
        <v>4068767</v>
      </c>
      <c r="W258" s="6">
        <v>36517703</v>
      </c>
      <c r="Y258" s="6">
        <v>51344134</v>
      </c>
      <c r="Z258" s="6">
        <f t="shared" si="56"/>
        <v>0</v>
      </c>
      <c r="AB258" s="6">
        <f t="shared" si="55"/>
        <v>0</v>
      </c>
    </row>
    <row r="259" spans="1:28" hidden="1">
      <c r="A259" s="10" t="s">
        <v>795</v>
      </c>
      <c r="B259" s="10"/>
      <c r="C259" s="10" t="s">
        <v>43</v>
      </c>
      <c r="E259" s="6">
        <f t="shared" si="58"/>
        <v>0</v>
      </c>
      <c r="K259" s="6">
        <f t="shared" si="53"/>
        <v>0</v>
      </c>
      <c r="U259" s="6">
        <f t="shared" si="59"/>
        <v>0</v>
      </c>
      <c r="Z259" s="6">
        <f t="shared" si="56"/>
        <v>0</v>
      </c>
      <c r="AB259" s="6">
        <f t="shared" si="55"/>
        <v>0</v>
      </c>
    </row>
    <row r="260" spans="1:28">
      <c r="A260" s="10" t="s">
        <v>536</v>
      </c>
      <c r="B260" s="10"/>
      <c r="C260" s="10" t="s">
        <v>65</v>
      </c>
      <c r="E260" s="6">
        <f t="shared" si="58"/>
        <v>11437593</v>
      </c>
      <c r="G260" s="6">
        <f>91144+41837293</f>
        <v>41928437</v>
      </c>
      <c r="I260" s="6">
        <v>53366030</v>
      </c>
      <c r="K260" s="6">
        <f t="shared" si="53"/>
        <v>6721998</v>
      </c>
      <c r="M260" s="6">
        <v>917615</v>
      </c>
      <c r="O260" s="6">
        <f>12849244-917615</f>
        <v>11931629</v>
      </c>
      <c r="Q260" s="6">
        <v>19571242</v>
      </c>
      <c r="S260" s="6">
        <v>31454466</v>
      </c>
      <c r="U260" s="6">
        <f t="shared" si="59"/>
        <v>2073395</v>
      </c>
      <c r="W260" s="6">
        <v>266927</v>
      </c>
      <c r="Y260" s="6">
        <v>33794788</v>
      </c>
      <c r="Z260" s="6">
        <f t="shared" si="56"/>
        <v>0</v>
      </c>
      <c r="AB260" s="6">
        <f t="shared" si="55"/>
        <v>0</v>
      </c>
    </row>
    <row r="261" spans="1:28">
      <c r="A261" s="10" t="s">
        <v>369</v>
      </c>
      <c r="B261" s="10"/>
      <c r="C261" s="10" t="s">
        <v>366</v>
      </c>
      <c r="E261" s="6">
        <f t="shared" si="58"/>
        <v>11590094</v>
      </c>
      <c r="G261" s="6">
        <f>471255+47025099</f>
        <v>47496354</v>
      </c>
      <c r="I261" s="6">
        <v>59086448</v>
      </c>
      <c r="K261" s="6">
        <f t="shared" si="53"/>
        <v>4767703</v>
      </c>
      <c r="M261" s="6">
        <v>260064</v>
      </c>
      <c r="O261" s="6">
        <f>18081639-260064</f>
        <v>17821575</v>
      </c>
      <c r="Q261" s="6">
        <v>22849342</v>
      </c>
      <c r="S261" s="6">
        <v>30652180</v>
      </c>
      <c r="U261" s="6">
        <f t="shared" si="59"/>
        <v>4718523</v>
      </c>
      <c r="W261" s="6">
        <v>866403</v>
      </c>
      <c r="Y261" s="6">
        <v>36237106</v>
      </c>
      <c r="Z261" s="6">
        <f t="shared" si="56"/>
        <v>0</v>
      </c>
      <c r="AB261" s="6">
        <f t="shared" si="55"/>
        <v>0</v>
      </c>
    </row>
    <row r="262" spans="1:28" hidden="1">
      <c r="A262" s="10" t="s">
        <v>668</v>
      </c>
      <c r="B262" s="10"/>
      <c r="C262" s="10" t="s">
        <v>61</v>
      </c>
      <c r="E262" s="6">
        <f t="shared" si="58"/>
        <v>0</v>
      </c>
      <c r="K262" s="6">
        <f t="shared" si="53"/>
        <v>0</v>
      </c>
      <c r="U262" s="6">
        <f t="shared" si="59"/>
        <v>0</v>
      </c>
      <c r="Z262" s="6">
        <f t="shared" si="56"/>
        <v>0</v>
      </c>
      <c r="AB262" s="6">
        <f t="shared" si="55"/>
        <v>0</v>
      </c>
    </row>
    <row r="263" spans="1:28" hidden="1">
      <c r="A263" s="10" t="s">
        <v>679</v>
      </c>
      <c r="B263" s="10"/>
      <c r="C263" s="10" t="s">
        <v>38</v>
      </c>
      <c r="E263" s="6">
        <f t="shared" si="58"/>
        <v>0</v>
      </c>
      <c r="K263" s="6">
        <f t="shared" si="53"/>
        <v>0</v>
      </c>
      <c r="U263" s="6">
        <f t="shared" si="59"/>
        <v>0</v>
      </c>
      <c r="Z263" s="6">
        <f>+I263-Q263-Y263</f>
        <v>0</v>
      </c>
      <c r="AB263" s="6">
        <f t="shared" si="55"/>
        <v>0</v>
      </c>
    </row>
    <row r="264" spans="1:28">
      <c r="A264" s="10" t="s">
        <v>497</v>
      </c>
      <c r="B264" s="10"/>
      <c r="C264" s="10" t="s">
        <v>62</v>
      </c>
      <c r="E264" s="6">
        <f t="shared" si="58"/>
        <v>72786705</v>
      </c>
      <c r="G264" s="6">
        <v>88464133</v>
      </c>
      <c r="I264" s="6">
        <v>161250838</v>
      </c>
      <c r="K264" s="6">
        <f t="shared" si="53"/>
        <v>50409757</v>
      </c>
      <c r="M264" s="6">
        <v>5329501</v>
      </c>
      <c r="O264" s="6">
        <f>67246117-5329501</f>
        <v>61916616</v>
      </c>
      <c r="Q264" s="6">
        <v>117655874</v>
      </c>
      <c r="S264" s="6">
        <v>29143133</v>
      </c>
      <c r="U264" s="6">
        <f t="shared" si="59"/>
        <v>5957832</v>
      </c>
      <c r="W264" s="6">
        <v>8493999</v>
      </c>
      <c r="Y264" s="6">
        <v>43594964</v>
      </c>
      <c r="Z264" s="6">
        <f t="shared" si="56"/>
        <v>0</v>
      </c>
      <c r="AB264" s="6">
        <f t="shared" si="55"/>
        <v>0</v>
      </c>
    </row>
    <row r="265" spans="1:28">
      <c r="A265" s="10" t="s">
        <v>404</v>
      </c>
      <c r="B265" s="10"/>
      <c r="C265" s="10" t="s">
        <v>45</v>
      </c>
      <c r="E265" s="6">
        <f t="shared" si="58"/>
        <v>10545519</v>
      </c>
      <c r="G265" s="6">
        <v>17738959</v>
      </c>
      <c r="I265" s="6">
        <v>28284478</v>
      </c>
      <c r="K265" s="6">
        <f t="shared" si="53"/>
        <v>7039709</v>
      </c>
      <c r="M265" s="6">
        <v>504476</v>
      </c>
      <c r="O265" s="6">
        <f>15821712-504476</f>
        <v>15317236</v>
      </c>
      <c r="Q265" s="6">
        <v>22861421</v>
      </c>
      <c r="S265" s="6">
        <v>2776665</v>
      </c>
      <c r="U265" s="6">
        <f t="shared" si="59"/>
        <v>1198609</v>
      </c>
      <c r="W265" s="6">
        <v>1447783</v>
      </c>
      <c r="Y265" s="6">
        <v>5423057</v>
      </c>
      <c r="Z265" s="6">
        <f t="shared" si="56"/>
        <v>0</v>
      </c>
      <c r="AB265" s="6">
        <f t="shared" si="55"/>
        <v>0</v>
      </c>
    </row>
    <row r="266" spans="1:28">
      <c r="A266" s="10" t="s">
        <v>460</v>
      </c>
      <c r="B266" s="10"/>
      <c r="C266" s="10" t="s">
        <v>56</v>
      </c>
      <c r="E266" s="6">
        <f t="shared" si="58"/>
        <v>8507941</v>
      </c>
      <c r="G266" s="6">
        <v>7200797</v>
      </c>
      <c r="I266" s="6">
        <v>15708738</v>
      </c>
      <c r="K266" s="6">
        <f t="shared" si="53"/>
        <v>5883497</v>
      </c>
      <c r="M266" s="6">
        <v>403404</v>
      </c>
      <c r="O266" s="6">
        <f>5750647-403404</f>
        <v>5347243</v>
      </c>
      <c r="Q266" s="6">
        <v>11634144</v>
      </c>
      <c r="S266" s="6">
        <v>2349470</v>
      </c>
      <c r="U266" s="6">
        <f t="shared" si="59"/>
        <v>383270</v>
      </c>
      <c r="W266" s="6">
        <v>1341854</v>
      </c>
      <c r="Y266" s="6">
        <v>4074594</v>
      </c>
      <c r="Z266" s="6">
        <f t="shared" si="56"/>
        <v>0</v>
      </c>
      <c r="AB266" s="6">
        <f t="shared" si="55"/>
        <v>0</v>
      </c>
    </row>
    <row r="267" spans="1:28">
      <c r="A267" s="10" t="s">
        <v>209</v>
      </c>
      <c r="B267" s="10"/>
      <c r="C267" s="10" t="s">
        <v>12</v>
      </c>
      <c r="E267" s="6">
        <f t="shared" si="58"/>
        <v>15404844</v>
      </c>
      <c r="G267" s="6">
        <f>540800+53544256</f>
        <v>54085056</v>
      </c>
      <c r="I267" s="6">
        <v>69489900</v>
      </c>
      <c r="K267" s="6">
        <f t="shared" si="53"/>
        <v>5851265</v>
      </c>
      <c r="M267" s="6">
        <v>701099</v>
      </c>
      <c r="O267" s="6">
        <f>20106738-701099</f>
        <v>19405639</v>
      </c>
      <c r="Q267" s="6">
        <v>25958003</v>
      </c>
      <c r="S267" s="6">
        <v>35765488</v>
      </c>
      <c r="U267" s="6">
        <f t="shared" si="59"/>
        <v>4992609</v>
      </c>
      <c r="W267" s="6">
        <v>2773800</v>
      </c>
      <c r="Y267" s="6">
        <v>43531897</v>
      </c>
      <c r="Z267" s="6">
        <f t="shared" si="56"/>
        <v>0</v>
      </c>
      <c r="AB267" s="6">
        <f t="shared" si="55"/>
        <v>0</v>
      </c>
    </row>
    <row r="268" spans="1:28">
      <c r="A268" s="10" t="s">
        <v>397</v>
      </c>
      <c r="B268" s="10"/>
      <c r="C268" s="10" t="s">
        <v>398</v>
      </c>
      <c r="E268" s="6">
        <f t="shared" si="58"/>
        <v>13157237</v>
      </c>
      <c r="G268" s="6">
        <v>29044583</v>
      </c>
      <c r="I268" s="6">
        <v>42201820</v>
      </c>
      <c r="K268" s="6">
        <f t="shared" si="53"/>
        <v>4452703</v>
      </c>
      <c r="M268" s="6">
        <v>1324142</v>
      </c>
      <c r="O268" s="6">
        <f>14264912-1324142</f>
        <v>12940770</v>
      </c>
      <c r="Q268" s="6">
        <v>18717615</v>
      </c>
      <c r="S268" s="6">
        <v>15913700</v>
      </c>
      <c r="U268" s="6">
        <f t="shared" si="59"/>
        <v>2039693</v>
      </c>
      <c r="W268" s="6">
        <v>5530812</v>
      </c>
      <c r="Y268" s="6">
        <v>23484205</v>
      </c>
      <c r="Z268" s="6">
        <f t="shared" si="56"/>
        <v>0</v>
      </c>
      <c r="AB268" s="6">
        <f t="shared" si="55"/>
        <v>0</v>
      </c>
    </row>
    <row r="269" spans="1:28">
      <c r="A269" s="10" t="s">
        <v>680</v>
      </c>
      <c r="B269" s="10"/>
      <c r="C269" s="10" t="s">
        <v>50</v>
      </c>
      <c r="E269" s="6">
        <f t="shared" si="58"/>
        <v>6664411</v>
      </c>
      <c r="G269" s="6">
        <v>1486879</v>
      </c>
      <c r="I269" s="6">
        <v>8151290</v>
      </c>
      <c r="K269" s="6">
        <f t="shared" si="53"/>
        <v>3082894</v>
      </c>
      <c r="M269" s="6">
        <v>78139</v>
      </c>
      <c r="O269" s="6">
        <f>908904-78139</f>
        <v>830765</v>
      </c>
      <c r="Q269" s="6">
        <v>3991798</v>
      </c>
      <c r="S269" s="6">
        <v>826388</v>
      </c>
      <c r="U269" s="6">
        <f t="shared" si="59"/>
        <v>54621</v>
      </c>
      <c r="W269" s="6">
        <v>3278483</v>
      </c>
      <c r="Y269" s="6">
        <v>4159492</v>
      </c>
      <c r="Z269" s="6">
        <f t="shared" si="56"/>
        <v>0</v>
      </c>
      <c r="AB269" s="6">
        <f t="shared" si="55"/>
        <v>0</v>
      </c>
    </row>
    <row r="270" spans="1:28" hidden="1">
      <c r="A270" s="11" t="s">
        <v>872</v>
      </c>
      <c r="B270" s="10"/>
      <c r="C270" s="10" t="s">
        <v>467</v>
      </c>
      <c r="E270" s="6">
        <f t="shared" si="58"/>
        <v>0</v>
      </c>
      <c r="K270" s="6">
        <f t="shared" si="53"/>
        <v>0</v>
      </c>
      <c r="U270" s="6">
        <f t="shared" si="59"/>
        <v>0</v>
      </c>
      <c r="Z270" s="6">
        <f t="shared" si="56"/>
        <v>0</v>
      </c>
      <c r="AB270" s="6">
        <f t="shared" si="55"/>
        <v>0</v>
      </c>
    </row>
    <row r="271" spans="1:28">
      <c r="A271" s="10" t="s">
        <v>374</v>
      </c>
      <c r="B271" s="10"/>
      <c r="C271" s="10" t="s">
        <v>42</v>
      </c>
      <c r="E271" s="6">
        <f t="shared" si="58"/>
        <v>19636454</v>
      </c>
      <c r="G271" s="6">
        <v>2477220</v>
      </c>
      <c r="I271" s="6">
        <v>22113674</v>
      </c>
      <c r="K271" s="6">
        <f t="shared" si="53"/>
        <v>7073701</v>
      </c>
      <c r="M271" s="6">
        <v>172804</v>
      </c>
      <c r="O271" s="6">
        <f>774612-172804</f>
        <v>601808</v>
      </c>
      <c r="Q271" s="6">
        <v>7848313</v>
      </c>
      <c r="S271" s="6">
        <v>2155612</v>
      </c>
      <c r="U271" s="6">
        <f t="shared" si="59"/>
        <v>264544</v>
      </c>
      <c r="W271" s="6">
        <v>11845205</v>
      </c>
      <c r="Y271" s="6">
        <v>14265361</v>
      </c>
      <c r="Z271" s="6">
        <f t="shared" si="56"/>
        <v>0</v>
      </c>
      <c r="AB271" s="6">
        <f t="shared" si="55"/>
        <v>0</v>
      </c>
    </row>
    <row r="272" spans="1:28">
      <c r="A272" s="10" t="s">
        <v>399</v>
      </c>
      <c r="B272" s="10"/>
      <c r="C272" s="10" t="s">
        <v>398</v>
      </c>
      <c r="E272" s="6">
        <f t="shared" si="58"/>
        <v>14317021</v>
      </c>
      <c r="G272" s="6">
        <v>50894469</v>
      </c>
      <c r="I272" s="6">
        <v>65211490</v>
      </c>
      <c r="K272" s="6">
        <f t="shared" si="53"/>
        <v>7329097</v>
      </c>
      <c r="M272" s="6">
        <v>968477</v>
      </c>
      <c r="O272" s="6">
        <f>22066865-968477</f>
        <v>21098388</v>
      </c>
      <c r="Q272" s="6">
        <v>29395962</v>
      </c>
      <c r="S272" s="6">
        <v>30135337</v>
      </c>
      <c r="U272" s="6">
        <f t="shared" si="59"/>
        <v>4279544</v>
      </c>
      <c r="W272" s="6">
        <v>1400647</v>
      </c>
      <c r="Y272" s="6">
        <v>35815528</v>
      </c>
      <c r="Z272" s="6">
        <f t="shared" si="56"/>
        <v>0</v>
      </c>
      <c r="AB272" s="6">
        <f t="shared" si="55"/>
        <v>0</v>
      </c>
    </row>
    <row r="273" spans="1:28">
      <c r="A273" s="11" t="s">
        <v>523</v>
      </c>
      <c r="B273" s="11"/>
      <c r="C273" s="11" t="s">
        <v>64</v>
      </c>
      <c r="E273" s="6">
        <f t="shared" si="58"/>
        <v>7488126</v>
      </c>
      <c r="G273" s="6">
        <f>528682+24251209</f>
        <v>24779891</v>
      </c>
      <c r="I273" s="6">
        <v>32268017</v>
      </c>
      <c r="K273" s="6">
        <f t="shared" si="53"/>
        <v>4283171</v>
      </c>
      <c r="M273" s="6">
        <v>548525</v>
      </c>
      <c r="O273" s="6">
        <f>8571204-548525</f>
        <v>8022679</v>
      </c>
      <c r="Q273" s="6">
        <v>12854375</v>
      </c>
      <c r="S273" s="6">
        <v>17238566</v>
      </c>
      <c r="U273" s="6">
        <f t="shared" si="59"/>
        <v>842964</v>
      </c>
      <c r="W273" s="6">
        <v>1332112</v>
      </c>
      <c r="Y273" s="6">
        <v>19413642</v>
      </c>
      <c r="Z273" s="6">
        <f t="shared" si="56"/>
        <v>0</v>
      </c>
      <c r="AB273" s="6">
        <f t="shared" si="55"/>
        <v>0</v>
      </c>
    </row>
    <row r="274" spans="1:28" hidden="1">
      <c r="A274" s="10" t="s">
        <v>873</v>
      </c>
      <c r="B274" s="10"/>
      <c r="C274" s="10" t="s">
        <v>467</v>
      </c>
      <c r="E274" s="6">
        <f t="shared" ref="E274" si="65">+I274-G274</f>
        <v>0</v>
      </c>
      <c r="G274" s="6">
        <v>0</v>
      </c>
      <c r="I274" s="6">
        <v>0</v>
      </c>
      <c r="K274" s="6">
        <f t="shared" ref="K274" si="66">+Q274-M274-O274</f>
        <v>0</v>
      </c>
      <c r="M274" s="6">
        <v>0</v>
      </c>
      <c r="O274" s="6">
        <v>0</v>
      </c>
      <c r="Q274" s="6">
        <v>0</v>
      </c>
      <c r="S274" s="6">
        <v>0</v>
      </c>
      <c r="U274" s="6">
        <f t="shared" ref="U274" si="67">Y274-W274-S274</f>
        <v>0</v>
      </c>
      <c r="W274" s="6">
        <v>0</v>
      </c>
      <c r="Y274" s="6">
        <v>0</v>
      </c>
      <c r="Z274" s="6">
        <f t="shared" ref="Z274" si="68">+I274-Q274-Y274</f>
        <v>0</v>
      </c>
      <c r="AB274" s="6">
        <f t="shared" ref="AB274" si="69">+E274+G274+-K274-M274-S274-U274-W274-O274</f>
        <v>0</v>
      </c>
    </row>
    <row r="275" spans="1:28">
      <c r="A275" s="10" t="s">
        <v>287</v>
      </c>
      <c r="B275" s="10"/>
      <c r="C275" s="10" t="s">
        <v>24</v>
      </c>
      <c r="E275" s="6">
        <f t="shared" si="58"/>
        <v>1537140</v>
      </c>
      <c r="G275" s="6">
        <v>1753706</v>
      </c>
      <c r="I275" s="6">
        <v>3290846</v>
      </c>
      <c r="K275" s="6">
        <f t="shared" si="53"/>
        <v>442109</v>
      </c>
      <c r="M275" s="6">
        <v>3942</v>
      </c>
      <c r="O275" s="6">
        <f>25964-3942</f>
        <v>22022</v>
      </c>
      <c r="Q275" s="6">
        <v>468073</v>
      </c>
      <c r="S275" s="6">
        <v>1753706</v>
      </c>
      <c r="U275" s="6">
        <f t="shared" si="59"/>
        <v>37172</v>
      </c>
      <c r="W275" s="6">
        <v>1031895</v>
      </c>
      <c r="Y275" s="6">
        <v>2822773</v>
      </c>
      <c r="Z275" s="6">
        <f t="shared" si="56"/>
        <v>0</v>
      </c>
      <c r="AB275" s="6">
        <f t="shared" si="55"/>
        <v>0</v>
      </c>
    </row>
    <row r="276" spans="1:28">
      <c r="A276" s="10" t="s">
        <v>314</v>
      </c>
      <c r="B276" s="10"/>
      <c r="C276" s="10" t="s">
        <v>30</v>
      </c>
      <c r="E276" s="6">
        <f t="shared" si="58"/>
        <v>49129343</v>
      </c>
      <c r="G276" s="6">
        <f>2937825+50107962</f>
        <v>53045787</v>
      </c>
      <c r="I276" s="6">
        <v>102175130</v>
      </c>
      <c r="K276" s="6">
        <f t="shared" si="53"/>
        <v>27785901</v>
      </c>
      <c r="M276" s="6">
        <v>3345508</v>
      </c>
      <c r="O276" s="6">
        <f>45768094-3345508</f>
        <v>42422586</v>
      </c>
      <c r="Q276" s="6">
        <v>73553995</v>
      </c>
      <c r="S276" s="6">
        <v>11151201</v>
      </c>
      <c r="U276" s="6">
        <f t="shared" si="59"/>
        <v>5444367</v>
      </c>
      <c r="W276" s="6">
        <v>12025567</v>
      </c>
      <c r="Y276" s="6">
        <v>28621135</v>
      </c>
      <c r="Z276" s="6">
        <f t="shared" si="56"/>
        <v>0</v>
      </c>
      <c r="AB276" s="6">
        <f t="shared" si="55"/>
        <v>0</v>
      </c>
    </row>
    <row r="277" spans="1:28">
      <c r="A277" s="10" t="s">
        <v>461</v>
      </c>
      <c r="B277" s="10"/>
      <c r="C277" s="10" t="s">
        <v>56</v>
      </c>
      <c r="E277" s="6">
        <f t="shared" si="58"/>
        <v>43704652</v>
      </c>
      <c r="G277" s="6">
        <v>26610310</v>
      </c>
      <c r="I277" s="6">
        <v>70314962</v>
      </c>
      <c r="K277" s="6">
        <f t="shared" si="53"/>
        <v>25403173</v>
      </c>
      <c r="M277" s="6">
        <v>2354231</v>
      </c>
      <c r="O277" s="6">
        <f>26894979-2354231</f>
        <v>24540748</v>
      </c>
      <c r="Q277" s="6">
        <v>52298152</v>
      </c>
      <c r="S277" s="6">
        <v>13852113</v>
      </c>
      <c r="U277" s="6">
        <f t="shared" si="59"/>
        <v>1623083</v>
      </c>
      <c r="W277" s="6">
        <v>2541614</v>
      </c>
      <c r="Y277" s="6">
        <v>18016810</v>
      </c>
      <c r="Z277" s="6">
        <f t="shared" si="56"/>
        <v>0</v>
      </c>
      <c r="AB277" s="6">
        <f t="shared" si="55"/>
        <v>0</v>
      </c>
    </row>
    <row r="278" spans="1:28">
      <c r="A278" s="10" t="s">
        <v>341</v>
      </c>
      <c r="B278" s="10"/>
      <c r="C278" s="10" t="s">
        <v>339</v>
      </c>
      <c r="E278" s="6">
        <f t="shared" si="58"/>
        <v>41165321</v>
      </c>
      <c r="G278" s="6">
        <f>1156380+1945553</f>
        <v>3101933</v>
      </c>
      <c r="I278" s="6">
        <v>44267254</v>
      </c>
      <c r="K278" s="6">
        <f t="shared" si="53"/>
        <v>6344625</v>
      </c>
      <c r="M278" s="6">
        <v>614319</v>
      </c>
      <c r="O278" s="6">
        <f>14920584-614319</f>
        <v>14306265</v>
      </c>
      <c r="Q278" s="6">
        <v>21265209</v>
      </c>
      <c r="S278" s="6">
        <v>2695381</v>
      </c>
      <c r="U278" s="6">
        <f t="shared" si="59"/>
        <v>18004914</v>
      </c>
      <c r="W278" s="6">
        <v>2301750</v>
      </c>
      <c r="Y278" s="6">
        <v>23002045</v>
      </c>
      <c r="Z278" s="6">
        <f t="shared" si="56"/>
        <v>0</v>
      </c>
      <c r="AB278" s="6">
        <f t="shared" si="55"/>
        <v>0</v>
      </c>
    </row>
    <row r="279" spans="1:28">
      <c r="A279" s="10" t="s">
        <v>431</v>
      </c>
      <c r="B279" s="10"/>
      <c r="C279" s="10" t="s">
        <v>50</v>
      </c>
      <c r="D279" s="9"/>
      <c r="E279" s="6">
        <f t="shared" si="58"/>
        <v>85395546</v>
      </c>
      <c r="G279" s="6">
        <f>466616+110465590</f>
        <v>110932206</v>
      </c>
      <c r="I279" s="6">
        <v>196327752</v>
      </c>
      <c r="K279" s="6">
        <f t="shared" ref="K279:K344" si="70">+Q279-M279-O279</f>
        <v>65720353</v>
      </c>
      <c r="M279" s="6">
        <v>4308258</v>
      </c>
      <c r="O279" s="6">
        <f>100348738-4308258</f>
        <v>96040480</v>
      </c>
      <c r="Q279" s="6">
        <v>166069091</v>
      </c>
      <c r="S279" s="6">
        <v>20131402</v>
      </c>
      <c r="U279" s="6">
        <f t="shared" si="59"/>
        <v>4665950</v>
      </c>
      <c r="W279" s="6">
        <v>5461309</v>
      </c>
      <c r="Y279" s="6">
        <v>30258661</v>
      </c>
      <c r="Z279" s="6">
        <f t="shared" si="56"/>
        <v>0</v>
      </c>
      <c r="AB279" s="6">
        <f t="shared" si="55"/>
        <v>0</v>
      </c>
    </row>
    <row r="280" spans="1:28">
      <c r="A280" s="10" t="s">
        <v>637</v>
      </c>
      <c r="B280" s="10"/>
      <c r="C280" s="10" t="s">
        <v>44</v>
      </c>
      <c r="E280" s="28">
        <f t="shared" si="58"/>
        <v>20645547</v>
      </c>
      <c r="F280" s="28"/>
      <c r="G280" s="28">
        <v>24808602</v>
      </c>
      <c r="H280" s="28"/>
      <c r="I280" s="28">
        <v>45454149</v>
      </c>
      <c r="J280" s="28"/>
      <c r="K280" s="28">
        <f t="shared" si="70"/>
        <v>8444815</v>
      </c>
      <c r="L280" s="28"/>
      <c r="M280" s="28">
        <v>438703</v>
      </c>
      <c r="N280" s="28"/>
      <c r="O280" s="28">
        <f>27001152-438703</f>
        <v>26562449</v>
      </c>
      <c r="P280" s="28"/>
      <c r="Q280" s="28">
        <v>35445967</v>
      </c>
      <c r="R280" s="28"/>
      <c r="S280" s="28">
        <v>3452926</v>
      </c>
      <c r="T280" s="28"/>
      <c r="U280" s="28">
        <f t="shared" si="59"/>
        <v>2671345</v>
      </c>
      <c r="V280" s="28"/>
      <c r="W280" s="28">
        <v>3883911</v>
      </c>
      <c r="X280" s="28"/>
      <c r="Y280" s="28">
        <v>10008182</v>
      </c>
      <c r="Z280" s="6">
        <f t="shared" si="56"/>
        <v>0</v>
      </c>
      <c r="AB280" s="6">
        <f t="shared" si="55"/>
        <v>0</v>
      </c>
    </row>
    <row r="281" spans="1:28">
      <c r="A281" s="10" t="s">
        <v>721</v>
      </c>
      <c r="B281" s="10"/>
      <c r="C281" s="10" t="s">
        <v>69</v>
      </c>
      <c r="E281" s="6">
        <f t="shared" si="58"/>
        <v>44267512</v>
      </c>
      <c r="G281" s="6">
        <f>3348101+48879946</f>
        <v>52228047</v>
      </c>
      <c r="I281" s="6">
        <v>96495559</v>
      </c>
      <c r="K281" s="6">
        <f t="shared" si="70"/>
        <v>30762783</v>
      </c>
      <c r="M281" s="6">
        <v>1698868</v>
      </c>
      <c r="O281" s="6">
        <f>57308524-1698868</f>
        <v>55609656</v>
      </c>
      <c r="Q281" s="6">
        <v>88071307</v>
      </c>
      <c r="S281" s="6">
        <v>272394</v>
      </c>
      <c r="U281" s="6">
        <f t="shared" si="59"/>
        <v>2933787</v>
      </c>
      <c r="W281" s="6">
        <v>5218071</v>
      </c>
      <c r="Y281" s="6">
        <v>8424252</v>
      </c>
      <c r="Z281" s="6">
        <f t="shared" si="56"/>
        <v>0</v>
      </c>
      <c r="AB281" s="6">
        <f t="shared" si="55"/>
        <v>0</v>
      </c>
    </row>
    <row r="282" spans="1:28" hidden="1">
      <c r="A282" s="10" t="s">
        <v>693</v>
      </c>
      <c r="B282" s="10"/>
      <c r="C282" s="10" t="s">
        <v>41</v>
      </c>
      <c r="E282" s="6">
        <f t="shared" si="58"/>
        <v>0</v>
      </c>
      <c r="K282" s="6">
        <f t="shared" si="70"/>
        <v>0</v>
      </c>
      <c r="U282" s="6">
        <f t="shared" si="59"/>
        <v>0</v>
      </c>
      <c r="Z282" s="6">
        <f t="shared" si="56"/>
        <v>0</v>
      </c>
      <c r="AB282" s="6">
        <f t="shared" si="55"/>
        <v>0</v>
      </c>
    </row>
    <row r="283" spans="1:28">
      <c r="A283" s="10" t="s">
        <v>524</v>
      </c>
      <c r="B283" s="10"/>
      <c r="C283" s="10" t="s">
        <v>64</v>
      </c>
      <c r="E283" s="6">
        <f t="shared" si="58"/>
        <v>10911106</v>
      </c>
      <c r="G283" s="6">
        <v>22219793</v>
      </c>
      <c r="I283" s="6">
        <v>33130899</v>
      </c>
      <c r="K283" s="6">
        <f t="shared" si="70"/>
        <v>4720469</v>
      </c>
      <c r="M283" s="6">
        <v>563372</v>
      </c>
      <c r="O283" s="6">
        <f>8412965-563372</f>
        <v>7849593</v>
      </c>
      <c r="Q283" s="6">
        <v>13133434</v>
      </c>
      <c r="S283" s="6">
        <v>14818799</v>
      </c>
      <c r="U283" s="6">
        <f t="shared" si="59"/>
        <v>2508973</v>
      </c>
      <c r="W283" s="6">
        <v>2669693</v>
      </c>
      <c r="Y283" s="6">
        <v>19997465</v>
      </c>
      <c r="Z283" s="6">
        <f t="shared" si="56"/>
        <v>0</v>
      </c>
      <c r="AB283" s="6">
        <f t="shared" si="55"/>
        <v>0</v>
      </c>
    </row>
    <row r="284" spans="1:28">
      <c r="A284" s="10" t="s">
        <v>498</v>
      </c>
      <c r="B284" s="10"/>
      <c r="C284" s="10" t="s">
        <v>62</v>
      </c>
      <c r="E284" s="6">
        <f t="shared" si="58"/>
        <v>21907501</v>
      </c>
      <c r="G284" s="6">
        <f>3022257+30282749</f>
        <v>33305006</v>
      </c>
      <c r="I284" s="6">
        <v>55212507</v>
      </c>
      <c r="K284" s="6">
        <f t="shared" si="70"/>
        <v>17507121</v>
      </c>
      <c r="M284" s="6">
        <v>1477931</v>
      </c>
      <c r="O284" s="6">
        <f>23867712-1477931</f>
        <v>22389781</v>
      </c>
      <c r="Q284" s="6">
        <v>41374833</v>
      </c>
      <c r="S284" s="6">
        <v>12301851</v>
      </c>
      <c r="U284" s="6">
        <f t="shared" si="59"/>
        <v>1725617</v>
      </c>
      <c r="W284" s="6">
        <v>-189794</v>
      </c>
      <c r="Y284" s="6">
        <v>13837674</v>
      </c>
      <c r="Z284" s="6">
        <f t="shared" si="56"/>
        <v>0</v>
      </c>
      <c r="AB284" s="6">
        <f t="shared" si="55"/>
        <v>0</v>
      </c>
    </row>
    <row r="285" spans="1:28" hidden="1">
      <c r="A285" s="10" t="s">
        <v>796</v>
      </c>
      <c r="B285" s="10"/>
      <c r="C285" s="10" t="s">
        <v>72</v>
      </c>
      <c r="E285" s="6">
        <f t="shared" si="58"/>
        <v>0</v>
      </c>
      <c r="K285" s="6">
        <f t="shared" si="70"/>
        <v>0</v>
      </c>
      <c r="U285" s="6">
        <f t="shared" si="59"/>
        <v>0</v>
      </c>
      <c r="Z285" s="6">
        <f t="shared" si="56"/>
        <v>0</v>
      </c>
      <c r="AB285" s="6">
        <f t="shared" si="55"/>
        <v>0</v>
      </c>
    </row>
    <row r="286" spans="1:28">
      <c r="A286" s="10" t="s">
        <v>525</v>
      </c>
      <c r="B286" s="10"/>
      <c r="C286" s="10" t="s">
        <v>64</v>
      </c>
      <c r="E286" s="6">
        <f t="shared" si="58"/>
        <v>11456438</v>
      </c>
      <c r="G286" s="6">
        <f>513900+5164076</f>
        <v>5677976</v>
      </c>
      <c r="I286" s="6">
        <v>17134414</v>
      </c>
      <c r="K286" s="6">
        <f t="shared" si="70"/>
        <v>9941604</v>
      </c>
      <c r="M286" s="6">
        <v>843251</v>
      </c>
      <c r="O286" s="6">
        <f>4918600-843251</f>
        <v>4075349</v>
      </c>
      <c r="Q286" s="6">
        <v>14860204</v>
      </c>
      <c r="S286" s="6">
        <v>3182775</v>
      </c>
      <c r="U286" s="6">
        <f t="shared" si="59"/>
        <v>269275</v>
      </c>
      <c r="W286" s="6">
        <v>-1177840</v>
      </c>
      <c r="Y286" s="6">
        <v>2274210</v>
      </c>
      <c r="Z286" s="6">
        <f t="shared" si="56"/>
        <v>0</v>
      </c>
      <c r="AB286" s="6">
        <f t="shared" si="55"/>
        <v>0</v>
      </c>
    </row>
    <row r="287" spans="1:28">
      <c r="A287" s="10" t="s">
        <v>270</v>
      </c>
      <c r="B287" s="10"/>
      <c r="C287" s="10" t="s">
        <v>20</v>
      </c>
      <c r="E287" s="6">
        <f>+I287-G287</f>
        <v>80891234</v>
      </c>
      <c r="G287" s="6">
        <v>132417181</v>
      </c>
      <c r="I287" s="6">
        <v>213308415</v>
      </c>
      <c r="K287" s="6">
        <f t="shared" si="70"/>
        <v>49389517</v>
      </c>
      <c r="M287" s="6">
        <v>6592777</v>
      </c>
      <c r="O287" s="6">
        <f>137661084-6592777</f>
        <v>131068307</v>
      </c>
      <c r="Q287" s="6">
        <v>187050601</v>
      </c>
      <c r="S287" s="6">
        <v>21697856</v>
      </c>
      <c r="U287" s="6">
        <f t="shared" si="59"/>
        <v>8910341</v>
      </c>
      <c r="W287" s="6">
        <v>-4350383</v>
      </c>
      <c r="Y287" s="6">
        <v>26257814</v>
      </c>
      <c r="Z287" s="6">
        <f t="shared" si="56"/>
        <v>0</v>
      </c>
      <c r="AB287" s="6">
        <f t="shared" si="55"/>
        <v>0</v>
      </c>
    </row>
    <row r="288" spans="1:28">
      <c r="A288" s="10" t="s">
        <v>630</v>
      </c>
      <c r="B288" s="10"/>
      <c r="C288" s="10" t="s">
        <v>42</v>
      </c>
      <c r="E288" s="6">
        <f t="shared" si="58"/>
        <v>24346061</v>
      </c>
      <c r="G288" s="6">
        <v>13878069</v>
      </c>
      <c r="I288" s="6">
        <v>38224130</v>
      </c>
      <c r="K288" s="6">
        <f t="shared" si="70"/>
        <v>15848391</v>
      </c>
      <c r="M288" s="6">
        <v>886391</v>
      </c>
      <c r="O288" s="6">
        <f>12189205-886391</f>
        <v>11302814</v>
      </c>
      <c r="Q288" s="6">
        <v>28037596</v>
      </c>
      <c r="S288" s="6">
        <v>3080260</v>
      </c>
      <c r="U288" s="6">
        <f t="shared" si="59"/>
        <v>1231062</v>
      </c>
      <c r="W288" s="6">
        <v>5875212</v>
      </c>
      <c r="Y288" s="6">
        <v>10186534</v>
      </c>
      <c r="Z288" s="6">
        <f t="shared" si="56"/>
        <v>0</v>
      </c>
      <c r="AB288" s="6">
        <f t="shared" si="55"/>
        <v>0</v>
      </c>
    </row>
    <row r="289" spans="1:28">
      <c r="A289" s="10" t="s">
        <v>223</v>
      </c>
      <c r="B289" s="10"/>
      <c r="C289" s="10" t="s">
        <v>221</v>
      </c>
      <c r="E289" s="6">
        <f t="shared" si="58"/>
        <v>146083863</v>
      </c>
      <c r="G289" s="6">
        <f>23507119+170603679</f>
        <v>194110798</v>
      </c>
      <c r="I289" s="6">
        <v>340194661</v>
      </c>
      <c r="K289" s="6">
        <f t="shared" si="70"/>
        <v>117606908</v>
      </c>
      <c r="M289" s="6">
        <v>5853513</v>
      </c>
      <c r="O289" s="6">
        <f>175701506-5853513</f>
        <v>169847993</v>
      </c>
      <c r="Q289" s="6">
        <v>293308414</v>
      </c>
      <c r="S289" s="6">
        <v>27488410</v>
      </c>
      <c r="U289" s="6">
        <f t="shared" si="59"/>
        <v>7551789</v>
      </c>
      <c r="W289" s="6">
        <v>11846048</v>
      </c>
      <c r="Y289" s="6">
        <v>46886247</v>
      </c>
      <c r="Z289" s="6">
        <f t="shared" si="56"/>
        <v>0</v>
      </c>
      <c r="AB289" s="6">
        <f t="shared" si="55"/>
        <v>0</v>
      </c>
    </row>
    <row r="290" spans="1:28" hidden="1">
      <c r="A290" s="10" t="s">
        <v>797</v>
      </c>
      <c r="B290" s="10"/>
      <c r="C290" s="10" t="s">
        <v>79</v>
      </c>
      <c r="E290" s="6">
        <f>+I290-G290</f>
        <v>0</v>
      </c>
      <c r="K290" s="6">
        <f t="shared" si="70"/>
        <v>0</v>
      </c>
      <c r="U290" s="6">
        <f t="shared" si="59"/>
        <v>0</v>
      </c>
      <c r="Z290" s="6">
        <f t="shared" si="56"/>
        <v>0</v>
      </c>
      <c r="AB290" s="6">
        <f t="shared" si="55"/>
        <v>0</v>
      </c>
    </row>
    <row r="291" spans="1:28">
      <c r="A291" s="10" t="s">
        <v>295</v>
      </c>
      <c r="B291" s="10"/>
      <c r="C291" s="10" t="s">
        <v>25</v>
      </c>
      <c r="E291" s="6">
        <f t="shared" si="58"/>
        <v>76816605</v>
      </c>
      <c r="G291" s="6">
        <f>529596+9973569</f>
        <v>10503165</v>
      </c>
      <c r="I291" s="6">
        <v>87319770</v>
      </c>
      <c r="K291" s="6">
        <f t="shared" si="70"/>
        <v>28677565</v>
      </c>
      <c r="M291" s="6">
        <v>434390</v>
      </c>
      <c r="O291" s="6">
        <f>3239553-434390</f>
        <v>2805163</v>
      </c>
      <c r="Q291" s="6">
        <v>31917118</v>
      </c>
      <c r="S291" s="6">
        <v>10124925</v>
      </c>
      <c r="U291" s="6">
        <f t="shared" si="59"/>
        <v>2413706</v>
      </c>
      <c r="W291" s="6">
        <v>42864021</v>
      </c>
      <c r="Y291" s="6">
        <v>55402652</v>
      </c>
      <c r="Z291" s="6">
        <f t="shared" si="56"/>
        <v>0</v>
      </c>
      <c r="AB291" s="6">
        <f t="shared" ref="AB291:AB318" si="71">+E291+G291+-K291-M291-S291-U291-W291-O291</f>
        <v>0</v>
      </c>
    </row>
    <row r="292" spans="1:28" hidden="1">
      <c r="A292" s="10" t="s">
        <v>729</v>
      </c>
      <c r="B292" s="10"/>
      <c r="C292" s="10" t="s">
        <v>69</v>
      </c>
      <c r="E292" s="6">
        <f t="shared" ref="E292:E307" si="72">+I292-G292</f>
        <v>0</v>
      </c>
      <c r="K292" s="6">
        <f t="shared" si="70"/>
        <v>0</v>
      </c>
      <c r="U292" s="6">
        <f t="shared" si="59"/>
        <v>0</v>
      </c>
      <c r="Z292" s="6">
        <f t="shared" si="56"/>
        <v>0</v>
      </c>
      <c r="AB292" s="6">
        <f t="shared" si="71"/>
        <v>0</v>
      </c>
    </row>
    <row r="293" spans="1:28">
      <c r="A293" s="10" t="s">
        <v>315</v>
      </c>
      <c r="B293" s="10"/>
      <c r="C293" s="10" t="s">
        <v>30</v>
      </c>
      <c r="D293" s="9"/>
      <c r="E293" s="6">
        <f t="shared" si="58"/>
        <v>2912537</v>
      </c>
      <c r="G293" s="6">
        <f>119100+1147119</f>
        <v>1266219</v>
      </c>
      <c r="I293" s="6">
        <v>4178756</v>
      </c>
      <c r="K293" s="6">
        <f t="shared" si="70"/>
        <v>5161045</v>
      </c>
      <c r="M293" s="6">
        <v>75664</v>
      </c>
      <c r="O293" s="6">
        <f>320741-75664</f>
        <v>245077</v>
      </c>
      <c r="Q293" s="6">
        <v>5481786</v>
      </c>
      <c r="S293" s="6">
        <v>1103219</v>
      </c>
      <c r="U293" s="6">
        <f t="shared" si="59"/>
        <v>95797</v>
      </c>
      <c r="W293" s="6">
        <v>-2502046</v>
      </c>
      <c r="Y293" s="6">
        <v>-1303030</v>
      </c>
      <c r="Z293" s="6">
        <f t="shared" si="56"/>
        <v>0</v>
      </c>
      <c r="AB293" s="6">
        <f t="shared" si="71"/>
        <v>0</v>
      </c>
    </row>
    <row r="294" spans="1:28" hidden="1">
      <c r="A294" s="11" t="s">
        <v>763</v>
      </c>
      <c r="B294" s="10"/>
      <c r="C294" s="10" t="s">
        <v>112</v>
      </c>
      <c r="D294" s="9"/>
    </row>
    <row r="295" spans="1:28" hidden="1">
      <c r="A295" s="10" t="s">
        <v>681</v>
      </c>
      <c r="B295" s="10"/>
      <c r="C295" s="10" t="s">
        <v>467</v>
      </c>
      <c r="E295" s="6">
        <f t="shared" si="72"/>
        <v>0</v>
      </c>
      <c r="K295" s="6">
        <f t="shared" si="70"/>
        <v>0</v>
      </c>
      <c r="U295" s="6">
        <f t="shared" si="59"/>
        <v>0</v>
      </c>
      <c r="Z295" s="6">
        <f t="shared" si="56"/>
        <v>0</v>
      </c>
      <c r="AB295" s="6">
        <f t="shared" si="71"/>
        <v>0</v>
      </c>
    </row>
    <row r="296" spans="1:28" hidden="1">
      <c r="A296" s="10" t="s">
        <v>798</v>
      </c>
      <c r="B296" s="10"/>
      <c r="C296" s="10" t="s">
        <v>110</v>
      </c>
      <c r="E296" s="6">
        <f t="shared" si="72"/>
        <v>0</v>
      </c>
      <c r="K296" s="6">
        <f t="shared" si="70"/>
        <v>0</v>
      </c>
      <c r="U296" s="6">
        <f t="shared" si="59"/>
        <v>0</v>
      </c>
      <c r="Z296" s="6">
        <f t="shared" ref="Z296:Z318" si="73">+I296-Q296-Y296</f>
        <v>0</v>
      </c>
      <c r="AB296" s="6">
        <f t="shared" si="71"/>
        <v>0</v>
      </c>
    </row>
    <row r="297" spans="1:28">
      <c r="A297" s="10" t="s">
        <v>799</v>
      </c>
      <c r="B297" s="10"/>
      <c r="C297" s="10" t="s">
        <v>33</v>
      </c>
      <c r="E297" s="6">
        <f>+I297-G297</f>
        <v>12634981</v>
      </c>
      <c r="G297" s="6">
        <f>930570+8628186</f>
        <v>9558756</v>
      </c>
      <c r="I297" s="6">
        <v>22193737</v>
      </c>
      <c r="K297" s="6">
        <f>+Q297-M297-O297</f>
        <v>5393807</v>
      </c>
      <c r="M297" s="6">
        <v>117108</v>
      </c>
      <c r="O297" s="6">
        <f>4501401-117108</f>
        <v>4384293</v>
      </c>
      <c r="Q297" s="6">
        <v>9895208</v>
      </c>
      <c r="S297" s="6">
        <v>7777051</v>
      </c>
      <c r="U297" s="6">
        <f>Y297-W297-S297</f>
        <v>715270</v>
      </c>
      <c r="W297" s="6">
        <v>3806208</v>
      </c>
      <c r="Y297" s="6">
        <v>12298529</v>
      </c>
      <c r="Z297" s="6">
        <f>+I297-Q297-Y297</f>
        <v>0</v>
      </c>
      <c r="AB297" s="6">
        <f>+E297+G297+-K297-M297-S297-U297-W297-O297</f>
        <v>0</v>
      </c>
    </row>
    <row r="298" spans="1:28">
      <c r="A298" s="10" t="s">
        <v>345</v>
      </c>
      <c r="B298" s="10"/>
      <c r="C298" s="10" t="s">
        <v>34</v>
      </c>
      <c r="E298" s="6">
        <f t="shared" si="72"/>
        <v>12535946</v>
      </c>
      <c r="G298" s="6">
        <f>1014877+6278625</f>
        <v>7293502</v>
      </c>
      <c r="I298" s="6">
        <v>19829448</v>
      </c>
      <c r="K298" s="6">
        <f t="shared" si="70"/>
        <v>5417789</v>
      </c>
      <c r="M298" s="6">
        <v>363462</v>
      </c>
      <c r="O298" s="6">
        <f>3169734-363462</f>
        <v>2806272</v>
      </c>
      <c r="Q298" s="6">
        <v>8587523</v>
      </c>
      <c r="S298" s="6">
        <v>5134082</v>
      </c>
      <c r="U298" s="6">
        <f t="shared" si="59"/>
        <v>829622</v>
      </c>
      <c r="W298" s="6">
        <v>5278221</v>
      </c>
      <c r="Y298" s="6">
        <v>11241925</v>
      </c>
      <c r="Z298" s="6">
        <f t="shared" si="73"/>
        <v>0</v>
      </c>
      <c r="AB298" s="6">
        <f t="shared" si="71"/>
        <v>0</v>
      </c>
    </row>
    <row r="299" spans="1:28">
      <c r="A299" s="10" t="s">
        <v>526</v>
      </c>
      <c r="B299" s="10"/>
      <c r="C299" s="10" t="s">
        <v>64</v>
      </c>
      <c r="E299" s="6">
        <f t="shared" si="72"/>
        <v>14687398</v>
      </c>
      <c r="G299" s="6">
        <f>349160+9654495</f>
        <v>10003655</v>
      </c>
      <c r="I299" s="6">
        <f>24519804+171249</f>
        <v>24691053</v>
      </c>
      <c r="K299" s="6">
        <f t="shared" si="70"/>
        <v>14650841</v>
      </c>
      <c r="M299" s="6">
        <v>794342</v>
      </c>
      <c r="O299" s="6">
        <f>10692782-794342</f>
        <v>9898440</v>
      </c>
      <c r="Q299" s="6">
        <f>16655698+8687925</f>
        <v>25343623</v>
      </c>
      <c r="S299" s="6">
        <v>3782538</v>
      </c>
      <c r="U299" s="6">
        <f t="shared" si="59"/>
        <v>1616301</v>
      </c>
      <c r="W299" s="6">
        <v>-6051409</v>
      </c>
      <c r="Y299" s="6">
        <v>-652570</v>
      </c>
      <c r="Z299" s="6">
        <f t="shared" si="73"/>
        <v>0</v>
      </c>
      <c r="AB299" s="6">
        <f t="shared" si="71"/>
        <v>0</v>
      </c>
    </row>
    <row r="300" spans="1:28">
      <c r="A300" s="10" t="s">
        <v>744</v>
      </c>
      <c r="B300" s="10"/>
      <c r="C300" s="10" t="s">
        <v>25</v>
      </c>
      <c r="E300" s="6">
        <f t="shared" si="72"/>
        <v>20100521</v>
      </c>
      <c r="G300" s="6">
        <f>588863+27892691</f>
        <v>28481554</v>
      </c>
      <c r="I300" s="6">
        <v>48582075</v>
      </c>
      <c r="K300" s="6">
        <f t="shared" si="70"/>
        <v>6147401</v>
      </c>
      <c r="M300" s="6">
        <v>973563</v>
      </c>
      <c r="O300" s="6">
        <f>11896364-973563</f>
        <v>10922801</v>
      </c>
      <c r="Q300" s="6">
        <v>18043765</v>
      </c>
      <c r="S300" s="6">
        <v>18359636</v>
      </c>
      <c r="U300" s="6">
        <f t="shared" si="59"/>
        <v>7563885</v>
      </c>
      <c r="W300" s="6">
        <v>4614789</v>
      </c>
      <c r="Y300" s="6">
        <v>30538310</v>
      </c>
      <c r="Z300" s="6">
        <f t="shared" si="73"/>
        <v>0</v>
      </c>
      <c r="AB300" s="6">
        <f t="shared" si="71"/>
        <v>0</v>
      </c>
    </row>
    <row r="301" spans="1:28" hidden="1">
      <c r="A301" s="11" t="s">
        <v>874</v>
      </c>
      <c r="B301" s="10"/>
      <c r="C301" s="10" t="s">
        <v>42</v>
      </c>
      <c r="E301" s="6">
        <f t="shared" si="72"/>
        <v>0</v>
      </c>
      <c r="K301" s="6">
        <f t="shared" si="70"/>
        <v>0</v>
      </c>
      <c r="U301" s="6">
        <f>Y301-W301-S301</f>
        <v>0</v>
      </c>
      <c r="Z301" s="6">
        <f t="shared" si="73"/>
        <v>0</v>
      </c>
      <c r="AB301" s="6">
        <f t="shared" si="71"/>
        <v>0</v>
      </c>
    </row>
    <row r="302" spans="1:28">
      <c r="A302" s="10" t="s">
        <v>375</v>
      </c>
      <c r="B302" s="10"/>
      <c r="C302" s="10" t="s">
        <v>42</v>
      </c>
      <c r="E302" s="6">
        <f t="shared" si="72"/>
        <v>17116686</v>
      </c>
      <c r="G302" s="6">
        <f>530512+36785080</f>
        <v>37315592</v>
      </c>
      <c r="I302" s="6">
        <v>54432278</v>
      </c>
      <c r="K302" s="6">
        <f t="shared" si="70"/>
        <v>6719533</v>
      </c>
      <c r="M302" s="6">
        <v>1317248</v>
      </c>
      <c r="O302" s="6">
        <f>15780123-1317248</f>
        <v>14462875</v>
      </c>
      <c r="Q302" s="6">
        <v>22499656</v>
      </c>
      <c r="S302" s="6">
        <v>25197003</v>
      </c>
      <c r="U302" s="6">
        <f>Y302-W302-S302</f>
        <v>1241217</v>
      </c>
      <c r="W302" s="6">
        <v>5494402</v>
      </c>
      <c r="Y302" s="6">
        <v>31932622</v>
      </c>
      <c r="Z302" s="6">
        <f t="shared" si="73"/>
        <v>0</v>
      </c>
      <c r="AB302" s="6">
        <f t="shared" si="71"/>
        <v>0</v>
      </c>
    </row>
    <row r="303" spans="1:28" hidden="1">
      <c r="A303" s="11" t="s">
        <v>682</v>
      </c>
      <c r="B303" s="11"/>
      <c r="C303" s="11" t="s">
        <v>10</v>
      </c>
      <c r="E303" s="6">
        <f t="shared" si="72"/>
        <v>0</v>
      </c>
      <c r="K303" s="6">
        <f t="shared" si="70"/>
        <v>0</v>
      </c>
      <c r="U303" s="6">
        <f t="shared" ref="U303:U305" si="74">Y303-W303-S303</f>
        <v>0</v>
      </c>
      <c r="Z303" s="6">
        <f t="shared" si="73"/>
        <v>0</v>
      </c>
      <c r="AB303" s="6">
        <f t="shared" si="71"/>
        <v>0</v>
      </c>
    </row>
    <row r="304" spans="1:28">
      <c r="A304" s="10" t="s">
        <v>541</v>
      </c>
      <c r="B304" s="10"/>
      <c r="C304" s="10" t="s">
        <v>67</v>
      </c>
      <c r="E304" s="6">
        <f t="shared" si="72"/>
        <v>16080753</v>
      </c>
      <c r="G304" s="6">
        <v>23383858</v>
      </c>
      <c r="I304" s="6">
        <v>39464611</v>
      </c>
      <c r="K304" s="6">
        <f t="shared" si="70"/>
        <v>3645877</v>
      </c>
      <c r="M304" s="6">
        <v>495947</v>
      </c>
      <c r="O304" s="6">
        <f>11912469-495947</f>
        <v>11416522</v>
      </c>
      <c r="Q304" s="6">
        <v>15558346</v>
      </c>
      <c r="S304" s="6">
        <v>12769005</v>
      </c>
      <c r="U304" s="6">
        <f t="shared" si="74"/>
        <v>1769410</v>
      </c>
      <c r="W304" s="6">
        <v>9367850</v>
      </c>
      <c r="Y304" s="6">
        <v>23906265</v>
      </c>
      <c r="Z304" s="6">
        <f t="shared" si="73"/>
        <v>0</v>
      </c>
      <c r="AB304" s="6">
        <f t="shared" si="71"/>
        <v>0</v>
      </c>
    </row>
    <row r="305" spans="1:28">
      <c r="A305" s="10" t="s">
        <v>766</v>
      </c>
      <c r="B305" s="10"/>
      <c r="C305" s="10" t="s">
        <v>112</v>
      </c>
      <c r="E305" s="6">
        <f t="shared" si="72"/>
        <v>7654845</v>
      </c>
      <c r="G305" s="6">
        <f>870749+20021357</f>
        <v>20892106</v>
      </c>
      <c r="I305" s="6">
        <v>28546951</v>
      </c>
      <c r="K305" s="6">
        <f t="shared" si="70"/>
        <v>2950372</v>
      </c>
      <c r="M305" s="6">
        <v>331515</v>
      </c>
      <c r="O305" s="6">
        <f>6250887-331515</f>
        <v>5919372</v>
      </c>
      <c r="Q305" s="6">
        <v>9201259</v>
      </c>
      <c r="S305" s="6">
        <v>15151528</v>
      </c>
      <c r="U305" s="6">
        <f t="shared" si="74"/>
        <v>1425656</v>
      </c>
      <c r="W305" s="6">
        <v>2768508</v>
      </c>
      <c r="Y305" s="6">
        <v>19345692</v>
      </c>
      <c r="Z305" s="6">
        <f t="shared" si="73"/>
        <v>0</v>
      </c>
      <c r="AB305" s="6">
        <f t="shared" si="71"/>
        <v>0</v>
      </c>
    </row>
    <row r="306" spans="1:28">
      <c r="A306" s="11" t="s">
        <v>545</v>
      </c>
      <c r="B306" s="11"/>
      <c r="C306" s="11" t="s">
        <v>69</v>
      </c>
      <c r="E306" s="6">
        <f t="shared" si="72"/>
        <v>52112400</v>
      </c>
      <c r="G306" s="6">
        <f>2538132+68792257</f>
        <v>71330389</v>
      </c>
      <c r="I306" s="6">
        <v>123442789</v>
      </c>
      <c r="K306" s="6">
        <f t="shared" si="70"/>
        <v>45347660</v>
      </c>
      <c r="M306" s="6">
        <v>3607804</v>
      </c>
      <c r="O306" s="6">
        <f>76187537-3607804</f>
        <v>72579733</v>
      </c>
      <c r="Q306" s="6">
        <v>121535197</v>
      </c>
      <c r="S306" s="6">
        <v>1832366</v>
      </c>
      <c r="U306" s="6">
        <f>Y306-W306-S306</f>
        <v>4905858</v>
      </c>
      <c r="W306" s="6">
        <v>-4830632</v>
      </c>
      <c r="Y306" s="6">
        <v>1907592</v>
      </c>
      <c r="Z306" s="6">
        <f t="shared" si="73"/>
        <v>0</v>
      </c>
      <c r="AB306" s="6">
        <f t="shared" si="71"/>
        <v>0</v>
      </c>
    </row>
    <row r="307" spans="1:28" hidden="1">
      <c r="A307" s="10" t="s">
        <v>800</v>
      </c>
      <c r="B307" s="10"/>
      <c r="C307" s="10" t="s">
        <v>32</v>
      </c>
      <c r="E307" s="6">
        <f t="shared" si="72"/>
        <v>0</v>
      </c>
      <c r="K307" s="6">
        <f t="shared" si="70"/>
        <v>0</v>
      </c>
      <c r="U307" s="6">
        <f t="shared" ref="U307:U311" si="75">Y307-W307-S307</f>
        <v>0</v>
      </c>
      <c r="Z307" s="6">
        <f t="shared" si="73"/>
        <v>0</v>
      </c>
      <c r="AB307" s="6">
        <f t="shared" si="71"/>
        <v>0</v>
      </c>
    </row>
    <row r="308" spans="1:28">
      <c r="A308" s="10" t="s">
        <v>453</v>
      </c>
      <c r="B308" s="10"/>
      <c r="C308" s="10" t="s">
        <v>54</v>
      </c>
      <c r="E308" s="6">
        <f t="shared" ref="E308:E318" si="76">+I308-G308</f>
        <v>17973943</v>
      </c>
      <c r="G308" s="6">
        <v>3903167</v>
      </c>
      <c r="I308" s="6">
        <v>21877110</v>
      </c>
      <c r="K308" s="6">
        <f t="shared" si="70"/>
        <v>9120208</v>
      </c>
      <c r="M308" s="6">
        <v>53561</v>
      </c>
      <c r="O308" s="6">
        <f>1241819-53561</f>
        <v>1188258</v>
      </c>
      <c r="Q308" s="6">
        <v>10362027</v>
      </c>
      <c r="S308" s="6">
        <v>3903167</v>
      </c>
      <c r="U308" s="6">
        <f t="shared" si="75"/>
        <v>591604</v>
      </c>
      <c r="W308" s="6">
        <v>7020312</v>
      </c>
      <c r="Y308" s="6">
        <v>11515083</v>
      </c>
      <c r="Z308" s="6">
        <f t="shared" si="73"/>
        <v>0</v>
      </c>
      <c r="AB308" s="6">
        <f t="shared" si="71"/>
        <v>0</v>
      </c>
    </row>
    <row r="309" spans="1:28">
      <c r="A309" s="10" t="s">
        <v>352</v>
      </c>
      <c r="B309" s="10"/>
      <c r="C309" s="10" t="s">
        <v>35</v>
      </c>
      <c r="E309" s="6">
        <f t="shared" si="76"/>
        <v>31709966</v>
      </c>
      <c r="G309" s="6">
        <f>2059315+102825123</f>
        <v>104884438</v>
      </c>
      <c r="I309" s="6">
        <v>136594404</v>
      </c>
      <c r="K309" s="6">
        <f t="shared" si="70"/>
        <v>16199342</v>
      </c>
      <c r="M309" s="6">
        <v>3014290</v>
      </c>
      <c r="O309" s="6">
        <f>24905376-3014290</f>
        <v>21891086</v>
      </c>
      <c r="Q309" s="6">
        <v>41104718</v>
      </c>
      <c r="S309" s="6">
        <v>84406022</v>
      </c>
      <c r="U309" s="6">
        <f t="shared" si="75"/>
        <v>9235590</v>
      </c>
      <c r="W309" s="6">
        <v>1848074</v>
      </c>
      <c r="Y309" s="6">
        <v>95489686</v>
      </c>
      <c r="Z309" s="6">
        <f t="shared" si="73"/>
        <v>0</v>
      </c>
      <c r="AB309" s="6">
        <f t="shared" si="71"/>
        <v>0</v>
      </c>
    </row>
    <row r="310" spans="1:28">
      <c r="A310" s="10" t="s">
        <v>400</v>
      </c>
      <c r="B310" s="10"/>
      <c r="C310" s="10" t="s">
        <v>398</v>
      </c>
      <c r="E310" s="6">
        <f t="shared" si="76"/>
        <v>15075700</v>
      </c>
      <c r="G310" s="6">
        <f>665130+54082178</f>
        <v>54747308</v>
      </c>
      <c r="I310" s="6">
        <v>69823008</v>
      </c>
      <c r="K310" s="6">
        <f t="shared" si="70"/>
        <v>6197448</v>
      </c>
      <c r="M310" s="6">
        <v>2614552</v>
      </c>
      <c r="O310" s="6">
        <f>21777865-2614552</f>
        <v>19163313</v>
      </c>
      <c r="Q310" s="6">
        <v>27975313</v>
      </c>
      <c r="S310" s="6">
        <v>35975971</v>
      </c>
      <c r="U310" s="6">
        <f t="shared" si="75"/>
        <v>4517819</v>
      </c>
      <c r="W310" s="6">
        <v>1353905</v>
      </c>
      <c r="Y310" s="6">
        <v>41847695</v>
      </c>
      <c r="Z310" s="6">
        <f t="shared" si="73"/>
        <v>0</v>
      </c>
      <c r="AB310" s="6">
        <f t="shared" si="71"/>
        <v>0</v>
      </c>
    </row>
    <row r="311" spans="1:28">
      <c r="A311" s="10" t="s">
        <v>386</v>
      </c>
      <c r="B311" s="10"/>
      <c r="C311" s="10" t="s">
        <v>44</v>
      </c>
      <c r="E311" s="6">
        <f>+I311-G311</f>
        <v>144581278</v>
      </c>
      <c r="G311" s="6">
        <f>8694737+110249896</f>
        <v>118944633</v>
      </c>
      <c r="I311" s="6">
        <v>263525911</v>
      </c>
      <c r="K311" s="6">
        <f t="shared" si="70"/>
        <v>35344182</v>
      </c>
      <c r="M311" s="6">
        <v>4163205</v>
      </c>
      <c r="O311" s="6">
        <f>47551070-4163205</f>
        <v>43387865</v>
      </c>
      <c r="Q311" s="6">
        <v>82895252</v>
      </c>
      <c r="S311" s="6">
        <v>82824785</v>
      </c>
      <c r="U311" s="6">
        <f t="shared" si="75"/>
        <v>103495535</v>
      </c>
      <c r="W311" s="6">
        <v>-5689661</v>
      </c>
      <c r="Y311" s="6">
        <v>180630659</v>
      </c>
      <c r="Z311" s="6">
        <f t="shared" si="73"/>
        <v>0</v>
      </c>
      <c r="AB311" s="6">
        <f t="shared" si="71"/>
        <v>0</v>
      </c>
    </row>
    <row r="312" spans="1:28">
      <c r="A312" s="10" t="s">
        <v>527</v>
      </c>
      <c r="B312" s="10"/>
      <c r="C312" s="10" t="s">
        <v>64</v>
      </c>
      <c r="E312" s="6">
        <f t="shared" si="76"/>
        <v>4884912</v>
      </c>
      <c r="G312" s="6">
        <v>4887189</v>
      </c>
      <c r="I312" s="6">
        <v>9772101</v>
      </c>
      <c r="K312" s="6">
        <f t="shared" si="70"/>
        <v>4138248</v>
      </c>
      <c r="M312" s="6">
        <v>240493</v>
      </c>
      <c r="O312" s="6">
        <f>2494083-240493</f>
        <v>2253590</v>
      </c>
      <c r="Q312" s="6">
        <v>6632331</v>
      </c>
      <c r="S312" s="6">
        <v>2791725</v>
      </c>
      <c r="U312" s="6">
        <f t="shared" ref="U312:U318" si="77">Y312-W312-S312</f>
        <v>218007</v>
      </c>
      <c r="W312" s="6">
        <v>130038</v>
      </c>
      <c r="Y312" s="6">
        <v>3139770</v>
      </c>
      <c r="Z312" s="6">
        <f t="shared" si="73"/>
        <v>0</v>
      </c>
      <c r="AB312" s="6">
        <f t="shared" si="71"/>
        <v>0</v>
      </c>
    </row>
    <row r="313" spans="1:28">
      <c r="A313" s="10" t="s">
        <v>683</v>
      </c>
      <c r="B313" s="10"/>
      <c r="C313" s="10" t="s">
        <v>11</v>
      </c>
      <c r="D313" s="9"/>
      <c r="E313" s="6">
        <f t="shared" si="76"/>
        <v>10170109</v>
      </c>
      <c r="G313" s="6">
        <v>3628220</v>
      </c>
      <c r="I313" s="6">
        <v>13798329</v>
      </c>
      <c r="K313" s="6">
        <f t="shared" si="70"/>
        <v>5483431</v>
      </c>
      <c r="M313" s="6">
        <v>181292</v>
      </c>
      <c r="O313" s="6">
        <f>2387107-181292</f>
        <v>2205815</v>
      </c>
      <c r="Q313" s="6">
        <v>7870538</v>
      </c>
      <c r="S313" s="6">
        <v>2626160</v>
      </c>
      <c r="U313" s="6">
        <f t="shared" si="77"/>
        <v>220739</v>
      </c>
      <c r="W313" s="6">
        <v>3080892</v>
      </c>
      <c r="Y313" s="6">
        <v>5927791</v>
      </c>
      <c r="Z313" s="6">
        <f t="shared" si="73"/>
        <v>0</v>
      </c>
      <c r="AB313" s="6">
        <f t="shared" si="71"/>
        <v>0</v>
      </c>
    </row>
    <row r="314" spans="1:28">
      <c r="A314" s="10" t="s">
        <v>499</v>
      </c>
      <c r="B314" s="10"/>
      <c r="C314" s="10" t="s">
        <v>62</v>
      </c>
      <c r="E314" s="6">
        <f t="shared" si="76"/>
        <v>17264198</v>
      </c>
      <c r="G314" s="6">
        <f>46310180+30683967</f>
        <v>76994147</v>
      </c>
      <c r="I314" s="6">
        <v>94258345</v>
      </c>
      <c r="K314" s="6">
        <f t="shared" si="70"/>
        <v>11730148</v>
      </c>
      <c r="M314" s="6">
        <v>1236544</v>
      </c>
      <c r="O314" s="6">
        <f>32570575-1236544</f>
        <v>31334031</v>
      </c>
      <c r="Q314" s="6">
        <v>44300723</v>
      </c>
      <c r="S314" s="6">
        <v>49833281</v>
      </c>
      <c r="U314" s="6">
        <f t="shared" si="77"/>
        <v>1443115</v>
      </c>
      <c r="W314" s="6">
        <v>-1318774</v>
      </c>
      <c r="Y314" s="6">
        <v>49957622</v>
      </c>
      <c r="Z314" s="6">
        <f t="shared" si="73"/>
        <v>0</v>
      </c>
      <c r="AB314" s="6">
        <f t="shared" si="71"/>
        <v>0</v>
      </c>
    </row>
    <row r="315" spans="1:28">
      <c r="A315" s="10" t="s">
        <v>324</v>
      </c>
      <c r="B315" s="10"/>
      <c r="C315" s="10" t="s">
        <v>32</v>
      </c>
      <c r="D315" s="28"/>
      <c r="E315" s="6">
        <f>+I315-G315</f>
        <v>39713980</v>
      </c>
      <c r="G315" s="6">
        <f>1436356+46134096</f>
        <v>47570452</v>
      </c>
      <c r="I315" s="6">
        <v>87284432</v>
      </c>
      <c r="K315" s="6">
        <f t="shared" si="70"/>
        <v>31027323</v>
      </c>
      <c r="M315" s="6">
        <v>2306144</v>
      </c>
      <c r="O315" s="6">
        <f>25579808-2306144</f>
        <v>23273664</v>
      </c>
      <c r="Q315" s="6">
        <v>56607131</v>
      </c>
      <c r="S315" s="6">
        <v>19274036</v>
      </c>
      <c r="U315" s="6">
        <f t="shared" si="77"/>
        <v>3385287</v>
      </c>
      <c r="W315" s="6">
        <v>8017978</v>
      </c>
      <c r="Y315" s="6">
        <v>30677301</v>
      </c>
      <c r="Z315" s="6">
        <f t="shared" si="73"/>
        <v>0</v>
      </c>
      <c r="AB315" s="6">
        <f t="shared" si="71"/>
        <v>0</v>
      </c>
    </row>
    <row r="316" spans="1:28">
      <c r="A316" s="10" t="s">
        <v>684</v>
      </c>
      <c r="B316" s="10"/>
      <c r="C316" s="10" t="s">
        <v>45</v>
      </c>
      <c r="E316" s="6">
        <f t="shared" si="76"/>
        <v>5695164</v>
      </c>
      <c r="G316" s="6">
        <v>11761247</v>
      </c>
      <c r="I316" s="6">
        <v>17456411</v>
      </c>
      <c r="K316" s="6">
        <f t="shared" si="70"/>
        <v>1401196</v>
      </c>
      <c r="M316" s="6">
        <v>135181</v>
      </c>
      <c r="O316" s="6">
        <f>1889634-135181</f>
        <v>1754453</v>
      </c>
      <c r="Q316" s="6">
        <v>3290830</v>
      </c>
      <c r="S316" s="6">
        <v>10245249</v>
      </c>
      <c r="U316" s="6">
        <f t="shared" si="77"/>
        <v>2119537</v>
      </c>
      <c r="W316" s="6">
        <v>1800795</v>
      </c>
      <c r="Y316" s="6">
        <v>14165581</v>
      </c>
      <c r="Z316" s="6">
        <f t="shared" si="73"/>
        <v>0</v>
      </c>
      <c r="AB316" s="6">
        <f t="shared" si="71"/>
        <v>0</v>
      </c>
    </row>
    <row r="317" spans="1:28">
      <c r="A317" s="10" t="s">
        <v>801</v>
      </c>
      <c r="B317" s="10"/>
      <c r="C317" s="10" t="s">
        <v>110</v>
      </c>
      <c r="E317" s="6">
        <f>+I317-G317</f>
        <v>7115565</v>
      </c>
      <c r="G317" s="6">
        <v>1499957</v>
      </c>
      <c r="I317" s="6">
        <v>8615522</v>
      </c>
      <c r="K317" s="6">
        <f t="shared" si="70"/>
        <v>2403960</v>
      </c>
      <c r="M317" s="6">
        <v>52243</v>
      </c>
      <c r="O317" s="6">
        <f>730088-52243</f>
        <v>677845</v>
      </c>
      <c r="Q317" s="6">
        <v>3134048</v>
      </c>
      <c r="S317" s="6">
        <v>999904</v>
      </c>
      <c r="U317" s="6">
        <f t="shared" si="77"/>
        <v>163714</v>
      </c>
      <c r="W317" s="6">
        <v>4317856</v>
      </c>
      <c r="Y317" s="6">
        <v>5481474</v>
      </c>
      <c r="Z317" s="6">
        <f t="shared" si="73"/>
        <v>0</v>
      </c>
      <c r="AB317" s="6">
        <f t="shared" si="71"/>
        <v>0</v>
      </c>
    </row>
    <row r="318" spans="1:28">
      <c r="A318" s="10" t="s">
        <v>351</v>
      </c>
      <c r="B318" s="10"/>
      <c r="C318" s="10" t="s">
        <v>348</v>
      </c>
      <c r="E318" s="6">
        <f t="shared" si="76"/>
        <v>11563074</v>
      </c>
      <c r="G318" s="6">
        <f>405668+17472657</f>
        <v>17878325</v>
      </c>
      <c r="I318" s="6">
        <v>29441399</v>
      </c>
      <c r="K318" s="6">
        <f t="shared" si="70"/>
        <v>3407463</v>
      </c>
      <c r="M318" s="6">
        <v>194696</v>
      </c>
      <c r="O318" s="6">
        <f>1990003-194696</f>
        <v>1795307</v>
      </c>
      <c r="Q318" s="6">
        <v>5397466</v>
      </c>
      <c r="S318" s="6">
        <v>16488026</v>
      </c>
      <c r="U318" s="6">
        <f t="shared" si="77"/>
        <v>1468536</v>
      </c>
      <c r="W318" s="6">
        <v>6087371</v>
      </c>
      <c r="Y318" s="6">
        <v>24043933</v>
      </c>
      <c r="Z318" s="6">
        <f t="shared" si="73"/>
        <v>0</v>
      </c>
      <c r="AB318" s="6">
        <f t="shared" si="71"/>
        <v>0</v>
      </c>
    </row>
    <row r="319" spans="1:28">
      <c r="A319" s="11" t="s">
        <v>711</v>
      </c>
      <c r="B319" s="10"/>
      <c r="C319" s="10" t="s">
        <v>50</v>
      </c>
      <c r="E319" s="6">
        <f t="shared" ref="E319:E360" si="78">+I319-G319</f>
        <v>26733410</v>
      </c>
      <c r="G319" s="6">
        <f>1068500+74631824</f>
        <v>75700324</v>
      </c>
      <c r="I319" s="6">
        <v>102433734</v>
      </c>
      <c r="K319" s="6">
        <f t="shared" si="70"/>
        <v>14393555</v>
      </c>
      <c r="M319" s="6">
        <v>1528917</v>
      </c>
      <c r="O319" s="6">
        <v>13340552</v>
      </c>
      <c r="Q319" s="6">
        <v>29263024</v>
      </c>
      <c r="S319" s="6">
        <v>63938337</v>
      </c>
      <c r="U319" s="6">
        <f t="shared" ref="U319:U377" si="79">Y319-W319-S319</f>
        <v>4292039</v>
      </c>
      <c r="W319" s="6">
        <v>4940334</v>
      </c>
      <c r="Y319" s="6">
        <v>73170710</v>
      </c>
      <c r="Z319" s="6">
        <f t="shared" ref="Z319:Z365" si="80">+I319-Q319-Y319</f>
        <v>0</v>
      </c>
      <c r="AB319" s="6">
        <f t="shared" ref="AB319:AB360" si="81">+E319+G319+-K319-M319-S319-U319-W319-O319</f>
        <v>0</v>
      </c>
    </row>
    <row r="320" spans="1:28">
      <c r="A320" s="10" t="s">
        <v>325</v>
      </c>
      <c r="B320" s="10"/>
      <c r="C320" s="10" t="s">
        <v>32</v>
      </c>
      <c r="E320" s="6">
        <f t="shared" si="78"/>
        <v>23980217</v>
      </c>
      <c r="G320" s="6">
        <f>963381+29152830</f>
        <v>30116211</v>
      </c>
      <c r="I320" s="6">
        <v>54096428</v>
      </c>
      <c r="K320" s="6">
        <f t="shared" si="70"/>
        <v>12557922</v>
      </c>
      <c r="M320" s="6">
        <v>1635305</v>
      </c>
      <c r="O320" s="6">
        <v>26758950</v>
      </c>
      <c r="Q320" s="6">
        <v>40952177</v>
      </c>
      <c r="S320" s="6">
        <v>3733696</v>
      </c>
      <c r="U320" s="6">
        <f t="shared" si="79"/>
        <v>2011210</v>
      </c>
      <c r="W320" s="6">
        <v>7399345</v>
      </c>
      <c r="Y320" s="6">
        <v>13144251</v>
      </c>
      <c r="Z320" s="6">
        <f t="shared" si="80"/>
        <v>0</v>
      </c>
      <c r="AB320" s="6">
        <f t="shared" si="81"/>
        <v>0</v>
      </c>
    </row>
    <row r="321" spans="1:28">
      <c r="A321" s="10" t="s">
        <v>224</v>
      </c>
      <c r="B321" s="10"/>
      <c r="C321" s="10" t="s">
        <v>221</v>
      </c>
      <c r="E321" s="6">
        <f t="shared" si="78"/>
        <v>9696243</v>
      </c>
      <c r="G321" s="6">
        <f>290152+29821892</f>
        <v>30112044</v>
      </c>
      <c r="I321" s="6">
        <v>39808287</v>
      </c>
      <c r="K321" s="6">
        <f t="shared" si="70"/>
        <v>6719371</v>
      </c>
      <c r="M321" s="6">
        <v>254150</v>
      </c>
      <c r="O321" s="6">
        <v>13379906</v>
      </c>
      <c r="Q321" s="6">
        <v>20353427</v>
      </c>
      <c r="S321" s="6">
        <v>16752271</v>
      </c>
      <c r="U321" s="6">
        <f t="shared" si="79"/>
        <v>1496063</v>
      </c>
      <c r="W321" s="6">
        <v>1206526</v>
      </c>
      <c r="Y321" s="6">
        <v>19454860</v>
      </c>
      <c r="Z321" s="6">
        <f>+I321-Q321-Y321</f>
        <v>0</v>
      </c>
      <c r="AB321" s="6">
        <f t="shared" si="81"/>
        <v>0</v>
      </c>
    </row>
    <row r="322" spans="1:28" hidden="1">
      <c r="A322" s="10" t="s">
        <v>730</v>
      </c>
      <c r="B322" s="10"/>
      <c r="C322" s="10" t="s">
        <v>41</v>
      </c>
      <c r="E322" s="6">
        <f t="shared" si="78"/>
        <v>0</v>
      </c>
      <c r="K322" s="6">
        <f t="shared" si="70"/>
        <v>0</v>
      </c>
      <c r="U322" s="6">
        <f t="shared" si="79"/>
        <v>0</v>
      </c>
      <c r="Z322" s="6">
        <f>+I322-Q322-Y322</f>
        <v>0</v>
      </c>
      <c r="AB322" s="6">
        <f t="shared" si="81"/>
        <v>0</v>
      </c>
    </row>
    <row r="323" spans="1:28">
      <c r="A323" s="10" t="s">
        <v>224</v>
      </c>
      <c r="B323" s="10"/>
      <c r="C323" s="10" t="s">
        <v>110</v>
      </c>
      <c r="E323" s="6">
        <f t="shared" si="78"/>
        <v>55622087</v>
      </c>
      <c r="G323" s="6">
        <f>4750110+3526543</f>
        <v>8276653</v>
      </c>
      <c r="I323" s="6">
        <v>63898740</v>
      </c>
      <c r="K323" s="6">
        <f t="shared" si="70"/>
        <v>11963451</v>
      </c>
      <c r="M323" s="6">
        <v>435371</v>
      </c>
      <c r="O323" s="6">
        <v>29730395</v>
      </c>
      <c r="Q323" s="6">
        <v>42129217</v>
      </c>
      <c r="S323" s="6">
        <v>4566838</v>
      </c>
      <c r="U323" s="6">
        <f t="shared" si="79"/>
        <v>9708201</v>
      </c>
      <c r="W323" s="6">
        <v>7494484</v>
      </c>
      <c r="Y323" s="6">
        <v>21769523</v>
      </c>
      <c r="Z323" s="6">
        <f t="shared" si="80"/>
        <v>0</v>
      </c>
      <c r="AB323" s="6">
        <f t="shared" si="81"/>
        <v>0</v>
      </c>
    </row>
    <row r="324" spans="1:28">
      <c r="A324" s="10" t="s">
        <v>694</v>
      </c>
      <c r="B324" s="10"/>
      <c r="C324" s="10" t="s">
        <v>398</v>
      </c>
      <c r="E324" s="6">
        <f t="shared" si="78"/>
        <v>13135229</v>
      </c>
      <c r="G324" s="6">
        <f>202377+6052183</f>
        <v>6254560</v>
      </c>
      <c r="I324" s="6">
        <v>19389789</v>
      </c>
      <c r="K324" s="6">
        <f t="shared" si="70"/>
        <v>5710447</v>
      </c>
      <c r="M324" s="6">
        <v>117888</v>
      </c>
      <c r="O324" s="6">
        <v>888298</v>
      </c>
      <c r="Q324" s="6">
        <v>6716633</v>
      </c>
      <c r="S324" s="6">
        <v>6254560</v>
      </c>
      <c r="U324" s="6">
        <f t="shared" si="79"/>
        <v>696761</v>
      </c>
      <c r="W324" s="6">
        <v>5721835</v>
      </c>
      <c r="Y324" s="6">
        <v>12673156</v>
      </c>
      <c r="Z324" s="6">
        <f t="shared" si="80"/>
        <v>0</v>
      </c>
      <c r="AB324" s="6">
        <f t="shared" si="81"/>
        <v>0</v>
      </c>
    </row>
    <row r="325" spans="1:28">
      <c r="A325" s="10" t="s">
        <v>605</v>
      </c>
      <c r="B325" s="10"/>
      <c r="C325" s="10" t="s">
        <v>200</v>
      </c>
      <c r="E325" s="6">
        <f t="shared" si="78"/>
        <v>17116925</v>
      </c>
      <c r="G325" s="6">
        <f>702034+25668730</f>
        <v>26370764</v>
      </c>
      <c r="I325" s="6">
        <v>43487689</v>
      </c>
      <c r="K325" s="6">
        <f t="shared" si="70"/>
        <v>8590484</v>
      </c>
      <c r="M325" s="6">
        <v>1105656</v>
      </c>
      <c r="O325" s="6">
        <v>12292323</v>
      </c>
      <c r="Q325" s="6">
        <v>21988463</v>
      </c>
      <c r="S325" s="6">
        <v>13769416</v>
      </c>
      <c r="U325" s="6">
        <f t="shared" si="79"/>
        <v>3061839</v>
      </c>
      <c r="W325" s="6">
        <v>4667971</v>
      </c>
      <c r="Y325" s="6">
        <v>21499226</v>
      </c>
      <c r="Z325" s="6">
        <f>+I325-Q325-Y325</f>
        <v>0</v>
      </c>
      <c r="AB325" s="6">
        <f t="shared" si="81"/>
        <v>0</v>
      </c>
    </row>
    <row r="326" spans="1:28" hidden="1">
      <c r="A326" s="10" t="s">
        <v>805</v>
      </c>
      <c r="B326" s="10"/>
      <c r="C326" s="10" t="s">
        <v>63</v>
      </c>
      <c r="E326" s="6">
        <f t="shared" ref="E326" si="82">+I326-G326</f>
        <v>0</v>
      </c>
      <c r="K326" s="6">
        <f t="shared" ref="K326" si="83">+Q326-M326-O326</f>
        <v>0</v>
      </c>
      <c r="U326" s="6">
        <f t="shared" ref="U326" si="84">Y326-W326-S326</f>
        <v>0</v>
      </c>
      <c r="Z326" s="6">
        <f t="shared" ref="Z326" si="85">+I326-Q326-Y326</f>
        <v>0</v>
      </c>
      <c r="AB326" s="6">
        <f t="shared" ref="AB326" si="86">+E326+G326+-K326-M326-S326-U326-W326-O326</f>
        <v>0</v>
      </c>
    </row>
    <row r="327" spans="1:28">
      <c r="A327" s="10" t="s">
        <v>469</v>
      </c>
      <c r="B327" s="10"/>
      <c r="C327" s="10" t="s">
        <v>110</v>
      </c>
      <c r="E327" s="6">
        <f t="shared" si="78"/>
        <v>39666559</v>
      </c>
      <c r="G327" s="6">
        <f>5213069+45033031</f>
        <v>50246100</v>
      </c>
      <c r="I327" s="6">
        <v>89912659</v>
      </c>
      <c r="K327" s="6">
        <f t="shared" si="70"/>
        <v>22134492</v>
      </c>
      <c r="M327" s="6">
        <v>1565085</v>
      </c>
      <c r="O327" s="6">
        <v>13756459</v>
      </c>
      <c r="Q327" s="6">
        <v>37456036</v>
      </c>
      <c r="S327" s="6">
        <v>39386102</v>
      </c>
      <c r="U327" s="6">
        <f t="shared" si="79"/>
        <v>12430751</v>
      </c>
      <c r="W327" s="6">
        <v>639770</v>
      </c>
      <c r="Y327" s="6">
        <v>52456623</v>
      </c>
      <c r="Z327" s="6">
        <f t="shared" si="80"/>
        <v>0</v>
      </c>
      <c r="AB327" s="6">
        <f t="shared" si="81"/>
        <v>0</v>
      </c>
    </row>
    <row r="328" spans="1:28">
      <c r="A328" s="10" t="s">
        <v>722</v>
      </c>
      <c r="B328" s="10"/>
      <c r="C328" s="10" t="s">
        <v>20</v>
      </c>
      <c r="E328" s="6">
        <f t="shared" si="78"/>
        <v>54303477</v>
      </c>
      <c r="G328" s="6">
        <f>94408120+9399995</f>
        <v>103808115</v>
      </c>
      <c r="I328" s="6">
        <v>158111592</v>
      </c>
      <c r="K328" s="6">
        <f t="shared" si="70"/>
        <v>24211517</v>
      </c>
      <c r="M328" s="6">
        <v>798010</v>
      </c>
      <c r="O328" s="6">
        <v>64903095</v>
      </c>
      <c r="Q328" s="6">
        <v>89912622</v>
      </c>
      <c r="S328" s="6">
        <v>44325729</v>
      </c>
      <c r="U328" s="6">
        <f t="shared" si="79"/>
        <v>26544949</v>
      </c>
      <c r="W328" s="6">
        <v>-2671708</v>
      </c>
      <c r="Y328" s="6">
        <v>68198970</v>
      </c>
      <c r="Z328" s="6">
        <f t="shared" si="80"/>
        <v>0</v>
      </c>
      <c r="AB328" s="6">
        <f t="shared" si="81"/>
        <v>0</v>
      </c>
    </row>
    <row r="329" spans="1:28">
      <c r="A329" s="10" t="s">
        <v>205</v>
      </c>
      <c r="B329" s="10"/>
      <c r="C329" s="10" t="s">
        <v>11</v>
      </c>
      <c r="E329" s="6">
        <f t="shared" si="78"/>
        <v>6344426</v>
      </c>
      <c r="G329" s="6">
        <f>177800+15070727</f>
        <v>15248527</v>
      </c>
      <c r="I329" s="6">
        <v>21592953</v>
      </c>
      <c r="K329" s="6">
        <f t="shared" si="70"/>
        <v>3254371</v>
      </c>
      <c r="M329" s="6">
        <v>286407</v>
      </c>
      <c r="O329" s="6">
        <v>2607761</v>
      </c>
      <c r="Q329" s="6">
        <v>6148539</v>
      </c>
      <c r="S329" s="6">
        <v>12723528</v>
      </c>
      <c r="U329" s="6">
        <f t="shared" si="79"/>
        <v>899415</v>
      </c>
      <c r="W329" s="6">
        <v>1821471</v>
      </c>
      <c r="Y329" s="6">
        <v>15444414</v>
      </c>
      <c r="Z329" s="6">
        <f t="shared" si="80"/>
        <v>0</v>
      </c>
      <c r="AB329" s="6">
        <f t="shared" si="81"/>
        <v>0</v>
      </c>
    </row>
    <row r="330" spans="1:28">
      <c r="A330" s="10" t="s">
        <v>528</v>
      </c>
      <c r="B330" s="10"/>
      <c r="C330" s="10" t="s">
        <v>64</v>
      </c>
      <c r="E330" s="6">
        <f t="shared" si="78"/>
        <v>6607304</v>
      </c>
      <c r="G330" s="6">
        <f>273697+19162589</f>
        <v>19436286</v>
      </c>
      <c r="I330" s="6">
        <v>26043590</v>
      </c>
      <c r="K330" s="6">
        <f t="shared" si="70"/>
        <v>3437858</v>
      </c>
      <c r="M330" s="6">
        <v>199373</v>
      </c>
      <c r="O330" s="6">
        <v>2376149</v>
      </c>
      <c r="Q330" s="6">
        <v>6013380</v>
      </c>
      <c r="S330" s="6">
        <v>17714215</v>
      </c>
      <c r="U330" s="6">
        <f t="shared" si="79"/>
        <v>638842</v>
      </c>
      <c r="W330" s="6">
        <v>1677153</v>
      </c>
      <c r="Y330" s="6">
        <v>20030210</v>
      </c>
      <c r="Z330" s="6">
        <f t="shared" si="80"/>
        <v>0</v>
      </c>
      <c r="AB330" s="6">
        <f t="shared" si="81"/>
        <v>0</v>
      </c>
    </row>
    <row r="331" spans="1:28">
      <c r="A331" s="10" t="s">
        <v>288</v>
      </c>
      <c r="B331" s="10"/>
      <c r="C331" s="10" t="s">
        <v>24</v>
      </c>
      <c r="E331" s="6">
        <f t="shared" si="78"/>
        <v>7599856</v>
      </c>
      <c r="G331" s="6">
        <f>103182+5404303</f>
        <v>5507485</v>
      </c>
      <c r="I331" s="6">
        <v>13107341</v>
      </c>
      <c r="K331" s="6">
        <f t="shared" si="70"/>
        <v>6183441</v>
      </c>
      <c r="M331" s="6">
        <v>191461</v>
      </c>
      <c r="O331" s="6">
        <v>2950834</v>
      </c>
      <c r="Q331" s="6">
        <v>9325736</v>
      </c>
      <c r="S331" s="6">
        <v>3118485</v>
      </c>
      <c r="U331" s="6">
        <f t="shared" si="79"/>
        <v>186044</v>
      </c>
      <c r="W331" s="6">
        <v>477076</v>
      </c>
      <c r="Y331" s="6">
        <v>3781605</v>
      </c>
      <c r="Z331" s="6">
        <f t="shared" si="80"/>
        <v>0</v>
      </c>
      <c r="AB331" s="6">
        <f t="shared" si="81"/>
        <v>0</v>
      </c>
    </row>
    <row r="332" spans="1:28">
      <c r="A332" s="10" t="s">
        <v>326</v>
      </c>
      <c r="B332" s="10"/>
      <c r="C332" s="10" t="s">
        <v>32</v>
      </c>
      <c r="E332" s="6">
        <f t="shared" si="78"/>
        <v>30808986</v>
      </c>
      <c r="G332" s="6">
        <f>29187883+10913451</f>
        <v>40101334</v>
      </c>
      <c r="I332" s="6">
        <v>70910320</v>
      </c>
      <c r="K332" s="6">
        <f t="shared" si="70"/>
        <v>12012330</v>
      </c>
      <c r="M332" s="6">
        <v>648697</v>
      </c>
      <c r="O332" s="6">
        <v>47139819</v>
      </c>
      <c r="Q332" s="6">
        <v>59800846</v>
      </c>
      <c r="S332" s="6">
        <v>-1023949</v>
      </c>
      <c r="U332" s="6">
        <f t="shared" si="79"/>
        <v>1957073</v>
      </c>
      <c r="W332" s="6">
        <v>10176350</v>
      </c>
      <c r="Y332" s="6">
        <v>11109474</v>
      </c>
      <c r="Z332" s="6">
        <f t="shared" si="80"/>
        <v>0</v>
      </c>
      <c r="AB332" s="6">
        <f t="shared" si="81"/>
        <v>0</v>
      </c>
    </row>
    <row r="333" spans="1:28" hidden="1">
      <c r="A333" s="10" t="s">
        <v>612</v>
      </c>
      <c r="B333" s="10"/>
      <c r="C333" s="10" t="s">
        <v>70</v>
      </c>
      <c r="D333" s="9"/>
      <c r="E333" s="6">
        <f t="shared" si="78"/>
        <v>0</v>
      </c>
      <c r="K333" s="6">
        <f t="shared" si="70"/>
        <v>0</v>
      </c>
      <c r="U333" s="6">
        <f t="shared" si="79"/>
        <v>0</v>
      </c>
      <c r="Z333" s="6">
        <f>+I333-Q333-Y333</f>
        <v>0</v>
      </c>
      <c r="AB333" s="6">
        <f t="shared" si="81"/>
        <v>0</v>
      </c>
    </row>
    <row r="334" spans="1:28" ht="11.25" customHeight="1">
      <c r="A334" s="10" t="s">
        <v>410</v>
      </c>
      <c r="B334" s="10"/>
      <c r="C334" s="10" t="s">
        <v>46</v>
      </c>
      <c r="E334" s="6">
        <f t="shared" si="78"/>
        <v>30824321</v>
      </c>
      <c r="G334" s="6">
        <f>1965229+77466341</f>
        <v>79431570</v>
      </c>
      <c r="I334" s="6">
        <v>110255891</v>
      </c>
      <c r="K334" s="6">
        <f t="shared" si="70"/>
        <v>11625546</v>
      </c>
      <c r="M334" s="6">
        <v>1296245</v>
      </c>
      <c r="O334" s="6">
        <v>14624601</v>
      </c>
      <c r="Q334" s="6">
        <v>27546392</v>
      </c>
      <c r="S334" s="6">
        <v>69457685</v>
      </c>
      <c r="U334" s="6">
        <f t="shared" si="79"/>
        <v>1824840</v>
      </c>
      <c r="W334" s="6">
        <v>11426974</v>
      </c>
      <c r="Y334" s="6">
        <v>82709499</v>
      </c>
      <c r="Z334" s="6">
        <f t="shared" si="80"/>
        <v>0</v>
      </c>
      <c r="AB334" s="6">
        <f t="shared" si="81"/>
        <v>0</v>
      </c>
    </row>
    <row r="335" spans="1:28" ht="12.75" hidden="1" customHeight="1">
      <c r="A335" s="10" t="s">
        <v>685</v>
      </c>
      <c r="B335" s="10"/>
      <c r="C335" s="10" t="s">
        <v>422</v>
      </c>
      <c r="E335" s="6">
        <f t="shared" si="78"/>
        <v>0</v>
      </c>
      <c r="K335" s="6">
        <f t="shared" si="70"/>
        <v>0</v>
      </c>
      <c r="U335" s="6">
        <f t="shared" si="79"/>
        <v>0</v>
      </c>
      <c r="Z335" s="6">
        <f t="shared" si="80"/>
        <v>0</v>
      </c>
      <c r="AB335" s="6">
        <f t="shared" si="81"/>
        <v>0</v>
      </c>
    </row>
    <row r="336" spans="1:28">
      <c r="A336" s="10" t="s">
        <v>500</v>
      </c>
      <c r="B336" s="10"/>
      <c r="C336" s="10" t="s">
        <v>62</v>
      </c>
      <c r="E336" s="6">
        <f t="shared" si="78"/>
        <v>19908405</v>
      </c>
      <c r="G336" s="6">
        <f>2466333+5017212</f>
        <v>7483545</v>
      </c>
      <c r="I336" s="6">
        <v>27391950</v>
      </c>
      <c r="K336" s="6">
        <f t="shared" si="70"/>
        <v>10127942</v>
      </c>
      <c r="M336" s="6">
        <v>418555</v>
      </c>
      <c r="O336" s="6">
        <v>1155237</v>
      </c>
      <c r="Q336" s="6">
        <v>11701734</v>
      </c>
      <c r="S336" s="6">
        <v>7467844</v>
      </c>
      <c r="U336" s="6">
        <f t="shared" si="79"/>
        <v>1921077</v>
      </c>
      <c r="W336" s="6">
        <v>6301295</v>
      </c>
      <c r="Y336" s="6">
        <v>15690216</v>
      </c>
      <c r="Z336" s="6">
        <f t="shared" si="80"/>
        <v>0</v>
      </c>
      <c r="AB336" s="6">
        <f t="shared" si="81"/>
        <v>0</v>
      </c>
    </row>
    <row r="337" spans="1:28">
      <c r="A337" s="10" t="s">
        <v>216</v>
      </c>
      <c r="B337" s="10"/>
      <c r="C337" s="10" t="s">
        <v>15</v>
      </c>
      <c r="E337" s="6">
        <f t="shared" si="78"/>
        <v>5699580</v>
      </c>
      <c r="G337" s="6">
        <f>2436556+37886829</f>
        <v>40323385</v>
      </c>
      <c r="I337" s="6">
        <v>46022965</v>
      </c>
      <c r="K337" s="6">
        <f t="shared" si="70"/>
        <v>4310418</v>
      </c>
      <c r="M337" s="6">
        <v>689571</v>
      </c>
      <c r="O337" s="6">
        <v>13288462</v>
      </c>
      <c r="Q337" s="6">
        <v>18288451</v>
      </c>
      <c r="S337" s="6">
        <v>27114886</v>
      </c>
      <c r="U337" s="6">
        <f t="shared" si="79"/>
        <v>1539856</v>
      </c>
      <c r="W337" s="6">
        <v>-920228</v>
      </c>
      <c r="Y337" s="6">
        <v>27734514</v>
      </c>
      <c r="Z337" s="6">
        <f t="shared" si="80"/>
        <v>0</v>
      </c>
      <c r="AB337" s="6">
        <f t="shared" si="81"/>
        <v>0</v>
      </c>
    </row>
    <row r="338" spans="1:28">
      <c r="A338" s="10" t="s">
        <v>767</v>
      </c>
      <c r="B338" s="10"/>
      <c r="C338" s="10" t="s">
        <v>66</v>
      </c>
      <c r="E338" s="6">
        <f t="shared" si="78"/>
        <v>40874160</v>
      </c>
      <c r="G338" s="6">
        <f>6355496+97358945</f>
        <v>103714441</v>
      </c>
      <c r="I338" s="6">
        <v>144588601</v>
      </c>
      <c r="K338" s="6">
        <f t="shared" si="70"/>
        <v>33891573</v>
      </c>
      <c r="M338" s="6">
        <v>4535645</v>
      </c>
      <c r="O338" s="6">
        <v>95301767</v>
      </c>
      <c r="Q338" s="6">
        <v>133728985</v>
      </c>
      <c r="S338" s="6">
        <v>16898172</v>
      </c>
      <c r="U338" s="6">
        <f t="shared" si="79"/>
        <v>6494391</v>
      </c>
      <c r="W338" s="6">
        <v>-12532947</v>
      </c>
      <c r="Y338" s="6">
        <v>10859616</v>
      </c>
      <c r="Z338" s="6">
        <f t="shared" si="80"/>
        <v>0</v>
      </c>
      <c r="AB338" s="6">
        <f t="shared" si="81"/>
        <v>0</v>
      </c>
    </row>
    <row r="339" spans="1:28">
      <c r="A339" s="10" t="s">
        <v>546</v>
      </c>
      <c r="B339" s="10"/>
      <c r="C339" s="10" t="s">
        <v>69</v>
      </c>
      <c r="E339" s="6">
        <f t="shared" si="78"/>
        <v>149281324</v>
      </c>
      <c r="G339" s="6">
        <f>4134921+171513732</f>
        <v>175648653</v>
      </c>
      <c r="I339" s="6">
        <v>324929977</v>
      </c>
      <c r="K339" s="6">
        <f t="shared" si="70"/>
        <v>97377971</v>
      </c>
      <c r="M339" s="6">
        <v>10377206</v>
      </c>
      <c r="O339" s="6">
        <v>121398436</v>
      </c>
      <c r="Q339" s="6">
        <v>229153613</v>
      </c>
      <c r="S339" s="6">
        <v>40667026</v>
      </c>
      <c r="U339" s="6">
        <f t="shared" si="79"/>
        <v>25059547</v>
      </c>
      <c r="W339" s="6">
        <v>30049791</v>
      </c>
      <c r="Y339" s="6">
        <v>95776364</v>
      </c>
      <c r="Z339" s="6">
        <f t="shared" si="80"/>
        <v>0</v>
      </c>
      <c r="AB339" s="6">
        <f t="shared" si="81"/>
        <v>0</v>
      </c>
    </row>
    <row r="340" spans="1:28">
      <c r="A340" s="10" t="s">
        <v>501</v>
      </c>
      <c r="B340" s="10"/>
      <c r="C340" s="10" t="s">
        <v>62</v>
      </c>
      <c r="E340" s="6">
        <f t="shared" si="78"/>
        <v>30048023</v>
      </c>
      <c r="G340" s="6">
        <f>3552636+36377829</f>
        <v>39930465</v>
      </c>
      <c r="I340" s="6">
        <v>69978488</v>
      </c>
      <c r="K340" s="6">
        <f t="shared" si="70"/>
        <v>18434548</v>
      </c>
      <c r="M340" s="6">
        <v>834121</v>
      </c>
      <c r="O340" s="6">
        <v>14171842</v>
      </c>
      <c r="Q340" s="6">
        <v>33440511</v>
      </c>
      <c r="S340" s="6">
        <v>28501114</v>
      </c>
      <c r="U340" s="6">
        <f t="shared" si="79"/>
        <v>7792978</v>
      </c>
      <c r="W340" s="6">
        <v>243885</v>
      </c>
      <c r="Y340" s="6">
        <v>36537977</v>
      </c>
      <c r="Z340" s="6">
        <f t="shared" si="80"/>
        <v>0</v>
      </c>
      <c r="AB340" s="6">
        <f t="shared" si="81"/>
        <v>0</v>
      </c>
    </row>
    <row r="341" spans="1:28">
      <c r="A341" s="10" t="s">
        <v>529</v>
      </c>
      <c r="B341" s="10"/>
      <c r="C341" s="10" t="s">
        <v>64</v>
      </c>
      <c r="E341" s="6">
        <f t="shared" si="78"/>
        <v>6616033</v>
      </c>
      <c r="G341" s="6">
        <f>463341+2873175</f>
        <v>3336516</v>
      </c>
      <c r="I341" s="6">
        <v>9952549</v>
      </c>
      <c r="K341" s="6">
        <f t="shared" si="70"/>
        <v>5627706</v>
      </c>
      <c r="M341" s="6">
        <v>269515</v>
      </c>
      <c r="O341" s="6">
        <v>965547</v>
      </c>
      <c r="Q341" s="6">
        <v>6862768</v>
      </c>
      <c r="S341" s="6">
        <v>3335794</v>
      </c>
      <c r="U341" s="6">
        <f t="shared" si="79"/>
        <v>26979</v>
      </c>
      <c r="W341" s="6">
        <v>-272992</v>
      </c>
      <c r="Y341" s="6">
        <v>3089781</v>
      </c>
      <c r="Z341" s="6">
        <f t="shared" si="80"/>
        <v>0</v>
      </c>
      <c r="AB341" s="6">
        <f t="shared" si="81"/>
        <v>0</v>
      </c>
    </row>
    <row r="342" spans="1:28" hidden="1">
      <c r="A342" s="10" t="s">
        <v>878</v>
      </c>
      <c r="B342" s="10"/>
      <c r="C342" s="10" t="s">
        <v>115</v>
      </c>
      <c r="E342" s="6">
        <f t="shared" si="78"/>
        <v>0</v>
      </c>
      <c r="K342" s="6">
        <f t="shared" si="70"/>
        <v>0</v>
      </c>
      <c r="U342" s="6">
        <f t="shared" si="79"/>
        <v>0</v>
      </c>
      <c r="Z342" s="6">
        <f t="shared" si="80"/>
        <v>0</v>
      </c>
      <c r="AB342" s="6">
        <f t="shared" si="81"/>
        <v>0</v>
      </c>
    </row>
    <row r="343" spans="1:28">
      <c r="A343" s="10" t="s">
        <v>723</v>
      </c>
      <c r="B343" s="10"/>
      <c r="C343" s="10" t="s">
        <v>20</v>
      </c>
      <c r="E343" s="6">
        <f t="shared" si="78"/>
        <v>106700315</v>
      </c>
      <c r="G343" s="6">
        <f>25928274+25090970</f>
        <v>51019244</v>
      </c>
      <c r="I343" s="6">
        <v>157719559</v>
      </c>
      <c r="K343" s="6">
        <f t="shared" si="70"/>
        <v>56563527</v>
      </c>
      <c r="M343" s="6">
        <v>2075934</v>
      </c>
      <c r="O343" s="6">
        <v>44679762</v>
      </c>
      <c r="Q343" s="6">
        <v>103319223</v>
      </c>
      <c r="S343" s="6">
        <v>15052774</v>
      </c>
      <c r="U343" s="6">
        <f t="shared" si="79"/>
        <v>7268697</v>
      </c>
      <c r="W343" s="6">
        <v>32078865</v>
      </c>
      <c r="Y343" s="6">
        <v>54400336</v>
      </c>
      <c r="Z343" s="6">
        <f t="shared" si="80"/>
        <v>0</v>
      </c>
      <c r="AB343" s="6">
        <f t="shared" si="81"/>
        <v>0</v>
      </c>
    </row>
    <row r="344" spans="1:28">
      <c r="A344" s="10" t="s">
        <v>445</v>
      </c>
      <c r="B344" s="10"/>
      <c r="C344" s="10" t="s">
        <v>51</v>
      </c>
      <c r="E344" s="6">
        <f t="shared" si="78"/>
        <v>10647373</v>
      </c>
      <c r="G344" s="6">
        <f>931119+31527297</f>
        <v>32458416</v>
      </c>
      <c r="I344" s="6">
        <v>43105789</v>
      </c>
      <c r="K344" s="6">
        <f t="shared" si="70"/>
        <v>5991063</v>
      </c>
      <c r="M344" s="6">
        <v>440794</v>
      </c>
      <c r="O344" s="6">
        <v>5019139</v>
      </c>
      <c r="Q344" s="6">
        <v>11450996</v>
      </c>
      <c r="S344" s="6">
        <v>28290566</v>
      </c>
      <c r="U344" s="6">
        <f t="shared" si="79"/>
        <v>1470351</v>
      </c>
      <c r="W344" s="6">
        <v>1893876</v>
      </c>
      <c r="Y344" s="6">
        <v>31654793</v>
      </c>
      <c r="Z344" s="6">
        <f t="shared" si="80"/>
        <v>0</v>
      </c>
      <c r="AB344" s="6">
        <f t="shared" si="81"/>
        <v>0</v>
      </c>
    </row>
    <row r="345" spans="1:28" hidden="1">
      <c r="A345" s="10" t="s">
        <v>806</v>
      </c>
      <c r="B345" s="10"/>
      <c r="C345" s="10" t="s">
        <v>33</v>
      </c>
      <c r="E345" s="6">
        <f t="shared" si="78"/>
        <v>0</v>
      </c>
      <c r="K345" s="6">
        <f t="shared" ref="K345:K411" si="87">+Q345-M345-O345</f>
        <v>0</v>
      </c>
      <c r="U345" s="6">
        <f t="shared" si="79"/>
        <v>0</v>
      </c>
      <c r="Z345" s="6">
        <f t="shared" si="80"/>
        <v>0</v>
      </c>
      <c r="AB345" s="6">
        <f t="shared" si="81"/>
        <v>0</v>
      </c>
    </row>
    <row r="346" spans="1:28">
      <c r="A346" s="10" t="s">
        <v>638</v>
      </c>
      <c r="B346" s="10"/>
      <c r="C346" s="10" t="s">
        <v>64</v>
      </c>
      <c r="E346" s="6">
        <f t="shared" si="78"/>
        <v>3423048</v>
      </c>
      <c r="G346" s="6">
        <f>311600+13088255</f>
        <v>13399855</v>
      </c>
      <c r="I346" s="6">
        <v>16822903</v>
      </c>
      <c r="K346" s="6">
        <f t="shared" si="87"/>
        <v>2646372</v>
      </c>
      <c r="M346" s="6">
        <v>180614</v>
      </c>
      <c r="O346" s="6">
        <v>1503573</v>
      </c>
      <c r="Q346" s="6">
        <v>4330559</v>
      </c>
      <c r="S346" s="6">
        <v>12194036</v>
      </c>
      <c r="U346" s="6">
        <f t="shared" si="79"/>
        <v>490505</v>
      </c>
      <c r="W346" s="6">
        <v>-192197</v>
      </c>
      <c r="Y346" s="6">
        <v>12492344</v>
      </c>
      <c r="Z346" s="6">
        <f t="shared" si="80"/>
        <v>0</v>
      </c>
      <c r="AB346" s="6">
        <f t="shared" si="81"/>
        <v>0</v>
      </c>
    </row>
    <row r="347" spans="1:28">
      <c r="A347" s="10" t="s">
        <v>768</v>
      </c>
      <c r="B347" s="10"/>
      <c r="C347" s="10" t="s">
        <v>228</v>
      </c>
      <c r="E347" s="6">
        <f t="shared" si="78"/>
        <v>4660920</v>
      </c>
      <c r="G347" s="6">
        <f>250000+22931508</f>
        <v>23181508</v>
      </c>
      <c r="I347" s="6">
        <v>27842428</v>
      </c>
      <c r="K347" s="6">
        <f t="shared" si="87"/>
        <v>3561180</v>
      </c>
      <c r="M347" s="6">
        <v>360408</v>
      </c>
      <c r="O347" s="6">
        <v>7452696</v>
      </c>
      <c r="Q347" s="6">
        <v>11374284</v>
      </c>
      <c r="S347" s="6">
        <v>16717672</v>
      </c>
      <c r="U347" s="6">
        <f t="shared" si="79"/>
        <v>911424</v>
      </c>
      <c r="W347" s="6">
        <v>-1160952</v>
      </c>
      <c r="Y347" s="6">
        <v>16468144</v>
      </c>
      <c r="Z347" s="6">
        <f t="shared" si="80"/>
        <v>0</v>
      </c>
      <c r="AB347" s="6">
        <f t="shared" si="81"/>
        <v>0</v>
      </c>
    </row>
    <row r="348" spans="1:28">
      <c r="A348" s="10" t="s">
        <v>418</v>
      </c>
      <c r="B348" s="10"/>
      <c r="C348" s="10" t="s">
        <v>47</v>
      </c>
      <c r="E348" s="6">
        <f t="shared" si="78"/>
        <v>88729766</v>
      </c>
      <c r="G348" s="6">
        <f>3251882+100850725</f>
        <v>104102607</v>
      </c>
      <c r="I348" s="6">
        <f>190329698+2502675</f>
        <v>192832373</v>
      </c>
      <c r="K348" s="6">
        <f t="shared" si="87"/>
        <v>54132893</v>
      </c>
      <c r="M348" s="6">
        <v>3987034</v>
      </c>
      <c r="O348" s="6">
        <v>92718682</v>
      </c>
      <c r="Q348" s="6">
        <f>106031892+44806717</f>
        <v>150838609</v>
      </c>
      <c r="S348" s="6">
        <v>15735877</v>
      </c>
      <c r="U348" s="6">
        <f t="shared" si="79"/>
        <v>10875996</v>
      </c>
      <c r="W348" s="6">
        <v>15381891</v>
      </c>
      <c r="Y348" s="6">
        <v>41993764</v>
      </c>
      <c r="Z348" s="6">
        <f>+I348-Q348-Y348</f>
        <v>0</v>
      </c>
      <c r="AB348" s="6">
        <f t="shared" si="81"/>
        <v>0</v>
      </c>
    </row>
    <row r="349" spans="1:28">
      <c r="A349" s="10" t="s">
        <v>421</v>
      </c>
      <c r="B349" s="10"/>
      <c r="C349" s="10" t="s">
        <v>420</v>
      </c>
      <c r="E349" s="6">
        <f t="shared" si="78"/>
        <v>8951605</v>
      </c>
      <c r="G349" s="6">
        <f>751943+25115785</f>
        <v>25867728</v>
      </c>
      <c r="I349" s="6">
        <v>34819333</v>
      </c>
      <c r="K349" s="6">
        <f t="shared" si="87"/>
        <v>3724169</v>
      </c>
      <c r="M349" s="6">
        <v>489992</v>
      </c>
      <c r="O349" s="6">
        <v>5324065</v>
      </c>
      <c r="Q349" s="6">
        <v>9538226</v>
      </c>
      <c r="S349" s="6">
        <v>20951041</v>
      </c>
      <c r="U349" s="6">
        <f t="shared" si="79"/>
        <v>1597669</v>
      </c>
      <c r="W349" s="6">
        <v>2732397</v>
      </c>
      <c r="Y349" s="6">
        <v>25281107</v>
      </c>
      <c r="Z349" s="6">
        <f t="shared" si="80"/>
        <v>0</v>
      </c>
      <c r="AB349" s="6">
        <f t="shared" si="81"/>
        <v>0</v>
      </c>
    </row>
    <row r="350" spans="1:28">
      <c r="A350" s="10" t="s">
        <v>769</v>
      </c>
      <c r="B350" s="10"/>
      <c r="C350" s="10" t="s">
        <v>41</v>
      </c>
      <c r="E350" s="6">
        <f t="shared" si="78"/>
        <v>133726458</v>
      </c>
      <c r="G350" s="6">
        <f>935587+19153795</f>
        <v>20089382</v>
      </c>
      <c r="I350" s="6">
        <v>153815840</v>
      </c>
      <c r="K350" s="6">
        <f t="shared" si="87"/>
        <v>67859534</v>
      </c>
      <c r="M350" s="6">
        <v>2968420</v>
      </c>
      <c r="O350" s="6">
        <v>6080402</v>
      </c>
      <c r="Q350" s="6">
        <v>76908356</v>
      </c>
      <c r="S350" s="6">
        <v>18690375</v>
      </c>
      <c r="U350" s="6">
        <f t="shared" si="79"/>
        <v>1236956</v>
      </c>
      <c r="W350" s="6">
        <v>56980153</v>
      </c>
      <c r="Y350" s="6">
        <v>76907484</v>
      </c>
      <c r="Z350" s="6">
        <f t="shared" si="80"/>
        <v>0</v>
      </c>
      <c r="AB350" s="6">
        <f t="shared" si="81"/>
        <v>0</v>
      </c>
    </row>
    <row r="351" spans="1:28">
      <c r="A351" s="10" t="s">
        <v>424</v>
      </c>
      <c r="B351" s="10"/>
      <c r="C351" s="10" t="s">
        <v>48</v>
      </c>
      <c r="E351" s="6">
        <f t="shared" si="78"/>
        <v>10596808</v>
      </c>
      <c r="G351" s="6">
        <f>303182+28967110</f>
        <v>29270292</v>
      </c>
      <c r="I351" s="6">
        <v>39867100</v>
      </c>
      <c r="K351" s="6">
        <f t="shared" si="87"/>
        <v>5448739</v>
      </c>
      <c r="M351" s="6">
        <v>1018897</v>
      </c>
      <c r="O351" s="6">
        <v>17772886</v>
      </c>
      <c r="Q351" s="6">
        <v>24240522</v>
      </c>
      <c r="S351" s="6">
        <v>13202952</v>
      </c>
      <c r="U351" s="6">
        <f t="shared" si="79"/>
        <v>3770610</v>
      </c>
      <c r="W351" s="6">
        <v>-1346984</v>
      </c>
      <c r="Y351" s="6">
        <v>15626578</v>
      </c>
      <c r="Z351" s="6">
        <f t="shared" si="80"/>
        <v>0</v>
      </c>
      <c r="AB351" s="6">
        <f t="shared" si="81"/>
        <v>0</v>
      </c>
    </row>
    <row r="352" spans="1:28">
      <c r="A352" s="10" t="s">
        <v>297</v>
      </c>
      <c r="B352" s="10"/>
      <c r="C352" s="10" t="s">
        <v>26</v>
      </c>
      <c r="E352" s="6">
        <f t="shared" si="78"/>
        <v>32328056</v>
      </c>
      <c r="G352" s="6">
        <f>86475+48907546</f>
        <v>48994021</v>
      </c>
      <c r="I352" s="6">
        <v>81322077</v>
      </c>
      <c r="K352" s="6">
        <f t="shared" si="87"/>
        <v>11301045</v>
      </c>
      <c r="M352" s="6">
        <v>732579</v>
      </c>
      <c r="O352" s="6">
        <v>27402427</v>
      </c>
      <c r="Q352" s="6">
        <v>39436051</v>
      </c>
      <c r="S352" s="6">
        <v>21984084</v>
      </c>
      <c r="U352" s="6">
        <f t="shared" si="79"/>
        <v>6239394</v>
      </c>
      <c r="W352" s="6">
        <v>13662548</v>
      </c>
      <c r="Y352" s="6">
        <v>41886026</v>
      </c>
      <c r="Z352" s="6">
        <f t="shared" si="80"/>
        <v>0</v>
      </c>
      <c r="AB352" s="6">
        <f t="shared" si="81"/>
        <v>0</v>
      </c>
    </row>
    <row r="353" spans="1:28">
      <c r="A353" s="10" t="s">
        <v>432</v>
      </c>
      <c r="B353" s="10"/>
      <c r="C353" s="10" t="s">
        <v>50</v>
      </c>
      <c r="E353" s="6">
        <f t="shared" si="78"/>
        <v>81857393</v>
      </c>
      <c r="G353" s="6">
        <f>33839579+53919048</f>
        <v>87758627</v>
      </c>
      <c r="I353" s="6">
        <v>169616020</v>
      </c>
      <c r="K353" s="6">
        <f t="shared" si="87"/>
        <v>57924287</v>
      </c>
      <c r="M353" s="6">
        <v>2155266</v>
      </c>
      <c r="O353" s="6">
        <v>86962530</v>
      </c>
      <c r="Q353" s="6">
        <v>147042083</v>
      </c>
      <c r="S353" s="6">
        <v>11650507</v>
      </c>
      <c r="U353" s="6">
        <f t="shared" si="79"/>
        <v>31659290</v>
      </c>
      <c r="W353" s="6">
        <v>-20735860</v>
      </c>
      <c r="Y353" s="6">
        <v>22573937</v>
      </c>
      <c r="Z353" s="6">
        <f t="shared" si="80"/>
        <v>0</v>
      </c>
      <c r="AB353" s="6">
        <f t="shared" si="81"/>
        <v>0</v>
      </c>
    </row>
    <row r="354" spans="1:28" hidden="1">
      <c r="A354" s="10" t="s">
        <v>812</v>
      </c>
      <c r="B354" s="11"/>
      <c r="C354" s="11" t="s">
        <v>53</v>
      </c>
      <c r="E354" s="6">
        <f t="shared" si="78"/>
        <v>0</v>
      </c>
      <c r="K354" s="6">
        <f t="shared" si="87"/>
        <v>0</v>
      </c>
      <c r="U354" s="6">
        <f t="shared" si="79"/>
        <v>0</v>
      </c>
      <c r="Z354" s="6">
        <f t="shared" ref="Z354" si="88">+I354-Q354-Y354</f>
        <v>0</v>
      </c>
      <c r="AB354" s="6">
        <f t="shared" ref="AB354" si="89">+E354+G354+-K354-M354-S354-U354-W354-O354</f>
        <v>0</v>
      </c>
    </row>
    <row r="355" spans="1:28">
      <c r="A355" s="10" t="s">
        <v>225</v>
      </c>
      <c r="B355" s="10"/>
      <c r="C355" s="10" t="s">
        <v>221</v>
      </c>
      <c r="E355" s="6">
        <f t="shared" si="78"/>
        <v>47048648</v>
      </c>
      <c r="G355" s="6">
        <f>1353199+68362969</f>
        <v>69716168</v>
      </c>
      <c r="I355" s="6">
        <v>116764816</v>
      </c>
      <c r="K355" s="6">
        <f t="shared" si="87"/>
        <v>41176389</v>
      </c>
      <c r="M355" s="6">
        <v>2178091</v>
      </c>
      <c r="O355" s="6">
        <v>64204369</v>
      </c>
      <c r="Q355" s="6">
        <v>107558849</v>
      </c>
      <c r="S355" s="6">
        <v>8239520</v>
      </c>
      <c r="U355" s="6">
        <f t="shared" si="79"/>
        <v>3507622</v>
      </c>
      <c r="W355" s="6">
        <v>-2541175</v>
      </c>
      <c r="Y355" s="6">
        <v>9205967</v>
      </c>
      <c r="Z355" s="6">
        <f t="shared" si="80"/>
        <v>0</v>
      </c>
      <c r="AB355" s="6">
        <f t="shared" si="81"/>
        <v>0</v>
      </c>
    </row>
    <row r="356" spans="1:28">
      <c r="A356" s="10" t="s">
        <v>387</v>
      </c>
      <c r="B356" s="10"/>
      <c r="C356" s="10" t="s">
        <v>44</v>
      </c>
      <c r="E356" s="6">
        <f t="shared" si="78"/>
        <v>27364534</v>
      </c>
      <c r="G356" s="6">
        <f>16559910+27566329</f>
        <v>44126239</v>
      </c>
      <c r="I356" s="6">
        <v>71490773</v>
      </c>
      <c r="K356" s="6">
        <f t="shared" si="87"/>
        <v>15934245</v>
      </c>
      <c r="M356" s="6">
        <v>1094315</v>
      </c>
      <c r="O356" s="6">
        <v>26936627</v>
      </c>
      <c r="Q356" s="6">
        <v>43965187</v>
      </c>
      <c r="S356" s="6">
        <v>19660239</v>
      </c>
      <c r="U356" s="6">
        <f t="shared" si="79"/>
        <v>4850338</v>
      </c>
      <c r="W356" s="6">
        <v>3015009</v>
      </c>
      <c r="Y356" s="6">
        <v>27525586</v>
      </c>
      <c r="Z356" s="6">
        <f t="shared" si="80"/>
        <v>0</v>
      </c>
      <c r="AB356" s="6">
        <f t="shared" si="81"/>
        <v>0</v>
      </c>
    </row>
    <row r="357" spans="1:28">
      <c r="A357" s="11" t="s">
        <v>770</v>
      </c>
      <c r="B357" s="11"/>
      <c r="C357" s="11" t="s">
        <v>113</v>
      </c>
      <c r="E357" s="6">
        <f t="shared" si="78"/>
        <v>60663119</v>
      </c>
      <c r="G357" s="6">
        <f>4938233+72250598</f>
        <v>77188831</v>
      </c>
      <c r="I357" s="6">
        <v>137851950</v>
      </c>
      <c r="K357" s="6">
        <f t="shared" si="87"/>
        <v>39087060</v>
      </c>
      <c r="M357" s="6">
        <v>1758085</v>
      </c>
      <c r="O357" s="6">
        <v>70676938</v>
      </c>
      <c r="Q357" s="6">
        <v>111522083</v>
      </c>
      <c r="S357" s="6">
        <v>8053340</v>
      </c>
      <c r="U357" s="6">
        <f t="shared" si="79"/>
        <v>6612099</v>
      </c>
      <c r="W357" s="6">
        <v>11664428</v>
      </c>
      <c r="Y357" s="6">
        <v>26329867</v>
      </c>
      <c r="Z357" s="6">
        <f t="shared" si="80"/>
        <v>0</v>
      </c>
      <c r="AB357" s="6">
        <f t="shared" si="81"/>
        <v>0</v>
      </c>
    </row>
    <row r="358" spans="1:28" hidden="1">
      <c r="A358" s="10" t="s">
        <v>613</v>
      </c>
      <c r="B358" s="10"/>
      <c r="C358" s="10" t="s">
        <v>552</v>
      </c>
      <c r="E358" s="6">
        <f t="shared" si="78"/>
        <v>0</v>
      </c>
      <c r="K358" s="6">
        <f t="shared" si="87"/>
        <v>0</v>
      </c>
      <c r="U358" s="6">
        <f t="shared" si="79"/>
        <v>0</v>
      </c>
      <c r="Z358" s="6">
        <f t="shared" si="80"/>
        <v>0</v>
      </c>
      <c r="AB358" s="6">
        <f t="shared" si="81"/>
        <v>0</v>
      </c>
    </row>
    <row r="359" spans="1:28" hidden="1">
      <c r="A359" s="11" t="s">
        <v>892</v>
      </c>
      <c r="B359" s="10"/>
      <c r="C359" s="10" t="s">
        <v>467</v>
      </c>
      <c r="E359" s="6">
        <f t="shared" si="78"/>
        <v>0</v>
      </c>
      <c r="K359" s="6">
        <f t="shared" si="87"/>
        <v>0</v>
      </c>
      <c r="U359" s="6">
        <f t="shared" si="79"/>
        <v>0</v>
      </c>
      <c r="Z359" s="6">
        <f t="shared" si="80"/>
        <v>0</v>
      </c>
      <c r="AB359" s="6">
        <f t="shared" si="81"/>
        <v>0</v>
      </c>
    </row>
    <row r="360" spans="1:28" hidden="1">
      <c r="A360" s="10" t="s">
        <v>807</v>
      </c>
      <c r="B360" s="10"/>
      <c r="C360" s="10" t="s">
        <v>48</v>
      </c>
      <c r="E360" s="6">
        <f t="shared" si="78"/>
        <v>0</v>
      </c>
      <c r="K360" s="6">
        <f t="shared" si="87"/>
        <v>0</v>
      </c>
      <c r="U360" s="6">
        <f t="shared" si="79"/>
        <v>0</v>
      </c>
      <c r="Z360" s="6">
        <f t="shared" si="80"/>
        <v>0</v>
      </c>
      <c r="AB360" s="6">
        <f t="shared" si="81"/>
        <v>0</v>
      </c>
    </row>
    <row r="361" spans="1:28">
      <c r="A361" s="10" t="s">
        <v>502</v>
      </c>
      <c r="B361" s="10"/>
      <c r="C361" s="10" t="s">
        <v>62</v>
      </c>
      <c r="E361" s="6">
        <f t="shared" ref="E361:E378" si="90">+I361-G361</f>
        <v>9172517</v>
      </c>
      <c r="G361" s="6">
        <f>127797+38046147</f>
        <v>38173944</v>
      </c>
      <c r="I361" s="6">
        <v>47346461</v>
      </c>
      <c r="K361" s="6">
        <f t="shared" si="87"/>
        <v>7358268</v>
      </c>
      <c r="M361" s="6">
        <v>742774</v>
      </c>
      <c r="O361" s="6">
        <v>12407870</v>
      </c>
      <c r="Q361" s="6">
        <v>20508912</v>
      </c>
      <c r="S361" s="6">
        <v>26813805</v>
      </c>
      <c r="U361" s="6">
        <f t="shared" si="79"/>
        <v>1338818</v>
      </c>
      <c r="W361" s="6">
        <v>-1315074</v>
      </c>
      <c r="Y361" s="6">
        <v>26837549</v>
      </c>
      <c r="Z361" s="6">
        <f t="shared" si="80"/>
        <v>0</v>
      </c>
      <c r="AB361" s="6">
        <f t="shared" ref="AB361:AB428" si="91">+E361+G361+-K361-M361-S361-U361-W361-O361</f>
        <v>0</v>
      </c>
    </row>
    <row r="362" spans="1:28">
      <c r="A362" s="10" t="s">
        <v>482</v>
      </c>
      <c r="B362" s="10"/>
      <c r="C362" s="10" t="s">
        <v>59</v>
      </c>
      <c r="D362" s="9"/>
      <c r="E362" s="6">
        <f t="shared" si="90"/>
        <v>5063671</v>
      </c>
      <c r="G362" s="6">
        <f>674603+25220421</f>
        <v>25895024</v>
      </c>
      <c r="I362" s="6">
        <v>30958695</v>
      </c>
      <c r="K362" s="6">
        <f t="shared" si="87"/>
        <v>2985528</v>
      </c>
      <c r="M362" s="6">
        <v>465430</v>
      </c>
      <c r="O362" s="6">
        <v>3030000</v>
      </c>
      <c r="Q362" s="6">
        <v>6480958</v>
      </c>
      <c r="S362" s="6">
        <v>23240544</v>
      </c>
      <c r="U362" s="6">
        <f t="shared" si="79"/>
        <v>1283102</v>
      </c>
      <c r="W362" s="6">
        <v>-45909</v>
      </c>
      <c r="Y362" s="6">
        <v>24477737</v>
      </c>
      <c r="Z362" s="6">
        <f t="shared" si="80"/>
        <v>0</v>
      </c>
      <c r="AB362" s="6">
        <f t="shared" si="91"/>
        <v>0</v>
      </c>
    </row>
    <row r="363" spans="1:28">
      <c r="A363" s="10" t="s">
        <v>213</v>
      </c>
      <c r="B363" s="10"/>
      <c r="C363" s="10" t="s">
        <v>14</v>
      </c>
      <c r="E363" s="6">
        <f t="shared" si="90"/>
        <v>6063803</v>
      </c>
      <c r="G363" s="6">
        <f>265225+14472994</f>
        <v>14738219</v>
      </c>
      <c r="I363" s="6">
        <v>20802022</v>
      </c>
      <c r="K363" s="6">
        <f t="shared" si="87"/>
        <v>4854246</v>
      </c>
      <c r="M363" s="6">
        <v>257777</v>
      </c>
      <c r="O363" s="6">
        <v>10607591</v>
      </c>
      <c r="Q363" s="6">
        <v>15719614</v>
      </c>
      <c r="S363" s="6">
        <v>5793409</v>
      </c>
      <c r="U363" s="6">
        <f t="shared" si="79"/>
        <v>721158</v>
      </c>
      <c r="W363" s="6">
        <v>-1432159</v>
      </c>
      <c r="Y363" s="6">
        <v>5082408</v>
      </c>
      <c r="Z363" s="6">
        <f t="shared" si="80"/>
        <v>0</v>
      </c>
      <c r="AB363" s="6">
        <f t="shared" si="91"/>
        <v>0</v>
      </c>
    </row>
    <row r="364" spans="1:28" hidden="1">
      <c r="A364" s="10" t="s">
        <v>640</v>
      </c>
      <c r="B364" s="10"/>
      <c r="C364" s="10" t="s">
        <v>21</v>
      </c>
      <c r="E364" s="6">
        <f t="shared" si="90"/>
        <v>0</v>
      </c>
      <c r="K364" s="6">
        <f t="shared" si="87"/>
        <v>0</v>
      </c>
      <c r="U364" s="6">
        <f t="shared" si="79"/>
        <v>0</v>
      </c>
      <c r="Z364" s="6">
        <f t="shared" si="80"/>
        <v>0</v>
      </c>
      <c r="AB364" s="6">
        <f t="shared" si="91"/>
        <v>0</v>
      </c>
    </row>
    <row r="365" spans="1:28">
      <c r="A365" s="10" t="s">
        <v>510</v>
      </c>
      <c r="B365" s="10"/>
      <c r="C365" s="10" t="s">
        <v>63</v>
      </c>
      <c r="E365" s="6">
        <f t="shared" si="90"/>
        <v>7432721</v>
      </c>
      <c r="G365" s="6">
        <f>98050+13181442</f>
        <v>13279492</v>
      </c>
      <c r="I365" s="6">
        <v>20712213</v>
      </c>
      <c r="K365" s="6">
        <f t="shared" si="87"/>
        <v>4250114</v>
      </c>
      <c r="M365" s="6">
        <v>475750</v>
      </c>
      <c r="O365" s="6">
        <v>10843534</v>
      </c>
      <c r="Q365" s="6">
        <v>15569398</v>
      </c>
      <c r="S365" s="6">
        <v>2992255</v>
      </c>
      <c r="U365" s="6">
        <f t="shared" si="79"/>
        <v>786824</v>
      </c>
      <c r="W365" s="6">
        <v>1363736</v>
      </c>
      <c r="Y365" s="6">
        <v>5142815</v>
      </c>
      <c r="Z365" s="6">
        <f t="shared" si="80"/>
        <v>0</v>
      </c>
      <c r="AB365" s="6">
        <f t="shared" si="91"/>
        <v>0</v>
      </c>
    </row>
    <row r="366" spans="1:28" hidden="1">
      <c r="A366" s="10" t="s">
        <v>621</v>
      </c>
      <c r="B366" s="10"/>
      <c r="C366" s="10" t="s">
        <v>558</v>
      </c>
      <c r="E366" s="6">
        <f t="shared" si="90"/>
        <v>0</v>
      </c>
      <c r="K366" s="6">
        <f t="shared" si="87"/>
        <v>0</v>
      </c>
      <c r="U366" s="6">
        <f t="shared" si="79"/>
        <v>0</v>
      </c>
      <c r="Z366" s="6">
        <f t="shared" ref="Z366:Z436" si="92">+I366-Q366-Y366</f>
        <v>0</v>
      </c>
      <c r="AB366" s="6">
        <f t="shared" si="91"/>
        <v>0</v>
      </c>
    </row>
    <row r="367" spans="1:28" hidden="1">
      <c r="A367" s="10" t="s">
        <v>879</v>
      </c>
      <c r="B367" s="10"/>
      <c r="C367" s="10" t="s">
        <v>221</v>
      </c>
      <c r="E367" s="6">
        <f t="shared" si="90"/>
        <v>0</v>
      </c>
      <c r="K367" s="6">
        <f t="shared" si="87"/>
        <v>0</v>
      </c>
      <c r="U367" s="6">
        <f t="shared" si="79"/>
        <v>0</v>
      </c>
      <c r="Z367" s="6">
        <f t="shared" si="92"/>
        <v>0</v>
      </c>
      <c r="AB367" s="6">
        <f t="shared" si="91"/>
        <v>0</v>
      </c>
    </row>
    <row r="368" spans="1:28">
      <c r="A368" s="10" t="s">
        <v>356</v>
      </c>
      <c r="B368" s="10"/>
      <c r="C368" s="10" t="s">
        <v>37</v>
      </c>
      <c r="E368" s="6">
        <f t="shared" si="90"/>
        <v>3772700</v>
      </c>
      <c r="G368" s="6">
        <f>302965+1553943</f>
        <v>1856908</v>
      </c>
      <c r="I368" s="6">
        <v>5629608</v>
      </c>
      <c r="K368" s="6">
        <f t="shared" si="87"/>
        <v>2712866</v>
      </c>
      <c r="M368" s="6">
        <v>182455</v>
      </c>
      <c r="O368" s="6">
        <v>1164309</v>
      </c>
      <c r="Q368" s="6">
        <v>4059630</v>
      </c>
      <c r="S368" s="6">
        <v>908945</v>
      </c>
      <c r="U368" s="6">
        <f t="shared" si="79"/>
        <v>211650</v>
      </c>
      <c r="W368" s="6">
        <v>449383</v>
      </c>
      <c r="Y368" s="6">
        <v>1569978</v>
      </c>
      <c r="Z368" s="6">
        <f t="shared" si="92"/>
        <v>0</v>
      </c>
      <c r="AB368" s="6">
        <f t="shared" si="91"/>
        <v>0</v>
      </c>
    </row>
    <row r="369" spans="1:28" hidden="1">
      <c r="A369" s="10" t="s">
        <v>808</v>
      </c>
      <c r="B369" s="10"/>
      <c r="C369" s="10" t="s">
        <v>552</v>
      </c>
      <c r="E369" s="6">
        <f t="shared" si="90"/>
        <v>0</v>
      </c>
      <c r="K369" s="6">
        <f t="shared" si="87"/>
        <v>0</v>
      </c>
      <c r="U369" s="6">
        <f t="shared" si="79"/>
        <v>0</v>
      </c>
      <c r="Z369" s="6">
        <f t="shared" si="92"/>
        <v>0</v>
      </c>
      <c r="AB369" s="6">
        <f t="shared" si="91"/>
        <v>0</v>
      </c>
    </row>
    <row r="370" spans="1:28">
      <c r="A370" s="10" t="s">
        <v>439</v>
      </c>
      <c r="B370" s="10"/>
      <c r="C370" s="10" t="s">
        <v>440</v>
      </c>
      <c r="E370" s="6">
        <f t="shared" si="90"/>
        <v>22750845</v>
      </c>
      <c r="G370" s="6">
        <f>348164+39687488</f>
        <v>40035652</v>
      </c>
      <c r="I370" s="6">
        <f>188523+62597974</f>
        <v>62786497</v>
      </c>
      <c r="K370" s="6">
        <f t="shared" si="87"/>
        <v>7127975</v>
      </c>
      <c r="M370" s="6">
        <v>821649</v>
      </c>
      <c r="O370" s="6">
        <v>9597756</v>
      </c>
      <c r="Q370" s="6">
        <f>13062176+4485204</f>
        <v>17547380</v>
      </c>
      <c r="S370" s="6">
        <v>32031568</v>
      </c>
      <c r="U370" s="6">
        <f t="shared" si="79"/>
        <v>6839225</v>
      </c>
      <c r="W370" s="6">
        <v>6368324</v>
      </c>
      <c r="Y370" s="6">
        <v>45239117</v>
      </c>
      <c r="Z370" s="6">
        <f t="shared" si="92"/>
        <v>0</v>
      </c>
      <c r="AB370" s="6">
        <f t="shared" si="91"/>
        <v>0</v>
      </c>
    </row>
    <row r="371" spans="1:28">
      <c r="A371" s="11" t="s">
        <v>771</v>
      </c>
      <c r="B371" s="10"/>
      <c r="C371" s="10" t="s">
        <v>78</v>
      </c>
      <c r="E371" s="6">
        <f t="shared" si="90"/>
        <v>13381512</v>
      </c>
      <c r="G371" s="6">
        <f>26121+31421282</f>
        <v>31447403</v>
      </c>
      <c r="I371" s="6">
        <v>44828915</v>
      </c>
      <c r="K371" s="6">
        <f t="shared" si="87"/>
        <v>5382039</v>
      </c>
      <c r="M371" s="6">
        <v>743370</v>
      </c>
      <c r="O371" s="6">
        <v>8776223</v>
      </c>
      <c r="Q371" s="6">
        <v>14901632</v>
      </c>
      <c r="S371" s="6">
        <v>24177936</v>
      </c>
      <c r="U371" s="6">
        <f t="shared" si="79"/>
        <v>3009285</v>
      </c>
      <c r="W371" s="6">
        <v>2740062</v>
      </c>
      <c r="Y371" s="6">
        <v>29927283</v>
      </c>
      <c r="Z371" s="6">
        <f t="shared" si="92"/>
        <v>0</v>
      </c>
      <c r="AB371" s="6">
        <f t="shared" si="91"/>
        <v>0</v>
      </c>
    </row>
    <row r="372" spans="1:28" hidden="1">
      <c r="A372" s="10" t="s">
        <v>880</v>
      </c>
      <c r="B372" s="10"/>
      <c r="C372" s="10" t="s">
        <v>40</v>
      </c>
      <c r="E372" s="6">
        <f t="shared" si="90"/>
        <v>0</v>
      </c>
      <c r="K372" s="6">
        <f t="shared" si="87"/>
        <v>0</v>
      </c>
      <c r="U372" s="6">
        <f t="shared" si="79"/>
        <v>0</v>
      </c>
      <c r="Z372" s="6">
        <f t="shared" si="92"/>
        <v>0</v>
      </c>
      <c r="AB372" s="6">
        <f t="shared" si="91"/>
        <v>0</v>
      </c>
    </row>
    <row r="373" spans="1:28">
      <c r="A373" s="11" t="s">
        <v>712</v>
      </c>
      <c r="B373" s="10"/>
      <c r="C373" s="10" t="s">
        <v>32</v>
      </c>
      <c r="E373" s="6">
        <f t="shared" si="90"/>
        <v>22363554</v>
      </c>
      <c r="G373" s="6">
        <f>3684113+87224417</f>
        <v>90908530</v>
      </c>
      <c r="I373" s="6">
        <v>113272084</v>
      </c>
      <c r="K373" s="6">
        <f t="shared" si="87"/>
        <v>12425095</v>
      </c>
      <c r="M373" s="6">
        <v>1157965</v>
      </c>
      <c r="O373" s="6">
        <v>32949567</v>
      </c>
      <c r="Q373" s="6">
        <v>46532627</v>
      </c>
      <c r="S373" s="6">
        <v>58447743</v>
      </c>
      <c r="U373" s="6">
        <f t="shared" si="79"/>
        <v>3337464</v>
      </c>
      <c r="W373" s="6">
        <v>4954250</v>
      </c>
      <c r="Y373" s="6">
        <v>66739457</v>
      </c>
      <c r="Z373" s="6">
        <f t="shared" si="92"/>
        <v>0</v>
      </c>
      <c r="AB373" s="6">
        <f t="shared" si="91"/>
        <v>0</v>
      </c>
    </row>
    <row r="374" spans="1:28">
      <c r="A374" s="10" t="s">
        <v>346</v>
      </c>
      <c r="B374" s="10"/>
      <c r="C374" s="10" t="s">
        <v>34</v>
      </c>
      <c r="E374" s="28">
        <f t="shared" si="90"/>
        <v>23764021</v>
      </c>
      <c r="F374" s="28"/>
      <c r="G374" s="28">
        <f>262779+8545982</f>
        <v>8808761</v>
      </c>
      <c r="H374" s="28"/>
      <c r="I374" s="28">
        <v>32572782</v>
      </c>
      <c r="J374" s="28"/>
      <c r="K374" s="28">
        <f t="shared" si="87"/>
        <v>12397609</v>
      </c>
      <c r="L374" s="28"/>
      <c r="M374" s="28">
        <v>940518</v>
      </c>
      <c r="N374" s="28"/>
      <c r="O374" s="28">
        <v>5254306</v>
      </c>
      <c r="P374" s="28"/>
      <c r="Q374" s="28">
        <v>18592433</v>
      </c>
      <c r="R374" s="28"/>
      <c r="S374" s="28">
        <v>5385207</v>
      </c>
      <c r="T374" s="28"/>
      <c r="U374" s="28">
        <f t="shared" si="79"/>
        <v>1947074</v>
      </c>
      <c r="V374" s="28"/>
      <c r="W374" s="28">
        <v>6648068</v>
      </c>
      <c r="X374" s="28"/>
      <c r="Y374" s="28">
        <v>13980349</v>
      </c>
      <c r="Z374" s="6">
        <f t="shared" si="92"/>
        <v>0</v>
      </c>
      <c r="AB374" s="6">
        <f t="shared" si="91"/>
        <v>0</v>
      </c>
    </row>
    <row r="375" spans="1:28" hidden="1">
      <c r="A375" s="11" t="s">
        <v>765</v>
      </c>
      <c r="B375" s="11"/>
      <c r="C375" s="11" t="s">
        <v>57</v>
      </c>
    </row>
    <row r="376" spans="1:28">
      <c r="A376" s="10" t="s">
        <v>211</v>
      </c>
      <c r="B376" s="10"/>
      <c r="C376" s="10" t="s">
        <v>13</v>
      </c>
      <c r="E376" s="6">
        <f t="shared" si="90"/>
        <v>9293116</v>
      </c>
      <c r="G376" s="6">
        <f>148080+17450686</f>
        <v>17598766</v>
      </c>
      <c r="I376" s="6">
        <v>26891882</v>
      </c>
      <c r="K376" s="6">
        <f t="shared" si="87"/>
        <v>3557707</v>
      </c>
      <c r="M376" s="6">
        <v>473212</v>
      </c>
      <c r="O376" s="6">
        <v>6471181</v>
      </c>
      <c r="Q376" s="6">
        <v>10502100</v>
      </c>
      <c r="S376" s="6">
        <v>11263099</v>
      </c>
      <c r="U376" s="6">
        <f t="shared" si="79"/>
        <v>3143789</v>
      </c>
      <c r="W376" s="6">
        <v>1982894</v>
      </c>
      <c r="Y376" s="6">
        <v>16389782</v>
      </c>
      <c r="Z376" s="6">
        <f t="shared" si="92"/>
        <v>0</v>
      </c>
      <c r="AB376" s="6">
        <f t="shared" si="91"/>
        <v>0</v>
      </c>
    </row>
    <row r="377" spans="1:28">
      <c r="A377" s="10" t="s">
        <v>608</v>
      </c>
      <c r="B377" s="10"/>
      <c r="C377" s="10" t="s">
        <v>27</v>
      </c>
      <c r="E377" s="6">
        <f t="shared" si="90"/>
        <v>72696243</v>
      </c>
      <c r="G377" s="6">
        <f>4451592+70410457</f>
        <v>74862049</v>
      </c>
      <c r="I377" s="6">
        <v>147558292</v>
      </c>
      <c r="K377" s="6">
        <f t="shared" si="87"/>
        <v>34651614</v>
      </c>
      <c r="M377" s="6">
        <v>5390568</v>
      </c>
      <c r="O377" s="6">
        <v>76151806</v>
      </c>
      <c r="Q377" s="6">
        <v>116193988</v>
      </c>
      <c r="S377" s="6">
        <v>3001709</v>
      </c>
      <c r="U377" s="6">
        <f t="shared" si="79"/>
        <v>9858872</v>
      </c>
      <c r="W377" s="6">
        <v>18503723</v>
      </c>
      <c r="Y377" s="6">
        <v>31364304</v>
      </c>
      <c r="Z377" s="6">
        <f>+I377-Q377-Y377</f>
        <v>0</v>
      </c>
      <c r="AB377" s="6">
        <f t="shared" si="91"/>
        <v>0</v>
      </c>
    </row>
    <row r="378" spans="1:28">
      <c r="A378" s="10" t="s">
        <v>483</v>
      </c>
      <c r="B378" s="10"/>
      <c r="C378" s="10" t="s">
        <v>59</v>
      </c>
      <c r="E378" s="6">
        <f t="shared" si="90"/>
        <v>12726132</v>
      </c>
      <c r="G378" s="6">
        <f>13935983+1700007</f>
        <v>15635990</v>
      </c>
      <c r="I378" s="6">
        <v>28362122</v>
      </c>
      <c r="K378" s="6">
        <f t="shared" si="87"/>
        <v>3411971</v>
      </c>
      <c r="M378" s="6">
        <v>89181</v>
      </c>
      <c r="O378" s="6">
        <v>3508199</v>
      </c>
      <c r="Q378" s="6">
        <v>7009351</v>
      </c>
      <c r="S378" s="6">
        <v>13604219</v>
      </c>
      <c r="U378" s="6">
        <f>Y378-W378-S378</f>
        <v>6109754</v>
      </c>
      <c r="W378" s="6">
        <v>1638798</v>
      </c>
      <c r="Y378" s="6">
        <v>21352771</v>
      </c>
      <c r="Z378" s="6">
        <f t="shared" si="92"/>
        <v>0</v>
      </c>
      <c r="AB378" s="6">
        <f t="shared" si="91"/>
        <v>0</v>
      </c>
    </row>
    <row r="379" spans="1:28">
      <c r="A379" s="10" t="s">
        <v>214</v>
      </c>
      <c r="B379" s="10"/>
      <c r="C379" s="10" t="s">
        <v>14</v>
      </c>
      <c r="E379" s="6">
        <f>+I379-G379</f>
        <v>11364689</v>
      </c>
      <c r="G379" s="6">
        <f>1025092+12003203</f>
        <v>13028295</v>
      </c>
      <c r="I379" s="6">
        <v>24392984</v>
      </c>
      <c r="K379" s="6">
        <f t="shared" si="87"/>
        <v>3559725</v>
      </c>
      <c r="M379" s="6">
        <v>200880</v>
      </c>
      <c r="O379" s="6">
        <v>4607605</v>
      </c>
      <c r="Q379" s="6">
        <v>8368210</v>
      </c>
      <c r="S379" s="6">
        <v>9993632</v>
      </c>
      <c r="U379" s="6">
        <f>Y379-W379-S379</f>
        <v>1576564</v>
      </c>
      <c r="W379" s="6">
        <v>4454578</v>
      </c>
      <c r="Y379" s="6">
        <v>16024774</v>
      </c>
      <c r="Z379" s="6">
        <f t="shared" si="92"/>
        <v>0</v>
      </c>
      <c r="AB379" s="6">
        <f t="shared" si="91"/>
        <v>0</v>
      </c>
    </row>
    <row r="380" spans="1:28" hidden="1">
      <c r="A380" s="10" t="s">
        <v>706</v>
      </c>
      <c r="B380" s="10"/>
      <c r="C380" s="10" t="s">
        <v>14</v>
      </c>
      <c r="E380" s="28">
        <f t="shared" ref="E380:E406" si="93">+I380-G380</f>
        <v>0</v>
      </c>
      <c r="F380" s="28"/>
      <c r="G380" s="28"/>
      <c r="H380" s="28"/>
      <c r="I380" s="28"/>
      <c r="J380" s="28"/>
      <c r="K380" s="6">
        <f t="shared" si="87"/>
        <v>0</v>
      </c>
      <c r="L380" s="28"/>
      <c r="M380" s="28"/>
      <c r="N380" s="28"/>
      <c r="O380" s="28"/>
      <c r="P380" s="28"/>
      <c r="Q380" s="28"/>
      <c r="R380" s="28"/>
      <c r="S380" s="28"/>
      <c r="T380" s="28"/>
      <c r="U380" s="6">
        <f t="shared" ref="U380:U447" si="94">Y380-W380-S380</f>
        <v>0</v>
      </c>
      <c r="V380" s="28"/>
      <c r="W380" s="28"/>
      <c r="X380" s="28"/>
      <c r="Y380" s="28"/>
      <c r="Z380" s="6">
        <f t="shared" si="92"/>
        <v>0</v>
      </c>
      <c r="AB380" s="6">
        <f t="shared" si="91"/>
        <v>0</v>
      </c>
    </row>
    <row r="381" spans="1:28">
      <c r="A381" s="10" t="s">
        <v>433</v>
      </c>
      <c r="B381" s="10"/>
      <c r="C381" s="10" t="s">
        <v>50</v>
      </c>
      <c r="E381" s="6">
        <f>+I381-G381</f>
        <v>10457555</v>
      </c>
      <c r="G381" s="6">
        <f>35490+25592583</f>
        <v>25628073</v>
      </c>
      <c r="I381" s="6">
        <v>36085628</v>
      </c>
      <c r="K381" s="6">
        <f t="shared" si="87"/>
        <v>3950444</v>
      </c>
      <c r="M381" s="6">
        <v>273968</v>
      </c>
      <c r="O381" s="6">
        <v>3232503</v>
      </c>
      <c r="Q381" s="6">
        <v>7456915</v>
      </c>
      <c r="S381" s="6">
        <v>22644403</v>
      </c>
      <c r="U381" s="6">
        <f t="shared" si="94"/>
        <v>1479065</v>
      </c>
      <c r="W381" s="6">
        <v>4505245</v>
      </c>
      <c r="Y381" s="6">
        <v>28628713</v>
      </c>
      <c r="Z381" s="6">
        <f t="shared" si="92"/>
        <v>0</v>
      </c>
      <c r="AB381" s="6">
        <f t="shared" si="91"/>
        <v>0</v>
      </c>
    </row>
    <row r="382" spans="1:28" hidden="1">
      <c r="A382" s="10" t="s">
        <v>809</v>
      </c>
      <c r="B382" s="11"/>
      <c r="C382" s="11" t="s">
        <v>451</v>
      </c>
      <c r="E382" s="6">
        <f t="shared" si="93"/>
        <v>0</v>
      </c>
      <c r="K382" s="6">
        <f t="shared" si="87"/>
        <v>0</v>
      </c>
      <c r="U382" s="6">
        <f t="shared" si="94"/>
        <v>0</v>
      </c>
      <c r="Z382" s="6">
        <f t="shared" si="92"/>
        <v>0</v>
      </c>
      <c r="AB382" s="6">
        <f t="shared" si="91"/>
        <v>0</v>
      </c>
    </row>
    <row r="383" spans="1:28">
      <c r="A383" s="11" t="s">
        <v>357</v>
      </c>
      <c r="B383" s="11"/>
      <c r="C383" s="11" t="s">
        <v>37</v>
      </c>
      <c r="E383" s="6">
        <f t="shared" si="93"/>
        <v>6162319</v>
      </c>
      <c r="G383" s="6">
        <f>285043+11837266</f>
        <v>12122309</v>
      </c>
      <c r="I383" s="6">
        <v>18284628</v>
      </c>
      <c r="K383" s="6">
        <f t="shared" si="87"/>
        <v>3096361</v>
      </c>
      <c r="M383" s="6">
        <v>291062</v>
      </c>
      <c r="O383" s="6">
        <v>2750340</v>
      </c>
      <c r="Q383" s="6">
        <v>6137763</v>
      </c>
      <c r="S383" s="6">
        <v>10010704</v>
      </c>
      <c r="U383" s="6">
        <f t="shared" si="94"/>
        <v>1150258</v>
      </c>
      <c r="W383" s="6">
        <v>985903</v>
      </c>
      <c r="Y383" s="6">
        <v>12146865</v>
      </c>
      <c r="Z383" s="6">
        <f t="shared" si="92"/>
        <v>0</v>
      </c>
      <c r="AB383" s="6">
        <f t="shared" si="91"/>
        <v>0</v>
      </c>
    </row>
    <row r="384" spans="1:28">
      <c r="A384" s="10" t="s">
        <v>226</v>
      </c>
      <c r="B384" s="10"/>
      <c r="C384" s="10" t="s">
        <v>221</v>
      </c>
      <c r="E384" s="6">
        <f t="shared" si="93"/>
        <v>5744272</v>
      </c>
      <c r="G384" s="6">
        <f>428932+11481175</f>
        <v>11910107</v>
      </c>
      <c r="I384" s="6">
        <v>17654379</v>
      </c>
      <c r="K384" s="6">
        <f t="shared" si="87"/>
        <v>1906080</v>
      </c>
      <c r="M384" s="6">
        <v>165129</v>
      </c>
      <c r="O384" s="6">
        <v>1963766</v>
      </c>
      <c r="Q384" s="6">
        <v>4034975</v>
      </c>
      <c r="S384" s="6">
        <v>10263917</v>
      </c>
      <c r="U384" s="6">
        <f t="shared" si="94"/>
        <v>286168</v>
      </c>
      <c r="W384" s="6">
        <v>3069319</v>
      </c>
      <c r="Y384" s="6">
        <v>13619404</v>
      </c>
      <c r="Z384" s="6">
        <f t="shared" si="92"/>
        <v>0</v>
      </c>
      <c r="AB384" s="6">
        <f t="shared" si="91"/>
        <v>0</v>
      </c>
    </row>
    <row r="385" spans="1:28">
      <c r="A385" s="10" t="s">
        <v>537</v>
      </c>
      <c r="B385" s="10"/>
      <c r="C385" s="10" t="s">
        <v>65</v>
      </c>
      <c r="E385" s="6">
        <f t="shared" si="93"/>
        <v>23134506</v>
      </c>
      <c r="G385" s="6">
        <v>12825962</v>
      </c>
      <c r="I385" s="6">
        <v>35960468</v>
      </c>
      <c r="K385" s="6">
        <f t="shared" si="87"/>
        <v>14578904</v>
      </c>
      <c r="M385" s="6">
        <v>640178</v>
      </c>
      <c r="O385" s="6">
        <v>5191680</v>
      </c>
      <c r="Q385" s="6">
        <v>20410762</v>
      </c>
      <c r="S385" s="6">
        <v>8587114</v>
      </c>
      <c r="U385" s="6">
        <f t="shared" si="94"/>
        <v>1638928</v>
      </c>
      <c r="W385" s="6">
        <v>5323664</v>
      </c>
      <c r="Y385" s="6">
        <v>15549706</v>
      </c>
      <c r="Z385" s="6">
        <f>+I385-Q385-Y385</f>
        <v>0</v>
      </c>
      <c r="AB385" s="6">
        <f t="shared" si="91"/>
        <v>0</v>
      </c>
    </row>
    <row r="386" spans="1:28">
      <c r="A386" s="10" t="s">
        <v>772</v>
      </c>
      <c r="B386" s="10"/>
      <c r="C386" s="10" t="s">
        <v>113</v>
      </c>
      <c r="E386" s="6">
        <f t="shared" si="93"/>
        <v>35824428</v>
      </c>
      <c r="G386" s="6">
        <f>490034+19462632</f>
        <v>19952666</v>
      </c>
      <c r="I386" s="6">
        <v>55777094</v>
      </c>
      <c r="K386" s="6">
        <f t="shared" si="87"/>
        <v>14482842</v>
      </c>
      <c r="M386" s="6">
        <v>315723</v>
      </c>
      <c r="O386" s="6">
        <v>2623306</v>
      </c>
      <c r="Q386" s="6">
        <v>17421871</v>
      </c>
      <c r="S386" s="6">
        <v>19952666</v>
      </c>
      <c r="U386" s="6">
        <f t="shared" si="94"/>
        <v>147142</v>
      </c>
      <c r="W386" s="6">
        <v>18255415</v>
      </c>
      <c r="Y386" s="6">
        <v>38355223</v>
      </c>
      <c r="Z386" s="6">
        <f t="shared" si="92"/>
        <v>0</v>
      </c>
      <c r="AB386" s="6">
        <f t="shared" si="91"/>
        <v>0</v>
      </c>
    </row>
    <row r="387" spans="1:28" hidden="1">
      <c r="A387" s="10" t="s">
        <v>810</v>
      </c>
      <c r="B387" s="10"/>
      <c r="C387" s="10" t="s">
        <v>60</v>
      </c>
      <c r="E387" s="6">
        <f t="shared" si="93"/>
        <v>0</v>
      </c>
      <c r="K387" s="6">
        <f t="shared" si="87"/>
        <v>0</v>
      </c>
      <c r="U387" s="6">
        <f t="shared" si="94"/>
        <v>0</v>
      </c>
      <c r="Z387" s="6">
        <f t="shared" si="92"/>
        <v>0</v>
      </c>
      <c r="AB387" s="6">
        <f t="shared" si="91"/>
        <v>0</v>
      </c>
    </row>
    <row r="388" spans="1:28">
      <c r="A388" s="10" t="s">
        <v>376</v>
      </c>
      <c r="B388" s="10"/>
      <c r="C388" s="10" t="s">
        <v>42</v>
      </c>
      <c r="E388" s="6">
        <f t="shared" si="93"/>
        <v>72024105</v>
      </c>
      <c r="G388" s="6">
        <f>80395843+55044230</f>
        <v>135440073</v>
      </c>
      <c r="I388" s="6">
        <v>207464178</v>
      </c>
      <c r="K388" s="6">
        <f t="shared" si="87"/>
        <v>33905821</v>
      </c>
      <c r="M388" s="6">
        <v>2812387</v>
      </c>
      <c r="O388" s="6">
        <v>65165718</v>
      </c>
      <c r="Q388" s="6">
        <v>101883926</v>
      </c>
      <c r="S388" s="6">
        <v>77908651</v>
      </c>
      <c r="U388" s="6">
        <f t="shared" si="94"/>
        <v>19658990</v>
      </c>
      <c r="W388" s="6">
        <v>8012611</v>
      </c>
      <c r="Y388" s="6">
        <v>105580252</v>
      </c>
      <c r="Z388" s="6">
        <f>+I388-Q388-Y388</f>
        <v>0</v>
      </c>
      <c r="AB388" s="6">
        <f>+E388+G388+-K388-M388-S388-U388-W388-O388</f>
        <v>0</v>
      </c>
    </row>
    <row r="389" spans="1:28" hidden="1">
      <c r="A389" s="10" t="s">
        <v>881</v>
      </c>
      <c r="B389" s="10"/>
      <c r="C389" s="10" t="s">
        <v>30</v>
      </c>
      <c r="E389" s="6">
        <f t="shared" si="93"/>
        <v>0</v>
      </c>
      <c r="K389" s="6">
        <f t="shared" si="87"/>
        <v>0</v>
      </c>
      <c r="U389" s="6">
        <f t="shared" si="94"/>
        <v>0</v>
      </c>
      <c r="Z389" s="6">
        <f t="shared" si="92"/>
        <v>0</v>
      </c>
      <c r="AB389" s="6">
        <f t="shared" si="91"/>
        <v>0</v>
      </c>
    </row>
    <row r="390" spans="1:28">
      <c r="A390" s="10" t="s">
        <v>773</v>
      </c>
      <c r="B390" s="10"/>
      <c r="C390" s="10" t="s">
        <v>65</v>
      </c>
      <c r="E390" s="6">
        <f t="shared" si="93"/>
        <v>5531453</v>
      </c>
      <c r="G390" s="6">
        <f>121788+14162759</f>
        <v>14284547</v>
      </c>
      <c r="I390" s="6">
        <v>19816000</v>
      </c>
      <c r="K390" s="6">
        <f t="shared" si="87"/>
        <v>3792190</v>
      </c>
      <c r="M390" s="6">
        <v>327581</v>
      </c>
      <c r="O390" s="6">
        <v>2455844</v>
      </c>
      <c r="Q390" s="6">
        <v>6575615</v>
      </c>
      <c r="S390" s="6">
        <v>12019778</v>
      </c>
      <c r="U390" s="6">
        <f t="shared" si="94"/>
        <v>814232</v>
      </c>
      <c r="W390" s="6">
        <v>406375</v>
      </c>
      <c r="Y390" s="6">
        <v>13240385</v>
      </c>
      <c r="Z390" s="6">
        <f t="shared" si="92"/>
        <v>0</v>
      </c>
      <c r="AB390" s="6">
        <f t="shared" si="91"/>
        <v>0</v>
      </c>
    </row>
    <row r="391" spans="1:28">
      <c r="A391" s="10" t="s">
        <v>774</v>
      </c>
      <c r="B391" s="10"/>
      <c r="C391" s="10" t="s">
        <v>64</v>
      </c>
      <c r="E391" s="6">
        <f t="shared" si="93"/>
        <v>6294330</v>
      </c>
      <c r="G391" s="6">
        <f>58300+17576919</f>
        <v>17635219</v>
      </c>
      <c r="I391" s="6">
        <f>23883684+45865</f>
        <v>23929549</v>
      </c>
      <c r="K391" s="6">
        <f t="shared" si="87"/>
        <v>4469569</v>
      </c>
      <c r="M391" s="6">
        <v>384579</v>
      </c>
      <c r="O391" s="6">
        <v>3115719</v>
      </c>
      <c r="Q391" s="6">
        <f>5013805+2956062</f>
        <v>7969867</v>
      </c>
      <c r="S391" s="6">
        <v>14712134</v>
      </c>
      <c r="U391" s="6">
        <f t="shared" si="94"/>
        <v>1022291</v>
      </c>
      <c r="W391" s="6">
        <v>225257</v>
      </c>
      <c r="Y391" s="6">
        <v>15959682</v>
      </c>
      <c r="Z391" s="6">
        <f t="shared" si="92"/>
        <v>0</v>
      </c>
      <c r="AB391" s="6">
        <f t="shared" si="91"/>
        <v>0</v>
      </c>
    </row>
    <row r="392" spans="1:28" hidden="1">
      <c r="A392" s="10" t="s">
        <v>811</v>
      </c>
      <c r="B392" s="10"/>
      <c r="C392" s="10" t="s">
        <v>48</v>
      </c>
      <c r="E392" s="6">
        <f t="shared" si="93"/>
        <v>0</v>
      </c>
      <c r="K392" s="6">
        <f t="shared" si="87"/>
        <v>0</v>
      </c>
      <c r="U392" s="6">
        <f t="shared" si="94"/>
        <v>0</v>
      </c>
      <c r="Z392" s="6">
        <f t="shared" si="92"/>
        <v>0</v>
      </c>
      <c r="AB392" s="6">
        <f t="shared" si="91"/>
        <v>0</v>
      </c>
    </row>
    <row r="393" spans="1:28">
      <c r="A393" s="10" t="s">
        <v>606</v>
      </c>
      <c r="B393" s="10"/>
      <c r="C393" s="10" t="s">
        <v>64</v>
      </c>
      <c r="E393" s="6">
        <f t="shared" si="93"/>
        <v>59131176</v>
      </c>
      <c r="G393" s="6">
        <f>27636455+11014939</f>
        <v>38651394</v>
      </c>
      <c r="I393" s="6">
        <v>97782570</v>
      </c>
      <c r="K393" s="6">
        <f t="shared" si="87"/>
        <v>17281999</v>
      </c>
      <c r="M393" s="6">
        <v>748665</v>
      </c>
      <c r="O393" s="6">
        <v>22781357</v>
      </c>
      <c r="Q393" s="6">
        <v>40812021</v>
      </c>
      <c r="S393" s="6">
        <v>17049338</v>
      </c>
      <c r="U393" s="6">
        <f t="shared" si="94"/>
        <v>41047232</v>
      </c>
      <c r="W393" s="6">
        <v>-1126021</v>
      </c>
      <c r="Y393" s="6">
        <v>56970549</v>
      </c>
      <c r="Z393" s="6">
        <f t="shared" si="92"/>
        <v>0</v>
      </c>
      <c r="AB393" s="6">
        <f t="shared" si="91"/>
        <v>0</v>
      </c>
    </row>
    <row r="394" spans="1:28">
      <c r="A394" s="10" t="s">
        <v>449</v>
      </c>
      <c r="B394" s="10"/>
      <c r="C394" s="10" t="s">
        <v>52</v>
      </c>
      <c r="E394" s="6">
        <f t="shared" si="93"/>
        <v>10318317</v>
      </c>
      <c r="G394" s="6">
        <f>67688+3958962</f>
        <v>4026650</v>
      </c>
      <c r="I394" s="6">
        <v>14344967</v>
      </c>
      <c r="K394" s="6">
        <f t="shared" si="87"/>
        <v>4170783</v>
      </c>
      <c r="M394" s="6">
        <v>66990</v>
      </c>
      <c r="O394" s="6">
        <v>471846</v>
      </c>
      <c r="Q394" s="6">
        <v>4709619</v>
      </c>
      <c r="S394" s="6">
        <v>3995672</v>
      </c>
      <c r="U394" s="6">
        <f t="shared" si="94"/>
        <v>682061</v>
      </c>
      <c r="W394" s="6">
        <v>4957615</v>
      </c>
      <c r="Y394" s="6">
        <v>9635348</v>
      </c>
      <c r="Z394" s="6">
        <f t="shared" si="92"/>
        <v>0</v>
      </c>
      <c r="AB394" s="6">
        <f t="shared" si="91"/>
        <v>0</v>
      </c>
    </row>
    <row r="395" spans="1:28">
      <c r="A395" s="10" t="s">
        <v>511</v>
      </c>
      <c r="B395" s="10"/>
      <c r="C395" s="10" t="s">
        <v>63</v>
      </c>
      <c r="E395" s="6">
        <f t="shared" si="93"/>
        <v>43838755</v>
      </c>
      <c r="G395" s="6">
        <f>1427727+37842085</f>
        <v>39269812</v>
      </c>
      <c r="I395" s="6">
        <v>83108567</v>
      </c>
      <c r="K395" s="6">
        <f t="shared" si="87"/>
        <v>30875326</v>
      </c>
      <c r="M395" s="6">
        <v>2845323</v>
      </c>
      <c r="O395" s="6">
        <v>35520942</v>
      </c>
      <c r="Q395" s="6">
        <v>69241591</v>
      </c>
      <c r="S395" s="6">
        <v>8850162</v>
      </c>
      <c r="U395" s="6">
        <f t="shared" si="94"/>
        <v>3016971</v>
      </c>
      <c r="W395" s="6">
        <v>1999843</v>
      </c>
      <c r="Y395" s="6">
        <v>13866976</v>
      </c>
      <c r="Z395" s="6">
        <f t="shared" si="92"/>
        <v>0</v>
      </c>
      <c r="AB395" s="6">
        <f t="shared" si="91"/>
        <v>0</v>
      </c>
    </row>
    <row r="396" spans="1:28">
      <c r="A396" s="10" t="s">
        <v>556</v>
      </c>
      <c r="B396" s="10"/>
      <c r="C396" s="10" t="s">
        <v>72</v>
      </c>
      <c r="E396" s="6">
        <f t="shared" si="93"/>
        <v>14374626</v>
      </c>
      <c r="G396" s="6">
        <f>19350576+1877649</f>
        <v>21228225</v>
      </c>
      <c r="I396" s="6">
        <v>35602851</v>
      </c>
      <c r="K396" s="6">
        <f t="shared" si="87"/>
        <v>5902755</v>
      </c>
      <c r="M396" s="6">
        <v>443791</v>
      </c>
      <c r="O396" s="6">
        <v>11738147</v>
      </c>
      <c r="Q396" s="6">
        <v>18084693</v>
      </c>
      <c r="S396" s="6">
        <v>13931355</v>
      </c>
      <c r="U396" s="6">
        <f t="shared" si="94"/>
        <v>1090965</v>
      </c>
      <c r="W396" s="6">
        <v>2495838</v>
      </c>
      <c r="Y396" s="6">
        <v>17518158</v>
      </c>
      <c r="Z396" s="6">
        <f t="shared" si="92"/>
        <v>0</v>
      </c>
      <c r="AB396" s="6">
        <f t="shared" si="91"/>
        <v>0</v>
      </c>
    </row>
    <row r="397" spans="1:28" hidden="1">
      <c r="A397" s="10" t="s">
        <v>813</v>
      </c>
      <c r="B397" s="10"/>
      <c r="C397" s="10" t="s">
        <v>53</v>
      </c>
      <c r="E397" s="6">
        <f t="shared" si="93"/>
        <v>0</v>
      </c>
      <c r="K397" s="6">
        <f t="shared" si="87"/>
        <v>0</v>
      </c>
      <c r="U397" s="6">
        <f t="shared" si="94"/>
        <v>0</v>
      </c>
      <c r="Z397" s="6">
        <f t="shared" si="92"/>
        <v>0</v>
      </c>
      <c r="AB397" s="6">
        <f t="shared" si="91"/>
        <v>0</v>
      </c>
    </row>
    <row r="398" spans="1:28">
      <c r="A398" s="10" t="s">
        <v>503</v>
      </c>
      <c r="B398" s="10"/>
      <c r="C398" s="10" t="s">
        <v>62</v>
      </c>
      <c r="E398" s="6">
        <f t="shared" si="93"/>
        <v>33025881</v>
      </c>
      <c r="G398" s="6">
        <f>1785562+20743771</f>
        <v>22529333</v>
      </c>
      <c r="I398" s="6">
        <v>55555214</v>
      </c>
      <c r="K398" s="6">
        <f t="shared" si="87"/>
        <v>28275320</v>
      </c>
      <c r="M398" s="6">
        <v>2180778</v>
      </c>
      <c r="O398" s="6">
        <v>14532254</v>
      </c>
      <c r="Q398" s="6">
        <v>44988352</v>
      </c>
      <c r="S398" s="6">
        <v>9303949</v>
      </c>
      <c r="U398" s="6">
        <f t="shared" si="94"/>
        <v>1967809</v>
      </c>
      <c r="W398" s="6">
        <v>-704896</v>
      </c>
      <c r="Y398" s="6">
        <v>10566862</v>
      </c>
      <c r="Z398" s="6">
        <f t="shared" si="92"/>
        <v>0</v>
      </c>
      <c r="AB398" s="6">
        <f t="shared" si="91"/>
        <v>0</v>
      </c>
    </row>
    <row r="399" spans="1:28" hidden="1">
      <c r="A399" s="10" t="s">
        <v>814</v>
      </c>
      <c r="B399" s="10"/>
      <c r="C399" s="10" t="s">
        <v>552</v>
      </c>
      <c r="E399" s="6">
        <f t="shared" si="93"/>
        <v>0</v>
      </c>
      <c r="K399" s="6">
        <f t="shared" si="87"/>
        <v>0</v>
      </c>
      <c r="U399" s="6">
        <f t="shared" si="94"/>
        <v>0</v>
      </c>
      <c r="Z399" s="6">
        <f t="shared" si="92"/>
        <v>0</v>
      </c>
      <c r="AB399" s="6">
        <f t="shared" si="91"/>
        <v>0</v>
      </c>
    </row>
    <row r="400" spans="1:28">
      <c r="A400" s="10" t="s">
        <v>709</v>
      </c>
      <c r="B400" s="10"/>
      <c r="C400" s="10" t="s">
        <v>32</v>
      </c>
      <c r="E400" s="6">
        <f t="shared" si="93"/>
        <v>8436494</v>
      </c>
      <c r="G400" s="6">
        <f>84688+38560497</f>
        <v>38645185</v>
      </c>
      <c r="I400" s="6">
        <v>47081679</v>
      </c>
      <c r="K400" s="6">
        <f t="shared" si="87"/>
        <v>4073945</v>
      </c>
      <c r="M400" s="6">
        <v>401303</v>
      </c>
      <c r="O400" s="6">
        <v>15309415</v>
      </c>
      <c r="Q400" s="6">
        <v>19784663</v>
      </c>
      <c r="S400" s="6">
        <v>24750185</v>
      </c>
      <c r="U400" s="6">
        <f t="shared" si="94"/>
        <v>2877683</v>
      </c>
      <c r="W400" s="6">
        <v>-330852</v>
      </c>
      <c r="Y400" s="6">
        <v>27297016</v>
      </c>
      <c r="Z400" s="6">
        <f t="shared" si="92"/>
        <v>0</v>
      </c>
      <c r="AB400" s="6">
        <f t="shared" si="91"/>
        <v>0</v>
      </c>
    </row>
    <row r="401" spans="1:28">
      <c r="A401" s="10" t="s">
        <v>377</v>
      </c>
      <c r="B401" s="10"/>
      <c r="C401" s="10" t="s">
        <v>42</v>
      </c>
      <c r="E401" s="6">
        <f t="shared" si="93"/>
        <v>9792659</v>
      </c>
      <c r="G401" s="6">
        <f>351574+32705534</f>
        <v>33057108</v>
      </c>
      <c r="I401" s="6">
        <v>42849767</v>
      </c>
      <c r="K401" s="6">
        <f t="shared" si="87"/>
        <v>6539907</v>
      </c>
      <c r="M401" s="6">
        <v>750534</v>
      </c>
      <c r="O401" s="6">
        <v>9825785</v>
      </c>
      <c r="Q401" s="6">
        <v>17116226</v>
      </c>
      <c r="S401" s="6">
        <v>24094348</v>
      </c>
      <c r="U401" s="6">
        <f t="shared" si="94"/>
        <v>2414258</v>
      </c>
      <c r="W401" s="6">
        <v>-775065</v>
      </c>
      <c r="Y401" s="6">
        <v>25733541</v>
      </c>
      <c r="Z401" s="6">
        <f t="shared" si="92"/>
        <v>0</v>
      </c>
      <c r="AB401" s="6">
        <f t="shared" si="91"/>
        <v>0</v>
      </c>
    </row>
    <row r="402" spans="1:28">
      <c r="A402" s="10" t="s">
        <v>271</v>
      </c>
      <c r="B402" s="10"/>
      <c r="C402" s="10" t="s">
        <v>20</v>
      </c>
      <c r="E402" s="6">
        <f t="shared" si="93"/>
        <v>64034833</v>
      </c>
      <c r="G402" s="6">
        <f>3731584+10529638</f>
        <v>14261222</v>
      </c>
      <c r="I402" s="6">
        <v>78296055</v>
      </c>
      <c r="K402" s="6">
        <f t="shared" si="87"/>
        <v>43605811</v>
      </c>
      <c r="M402" s="6">
        <v>888580</v>
      </c>
      <c r="O402" s="6">
        <v>2793754</v>
      </c>
      <c r="Q402" s="6">
        <v>47288145</v>
      </c>
      <c r="S402" s="6">
        <v>14006222</v>
      </c>
      <c r="U402" s="6">
        <f t="shared" si="94"/>
        <v>2102588</v>
      </c>
      <c r="W402" s="6">
        <v>14899100</v>
      </c>
      <c r="Y402" s="6">
        <v>31007910</v>
      </c>
      <c r="Z402" s="6">
        <f t="shared" si="92"/>
        <v>0</v>
      </c>
      <c r="AB402" s="6">
        <f t="shared" si="91"/>
        <v>0</v>
      </c>
    </row>
    <row r="403" spans="1:28">
      <c r="A403" s="10" t="s">
        <v>388</v>
      </c>
      <c r="B403" s="10"/>
      <c r="C403" s="10" t="s">
        <v>44</v>
      </c>
      <c r="E403" s="6">
        <f t="shared" si="93"/>
        <v>28538265</v>
      </c>
      <c r="G403" s="6">
        <f>1740513+11333766</f>
        <v>13074279</v>
      </c>
      <c r="I403" s="6">
        <v>41612544</v>
      </c>
      <c r="K403" s="6">
        <f t="shared" si="87"/>
        <v>24145881</v>
      </c>
      <c r="M403" s="6">
        <v>752768</v>
      </c>
      <c r="O403" s="6">
        <v>2587818</v>
      </c>
      <c r="Q403" s="6">
        <v>27486467</v>
      </c>
      <c r="S403" s="6">
        <v>11327521</v>
      </c>
      <c r="U403" s="6">
        <f t="shared" si="94"/>
        <v>898555</v>
      </c>
      <c r="W403" s="6">
        <v>1900001</v>
      </c>
      <c r="Y403" s="6">
        <v>14126077</v>
      </c>
      <c r="Z403" s="6">
        <f t="shared" si="92"/>
        <v>0</v>
      </c>
      <c r="AB403" s="6">
        <f t="shared" si="91"/>
        <v>0</v>
      </c>
    </row>
    <row r="404" spans="1:28">
      <c r="A404" s="10" t="s">
        <v>272</v>
      </c>
      <c r="B404" s="10"/>
      <c r="C404" s="10" t="s">
        <v>20</v>
      </c>
      <c r="E404" s="6">
        <f t="shared" si="93"/>
        <v>56364826</v>
      </c>
      <c r="G404" s="6">
        <f>5147493+20356465</f>
        <v>25503958</v>
      </c>
      <c r="I404" s="6">
        <v>81868784</v>
      </c>
      <c r="K404" s="6">
        <f t="shared" si="87"/>
        <v>38425308</v>
      </c>
      <c r="M404" s="6">
        <v>1630446</v>
      </c>
      <c r="O404" s="6">
        <v>17803260</v>
      </c>
      <c r="Q404" s="6">
        <v>57859014</v>
      </c>
      <c r="S404" s="6">
        <v>9926872</v>
      </c>
      <c r="U404" s="6">
        <f t="shared" si="94"/>
        <v>5515356</v>
      </c>
      <c r="W404" s="6">
        <v>8567542</v>
      </c>
      <c r="Y404" s="6">
        <v>24009770</v>
      </c>
      <c r="Z404" s="6">
        <f t="shared" si="92"/>
        <v>0</v>
      </c>
      <c r="AB404" s="6">
        <f t="shared" si="91"/>
        <v>0</v>
      </c>
    </row>
    <row r="405" spans="1:28">
      <c r="A405" s="10" t="s">
        <v>540</v>
      </c>
      <c r="B405" s="10"/>
      <c r="C405" s="10" t="s">
        <v>66</v>
      </c>
      <c r="E405" s="6">
        <f t="shared" si="93"/>
        <v>17687879</v>
      </c>
      <c r="G405" s="6">
        <f>675131+34420624</f>
        <v>35095755</v>
      </c>
      <c r="I405" s="6">
        <v>52783634</v>
      </c>
      <c r="K405" s="6">
        <f t="shared" si="87"/>
        <v>5802634</v>
      </c>
      <c r="M405" s="6">
        <v>529603</v>
      </c>
      <c r="O405" s="6">
        <v>9212232</v>
      </c>
      <c r="Q405" s="6">
        <v>15544469</v>
      </c>
      <c r="S405" s="6">
        <v>26063567</v>
      </c>
      <c r="U405" s="6">
        <f t="shared" si="94"/>
        <v>1853607</v>
      </c>
      <c r="W405" s="6">
        <v>9321991</v>
      </c>
      <c r="Y405" s="6">
        <v>37239165</v>
      </c>
      <c r="Z405" s="6">
        <f t="shared" si="92"/>
        <v>0</v>
      </c>
      <c r="AB405" s="6">
        <f t="shared" si="91"/>
        <v>0</v>
      </c>
    </row>
    <row r="406" spans="1:28">
      <c r="A406" s="10" t="s">
        <v>233</v>
      </c>
      <c r="B406" s="10"/>
      <c r="C406" s="10" t="s">
        <v>17</v>
      </c>
      <c r="E406" s="6">
        <f t="shared" si="93"/>
        <v>19419447</v>
      </c>
      <c r="G406" s="6">
        <v>17834499</v>
      </c>
      <c r="I406" s="6">
        <v>37253946</v>
      </c>
      <c r="K406" s="6">
        <f t="shared" si="87"/>
        <v>12616452</v>
      </c>
      <c r="M406" s="6">
        <v>754168</v>
      </c>
      <c r="O406" s="6">
        <v>4077445</v>
      </c>
      <c r="Q406" s="6">
        <v>17448065</v>
      </c>
      <c r="S406" s="6">
        <v>14934698</v>
      </c>
      <c r="U406" s="6">
        <f t="shared" si="94"/>
        <v>1728565</v>
      </c>
      <c r="W406" s="6">
        <v>3142618</v>
      </c>
      <c r="Y406" s="6">
        <v>19805881</v>
      </c>
      <c r="Z406" s="6">
        <f t="shared" si="92"/>
        <v>0</v>
      </c>
      <c r="AB406" s="6">
        <f t="shared" si="91"/>
        <v>0</v>
      </c>
    </row>
    <row r="407" spans="1:28" hidden="1">
      <c r="A407" s="10" t="s">
        <v>815</v>
      </c>
      <c r="B407" s="10"/>
      <c r="C407" s="10" t="s">
        <v>22</v>
      </c>
      <c r="E407" s="6">
        <f t="shared" ref="E407:E438" si="95">+I407-G407</f>
        <v>0</v>
      </c>
      <c r="K407" s="6">
        <f t="shared" si="87"/>
        <v>0</v>
      </c>
      <c r="U407" s="6">
        <f t="shared" si="94"/>
        <v>0</v>
      </c>
      <c r="Z407" s="6">
        <f t="shared" si="92"/>
        <v>0</v>
      </c>
      <c r="AB407" s="6">
        <f t="shared" si="91"/>
        <v>0</v>
      </c>
    </row>
    <row r="408" spans="1:28" hidden="1">
      <c r="A408" s="10" t="s">
        <v>816</v>
      </c>
      <c r="B408" s="10"/>
      <c r="C408" s="10" t="s">
        <v>451</v>
      </c>
      <c r="E408" s="6">
        <f t="shared" si="95"/>
        <v>0</v>
      </c>
      <c r="K408" s="6">
        <f t="shared" si="87"/>
        <v>0</v>
      </c>
      <c r="U408" s="6">
        <f t="shared" si="94"/>
        <v>0</v>
      </c>
      <c r="Z408" s="6">
        <f t="shared" ref="Z408" si="96">+I408-Q408-Y408</f>
        <v>0</v>
      </c>
      <c r="AB408" s="6">
        <f t="shared" ref="AB408" si="97">+E408+G408+-K408-M408-S408-U408-W408-O408</f>
        <v>0</v>
      </c>
    </row>
    <row r="409" spans="1:28">
      <c r="A409" s="10" t="s">
        <v>434</v>
      </c>
      <c r="B409" s="10"/>
      <c r="C409" s="10" t="s">
        <v>50</v>
      </c>
      <c r="E409" s="6">
        <f t="shared" si="95"/>
        <v>128489397</v>
      </c>
      <c r="G409" s="6">
        <f>4084914+5334833</f>
        <v>9419747</v>
      </c>
      <c r="I409" s="6">
        <v>137909144</v>
      </c>
      <c r="K409" s="6">
        <f t="shared" si="87"/>
        <v>33732764</v>
      </c>
      <c r="M409" s="6">
        <v>1386347</v>
      </c>
      <c r="O409" s="6">
        <v>56777323</v>
      </c>
      <c r="Q409" s="6">
        <v>91896434</v>
      </c>
      <c r="S409" s="6">
        <v>6640375</v>
      </c>
      <c r="U409" s="6">
        <f t="shared" si="94"/>
        <v>33722384</v>
      </c>
      <c r="W409" s="6">
        <v>5649951</v>
      </c>
      <c r="Y409" s="6">
        <v>46012710</v>
      </c>
      <c r="Z409" s="6">
        <f t="shared" si="92"/>
        <v>0</v>
      </c>
      <c r="AB409" s="6">
        <f t="shared" si="91"/>
        <v>0</v>
      </c>
    </row>
    <row r="410" spans="1:28">
      <c r="A410" s="10" t="s">
        <v>442</v>
      </c>
      <c r="B410" s="10"/>
      <c r="C410" s="10" t="s">
        <v>78</v>
      </c>
      <c r="E410" s="6">
        <f t="shared" si="95"/>
        <v>9878610</v>
      </c>
      <c r="G410" s="6">
        <v>29804615</v>
      </c>
      <c r="I410" s="6">
        <v>39683225</v>
      </c>
      <c r="K410" s="6">
        <f t="shared" si="87"/>
        <v>5154687</v>
      </c>
      <c r="M410" s="6">
        <v>427892</v>
      </c>
      <c r="O410" s="6">
        <v>14799779</v>
      </c>
      <c r="Q410" s="6">
        <v>20382358</v>
      </c>
      <c r="S410" s="6">
        <v>18655730</v>
      </c>
      <c r="U410" s="6">
        <f t="shared" si="94"/>
        <v>911862</v>
      </c>
      <c r="W410" s="6">
        <v>-266725</v>
      </c>
      <c r="Y410" s="6">
        <v>19300867</v>
      </c>
      <c r="Z410" s="6">
        <f t="shared" si="92"/>
        <v>0</v>
      </c>
      <c r="AB410" s="6">
        <f t="shared" si="91"/>
        <v>0</v>
      </c>
    </row>
    <row r="411" spans="1:28">
      <c r="A411" s="10" t="s">
        <v>378</v>
      </c>
      <c r="B411" s="10"/>
      <c r="C411" s="11" t="s">
        <v>42</v>
      </c>
      <c r="E411" s="6">
        <f t="shared" si="95"/>
        <v>15016531</v>
      </c>
      <c r="G411" s="6">
        <f>224090+11959779</f>
        <v>12183869</v>
      </c>
      <c r="I411" s="6">
        <v>27200400</v>
      </c>
      <c r="K411" s="6">
        <f t="shared" si="87"/>
        <v>7685278</v>
      </c>
      <c r="M411" s="6">
        <v>760508</v>
      </c>
      <c r="O411" s="6">
        <v>5005168</v>
      </c>
      <c r="Q411" s="6">
        <v>13450954</v>
      </c>
      <c r="S411" s="6">
        <v>7272053</v>
      </c>
      <c r="U411" s="6">
        <f t="shared" si="94"/>
        <v>1093545</v>
      </c>
      <c r="W411" s="6">
        <v>5383848</v>
      </c>
      <c r="Y411" s="6">
        <v>13749446</v>
      </c>
      <c r="Z411" s="6">
        <f t="shared" si="92"/>
        <v>0</v>
      </c>
      <c r="AB411" s="6">
        <f t="shared" si="91"/>
        <v>0</v>
      </c>
    </row>
    <row r="412" spans="1:28">
      <c r="A412" s="10" t="s">
        <v>378</v>
      </c>
      <c r="B412" s="10"/>
      <c r="C412" s="11" t="s">
        <v>50</v>
      </c>
      <c r="E412" s="6">
        <f t="shared" si="95"/>
        <v>19179083</v>
      </c>
      <c r="G412" s="6">
        <f>1569249+10524437</f>
        <v>12093686</v>
      </c>
      <c r="I412" s="6">
        <v>31272769</v>
      </c>
      <c r="K412" s="6">
        <f t="shared" ref="K412:K478" si="98">+Q412-M412-O412</f>
        <v>8819992</v>
      </c>
      <c r="M412" s="6">
        <v>576488</v>
      </c>
      <c r="O412" s="6">
        <v>10766183</v>
      </c>
      <c r="Q412" s="6">
        <v>20162663</v>
      </c>
      <c r="S412" s="6">
        <v>1927286</v>
      </c>
      <c r="U412" s="6">
        <f t="shared" si="94"/>
        <v>3303685</v>
      </c>
      <c r="W412" s="6">
        <v>5879135</v>
      </c>
      <c r="Y412" s="6">
        <v>11110106</v>
      </c>
      <c r="Z412" s="6">
        <f t="shared" si="92"/>
        <v>0</v>
      </c>
      <c r="AB412" s="6">
        <f t="shared" si="91"/>
        <v>0</v>
      </c>
    </row>
    <row r="413" spans="1:28">
      <c r="A413" s="10" t="s">
        <v>327</v>
      </c>
      <c r="B413" s="10"/>
      <c r="C413" s="10" t="s">
        <v>32</v>
      </c>
      <c r="E413" s="6">
        <f t="shared" si="95"/>
        <v>74839336</v>
      </c>
      <c r="G413" s="6">
        <f>3668199+17885525</f>
        <v>21553724</v>
      </c>
      <c r="I413" s="6">
        <v>96393060</v>
      </c>
      <c r="K413" s="6">
        <f t="shared" si="98"/>
        <v>35550377</v>
      </c>
      <c r="M413" s="6">
        <v>1575436</v>
      </c>
      <c r="O413" s="6">
        <v>19398615</v>
      </c>
      <c r="Q413" s="6">
        <v>56524428</v>
      </c>
      <c r="S413" s="6">
        <v>4781684</v>
      </c>
      <c r="U413" s="6">
        <f t="shared" si="94"/>
        <v>4070811</v>
      </c>
      <c r="W413" s="6">
        <v>31016137</v>
      </c>
      <c r="Y413" s="6">
        <v>39868632</v>
      </c>
      <c r="Z413" s="6">
        <f t="shared" si="92"/>
        <v>0</v>
      </c>
      <c r="AB413" s="6">
        <f t="shared" si="91"/>
        <v>0</v>
      </c>
    </row>
    <row r="414" spans="1:28">
      <c r="A414" s="10" t="s">
        <v>597</v>
      </c>
      <c r="B414" s="10"/>
      <c r="C414" s="10" t="s">
        <v>59</v>
      </c>
      <c r="E414" s="6">
        <f t="shared" si="95"/>
        <v>4803001</v>
      </c>
      <c r="G414" s="6">
        <f>246624+24074275</f>
        <v>24320899</v>
      </c>
      <c r="I414" s="6">
        <v>29123900</v>
      </c>
      <c r="K414" s="6">
        <f t="shared" si="98"/>
        <v>3976121</v>
      </c>
      <c r="M414" s="6">
        <v>561470</v>
      </c>
      <c r="O414" s="6">
        <v>3168424</v>
      </c>
      <c r="Q414" s="6">
        <v>7706015</v>
      </c>
      <c r="S414" s="6">
        <v>22456738</v>
      </c>
      <c r="U414" s="6">
        <f t="shared" si="94"/>
        <v>1208248</v>
      </c>
      <c r="W414" s="6">
        <v>-2247101</v>
      </c>
      <c r="Y414" s="6">
        <v>21417885</v>
      </c>
      <c r="Z414" s="6">
        <f t="shared" si="92"/>
        <v>0</v>
      </c>
      <c r="AB414" s="6">
        <f t="shared" si="91"/>
        <v>0</v>
      </c>
    </row>
    <row r="415" spans="1:28">
      <c r="A415" s="10" t="s">
        <v>327</v>
      </c>
      <c r="B415" s="10"/>
      <c r="C415" s="10" t="s">
        <v>62</v>
      </c>
      <c r="D415" s="28"/>
      <c r="E415" s="6">
        <f t="shared" si="95"/>
        <v>24677984</v>
      </c>
      <c r="G415" s="6">
        <v>45252414</v>
      </c>
      <c r="I415" s="6">
        <v>69930398</v>
      </c>
      <c r="K415" s="6">
        <f t="shared" si="98"/>
        <v>12273904</v>
      </c>
      <c r="M415" s="6">
        <v>1180254</v>
      </c>
      <c r="O415" s="6">
        <v>23158857</v>
      </c>
      <c r="Q415" s="6">
        <v>36613015</v>
      </c>
      <c r="S415" s="6">
        <v>26030480</v>
      </c>
      <c r="U415" s="6">
        <f t="shared" si="94"/>
        <v>9616228</v>
      </c>
      <c r="W415" s="6">
        <v>-2329325</v>
      </c>
      <c r="Y415" s="6">
        <v>33317383</v>
      </c>
      <c r="Z415" s="6">
        <f t="shared" si="92"/>
        <v>0</v>
      </c>
      <c r="AB415" s="6">
        <f t="shared" si="91"/>
        <v>0</v>
      </c>
    </row>
    <row r="416" spans="1:28">
      <c r="A416" s="10" t="s">
        <v>234</v>
      </c>
      <c r="B416" s="10"/>
      <c r="C416" s="10" t="s">
        <v>17</v>
      </c>
      <c r="E416" s="6">
        <f t="shared" si="95"/>
        <v>66390357</v>
      </c>
      <c r="G416" s="6">
        <f>10767399+4263710</f>
        <v>15031109</v>
      </c>
      <c r="I416" s="6">
        <v>81421466</v>
      </c>
      <c r="K416" s="6">
        <f t="shared" si="98"/>
        <v>10402010</v>
      </c>
      <c r="M416" s="6">
        <v>595496</v>
      </c>
      <c r="O416" s="6">
        <v>30091371</v>
      </c>
      <c r="Q416" s="6">
        <v>41088877</v>
      </c>
      <c r="S416" s="6">
        <v>11807808</v>
      </c>
      <c r="U416" s="6">
        <f t="shared" si="94"/>
        <v>20885423</v>
      </c>
      <c r="W416" s="6">
        <v>7639358</v>
      </c>
      <c r="Y416" s="6">
        <v>40332589</v>
      </c>
      <c r="Z416" s="6">
        <f t="shared" si="92"/>
        <v>0</v>
      </c>
      <c r="AB416" s="6">
        <f t="shared" si="91"/>
        <v>0</v>
      </c>
    </row>
    <row r="417" spans="1:28" hidden="1">
      <c r="A417" s="10" t="s">
        <v>739</v>
      </c>
      <c r="B417" s="10"/>
      <c r="C417" s="10" t="s">
        <v>71</v>
      </c>
    </row>
    <row r="418" spans="1:28" hidden="1">
      <c r="A418" s="10" t="s">
        <v>882</v>
      </c>
      <c r="B418" s="10"/>
      <c r="C418" s="10" t="s">
        <v>72</v>
      </c>
      <c r="E418" s="6">
        <f t="shared" si="95"/>
        <v>0</v>
      </c>
      <c r="K418" s="6">
        <f t="shared" si="98"/>
        <v>0</v>
      </c>
      <c r="U418" s="6">
        <f t="shared" si="94"/>
        <v>0</v>
      </c>
      <c r="Z418" s="6">
        <f t="shared" si="92"/>
        <v>0</v>
      </c>
      <c r="AB418" s="6">
        <f t="shared" si="91"/>
        <v>0</v>
      </c>
    </row>
    <row r="419" spans="1:28">
      <c r="A419" s="10" t="s">
        <v>512</v>
      </c>
      <c r="B419" s="10"/>
      <c r="C419" s="10" t="s">
        <v>63</v>
      </c>
      <c r="E419" s="6">
        <f t="shared" si="95"/>
        <v>17533452</v>
      </c>
      <c r="G419" s="6">
        <v>3139323</v>
      </c>
      <c r="I419" s="6">
        <v>20672775</v>
      </c>
      <c r="K419" s="6">
        <f t="shared" si="98"/>
        <v>9459853</v>
      </c>
      <c r="M419" s="6">
        <v>138517</v>
      </c>
      <c r="O419" s="6">
        <v>749185</v>
      </c>
      <c r="Q419" s="6">
        <v>10347555</v>
      </c>
      <c r="S419" s="6">
        <v>3119304</v>
      </c>
      <c r="U419" s="6">
        <f t="shared" si="94"/>
        <v>3751997</v>
      </c>
      <c r="W419" s="6">
        <v>3453919</v>
      </c>
      <c r="Y419" s="6">
        <v>10325220</v>
      </c>
      <c r="Z419" s="6">
        <f t="shared" si="92"/>
        <v>0</v>
      </c>
      <c r="AB419" s="6">
        <f t="shared" si="91"/>
        <v>0</v>
      </c>
    </row>
    <row r="420" spans="1:28">
      <c r="A420" s="10" t="s">
        <v>358</v>
      </c>
      <c r="B420" s="10"/>
      <c r="C420" s="10" t="s">
        <v>37</v>
      </c>
      <c r="E420" s="6">
        <f t="shared" si="95"/>
        <v>20940009</v>
      </c>
      <c r="G420" s="6">
        <f>2211532+21470706</f>
        <v>23682238</v>
      </c>
      <c r="I420" s="6">
        <v>44622247</v>
      </c>
      <c r="K420" s="6">
        <f t="shared" si="98"/>
        <v>9111676</v>
      </c>
      <c r="M420" s="6">
        <v>962261</v>
      </c>
      <c r="O420" s="6">
        <v>12822070</v>
      </c>
      <c r="Q420" s="6">
        <v>22896007</v>
      </c>
      <c r="S420" s="6">
        <v>12827248</v>
      </c>
      <c r="U420" s="6">
        <f t="shared" si="94"/>
        <v>4288958</v>
      </c>
      <c r="W420" s="6">
        <v>4610034</v>
      </c>
      <c r="Y420" s="6">
        <v>21726240</v>
      </c>
      <c r="Z420" s="6">
        <f t="shared" si="92"/>
        <v>0</v>
      </c>
      <c r="AB420" s="6">
        <f t="shared" si="91"/>
        <v>0</v>
      </c>
    </row>
    <row r="421" spans="1:28" hidden="1">
      <c r="A421" s="10" t="s">
        <v>817</v>
      </c>
      <c r="B421" s="10"/>
      <c r="C421" s="10" t="s">
        <v>71</v>
      </c>
      <c r="E421" s="6">
        <f t="shared" ref="E421" si="99">+I421-G421</f>
        <v>0</v>
      </c>
      <c r="K421" s="6">
        <f t="shared" ref="K421" si="100">+Q421-M421-O421</f>
        <v>0</v>
      </c>
      <c r="U421" s="6">
        <f t="shared" ref="U421" si="101">Y421-W421-S421</f>
        <v>0</v>
      </c>
      <c r="Z421" s="6">
        <f t="shared" ref="Z421" si="102">+I421-Q421-Y421</f>
        <v>0</v>
      </c>
      <c r="AB421" s="6">
        <f t="shared" ref="AB421" si="103">+E421+G421+-K421-M421-S421-U421-W421-O421</f>
        <v>0</v>
      </c>
    </row>
    <row r="422" spans="1:28">
      <c r="A422" s="10" t="s">
        <v>631</v>
      </c>
      <c r="B422" s="10"/>
      <c r="C422" s="10" t="s">
        <v>32</v>
      </c>
      <c r="E422" s="6">
        <f t="shared" si="95"/>
        <v>22761375</v>
      </c>
      <c r="G422" s="6">
        <f>524809+5271695</f>
        <v>5796504</v>
      </c>
      <c r="I422" s="6">
        <v>28557879</v>
      </c>
      <c r="K422" s="6">
        <f t="shared" si="98"/>
        <v>11530045</v>
      </c>
      <c r="M422" s="6">
        <v>345412</v>
      </c>
      <c r="O422" s="6">
        <v>5387985</v>
      </c>
      <c r="Q422" s="6">
        <v>17263442</v>
      </c>
      <c r="S422" s="6">
        <v>1132079</v>
      </c>
      <c r="U422" s="6">
        <f t="shared" si="94"/>
        <v>320880</v>
      </c>
      <c r="W422" s="6">
        <v>9841478</v>
      </c>
      <c r="Y422" s="6">
        <v>11294437</v>
      </c>
      <c r="Z422" s="6">
        <f t="shared" si="92"/>
        <v>0</v>
      </c>
      <c r="AB422" s="6">
        <f t="shared" si="91"/>
        <v>0</v>
      </c>
    </row>
    <row r="423" spans="1:28" hidden="1">
      <c r="A423" s="10" t="s">
        <v>738</v>
      </c>
      <c r="B423" s="10"/>
      <c r="C423" s="10" t="s">
        <v>38</v>
      </c>
    </row>
    <row r="424" spans="1:28">
      <c r="A424" s="10" t="s">
        <v>328</v>
      </c>
      <c r="B424" s="10"/>
      <c r="C424" s="10" t="s">
        <v>32</v>
      </c>
      <c r="D424" s="9"/>
      <c r="E424" s="6">
        <f t="shared" si="95"/>
        <v>64535478</v>
      </c>
      <c r="G424" s="6">
        <f>2221943+45505983</f>
        <v>47727926</v>
      </c>
      <c r="I424" s="6">
        <v>112263404</v>
      </c>
      <c r="K424" s="6">
        <f t="shared" si="98"/>
        <v>34252602</v>
      </c>
      <c r="M424" s="6">
        <v>2446774</v>
      </c>
      <c r="O424" s="6">
        <v>41040642</v>
      </c>
      <c r="Q424" s="6">
        <v>77740018</v>
      </c>
      <c r="S424" s="6">
        <v>9492221</v>
      </c>
      <c r="U424" s="6">
        <f t="shared" si="94"/>
        <v>4378079</v>
      </c>
      <c r="W424" s="6">
        <v>20653086</v>
      </c>
      <c r="Y424" s="6">
        <v>34523386</v>
      </c>
      <c r="Z424" s="6">
        <f t="shared" si="92"/>
        <v>0</v>
      </c>
      <c r="AB424" s="6">
        <f t="shared" si="91"/>
        <v>0</v>
      </c>
    </row>
    <row r="425" spans="1:28">
      <c r="A425" s="10" t="s">
        <v>435</v>
      </c>
      <c r="B425" s="10"/>
      <c r="C425" s="10" t="s">
        <v>50</v>
      </c>
      <c r="E425" s="6">
        <f t="shared" si="95"/>
        <v>19159145</v>
      </c>
      <c r="G425" s="6">
        <f>488237+21588757</f>
        <v>22076994</v>
      </c>
      <c r="I425" s="6">
        <v>41236139</v>
      </c>
      <c r="K425" s="6">
        <f t="shared" si="98"/>
        <v>17236909</v>
      </c>
      <c r="M425" s="6">
        <v>872868</v>
      </c>
      <c r="O425" s="6">
        <v>17243207</v>
      </c>
      <c r="Q425" s="6">
        <v>35352984</v>
      </c>
      <c r="S425" s="6">
        <v>5365003</v>
      </c>
      <c r="U425" s="6">
        <f t="shared" si="94"/>
        <v>2066219</v>
      </c>
      <c r="W425" s="6">
        <v>-1548067</v>
      </c>
      <c r="Y425" s="6">
        <v>5883155</v>
      </c>
      <c r="Z425" s="6">
        <f t="shared" si="92"/>
        <v>0</v>
      </c>
      <c r="AB425" s="6">
        <f t="shared" si="91"/>
        <v>0</v>
      </c>
    </row>
    <row r="426" spans="1:28">
      <c r="A426" s="10" t="s">
        <v>389</v>
      </c>
      <c r="B426" s="10"/>
      <c r="C426" s="10" t="s">
        <v>44</v>
      </c>
      <c r="E426" s="6">
        <f t="shared" si="95"/>
        <v>8080995</v>
      </c>
      <c r="G426" s="6">
        <f>2279070+3198523</f>
        <v>5477593</v>
      </c>
      <c r="I426" s="6">
        <v>13558588</v>
      </c>
      <c r="K426" s="6">
        <f t="shared" si="98"/>
        <v>5996935</v>
      </c>
      <c r="M426" s="6">
        <v>326663</v>
      </c>
      <c r="O426" s="6">
        <v>1205440</v>
      </c>
      <c r="Q426" s="6">
        <v>7529038</v>
      </c>
      <c r="S426" s="6">
        <v>4918504</v>
      </c>
      <c r="U426" s="6">
        <f t="shared" si="94"/>
        <v>489058</v>
      </c>
      <c r="W426" s="6">
        <v>621988</v>
      </c>
      <c r="Y426" s="6">
        <v>6029550</v>
      </c>
      <c r="Z426" s="6">
        <f t="shared" si="92"/>
        <v>0</v>
      </c>
      <c r="AB426" s="6">
        <f t="shared" si="91"/>
        <v>0</v>
      </c>
    </row>
    <row r="427" spans="1:28" hidden="1">
      <c r="A427" s="10" t="s">
        <v>614</v>
      </c>
      <c r="B427" s="10"/>
      <c r="C427" s="10" t="s">
        <v>60</v>
      </c>
      <c r="E427" s="6">
        <f t="shared" si="95"/>
        <v>0</v>
      </c>
      <c r="K427" s="6">
        <f t="shared" si="98"/>
        <v>0</v>
      </c>
      <c r="U427" s="6">
        <f t="shared" si="94"/>
        <v>0</v>
      </c>
      <c r="Z427" s="6">
        <f t="shared" si="92"/>
        <v>0</v>
      </c>
      <c r="AB427" s="6">
        <f t="shared" si="91"/>
        <v>0</v>
      </c>
    </row>
    <row r="428" spans="1:28">
      <c r="A428" s="10" t="s">
        <v>284</v>
      </c>
      <c r="B428" s="10"/>
      <c r="C428" s="10" t="s">
        <v>23</v>
      </c>
      <c r="E428" s="6">
        <f t="shared" si="95"/>
        <v>249673799</v>
      </c>
      <c r="G428" s="6">
        <f>31052051+304370139</f>
        <v>335422190</v>
      </c>
      <c r="I428" s="6">
        <v>585095989</v>
      </c>
      <c r="K428" s="6">
        <f t="shared" si="98"/>
        <v>157357462</v>
      </c>
      <c r="M428" s="6">
        <v>15028341</v>
      </c>
      <c r="O428" s="6">
        <v>361846863</v>
      </c>
      <c r="Q428" s="6">
        <v>534232666</v>
      </c>
      <c r="S428" s="6">
        <v>3222574</v>
      </c>
      <c r="U428" s="6">
        <f t="shared" si="94"/>
        <v>29500691</v>
      </c>
      <c r="W428" s="6">
        <v>18140058</v>
      </c>
      <c r="Y428" s="6">
        <v>50863323</v>
      </c>
      <c r="Z428" s="6">
        <f t="shared" si="92"/>
        <v>0</v>
      </c>
      <c r="AB428" s="6">
        <f t="shared" si="91"/>
        <v>0</v>
      </c>
    </row>
    <row r="429" spans="1:28">
      <c r="A429" s="10" t="s">
        <v>273</v>
      </c>
      <c r="B429" s="10"/>
      <c r="C429" s="10" t="s">
        <v>20</v>
      </c>
      <c r="E429" s="6">
        <f t="shared" si="95"/>
        <v>42129230</v>
      </c>
      <c r="G429" s="6">
        <f>3233902+37227195</f>
        <v>40461097</v>
      </c>
      <c r="I429" s="6">
        <v>82590327</v>
      </c>
      <c r="K429" s="6">
        <f t="shared" si="98"/>
        <v>28187678</v>
      </c>
      <c r="M429" s="6">
        <v>1544914</v>
      </c>
      <c r="O429" s="6">
        <v>21162681</v>
      </c>
      <c r="Q429" s="6">
        <v>50895273</v>
      </c>
      <c r="S429" s="6">
        <v>22144935</v>
      </c>
      <c r="U429" s="6">
        <f t="shared" si="94"/>
        <v>5218437</v>
      </c>
      <c r="W429" s="6">
        <v>4331682</v>
      </c>
      <c r="Y429" s="6">
        <v>31695054</v>
      </c>
      <c r="Z429" s="6">
        <f t="shared" si="92"/>
        <v>0</v>
      </c>
      <c r="AB429" s="6">
        <f t="shared" ref="AB429:AB453" si="104">+E429+G429+-K429-M429-S429-U429-W429-O429</f>
        <v>0</v>
      </c>
    </row>
    <row r="430" spans="1:28">
      <c r="A430" s="10" t="s">
        <v>470</v>
      </c>
      <c r="B430" s="10"/>
      <c r="C430" s="10" t="s">
        <v>110</v>
      </c>
      <c r="E430" s="6">
        <f t="shared" si="95"/>
        <v>17882620</v>
      </c>
      <c r="G430" s="6">
        <f>40839+23167511</f>
        <v>23208350</v>
      </c>
      <c r="I430" s="6">
        <v>41090970</v>
      </c>
      <c r="K430" s="6">
        <f t="shared" si="98"/>
        <v>9723591</v>
      </c>
      <c r="M430" s="6">
        <v>1275613</v>
      </c>
      <c r="O430" s="6">
        <v>15177274</v>
      </c>
      <c r="Q430" s="6">
        <v>26176478</v>
      </c>
      <c r="S430" s="6">
        <v>8577525</v>
      </c>
      <c r="U430" s="6">
        <f t="shared" si="94"/>
        <v>2714249</v>
      </c>
      <c r="W430" s="6">
        <v>3622718</v>
      </c>
      <c r="Y430" s="6">
        <v>14914492</v>
      </c>
      <c r="Z430" s="6">
        <f t="shared" si="92"/>
        <v>0</v>
      </c>
      <c r="AB430" s="6">
        <f t="shared" si="104"/>
        <v>0</v>
      </c>
    </row>
    <row r="431" spans="1:28">
      <c r="A431" s="10" t="s">
        <v>274</v>
      </c>
      <c r="B431" s="10"/>
      <c r="C431" s="10" t="s">
        <v>20</v>
      </c>
      <c r="E431" s="6">
        <f t="shared" si="95"/>
        <v>83675935</v>
      </c>
      <c r="G431" s="6">
        <v>43518577</v>
      </c>
      <c r="I431" s="6">
        <v>127194512</v>
      </c>
      <c r="K431" s="6">
        <f t="shared" si="98"/>
        <v>41320388</v>
      </c>
      <c r="M431" s="6">
        <v>2275286</v>
      </c>
      <c r="O431" s="6">
        <v>29180822</v>
      </c>
      <c r="Q431" s="6">
        <v>72776496</v>
      </c>
      <c r="S431" s="6">
        <v>20521412</v>
      </c>
      <c r="U431" s="6">
        <f t="shared" si="94"/>
        <v>9537894</v>
      </c>
      <c r="W431" s="6">
        <v>24358710</v>
      </c>
      <c r="Y431" s="6">
        <v>54418016</v>
      </c>
      <c r="Z431" s="6">
        <f t="shared" si="92"/>
        <v>0</v>
      </c>
      <c r="AB431" s="6">
        <f t="shared" si="104"/>
        <v>0</v>
      </c>
    </row>
    <row r="432" spans="1:28">
      <c r="A432" s="10" t="s">
        <v>391</v>
      </c>
      <c r="B432" s="10"/>
      <c r="C432" s="10" t="s">
        <v>115</v>
      </c>
      <c r="E432" s="6">
        <f t="shared" si="95"/>
        <v>39771427</v>
      </c>
      <c r="G432" s="6">
        <v>56870381</v>
      </c>
      <c r="I432" s="6">
        <v>96641808</v>
      </c>
      <c r="K432" s="6">
        <f t="shared" si="98"/>
        <v>25861228</v>
      </c>
      <c r="M432" s="6">
        <v>1762308</v>
      </c>
      <c r="O432" s="6">
        <v>44896764</v>
      </c>
      <c r="Q432" s="6">
        <v>72520300</v>
      </c>
      <c r="S432" s="6">
        <v>16986565</v>
      </c>
      <c r="U432" s="6">
        <f t="shared" si="94"/>
        <v>5007016</v>
      </c>
      <c r="W432" s="6">
        <v>2127927</v>
      </c>
      <c r="Y432" s="6">
        <v>24121508</v>
      </c>
      <c r="Z432" s="6">
        <f t="shared" si="92"/>
        <v>0</v>
      </c>
      <c r="AB432" s="6">
        <f t="shared" si="104"/>
        <v>0</v>
      </c>
    </row>
    <row r="433" spans="1:28" hidden="1">
      <c r="A433" s="10" t="s">
        <v>818</v>
      </c>
      <c r="B433" s="10"/>
      <c r="C433" s="10" t="s">
        <v>71</v>
      </c>
      <c r="E433" s="6">
        <f t="shared" si="95"/>
        <v>0</v>
      </c>
      <c r="K433" s="6">
        <f t="shared" si="98"/>
        <v>0</v>
      </c>
      <c r="U433" s="6">
        <f t="shared" si="94"/>
        <v>0</v>
      </c>
      <c r="Z433" s="6">
        <f t="shared" si="92"/>
        <v>0</v>
      </c>
      <c r="AB433" s="6">
        <f t="shared" si="104"/>
        <v>0</v>
      </c>
    </row>
    <row r="434" spans="1:28" hidden="1">
      <c r="A434" s="10" t="s">
        <v>883</v>
      </c>
      <c r="B434" s="10"/>
      <c r="C434" s="10" t="s">
        <v>62</v>
      </c>
      <c r="E434" s="6">
        <f t="shared" si="95"/>
        <v>0</v>
      </c>
      <c r="K434" s="6">
        <f t="shared" si="98"/>
        <v>0</v>
      </c>
      <c r="U434" s="6">
        <f t="shared" si="94"/>
        <v>0</v>
      </c>
      <c r="Z434" s="6">
        <f t="shared" si="92"/>
        <v>0</v>
      </c>
      <c r="AB434" s="6">
        <f t="shared" si="104"/>
        <v>0</v>
      </c>
    </row>
    <row r="435" spans="1:28">
      <c r="A435" s="10" t="s">
        <v>557</v>
      </c>
      <c r="B435" s="10"/>
      <c r="C435" s="10" t="s">
        <v>72</v>
      </c>
      <c r="E435" s="6">
        <f t="shared" si="95"/>
        <v>22150922</v>
      </c>
      <c r="G435" s="6">
        <f>14698142+20501358</f>
        <v>35199500</v>
      </c>
      <c r="I435" s="6">
        <v>57350422</v>
      </c>
      <c r="K435" s="6">
        <f t="shared" si="98"/>
        <v>7166972</v>
      </c>
      <c r="M435" s="6">
        <v>879568</v>
      </c>
      <c r="O435" s="6">
        <v>20361127</v>
      </c>
      <c r="Q435" s="6">
        <v>28407667</v>
      </c>
      <c r="S435" s="6">
        <v>15655332</v>
      </c>
      <c r="U435" s="6">
        <f t="shared" si="94"/>
        <v>11545104</v>
      </c>
      <c r="W435" s="6">
        <v>1742319</v>
      </c>
      <c r="Y435" s="6">
        <v>28942755</v>
      </c>
      <c r="Z435" s="6">
        <f t="shared" si="92"/>
        <v>0</v>
      </c>
      <c r="AB435" s="6">
        <f t="shared" si="104"/>
        <v>0</v>
      </c>
    </row>
    <row r="436" spans="1:28">
      <c r="A436" s="10" t="s">
        <v>392</v>
      </c>
      <c r="B436" s="10"/>
      <c r="C436" s="10" t="s">
        <v>115</v>
      </c>
      <c r="E436" s="6">
        <f t="shared" si="95"/>
        <v>15259783</v>
      </c>
      <c r="G436" s="6">
        <f>743629+5189965</f>
        <v>5933594</v>
      </c>
      <c r="I436" s="6">
        <v>21193377</v>
      </c>
      <c r="K436" s="6">
        <f t="shared" si="98"/>
        <v>10972266</v>
      </c>
      <c r="M436" s="6">
        <v>667914</v>
      </c>
      <c r="O436" s="6">
        <v>2609775</v>
      </c>
      <c r="Q436" s="6">
        <v>14249955</v>
      </c>
      <c r="S436" s="6">
        <v>4043594</v>
      </c>
      <c r="U436" s="6">
        <f t="shared" si="94"/>
        <v>415733</v>
      </c>
      <c r="W436" s="6">
        <v>2484095</v>
      </c>
      <c r="Y436" s="6">
        <v>6943422</v>
      </c>
      <c r="Z436" s="6">
        <f t="shared" si="92"/>
        <v>0</v>
      </c>
      <c r="AB436" s="6">
        <f t="shared" si="104"/>
        <v>0</v>
      </c>
    </row>
    <row r="437" spans="1:28" hidden="1">
      <c r="A437" s="11" t="s">
        <v>710</v>
      </c>
      <c r="B437" s="10"/>
      <c r="C437" s="10" t="s">
        <v>467</v>
      </c>
      <c r="E437" s="6">
        <f t="shared" si="95"/>
        <v>0</v>
      </c>
      <c r="K437" s="6">
        <f t="shared" si="98"/>
        <v>0</v>
      </c>
      <c r="U437" s="6">
        <f t="shared" si="94"/>
        <v>0</v>
      </c>
      <c r="Z437" s="6">
        <f t="shared" ref="Z437:Z453" si="105">+I437-Q437-Y437</f>
        <v>0</v>
      </c>
      <c r="AB437" s="6">
        <f t="shared" si="104"/>
        <v>0</v>
      </c>
    </row>
    <row r="438" spans="1:28" hidden="1">
      <c r="A438" s="11" t="s">
        <v>819</v>
      </c>
      <c r="B438" s="10"/>
      <c r="C438" s="10" t="s">
        <v>467</v>
      </c>
      <c r="E438" s="6">
        <f t="shared" si="95"/>
        <v>0</v>
      </c>
      <c r="K438" s="6">
        <f t="shared" si="98"/>
        <v>0</v>
      </c>
      <c r="U438" s="6">
        <f t="shared" si="94"/>
        <v>0</v>
      </c>
      <c r="Z438" s="6">
        <f t="shared" si="105"/>
        <v>0</v>
      </c>
      <c r="AB438" s="6">
        <f t="shared" si="104"/>
        <v>0</v>
      </c>
    </row>
    <row r="439" spans="1:28" hidden="1">
      <c r="A439" s="10" t="s">
        <v>820</v>
      </c>
      <c r="B439" s="10"/>
      <c r="C439" s="10" t="s">
        <v>41</v>
      </c>
      <c r="E439" s="6">
        <f>+I439-G439</f>
        <v>0</v>
      </c>
      <c r="K439" s="6">
        <f t="shared" si="98"/>
        <v>0</v>
      </c>
      <c r="U439" s="6">
        <f t="shared" si="94"/>
        <v>0</v>
      </c>
      <c r="Z439" s="6">
        <f t="shared" si="105"/>
        <v>0</v>
      </c>
      <c r="AB439" s="6">
        <f t="shared" si="104"/>
        <v>0</v>
      </c>
    </row>
    <row r="440" spans="1:28" hidden="1">
      <c r="A440" s="10" t="s">
        <v>784</v>
      </c>
      <c r="B440" s="10"/>
      <c r="C440" s="10" t="s">
        <v>41</v>
      </c>
      <c r="E440" s="6">
        <f t="shared" ref="E440:E448" si="106">+I440-G440</f>
        <v>0</v>
      </c>
      <c r="K440" s="6">
        <f t="shared" si="98"/>
        <v>0</v>
      </c>
      <c r="U440" s="6">
        <f t="shared" si="94"/>
        <v>0</v>
      </c>
      <c r="Z440" s="6">
        <f t="shared" si="105"/>
        <v>0</v>
      </c>
      <c r="AB440" s="6">
        <f t="shared" si="104"/>
        <v>0</v>
      </c>
    </row>
    <row r="441" spans="1:28">
      <c r="A441" s="10" t="s">
        <v>475</v>
      </c>
      <c r="B441" s="10"/>
      <c r="C441" s="10" t="s">
        <v>58</v>
      </c>
      <c r="E441" s="6">
        <f t="shared" si="106"/>
        <v>6219277</v>
      </c>
      <c r="G441" s="6">
        <f>35188+16460573</f>
        <v>16495761</v>
      </c>
      <c r="I441" s="6">
        <v>22715038</v>
      </c>
      <c r="K441" s="6">
        <f t="shared" si="98"/>
        <v>2821292</v>
      </c>
      <c r="M441" s="6">
        <v>233578</v>
      </c>
      <c r="O441" s="6">
        <f>1576249-233578</f>
        <v>1342671</v>
      </c>
      <c r="Q441" s="6">
        <v>4397541</v>
      </c>
      <c r="S441" s="6">
        <v>15282210</v>
      </c>
      <c r="U441" s="6">
        <f t="shared" si="94"/>
        <v>1132499</v>
      </c>
      <c r="W441" s="6">
        <v>1902788</v>
      </c>
      <c r="Y441" s="6">
        <v>18317497</v>
      </c>
      <c r="Z441" s="6">
        <f t="shared" si="105"/>
        <v>0</v>
      </c>
      <c r="AB441" s="6">
        <f t="shared" si="104"/>
        <v>0</v>
      </c>
    </row>
    <row r="442" spans="1:28" hidden="1">
      <c r="A442" s="10" t="s">
        <v>686</v>
      </c>
      <c r="B442" s="10"/>
      <c r="C442" s="10" t="s">
        <v>467</v>
      </c>
      <c r="D442" s="9"/>
      <c r="E442" s="6">
        <f t="shared" si="106"/>
        <v>0</v>
      </c>
      <c r="K442" s="6">
        <f t="shared" si="98"/>
        <v>0</v>
      </c>
      <c r="U442" s="6">
        <f t="shared" si="94"/>
        <v>0</v>
      </c>
      <c r="Z442" s="6">
        <f t="shared" si="105"/>
        <v>0</v>
      </c>
      <c r="AB442" s="6">
        <f t="shared" si="104"/>
        <v>0</v>
      </c>
    </row>
    <row r="443" spans="1:28" hidden="1">
      <c r="A443" s="10" t="s">
        <v>687</v>
      </c>
      <c r="B443" s="10"/>
      <c r="C443" s="10" t="s">
        <v>422</v>
      </c>
      <c r="E443" s="6">
        <f t="shared" si="106"/>
        <v>0</v>
      </c>
      <c r="K443" s="6">
        <f t="shared" si="98"/>
        <v>0</v>
      </c>
      <c r="U443" s="6">
        <f t="shared" si="94"/>
        <v>0</v>
      </c>
      <c r="Z443" s="6">
        <f t="shared" si="105"/>
        <v>0</v>
      </c>
      <c r="AB443" s="6">
        <f t="shared" si="104"/>
        <v>0</v>
      </c>
    </row>
    <row r="444" spans="1:28">
      <c r="A444" s="10" t="s">
        <v>275</v>
      </c>
      <c r="B444" s="10"/>
      <c r="C444" s="10" t="s">
        <v>20</v>
      </c>
      <c r="E444" s="6">
        <f t="shared" si="106"/>
        <v>133435837</v>
      </c>
      <c r="G444" s="6">
        <f>5096730+51462570</f>
        <v>56559300</v>
      </c>
      <c r="I444" s="6">
        <v>189995137</v>
      </c>
      <c r="K444" s="6">
        <f t="shared" si="98"/>
        <v>95930222</v>
      </c>
      <c r="M444" s="6">
        <v>6694790</v>
      </c>
      <c r="O444" s="6">
        <f>43960734-6694790</f>
        <v>37265944</v>
      </c>
      <c r="Q444" s="6">
        <v>139890956</v>
      </c>
      <c r="S444" s="6">
        <v>24299351</v>
      </c>
      <c r="U444" s="6">
        <f t="shared" si="94"/>
        <v>6241191</v>
      </c>
      <c r="W444" s="6">
        <v>19563639</v>
      </c>
      <c r="Y444" s="6">
        <v>50104181</v>
      </c>
      <c r="Z444" s="6">
        <f t="shared" si="105"/>
        <v>0</v>
      </c>
      <c r="AB444" s="6">
        <f t="shared" si="104"/>
        <v>0</v>
      </c>
    </row>
    <row r="445" spans="1:28" s="28" customFormat="1">
      <c r="A445" s="27" t="s">
        <v>347</v>
      </c>
      <c r="B445" s="27"/>
      <c r="C445" s="27" t="s">
        <v>34</v>
      </c>
      <c r="E445" s="6">
        <f t="shared" si="106"/>
        <v>9606690</v>
      </c>
      <c r="F445" s="6"/>
      <c r="G445" s="6">
        <f>592870+13890257</f>
        <v>14483127</v>
      </c>
      <c r="H445" s="6"/>
      <c r="I445" s="6">
        <v>24089817</v>
      </c>
      <c r="J445" s="6"/>
      <c r="K445" s="6">
        <f t="shared" si="98"/>
        <v>6994760</v>
      </c>
      <c r="L445" s="6"/>
      <c r="M445" s="6">
        <v>151333</v>
      </c>
      <c r="N445" s="6"/>
      <c r="O445" s="6">
        <f>5917929-151333</f>
        <v>5766596</v>
      </c>
      <c r="P445" s="6"/>
      <c r="Q445" s="6">
        <v>12912689</v>
      </c>
      <c r="R445" s="6"/>
      <c r="S445" s="6">
        <v>9337708</v>
      </c>
      <c r="T445" s="6"/>
      <c r="U445" s="6">
        <f t="shared" si="94"/>
        <v>1435108</v>
      </c>
      <c r="V445" s="6"/>
      <c r="W445" s="6">
        <v>404312</v>
      </c>
      <c r="X445" s="6"/>
      <c r="Y445" s="6">
        <v>11177128</v>
      </c>
      <c r="Z445" s="6">
        <f t="shared" si="105"/>
        <v>0</v>
      </c>
      <c r="AA445" s="6"/>
      <c r="AB445" s="6">
        <f t="shared" si="104"/>
        <v>0</v>
      </c>
    </row>
    <row r="446" spans="1:28" hidden="1">
      <c r="A446" s="10" t="s">
        <v>775</v>
      </c>
      <c r="B446" s="10"/>
      <c r="C446" s="10" t="s">
        <v>450</v>
      </c>
      <c r="E446" s="6">
        <f t="shared" si="106"/>
        <v>0</v>
      </c>
      <c r="K446" s="6">
        <f t="shared" si="98"/>
        <v>0</v>
      </c>
      <c r="U446" s="6">
        <f t="shared" si="94"/>
        <v>0</v>
      </c>
      <c r="Z446" s="6">
        <f t="shared" si="105"/>
        <v>0</v>
      </c>
      <c r="AB446" s="6">
        <f t="shared" si="104"/>
        <v>0</v>
      </c>
    </row>
    <row r="447" spans="1:28">
      <c r="A447" s="10" t="s">
        <v>289</v>
      </c>
      <c r="B447" s="10"/>
      <c r="C447" s="10" t="s">
        <v>24</v>
      </c>
      <c r="E447" s="6">
        <f t="shared" si="106"/>
        <v>20658084</v>
      </c>
      <c r="G447" s="6">
        <v>10641000</v>
      </c>
      <c r="I447" s="6">
        <v>31299084</v>
      </c>
      <c r="K447" s="6">
        <f t="shared" si="98"/>
        <v>14903270</v>
      </c>
      <c r="M447" s="6">
        <v>961030</v>
      </c>
      <c r="O447" s="6">
        <f>3926383-961030</f>
        <v>2965353</v>
      </c>
      <c r="Q447" s="6">
        <v>18829653</v>
      </c>
      <c r="S447" s="6">
        <v>9247668</v>
      </c>
      <c r="U447" s="6">
        <f t="shared" si="94"/>
        <v>792267</v>
      </c>
      <c r="W447" s="6">
        <v>2429496</v>
      </c>
      <c r="Y447" s="6">
        <v>12469431</v>
      </c>
      <c r="Z447" s="6">
        <f t="shared" si="105"/>
        <v>0</v>
      </c>
      <c r="AB447" s="6">
        <f t="shared" si="104"/>
        <v>0</v>
      </c>
    </row>
    <row r="448" spans="1:28" hidden="1">
      <c r="A448" s="10" t="s">
        <v>688</v>
      </c>
      <c r="B448" s="10"/>
      <c r="C448" s="10" t="s">
        <v>10</v>
      </c>
      <c r="E448" s="6">
        <f t="shared" si="106"/>
        <v>0</v>
      </c>
      <c r="K448" s="6">
        <f t="shared" si="98"/>
        <v>0</v>
      </c>
      <c r="U448" s="6">
        <f t="shared" ref="U448:U511" si="107">Y448-W448-S448</f>
        <v>0</v>
      </c>
      <c r="Z448" s="6">
        <f t="shared" si="105"/>
        <v>0</v>
      </c>
      <c r="AB448" s="6">
        <f t="shared" si="104"/>
        <v>0</v>
      </c>
    </row>
    <row r="449" spans="1:28">
      <c r="A449" s="10" t="s">
        <v>202</v>
      </c>
      <c r="B449" s="10"/>
      <c r="C449" s="10" t="s">
        <v>41</v>
      </c>
      <c r="E449" s="6">
        <f>+I449-G449</f>
        <v>52973071</v>
      </c>
      <c r="G449" s="6">
        <f>1541839+40827909</f>
        <v>42369748</v>
      </c>
      <c r="I449" s="6">
        <v>95342819</v>
      </c>
      <c r="K449" s="6">
        <f t="shared" si="98"/>
        <v>16389268</v>
      </c>
      <c r="M449" s="6">
        <v>815668</v>
      </c>
      <c r="O449" s="6">
        <f>4749308-815668</f>
        <v>3933640</v>
      </c>
      <c r="Q449" s="6">
        <v>21138576</v>
      </c>
      <c r="S449" s="6">
        <v>41064747</v>
      </c>
      <c r="U449" s="6">
        <f t="shared" si="107"/>
        <v>14897927</v>
      </c>
      <c r="W449" s="6">
        <v>18241569</v>
      </c>
      <c r="Y449" s="6">
        <v>74204243</v>
      </c>
      <c r="Z449" s="6">
        <f t="shared" si="105"/>
        <v>0</v>
      </c>
      <c r="AB449" s="6">
        <f t="shared" si="104"/>
        <v>0</v>
      </c>
    </row>
    <row r="450" spans="1:28">
      <c r="A450" s="10" t="s">
        <v>202</v>
      </c>
      <c r="B450" s="10"/>
      <c r="C450" s="10" t="s">
        <v>62</v>
      </c>
      <c r="E450" s="6">
        <f>+I450-G450</f>
        <v>43098475</v>
      </c>
      <c r="G450" s="6">
        <f>1366878+31174117</f>
        <v>32540995</v>
      </c>
      <c r="I450" s="6">
        <v>75639470</v>
      </c>
      <c r="K450" s="6">
        <f t="shared" si="98"/>
        <v>22231676</v>
      </c>
      <c r="M450" s="6">
        <v>475560</v>
      </c>
      <c r="O450" s="6">
        <f>9175906-475560</f>
        <v>8700346</v>
      </c>
      <c r="Q450" s="6">
        <v>31407582</v>
      </c>
      <c r="S450" s="6">
        <v>27354872</v>
      </c>
      <c r="U450" s="6">
        <f t="shared" si="107"/>
        <v>755770</v>
      </c>
      <c r="W450" s="6">
        <v>16121246</v>
      </c>
      <c r="Y450" s="6">
        <v>44231888</v>
      </c>
      <c r="Z450" s="6">
        <f t="shared" si="105"/>
        <v>0</v>
      </c>
      <c r="AB450" s="6">
        <f t="shared" si="104"/>
        <v>0</v>
      </c>
    </row>
    <row r="451" spans="1:28">
      <c r="A451" s="10" t="s">
        <v>776</v>
      </c>
      <c r="B451" s="10"/>
      <c r="C451" s="10" t="s">
        <v>72</v>
      </c>
      <c r="D451" s="9"/>
      <c r="E451" s="6">
        <f>+I451-G451</f>
        <v>36954698</v>
      </c>
      <c r="G451" s="6">
        <v>46552034</v>
      </c>
      <c r="I451" s="6">
        <v>83506732</v>
      </c>
      <c r="K451" s="6">
        <f t="shared" si="98"/>
        <v>29947905</v>
      </c>
      <c r="M451" s="6">
        <v>2870907</v>
      </c>
      <c r="O451" s="6">
        <f>32327114-2870907</f>
        <v>29456207</v>
      </c>
      <c r="Q451" s="6">
        <v>62275019</v>
      </c>
      <c r="S451" s="6">
        <v>19219130</v>
      </c>
      <c r="U451" s="6">
        <f t="shared" si="107"/>
        <v>3599523</v>
      </c>
      <c r="W451" s="6">
        <v>-1586940</v>
      </c>
      <c r="Y451" s="6">
        <v>21231713</v>
      </c>
      <c r="Z451" s="6">
        <f t="shared" si="105"/>
        <v>0</v>
      </c>
      <c r="AB451" s="6">
        <f t="shared" si="104"/>
        <v>0</v>
      </c>
    </row>
    <row r="452" spans="1:28" hidden="1">
      <c r="A452" s="11" t="s">
        <v>896</v>
      </c>
      <c r="B452" s="10"/>
      <c r="C452" s="10" t="s">
        <v>28</v>
      </c>
      <c r="E452" s="6">
        <f>+I452-G452</f>
        <v>0</v>
      </c>
      <c r="K452" s="6">
        <f t="shared" si="98"/>
        <v>0</v>
      </c>
      <c r="U452" s="6">
        <f t="shared" si="107"/>
        <v>0</v>
      </c>
      <c r="Z452" s="6">
        <f t="shared" si="105"/>
        <v>0</v>
      </c>
      <c r="AB452" s="6">
        <f t="shared" si="104"/>
        <v>0</v>
      </c>
    </row>
    <row r="453" spans="1:28">
      <c r="A453" s="10" t="s">
        <v>296</v>
      </c>
      <c r="B453" s="10"/>
      <c r="C453" s="10" t="s">
        <v>25</v>
      </c>
      <c r="E453" s="6">
        <f>+I453-G453</f>
        <v>105717055</v>
      </c>
      <c r="G453" s="6">
        <v>184597909</v>
      </c>
      <c r="I453" s="6">
        <v>290314964</v>
      </c>
      <c r="K453" s="6">
        <f t="shared" si="98"/>
        <v>61550377</v>
      </c>
      <c r="M453" s="6">
        <v>10591263</v>
      </c>
      <c r="O453" s="6">
        <f>156173023-10591263</f>
        <v>145581760</v>
      </c>
      <c r="Q453" s="6">
        <v>217723400</v>
      </c>
      <c r="S453" s="6">
        <v>52603737</v>
      </c>
      <c r="U453" s="6">
        <f t="shared" si="107"/>
        <v>28833119</v>
      </c>
      <c r="W453" s="6">
        <v>-8845292</v>
      </c>
      <c r="Y453" s="6">
        <v>72591564</v>
      </c>
      <c r="Z453" s="6">
        <f t="shared" si="105"/>
        <v>0</v>
      </c>
      <c r="AB453" s="6">
        <f t="shared" si="104"/>
        <v>0</v>
      </c>
    </row>
    <row r="454" spans="1:28" hidden="1">
      <c r="A454" s="11" t="s">
        <v>821</v>
      </c>
      <c r="B454" s="11"/>
      <c r="C454" s="11" t="s">
        <v>28</v>
      </c>
      <c r="E454" s="6">
        <f t="shared" ref="E454:E487" si="108">+I454-G454</f>
        <v>0</v>
      </c>
      <c r="K454" s="6">
        <f t="shared" si="98"/>
        <v>0</v>
      </c>
      <c r="U454" s="6">
        <f t="shared" si="107"/>
        <v>0</v>
      </c>
      <c r="Z454" s="6">
        <f t="shared" ref="Z454:Z524" si="109">+I454-Q454-Y454</f>
        <v>0</v>
      </c>
      <c r="AB454" s="6">
        <f t="shared" ref="AB454:AB521" si="110">+E454+G454+-K454-M454-S454-U454-W454-O454</f>
        <v>0</v>
      </c>
    </row>
    <row r="455" spans="1:28" ht="11.25" customHeight="1">
      <c r="A455" s="10" t="s">
        <v>425</v>
      </c>
      <c r="B455" s="10"/>
      <c r="C455" s="10" t="s">
        <v>48</v>
      </c>
      <c r="E455" s="6">
        <f t="shared" si="108"/>
        <v>86174776</v>
      </c>
      <c r="G455" s="6">
        <f>4400752+24951441</f>
        <v>29352193</v>
      </c>
      <c r="I455" s="6">
        <v>115526969</v>
      </c>
      <c r="K455" s="6">
        <f t="shared" si="98"/>
        <v>14396980</v>
      </c>
      <c r="M455" s="6">
        <v>1857701</v>
      </c>
      <c r="O455" s="6">
        <f>42604222-1857701</f>
        <v>40746521</v>
      </c>
      <c r="Q455" s="6">
        <v>57001202</v>
      </c>
      <c r="S455" s="6">
        <v>19340046</v>
      </c>
      <c r="U455" s="6">
        <f t="shared" si="107"/>
        <v>30221628</v>
      </c>
      <c r="W455" s="6">
        <v>8964093</v>
      </c>
      <c r="Y455" s="6">
        <v>58525767</v>
      </c>
      <c r="Z455" s="6">
        <f t="shared" si="109"/>
        <v>0</v>
      </c>
      <c r="AB455" s="6">
        <f t="shared" si="110"/>
        <v>0</v>
      </c>
    </row>
    <row r="456" spans="1:28">
      <c r="A456" s="10" t="s">
        <v>306</v>
      </c>
      <c r="B456" s="10"/>
      <c r="C456" s="10" t="s">
        <v>62</v>
      </c>
      <c r="E456" s="6">
        <f t="shared" si="108"/>
        <v>48470730</v>
      </c>
      <c r="G456" s="6">
        <v>62964606</v>
      </c>
      <c r="I456" s="6">
        <v>111435336</v>
      </c>
      <c r="K456" s="6">
        <f t="shared" si="98"/>
        <v>33951012</v>
      </c>
      <c r="M456" s="6">
        <v>2534391</v>
      </c>
      <c r="O456" s="6">
        <f>54593578-2534391</f>
        <v>52059187</v>
      </c>
      <c r="Q456" s="6">
        <v>88544590</v>
      </c>
      <c r="S456" s="6">
        <v>12319064</v>
      </c>
      <c r="U456" s="6">
        <f t="shared" si="107"/>
        <v>4779449</v>
      </c>
      <c r="W456" s="6">
        <v>5792233</v>
      </c>
      <c r="Y456" s="6">
        <v>22890746</v>
      </c>
      <c r="Z456" s="6">
        <f>+I456-Q456-Y456</f>
        <v>0</v>
      </c>
      <c r="AB456" s="6">
        <f t="shared" si="110"/>
        <v>0</v>
      </c>
    </row>
    <row r="457" spans="1:28">
      <c r="A457" s="10" t="s">
        <v>411</v>
      </c>
      <c r="B457" s="10"/>
      <c r="C457" s="10" t="s">
        <v>46</v>
      </c>
      <c r="E457" s="6">
        <f t="shared" si="108"/>
        <v>8664961</v>
      </c>
      <c r="G457" s="6">
        <f>416997+6539913</f>
        <v>6956910</v>
      </c>
      <c r="I457" s="6">
        <v>15621871</v>
      </c>
      <c r="K457" s="6">
        <f t="shared" si="98"/>
        <v>3384468</v>
      </c>
      <c r="M457" s="6">
        <v>311657</v>
      </c>
      <c r="O457" s="6">
        <f>2430594-311657</f>
        <v>2118937</v>
      </c>
      <c r="Q457" s="6">
        <v>5815062</v>
      </c>
      <c r="S457" s="6">
        <v>5224330</v>
      </c>
      <c r="U457" s="6">
        <f t="shared" si="107"/>
        <v>758714</v>
      </c>
      <c r="W457" s="6">
        <v>3823765</v>
      </c>
      <c r="Y457" s="6">
        <v>9806809</v>
      </c>
      <c r="Z457" s="6">
        <f t="shared" si="109"/>
        <v>0</v>
      </c>
      <c r="AB457" s="6">
        <f t="shared" si="110"/>
        <v>0</v>
      </c>
    </row>
    <row r="458" spans="1:28">
      <c r="A458" s="10" t="s">
        <v>471</v>
      </c>
      <c r="B458" s="10"/>
      <c r="C458" s="10" t="s">
        <v>110</v>
      </c>
      <c r="E458" s="6">
        <f t="shared" si="108"/>
        <v>6609240</v>
      </c>
      <c r="G458" s="6">
        <v>18952552</v>
      </c>
      <c r="I458" s="6">
        <v>25561792</v>
      </c>
      <c r="K458" s="6">
        <f t="shared" si="98"/>
        <v>2284226</v>
      </c>
      <c r="M458" s="6">
        <v>189838</v>
      </c>
      <c r="O458" s="6">
        <f>2328783-189838</f>
        <v>2138945</v>
      </c>
      <c r="Q458" s="6">
        <v>4613009</v>
      </c>
      <c r="S458" s="6">
        <v>17397219</v>
      </c>
      <c r="U458" s="6">
        <f t="shared" si="107"/>
        <v>1178810</v>
      </c>
      <c r="W458" s="6">
        <v>2372754</v>
      </c>
      <c r="Y458" s="6">
        <v>20948783</v>
      </c>
      <c r="Z458" s="6">
        <f t="shared" si="109"/>
        <v>0</v>
      </c>
      <c r="AB458" s="6">
        <f t="shared" si="110"/>
        <v>0</v>
      </c>
    </row>
    <row r="459" spans="1:28">
      <c r="A459" s="10" t="s">
        <v>724</v>
      </c>
      <c r="B459" s="10"/>
      <c r="C459" s="10" t="s">
        <v>45</v>
      </c>
      <c r="E459" s="6">
        <f t="shared" si="108"/>
        <v>16382531</v>
      </c>
      <c r="G459" s="6">
        <f>304780+13606935</f>
        <v>13911715</v>
      </c>
      <c r="I459" s="6">
        <v>30294246</v>
      </c>
      <c r="K459" s="6">
        <f t="shared" si="98"/>
        <v>14968016</v>
      </c>
      <c r="M459" s="6">
        <v>1100307</v>
      </c>
      <c r="O459" s="6">
        <f>12887137-1100307</f>
        <v>11786830</v>
      </c>
      <c r="Q459" s="6">
        <v>27855153</v>
      </c>
      <c r="S459" s="6">
        <v>2282089</v>
      </c>
      <c r="U459" s="6">
        <f t="shared" si="107"/>
        <v>1586707</v>
      </c>
      <c r="W459" s="6">
        <v>-1429703</v>
      </c>
      <c r="Y459" s="6">
        <v>2439093</v>
      </c>
      <c r="Z459" s="6">
        <f t="shared" si="109"/>
        <v>0</v>
      </c>
      <c r="AB459" s="6">
        <f t="shared" si="110"/>
        <v>0</v>
      </c>
    </row>
    <row r="460" spans="1:28" hidden="1">
      <c r="A460" s="10" t="s">
        <v>822</v>
      </c>
      <c r="B460" s="10"/>
      <c r="C460" s="10" t="s">
        <v>53</v>
      </c>
      <c r="E460" s="6">
        <f t="shared" si="108"/>
        <v>0</v>
      </c>
      <c r="K460" s="6">
        <f t="shared" si="98"/>
        <v>0</v>
      </c>
      <c r="U460" s="6">
        <f t="shared" si="107"/>
        <v>0</v>
      </c>
      <c r="Z460" s="6">
        <f t="shared" si="109"/>
        <v>0</v>
      </c>
      <c r="AB460" s="6">
        <f t="shared" si="110"/>
        <v>0</v>
      </c>
    </row>
    <row r="461" spans="1:28">
      <c r="A461" s="10" t="s">
        <v>484</v>
      </c>
      <c r="B461" s="10"/>
      <c r="C461" s="10" t="s">
        <v>59</v>
      </c>
      <c r="E461" s="6">
        <f t="shared" si="108"/>
        <v>14833222</v>
      </c>
      <c r="G461" s="6">
        <f>7930056+49194795</f>
        <v>57124851</v>
      </c>
      <c r="I461" s="6">
        <v>71958073</v>
      </c>
      <c r="K461" s="6">
        <f t="shared" si="98"/>
        <v>7520664</v>
      </c>
      <c r="M461" s="6">
        <v>960063</v>
      </c>
      <c r="O461" s="6">
        <f>14835834-960063</f>
        <v>13875771</v>
      </c>
      <c r="Q461" s="6">
        <v>22356498</v>
      </c>
      <c r="S461" s="6">
        <v>44161654</v>
      </c>
      <c r="U461" s="6">
        <f t="shared" si="107"/>
        <v>4747385</v>
      </c>
      <c r="W461" s="6">
        <v>692536</v>
      </c>
      <c r="Y461" s="6">
        <v>49601575</v>
      </c>
      <c r="Z461" s="6">
        <f t="shared" si="109"/>
        <v>0</v>
      </c>
      <c r="AB461" s="6">
        <f t="shared" si="110"/>
        <v>0</v>
      </c>
    </row>
    <row r="462" spans="1:28" hidden="1">
      <c r="A462" s="10" t="s">
        <v>689</v>
      </c>
      <c r="B462" s="10"/>
      <c r="C462" s="10" t="s">
        <v>57</v>
      </c>
      <c r="E462" s="6">
        <f t="shared" si="108"/>
        <v>0</v>
      </c>
      <c r="K462" s="6">
        <f t="shared" si="98"/>
        <v>0</v>
      </c>
      <c r="U462" s="6">
        <f t="shared" si="107"/>
        <v>0</v>
      </c>
      <c r="Z462" s="6">
        <f t="shared" si="109"/>
        <v>0</v>
      </c>
      <c r="AB462" s="6">
        <f t="shared" si="110"/>
        <v>0</v>
      </c>
    </row>
    <row r="463" spans="1:28">
      <c r="A463" s="10" t="s">
        <v>329</v>
      </c>
      <c r="B463" s="10"/>
      <c r="C463" s="10" t="s">
        <v>32</v>
      </c>
      <c r="E463" s="6">
        <f t="shared" si="108"/>
        <v>194322327</v>
      </c>
      <c r="G463" s="6">
        <f>32478659+84081915</f>
        <v>116560574</v>
      </c>
      <c r="I463" s="6">
        <v>310882901</v>
      </c>
      <c r="K463" s="6">
        <f t="shared" si="98"/>
        <v>52558181</v>
      </c>
      <c r="M463" s="6">
        <v>3394849</v>
      </c>
      <c r="O463" s="6">
        <f>227790206-3394849</f>
        <v>224395357</v>
      </c>
      <c r="Q463" s="6">
        <v>280348387</v>
      </c>
      <c r="S463" s="6">
        <v>1231465</v>
      </c>
      <c r="U463" s="6">
        <f t="shared" si="107"/>
        <v>9946127</v>
      </c>
      <c r="W463" s="6">
        <v>19356922</v>
      </c>
      <c r="Y463" s="6">
        <v>30534514</v>
      </c>
      <c r="Z463" s="6">
        <f t="shared" si="109"/>
        <v>0</v>
      </c>
      <c r="AB463" s="6">
        <f t="shared" si="110"/>
        <v>0</v>
      </c>
    </row>
    <row r="464" spans="1:28" hidden="1">
      <c r="A464" s="10" t="s">
        <v>823</v>
      </c>
      <c r="B464" s="11"/>
      <c r="C464" s="11" t="s">
        <v>53</v>
      </c>
      <c r="E464" s="6">
        <f t="shared" ref="E464" si="111">+I464-G464</f>
        <v>0</v>
      </c>
      <c r="K464" s="6">
        <f t="shared" ref="K464" si="112">+Q464-M464-O464</f>
        <v>0</v>
      </c>
      <c r="U464" s="6">
        <f t="shared" ref="U464" si="113">Y464-W464-S464</f>
        <v>0</v>
      </c>
      <c r="Z464" s="6">
        <f t="shared" ref="Z464" si="114">+I464-Q464-Y464</f>
        <v>0</v>
      </c>
      <c r="AB464" s="6">
        <f t="shared" ref="AB464" si="115">+E464+G464+-K464-M464-S464-U464-W464-O464</f>
        <v>0</v>
      </c>
    </row>
    <row r="465" spans="1:28" hidden="1">
      <c r="A465" s="10" t="s">
        <v>824</v>
      </c>
      <c r="B465" s="10"/>
      <c r="C465" s="10" t="s">
        <v>12</v>
      </c>
      <c r="E465" s="6">
        <f t="shared" si="108"/>
        <v>0</v>
      </c>
      <c r="K465" s="6">
        <f t="shared" si="98"/>
        <v>0</v>
      </c>
      <c r="U465" s="6">
        <f t="shared" si="107"/>
        <v>0</v>
      </c>
      <c r="Z465" s="6">
        <f t="shared" si="109"/>
        <v>0</v>
      </c>
      <c r="AB465" s="6">
        <f t="shared" si="110"/>
        <v>0</v>
      </c>
    </row>
    <row r="466" spans="1:28">
      <c r="A466" s="10" t="s">
        <v>632</v>
      </c>
      <c r="B466" s="10"/>
      <c r="C466" s="10" t="s">
        <v>56</v>
      </c>
      <c r="E466" s="6">
        <f t="shared" si="108"/>
        <v>18702869</v>
      </c>
      <c r="G466" s="6">
        <v>36441690</v>
      </c>
      <c r="I466" s="6">
        <v>55144559</v>
      </c>
      <c r="K466" s="6">
        <f t="shared" si="98"/>
        <v>14449321</v>
      </c>
      <c r="M466" s="6">
        <v>1335782</v>
      </c>
      <c r="O466" s="6">
        <f>22576574-1335782</f>
        <v>21240792</v>
      </c>
      <c r="Q466" s="6">
        <v>37025895</v>
      </c>
      <c r="S466" s="6">
        <v>18600487</v>
      </c>
      <c r="U466" s="6">
        <f t="shared" si="107"/>
        <v>3306299</v>
      </c>
      <c r="W466" s="6">
        <v>-3788122</v>
      </c>
      <c r="Y466" s="6">
        <v>18118664</v>
      </c>
      <c r="Z466" s="6">
        <f t="shared" si="109"/>
        <v>0</v>
      </c>
      <c r="AB466" s="6">
        <f t="shared" si="110"/>
        <v>0</v>
      </c>
    </row>
    <row r="467" spans="1:28">
      <c r="A467" s="10" t="s">
        <v>330</v>
      </c>
      <c r="B467" s="10"/>
      <c r="C467" s="10" t="s">
        <v>32</v>
      </c>
      <c r="E467" s="6">
        <f t="shared" si="108"/>
        <v>11088428</v>
      </c>
      <c r="G467" s="6">
        <f>419344+1904210</f>
        <v>2323554</v>
      </c>
      <c r="I467" s="6">
        <v>13411982</v>
      </c>
      <c r="K467" s="6">
        <f t="shared" si="98"/>
        <v>5021114</v>
      </c>
      <c r="M467" s="6">
        <v>107420</v>
      </c>
      <c r="O467" s="6">
        <f>1424779-107420</f>
        <v>1317359</v>
      </c>
      <c r="Q467" s="6">
        <v>6445893</v>
      </c>
      <c r="S467" s="6">
        <v>2085268</v>
      </c>
      <c r="U467" s="6">
        <f t="shared" si="107"/>
        <v>510632</v>
      </c>
      <c r="W467" s="6">
        <v>4370189</v>
      </c>
      <c r="Y467" s="6">
        <v>6966089</v>
      </c>
      <c r="Z467" s="6">
        <f t="shared" si="109"/>
        <v>0</v>
      </c>
      <c r="AB467" s="6">
        <f t="shared" si="110"/>
        <v>0</v>
      </c>
    </row>
    <row r="468" spans="1:28">
      <c r="A468" s="10" t="s">
        <v>513</v>
      </c>
      <c r="B468" s="10"/>
      <c r="C468" s="10" t="s">
        <v>63</v>
      </c>
      <c r="E468" s="6">
        <f t="shared" si="108"/>
        <v>51483567</v>
      </c>
      <c r="G468" s="6">
        <f>1737052+14459917</f>
        <v>16196969</v>
      </c>
      <c r="I468" s="6">
        <v>67680536</v>
      </c>
      <c r="K468" s="6">
        <f t="shared" si="98"/>
        <v>30618477</v>
      </c>
      <c r="M468" s="6">
        <v>1428496</v>
      </c>
      <c r="O468" s="6">
        <f>12051709-1428496</f>
        <v>10623213</v>
      </c>
      <c r="Q468" s="6">
        <v>42670186</v>
      </c>
      <c r="S468" s="6">
        <v>7544111</v>
      </c>
      <c r="U468" s="6">
        <f t="shared" si="107"/>
        <v>4986693</v>
      </c>
      <c r="W468" s="6">
        <v>12479546</v>
      </c>
      <c r="Y468" s="6">
        <v>25010350</v>
      </c>
      <c r="Z468" s="6">
        <f t="shared" si="109"/>
        <v>0</v>
      </c>
      <c r="AB468" s="6">
        <f t="shared" si="110"/>
        <v>0</v>
      </c>
    </row>
    <row r="469" spans="1:28" hidden="1">
      <c r="A469" s="10" t="s">
        <v>825</v>
      </c>
      <c r="B469" s="10"/>
      <c r="C469" s="10" t="s">
        <v>27</v>
      </c>
      <c r="D469" s="9"/>
      <c r="E469" s="6">
        <f t="shared" si="108"/>
        <v>0</v>
      </c>
      <c r="K469" s="6">
        <f t="shared" si="98"/>
        <v>0</v>
      </c>
      <c r="U469" s="6">
        <f t="shared" si="107"/>
        <v>0</v>
      </c>
      <c r="Z469" s="6">
        <f t="shared" si="109"/>
        <v>0</v>
      </c>
      <c r="AB469" s="6">
        <f t="shared" si="110"/>
        <v>0</v>
      </c>
    </row>
    <row r="470" spans="1:28">
      <c r="A470" s="10" t="s">
        <v>276</v>
      </c>
      <c r="B470" s="10"/>
      <c r="C470" s="10" t="s">
        <v>20</v>
      </c>
      <c r="E470" s="6">
        <f t="shared" si="108"/>
        <v>13186552</v>
      </c>
      <c r="G470" s="6">
        <f>311214+672877</f>
        <v>984091</v>
      </c>
      <c r="I470" s="6">
        <v>14170643</v>
      </c>
      <c r="K470" s="6">
        <f t="shared" si="98"/>
        <v>9003834</v>
      </c>
      <c r="M470" s="6">
        <v>95387</v>
      </c>
      <c r="O470" s="6">
        <f>1109456-95387</f>
        <v>1014069</v>
      </c>
      <c r="Q470" s="6">
        <v>10113290</v>
      </c>
      <c r="S470" s="6">
        <v>86844</v>
      </c>
      <c r="U470" s="6">
        <f t="shared" si="107"/>
        <v>144345</v>
      </c>
      <c r="W470" s="6">
        <v>3826164</v>
      </c>
      <c r="Y470" s="6">
        <v>4057353</v>
      </c>
      <c r="Z470" s="6">
        <f t="shared" si="109"/>
        <v>0</v>
      </c>
      <c r="AB470" s="6">
        <f t="shared" si="110"/>
        <v>0</v>
      </c>
    </row>
    <row r="471" spans="1:28">
      <c r="A471" s="10" t="s">
        <v>412</v>
      </c>
      <c r="B471" s="10"/>
      <c r="C471" s="10" t="s">
        <v>46</v>
      </c>
      <c r="E471" s="6">
        <f t="shared" si="108"/>
        <v>6499922</v>
      </c>
      <c r="G471" s="6">
        <f>50442+1771320</f>
        <v>1821762</v>
      </c>
      <c r="I471" s="6">
        <v>8321684</v>
      </c>
      <c r="K471" s="6">
        <f t="shared" si="98"/>
        <v>2559155</v>
      </c>
      <c r="M471" s="6">
        <v>109316</v>
      </c>
      <c r="O471" s="6">
        <f>417342-109316</f>
        <v>308026</v>
      </c>
      <c r="Q471" s="6">
        <v>2976497</v>
      </c>
      <c r="S471" s="6">
        <v>1713293</v>
      </c>
      <c r="U471" s="6">
        <f t="shared" si="107"/>
        <v>146637</v>
      </c>
      <c r="W471" s="6">
        <v>3485257</v>
      </c>
      <c r="Y471" s="6">
        <v>5345187</v>
      </c>
      <c r="Z471" s="6">
        <f t="shared" si="109"/>
        <v>0</v>
      </c>
      <c r="AB471" s="6">
        <f t="shared" si="110"/>
        <v>0</v>
      </c>
    </row>
    <row r="472" spans="1:28" hidden="1">
      <c r="A472" s="11" t="s">
        <v>897</v>
      </c>
      <c r="B472" s="10"/>
      <c r="C472" s="10" t="s">
        <v>339</v>
      </c>
      <c r="E472" s="6">
        <f t="shared" si="108"/>
        <v>0</v>
      </c>
      <c r="K472" s="6">
        <f t="shared" si="98"/>
        <v>0</v>
      </c>
      <c r="U472" s="6">
        <f t="shared" si="107"/>
        <v>0</v>
      </c>
      <c r="Z472" s="6">
        <f t="shared" si="109"/>
        <v>0</v>
      </c>
      <c r="AB472" s="6">
        <f t="shared" si="110"/>
        <v>0</v>
      </c>
    </row>
    <row r="473" spans="1:28">
      <c r="A473" s="10" t="s">
        <v>254</v>
      </c>
      <c r="B473" s="10"/>
      <c r="C473" s="10" t="s">
        <v>19</v>
      </c>
      <c r="E473" s="6">
        <f t="shared" si="108"/>
        <v>8536730</v>
      </c>
      <c r="G473" s="6">
        <v>15253968</v>
      </c>
      <c r="I473" s="6">
        <v>23790698</v>
      </c>
      <c r="K473" s="6">
        <f t="shared" si="98"/>
        <v>3725350</v>
      </c>
      <c r="M473" s="6">
        <v>331840</v>
      </c>
      <c r="O473" s="6">
        <f>3739156-331840</f>
        <v>3407316</v>
      </c>
      <c r="Q473" s="6">
        <v>7464506</v>
      </c>
      <c r="S473" s="6">
        <v>12555457</v>
      </c>
      <c r="U473" s="6">
        <f t="shared" si="107"/>
        <v>1509206</v>
      </c>
      <c r="W473" s="6">
        <v>2261529</v>
      </c>
      <c r="Y473" s="6">
        <v>16326192</v>
      </c>
      <c r="Z473" s="6">
        <f t="shared" si="109"/>
        <v>0</v>
      </c>
      <c r="AB473" s="6">
        <f t="shared" si="110"/>
        <v>0</v>
      </c>
    </row>
    <row r="474" spans="1:28" hidden="1">
      <c r="A474" s="10" t="s">
        <v>826</v>
      </c>
      <c r="B474" s="10"/>
      <c r="C474" s="10" t="s">
        <v>77</v>
      </c>
      <c r="E474" s="6">
        <f t="shared" si="108"/>
        <v>0</v>
      </c>
      <c r="K474" s="6">
        <f t="shared" si="98"/>
        <v>0</v>
      </c>
      <c r="U474" s="6">
        <f t="shared" si="107"/>
        <v>0</v>
      </c>
      <c r="Z474" s="6">
        <f t="shared" si="109"/>
        <v>0</v>
      </c>
      <c r="AB474" s="6">
        <f t="shared" si="110"/>
        <v>0</v>
      </c>
    </row>
    <row r="475" spans="1:28" hidden="1">
      <c r="A475" s="10" t="s">
        <v>827</v>
      </c>
      <c r="B475" s="10"/>
      <c r="C475" s="10" t="s">
        <v>71</v>
      </c>
      <c r="E475" s="6">
        <f t="shared" si="108"/>
        <v>0</v>
      </c>
      <c r="K475" s="6">
        <f t="shared" si="98"/>
        <v>0</v>
      </c>
      <c r="U475" s="6">
        <f t="shared" si="107"/>
        <v>0</v>
      </c>
      <c r="Z475" s="6">
        <f t="shared" si="109"/>
        <v>0</v>
      </c>
      <c r="AB475" s="6">
        <f t="shared" si="110"/>
        <v>0</v>
      </c>
    </row>
    <row r="476" spans="1:28">
      <c r="A476" s="10" t="s">
        <v>413</v>
      </c>
      <c r="B476" s="10"/>
      <c r="C476" s="10" t="s">
        <v>46</v>
      </c>
      <c r="E476" s="6">
        <f t="shared" si="108"/>
        <v>12670013</v>
      </c>
      <c r="G476" s="6">
        <f>971089+36010837</f>
        <v>36981926</v>
      </c>
      <c r="I476" s="6">
        <v>49651939</v>
      </c>
      <c r="K476" s="6">
        <f t="shared" si="98"/>
        <v>5678256</v>
      </c>
      <c r="M476" s="6">
        <v>1046237</v>
      </c>
      <c r="O476" s="6">
        <f>14441706-1046237</f>
        <v>13395469</v>
      </c>
      <c r="Q476" s="6">
        <v>20119962</v>
      </c>
      <c r="S476" s="6">
        <v>23728546</v>
      </c>
      <c r="U476" s="6">
        <f t="shared" si="107"/>
        <v>2895622</v>
      </c>
      <c r="W476" s="6">
        <v>2907809</v>
      </c>
      <c r="Y476" s="6">
        <v>29531977</v>
      </c>
      <c r="Z476" s="6">
        <f t="shared" si="109"/>
        <v>0</v>
      </c>
      <c r="AB476" s="6">
        <f t="shared" si="110"/>
        <v>0</v>
      </c>
    </row>
    <row r="477" spans="1:28">
      <c r="A477" s="10" t="s">
        <v>255</v>
      </c>
      <c r="B477" s="10"/>
      <c r="C477" s="10" t="s">
        <v>19</v>
      </c>
      <c r="E477" s="6">
        <f t="shared" si="108"/>
        <v>19818442</v>
      </c>
      <c r="G477" s="6">
        <f>478659+6120013</f>
        <v>6598672</v>
      </c>
      <c r="I477" s="6">
        <v>26417114</v>
      </c>
      <c r="K477" s="6">
        <f t="shared" si="98"/>
        <v>10941230</v>
      </c>
      <c r="M477" s="6">
        <v>325404</v>
      </c>
      <c r="O477" s="6">
        <f>2036358-325404</f>
        <v>1710954</v>
      </c>
      <c r="Q477" s="6">
        <v>12977588</v>
      </c>
      <c r="S477" s="6">
        <v>5413862</v>
      </c>
      <c r="U477" s="6">
        <f t="shared" si="107"/>
        <v>2354219</v>
      </c>
      <c r="W477" s="6">
        <v>5671445</v>
      </c>
      <c r="Y477" s="6">
        <v>13439526</v>
      </c>
      <c r="Z477" s="6">
        <f t="shared" si="109"/>
        <v>0</v>
      </c>
      <c r="AB477" s="6">
        <f t="shared" si="110"/>
        <v>0</v>
      </c>
    </row>
    <row r="478" spans="1:28" hidden="1">
      <c r="A478" s="10" t="s">
        <v>828</v>
      </c>
      <c r="B478" s="10"/>
      <c r="C478" s="10" t="s">
        <v>339</v>
      </c>
      <c r="E478" s="6">
        <f t="shared" si="108"/>
        <v>0</v>
      </c>
      <c r="K478" s="6">
        <f t="shared" si="98"/>
        <v>0</v>
      </c>
      <c r="U478" s="6">
        <f t="shared" si="107"/>
        <v>0</v>
      </c>
      <c r="Z478" s="6">
        <f t="shared" si="109"/>
        <v>0</v>
      </c>
      <c r="AB478" s="6">
        <f t="shared" si="110"/>
        <v>0</v>
      </c>
    </row>
    <row r="479" spans="1:28">
      <c r="A479" s="10" t="s">
        <v>379</v>
      </c>
      <c r="B479" s="10"/>
      <c r="C479" s="10" t="s">
        <v>41</v>
      </c>
      <c r="E479" s="28">
        <f t="shared" si="108"/>
        <v>33751827</v>
      </c>
      <c r="F479" s="28"/>
      <c r="G479" s="28">
        <f>3126880+13651118</f>
        <v>16777998</v>
      </c>
      <c r="H479" s="28"/>
      <c r="I479" s="28">
        <v>50529825</v>
      </c>
      <c r="J479" s="28"/>
      <c r="K479" s="28">
        <f t="shared" ref="K479:K541" si="116">+Q479-M479-O479</f>
        <v>29573767</v>
      </c>
      <c r="L479" s="28"/>
      <c r="M479" s="28">
        <v>1438355</v>
      </c>
      <c r="N479" s="28"/>
      <c r="O479" s="28">
        <f>6874216-1438355</f>
        <v>5435861</v>
      </c>
      <c r="P479" s="28"/>
      <c r="Q479" s="28">
        <v>36447983</v>
      </c>
      <c r="R479" s="28"/>
      <c r="S479" s="28">
        <v>13240100</v>
      </c>
      <c r="T479" s="28"/>
      <c r="U479" s="28">
        <f t="shared" si="107"/>
        <v>2603191</v>
      </c>
      <c r="V479" s="28"/>
      <c r="W479" s="28">
        <v>-1761449</v>
      </c>
      <c r="X479" s="28"/>
      <c r="Y479" s="28">
        <v>14081842</v>
      </c>
      <c r="Z479" s="6">
        <f t="shared" si="109"/>
        <v>0</v>
      </c>
      <c r="AB479" s="6">
        <f t="shared" si="110"/>
        <v>0</v>
      </c>
    </row>
    <row r="480" spans="1:28">
      <c r="A480" s="10" t="s">
        <v>379</v>
      </c>
      <c r="B480" s="10"/>
      <c r="C480" s="10" t="s">
        <v>43</v>
      </c>
      <c r="E480" s="6">
        <f t="shared" si="108"/>
        <v>3494906</v>
      </c>
      <c r="G480" s="6">
        <v>10959421</v>
      </c>
      <c r="I480" s="6">
        <v>14454327</v>
      </c>
      <c r="K480" s="6">
        <f t="shared" si="116"/>
        <v>2091668</v>
      </c>
      <c r="M480" s="6">
        <v>313094</v>
      </c>
      <c r="O480" s="6">
        <f>2355259-313094</f>
        <v>2042165</v>
      </c>
      <c r="Q480" s="6">
        <v>4446927</v>
      </c>
      <c r="S480" s="6">
        <v>9468043</v>
      </c>
      <c r="U480" s="6">
        <f t="shared" si="107"/>
        <v>703154</v>
      </c>
      <c r="W480" s="6">
        <v>-163797</v>
      </c>
      <c r="Y480" s="6">
        <v>10007400</v>
      </c>
      <c r="Z480" s="6">
        <f t="shared" si="109"/>
        <v>0</v>
      </c>
      <c r="AB480" s="6">
        <f t="shared" si="110"/>
        <v>0</v>
      </c>
    </row>
    <row r="481" spans="1:28">
      <c r="A481" s="10" t="s">
        <v>370</v>
      </c>
      <c r="B481" s="10"/>
      <c r="C481" s="10" t="s">
        <v>366</v>
      </c>
      <c r="E481" s="6">
        <f t="shared" si="108"/>
        <v>14006695</v>
      </c>
      <c r="G481" s="6">
        <f>1489630+32287310</f>
        <v>33776940</v>
      </c>
      <c r="I481" s="6">
        <v>47783635</v>
      </c>
      <c r="K481" s="6">
        <f t="shared" si="116"/>
        <v>4427772</v>
      </c>
      <c r="M481" s="6">
        <v>353416</v>
      </c>
      <c r="O481" s="6">
        <f>4042718-353416</f>
        <v>3689302</v>
      </c>
      <c r="Q481" s="6">
        <v>8470490</v>
      </c>
      <c r="S481" s="6">
        <v>33104967</v>
      </c>
      <c r="U481" s="6">
        <f t="shared" si="107"/>
        <v>4752814</v>
      </c>
      <c r="W481" s="6">
        <v>1455364</v>
      </c>
      <c r="Y481" s="6">
        <v>39313145</v>
      </c>
      <c r="Z481" s="6">
        <f t="shared" si="109"/>
        <v>0</v>
      </c>
      <c r="AB481" s="6">
        <f t="shared" si="110"/>
        <v>0</v>
      </c>
    </row>
    <row r="482" spans="1:28">
      <c r="A482" s="11" t="s">
        <v>713</v>
      </c>
      <c r="B482" s="10"/>
      <c r="C482" s="10" t="s">
        <v>20</v>
      </c>
      <c r="E482" s="6">
        <f t="shared" si="108"/>
        <v>59007891</v>
      </c>
      <c r="G482" s="6">
        <v>42633864</v>
      </c>
      <c r="I482" s="6">
        <v>101641755</v>
      </c>
      <c r="K482" s="6">
        <f t="shared" si="116"/>
        <v>31014969</v>
      </c>
      <c r="M482" s="6">
        <v>2549395</v>
      </c>
      <c r="O482" s="6">
        <f>58240507-2549395</f>
        <v>55691112</v>
      </c>
      <c r="Q482" s="6">
        <v>89255476</v>
      </c>
      <c r="S482" s="6">
        <v>10079587</v>
      </c>
      <c r="U482" s="6">
        <f t="shared" si="107"/>
        <v>2925573</v>
      </c>
      <c r="W482" s="6">
        <v>-618881</v>
      </c>
      <c r="Y482" s="6">
        <v>12386279</v>
      </c>
      <c r="Z482" s="6">
        <f t="shared" si="109"/>
        <v>0</v>
      </c>
      <c r="AB482" s="6">
        <f t="shared" si="110"/>
        <v>0</v>
      </c>
    </row>
    <row r="483" spans="1:28">
      <c r="A483" s="10" t="s">
        <v>321</v>
      </c>
      <c r="B483" s="10"/>
      <c r="C483" s="10" t="s">
        <v>31</v>
      </c>
      <c r="E483" s="6">
        <f t="shared" si="108"/>
        <v>12197755</v>
      </c>
      <c r="G483" s="6">
        <f>214502+12174340</f>
        <v>12388842</v>
      </c>
      <c r="I483" s="6">
        <v>24586597</v>
      </c>
      <c r="K483" s="6">
        <f t="shared" si="116"/>
        <v>5687164</v>
      </c>
      <c r="M483" s="6">
        <v>184145</v>
      </c>
      <c r="O483" s="6">
        <f>1704452-184145</f>
        <v>1520307</v>
      </c>
      <c r="Q483" s="6">
        <v>7391616</v>
      </c>
      <c r="S483" s="6">
        <v>11771018</v>
      </c>
      <c r="U483" s="6">
        <f t="shared" si="107"/>
        <v>992273</v>
      </c>
      <c r="W483" s="6">
        <v>4431690</v>
      </c>
      <c r="Y483" s="6">
        <v>17194981</v>
      </c>
      <c r="Z483" s="6">
        <f t="shared" si="109"/>
        <v>0</v>
      </c>
      <c r="AB483" s="6">
        <f t="shared" si="110"/>
        <v>0</v>
      </c>
    </row>
    <row r="484" spans="1:28">
      <c r="A484" s="10" t="s">
        <v>462</v>
      </c>
      <c r="B484" s="10"/>
      <c r="C484" s="10" t="s">
        <v>56</v>
      </c>
      <c r="E484" s="6">
        <f t="shared" si="108"/>
        <v>8933779</v>
      </c>
      <c r="G484" s="6">
        <f>779700+2108070</f>
        <v>2887770</v>
      </c>
      <c r="I484" s="6">
        <v>11821549</v>
      </c>
      <c r="K484" s="6">
        <f t="shared" si="116"/>
        <v>6615153</v>
      </c>
      <c r="M484" s="6">
        <v>113334</v>
      </c>
      <c r="O484" s="6">
        <f>692516-113334</f>
        <v>579182</v>
      </c>
      <c r="Q484" s="6">
        <v>7307669</v>
      </c>
      <c r="S484" s="6">
        <v>2637770</v>
      </c>
      <c r="U484" s="6">
        <f t="shared" si="107"/>
        <v>1007973</v>
      </c>
      <c r="W484" s="6">
        <v>868137</v>
      </c>
      <c r="Y484" s="6">
        <v>4513880</v>
      </c>
      <c r="Z484" s="6">
        <f t="shared" si="109"/>
        <v>0</v>
      </c>
      <c r="AB484" s="6">
        <f t="shared" si="110"/>
        <v>0</v>
      </c>
    </row>
    <row r="485" spans="1:28">
      <c r="A485" s="10" t="s">
        <v>714</v>
      </c>
      <c r="B485" s="10"/>
      <c r="C485" s="10" t="s">
        <v>221</v>
      </c>
      <c r="E485" s="6">
        <f t="shared" si="108"/>
        <v>30127458</v>
      </c>
      <c r="G485" s="6">
        <f>1262525+49207825</f>
        <v>50470350</v>
      </c>
      <c r="I485" s="6">
        <v>80597808</v>
      </c>
      <c r="K485" s="6">
        <f t="shared" si="116"/>
        <v>14461991</v>
      </c>
      <c r="M485" s="6">
        <v>1458042</v>
      </c>
      <c r="O485" s="6">
        <f>20305018-1458042</f>
        <v>18846976</v>
      </c>
      <c r="Q485" s="6">
        <v>34767009</v>
      </c>
      <c r="S485" s="6">
        <v>31637705</v>
      </c>
      <c r="U485" s="6">
        <f t="shared" si="107"/>
        <v>8566989</v>
      </c>
      <c r="W485" s="6">
        <v>5626105</v>
      </c>
      <c r="Y485" s="6">
        <v>45830799</v>
      </c>
      <c r="Z485" s="6">
        <f t="shared" si="109"/>
        <v>0</v>
      </c>
      <c r="AB485" s="6">
        <f t="shared" si="110"/>
        <v>0</v>
      </c>
    </row>
    <row r="486" spans="1:28">
      <c r="A486" s="10" t="s">
        <v>777</v>
      </c>
      <c r="B486" s="10"/>
      <c r="C486" s="10" t="s">
        <v>72</v>
      </c>
      <c r="E486" s="6">
        <f t="shared" si="108"/>
        <v>22832533</v>
      </c>
      <c r="G486" s="6">
        <f>1202221+9198005</f>
        <v>10400226</v>
      </c>
      <c r="I486" s="6">
        <v>33232759</v>
      </c>
      <c r="K486" s="6">
        <f t="shared" si="116"/>
        <v>14181922</v>
      </c>
      <c r="M486" s="6">
        <v>212579</v>
      </c>
      <c r="O486" s="6">
        <f>1770835-212579</f>
        <v>1558256</v>
      </c>
      <c r="Q486" s="6">
        <v>15952757</v>
      </c>
      <c r="S486" s="6">
        <v>10400226</v>
      </c>
      <c r="U486" s="6">
        <f t="shared" si="107"/>
        <v>2135133</v>
      </c>
      <c r="W486" s="6">
        <v>4744643</v>
      </c>
      <c r="Y486" s="6">
        <v>17280002</v>
      </c>
      <c r="Z486" s="6">
        <f>+I486-Q486-Y486</f>
        <v>0</v>
      </c>
      <c r="AB486" s="6">
        <f t="shared" si="110"/>
        <v>0</v>
      </c>
    </row>
    <row r="487" spans="1:28">
      <c r="A487" s="10" t="s">
        <v>492</v>
      </c>
      <c r="B487" s="10"/>
      <c r="C487" s="10" t="s">
        <v>61</v>
      </c>
      <c r="E487" s="6">
        <f t="shared" si="108"/>
        <v>4552763</v>
      </c>
      <c r="G487" s="6">
        <f>11805301+18000</f>
        <v>11823301</v>
      </c>
      <c r="I487" s="6">
        <v>16376064</v>
      </c>
      <c r="K487" s="6">
        <f t="shared" si="116"/>
        <v>1973511</v>
      </c>
      <c r="M487" s="6">
        <v>210000</v>
      </c>
      <c r="O487" s="6">
        <f>5571105-210000</f>
        <v>5361105</v>
      </c>
      <c r="Q487" s="6">
        <v>7544616</v>
      </c>
      <c r="S487" s="6">
        <v>6252196</v>
      </c>
      <c r="U487" s="6">
        <f t="shared" si="107"/>
        <v>1151408</v>
      </c>
      <c r="W487" s="6">
        <v>1427844</v>
      </c>
      <c r="Y487" s="6">
        <v>8831448</v>
      </c>
      <c r="Z487" s="6">
        <f t="shared" si="109"/>
        <v>0</v>
      </c>
      <c r="AB487" s="6">
        <f t="shared" si="110"/>
        <v>0</v>
      </c>
    </row>
    <row r="488" spans="1:28">
      <c r="A488" s="10" t="s">
        <v>607</v>
      </c>
      <c r="B488" s="10"/>
      <c r="C488" s="10" t="s">
        <v>112</v>
      </c>
      <c r="E488" s="6">
        <f t="shared" ref="E488:E528" si="117">+I488-G488</f>
        <v>13652464</v>
      </c>
      <c r="G488" s="6">
        <v>7859146</v>
      </c>
      <c r="I488" s="6">
        <v>21511610</v>
      </c>
      <c r="K488" s="6">
        <f t="shared" si="116"/>
        <v>11095238</v>
      </c>
      <c r="M488" s="6">
        <v>583417</v>
      </c>
      <c r="O488" s="6">
        <f>3914903-583417</f>
        <v>3331486</v>
      </c>
      <c r="Q488" s="6">
        <v>15010141</v>
      </c>
      <c r="S488" s="6">
        <v>5758811</v>
      </c>
      <c r="U488" s="6">
        <f t="shared" si="107"/>
        <v>852024</v>
      </c>
      <c r="W488" s="6">
        <v>-109366</v>
      </c>
      <c r="Y488" s="6">
        <v>6501469</v>
      </c>
      <c r="Z488" s="6">
        <f>+I488-Q488-Y488</f>
        <v>0</v>
      </c>
      <c r="AB488" s="6">
        <f t="shared" si="110"/>
        <v>0</v>
      </c>
    </row>
    <row r="489" spans="1:28">
      <c r="A489" s="10" t="s">
        <v>290</v>
      </c>
      <c r="B489" s="10"/>
      <c r="C489" s="10" t="s">
        <v>24</v>
      </c>
      <c r="D489" s="9"/>
      <c r="E489" s="6">
        <f t="shared" si="117"/>
        <v>29354836</v>
      </c>
      <c r="G489" s="6">
        <f>1928926+7080865</f>
        <v>9009791</v>
      </c>
      <c r="I489" s="6">
        <v>38364627</v>
      </c>
      <c r="K489" s="6">
        <f t="shared" si="116"/>
        <v>21757331</v>
      </c>
      <c r="M489" s="6">
        <v>1184344</v>
      </c>
      <c r="O489" s="6">
        <f>5345923-1184344</f>
        <v>4161579</v>
      </c>
      <c r="Q489" s="6">
        <v>27103254</v>
      </c>
      <c r="S489" s="6">
        <v>8095561</v>
      </c>
      <c r="U489" s="6">
        <f t="shared" si="107"/>
        <v>3333853</v>
      </c>
      <c r="W489" s="6">
        <v>-168041</v>
      </c>
      <c r="Y489" s="6">
        <v>11261373</v>
      </c>
      <c r="Z489" s="6">
        <f t="shared" si="109"/>
        <v>0</v>
      </c>
      <c r="AB489" s="6">
        <f t="shared" si="110"/>
        <v>0</v>
      </c>
    </row>
    <row r="490" spans="1:28">
      <c r="A490" s="10" t="s">
        <v>504</v>
      </c>
      <c r="B490" s="10"/>
      <c r="C490" s="10" t="s">
        <v>62</v>
      </c>
      <c r="E490" s="6">
        <f t="shared" si="117"/>
        <v>9595675</v>
      </c>
      <c r="G490" s="6">
        <v>39065190</v>
      </c>
      <c r="I490" s="6">
        <v>48660865</v>
      </c>
      <c r="K490" s="6">
        <f t="shared" si="116"/>
        <v>6261748</v>
      </c>
      <c r="M490" s="6">
        <v>620067</v>
      </c>
      <c r="O490" s="6">
        <f>12318403-620067</f>
        <v>11698336</v>
      </c>
      <c r="Q490" s="6">
        <v>18580151</v>
      </c>
      <c r="S490" s="6">
        <v>27844194</v>
      </c>
      <c r="U490" s="6">
        <f t="shared" si="107"/>
        <v>1128050</v>
      </c>
      <c r="W490" s="6">
        <v>1108470</v>
      </c>
      <c r="Y490" s="6">
        <v>30080714</v>
      </c>
      <c r="Z490" s="6">
        <f t="shared" si="109"/>
        <v>0</v>
      </c>
      <c r="AB490" s="6">
        <f t="shared" si="110"/>
        <v>0</v>
      </c>
    </row>
    <row r="491" spans="1:28">
      <c r="A491" s="10" t="s">
        <v>456</v>
      </c>
      <c r="B491" s="10"/>
      <c r="C491" s="10" t="s">
        <v>55</v>
      </c>
      <c r="D491" s="9"/>
      <c r="E491" s="6">
        <f t="shared" si="117"/>
        <v>11856706</v>
      </c>
      <c r="G491" s="6">
        <f>830500+21209210</f>
        <v>22039710</v>
      </c>
      <c r="I491" s="6">
        <v>33896416</v>
      </c>
      <c r="K491" s="6">
        <f t="shared" si="116"/>
        <v>3907748</v>
      </c>
      <c r="M491" s="6">
        <v>212776</v>
      </c>
      <c r="O491" s="6">
        <v>2052667</v>
      </c>
      <c r="Q491" s="6">
        <v>6173191</v>
      </c>
      <c r="S491" s="6">
        <v>20457358</v>
      </c>
      <c r="U491" s="6">
        <f t="shared" si="107"/>
        <v>1887694</v>
      </c>
      <c r="W491" s="6">
        <v>5378173</v>
      </c>
      <c r="Y491" s="6">
        <v>27723225</v>
      </c>
      <c r="Z491" s="6">
        <f>+I491-Q491-Y491</f>
        <v>0</v>
      </c>
      <c r="AB491" s="6">
        <f t="shared" si="110"/>
        <v>0</v>
      </c>
    </row>
    <row r="492" spans="1:28">
      <c r="A492" s="10" t="s">
        <v>405</v>
      </c>
      <c r="B492" s="10"/>
      <c r="C492" s="10" t="s">
        <v>45</v>
      </c>
      <c r="E492" s="6">
        <f t="shared" si="117"/>
        <v>3314924</v>
      </c>
      <c r="G492" s="6">
        <f>219600+9755153</f>
        <v>9974753</v>
      </c>
      <c r="I492" s="6">
        <v>13289677</v>
      </c>
      <c r="K492" s="6">
        <f t="shared" si="116"/>
        <v>2036324</v>
      </c>
      <c r="M492" s="6">
        <v>130140</v>
      </c>
      <c r="O492" s="6">
        <v>1197917</v>
      </c>
      <c r="Q492" s="6">
        <v>3364381</v>
      </c>
      <c r="S492" s="6">
        <v>9072125</v>
      </c>
      <c r="U492" s="6">
        <f t="shared" si="107"/>
        <v>594708</v>
      </c>
      <c r="W492" s="6">
        <v>258463</v>
      </c>
      <c r="Y492" s="6">
        <v>9925296</v>
      </c>
      <c r="Z492" s="6">
        <f t="shared" si="109"/>
        <v>0</v>
      </c>
      <c r="AB492" s="6">
        <f t="shared" si="110"/>
        <v>0</v>
      </c>
    </row>
    <row r="493" spans="1:28">
      <c r="A493" s="10" t="s">
        <v>487</v>
      </c>
      <c r="B493" s="10"/>
      <c r="C493" s="10" t="s">
        <v>60</v>
      </c>
      <c r="E493" s="6">
        <f t="shared" si="117"/>
        <v>6024866</v>
      </c>
      <c r="G493" s="6">
        <v>30156559</v>
      </c>
      <c r="I493" s="6">
        <v>36181425</v>
      </c>
      <c r="K493" s="6">
        <f t="shared" si="116"/>
        <v>3705807</v>
      </c>
      <c r="M493" s="6">
        <v>444508</v>
      </c>
      <c r="O493" s="6">
        <v>10656225</v>
      </c>
      <c r="Q493" s="6">
        <v>14806540</v>
      </c>
      <c r="S493" s="6">
        <v>19921207</v>
      </c>
      <c r="U493" s="6">
        <f t="shared" si="107"/>
        <v>1303794</v>
      </c>
      <c r="W493" s="6">
        <v>149884</v>
      </c>
      <c r="Y493" s="6">
        <v>21374885</v>
      </c>
      <c r="Z493" s="6">
        <f t="shared" si="109"/>
        <v>0</v>
      </c>
      <c r="AB493" s="6">
        <f t="shared" si="110"/>
        <v>0</v>
      </c>
    </row>
    <row r="494" spans="1:28">
      <c r="A494" s="10" t="s">
        <v>217</v>
      </c>
      <c r="B494" s="10"/>
      <c r="C494" s="10" t="s">
        <v>15</v>
      </c>
      <c r="E494" s="6">
        <f t="shared" si="117"/>
        <v>7988626</v>
      </c>
      <c r="G494" s="6">
        <f>42289+1381055</f>
        <v>1423344</v>
      </c>
      <c r="I494" s="6">
        <v>9411970</v>
      </c>
      <c r="K494" s="6">
        <f t="shared" si="116"/>
        <v>2759866</v>
      </c>
      <c r="M494" s="6">
        <v>64062</v>
      </c>
      <c r="O494" s="6">
        <v>545387</v>
      </c>
      <c r="Q494" s="6">
        <v>3369315</v>
      </c>
      <c r="S494" s="6">
        <v>1342382</v>
      </c>
      <c r="U494" s="6">
        <f t="shared" si="107"/>
        <v>1546513</v>
      </c>
      <c r="W494" s="6">
        <v>3153760</v>
      </c>
      <c r="Y494" s="6">
        <v>6042655</v>
      </c>
      <c r="Z494" s="6">
        <f t="shared" si="109"/>
        <v>0</v>
      </c>
      <c r="AB494" s="6">
        <f t="shared" si="110"/>
        <v>0</v>
      </c>
    </row>
    <row r="495" spans="1:28">
      <c r="A495" s="10" t="s">
        <v>715</v>
      </c>
      <c r="B495" s="10"/>
      <c r="C495" s="10" t="s">
        <v>20</v>
      </c>
      <c r="E495" s="6">
        <f t="shared" si="117"/>
        <v>112024971</v>
      </c>
      <c r="G495" s="6">
        <f>1768100+31255633</f>
        <v>33023733</v>
      </c>
      <c r="I495" s="6">
        <v>145048704</v>
      </c>
      <c r="K495" s="6">
        <f t="shared" si="116"/>
        <v>65588369</v>
      </c>
      <c r="M495" s="6">
        <v>2844753</v>
      </c>
      <c r="O495" s="6">
        <v>28029309</v>
      </c>
      <c r="Q495" s="6">
        <v>96462431</v>
      </c>
      <c r="S495" s="6">
        <v>11315889</v>
      </c>
      <c r="U495" s="6">
        <f t="shared" si="107"/>
        <v>5550411</v>
      </c>
      <c r="W495" s="6">
        <v>31719973</v>
      </c>
      <c r="Y495" s="6">
        <v>48586273</v>
      </c>
      <c r="Z495" s="6">
        <f t="shared" si="109"/>
        <v>0</v>
      </c>
      <c r="AB495" s="6">
        <f t="shared" si="110"/>
        <v>0</v>
      </c>
    </row>
    <row r="496" spans="1:28" hidden="1">
      <c r="A496" s="10" t="s">
        <v>700</v>
      </c>
      <c r="B496" s="10"/>
      <c r="C496" s="10" t="s">
        <v>10</v>
      </c>
      <c r="E496" s="6">
        <f t="shared" si="117"/>
        <v>0</v>
      </c>
      <c r="K496" s="6">
        <f t="shared" si="116"/>
        <v>0</v>
      </c>
      <c r="U496" s="6">
        <f t="shared" si="107"/>
        <v>0</v>
      </c>
      <c r="Z496" s="6">
        <f t="shared" si="109"/>
        <v>0</v>
      </c>
      <c r="AB496" s="6">
        <f t="shared" si="110"/>
        <v>0</v>
      </c>
    </row>
    <row r="497" spans="1:28">
      <c r="A497" s="10" t="s">
        <v>789</v>
      </c>
      <c r="B497" s="10"/>
      <c r="C497" s="10" t="s">
        <v>44</v>
      </c>
      <c r="E497" s="6">
        <f t="shared" si="117"/>
        <v>54580022</v>
      </c>
      <c r="G497" s="6">
        <f>1482482+3706504</f>
        <v>5188986</v>
      </c>
      <c r="I497" s="6">
        <v>59769008</v>
      </c>
      <c r="K497" s="6">
        <f t="shared" si="116"/>
        <v>13426536</v>
      </c>
      <c r="M497" s="6">
        <v>546463</v>
      </c>
      <c r="O497" s="6">
        <v>32517444</v>
      </c>
      <c r="Q497" s="6">
        <v>46490443</v>
      </c>
      <c r="S497" s="6">
        <v>4260787</v>
      </c>
      <c r="U497" s="6">
        <f t="shared" si="107"/>
        <v>30608095</v>
      </c>
      <c r="W497" s="6">
        <v>-21590317</v>
      </c>
      <c r="Y497" s="6">
        <v>13278565</v>
      </c>
      <c r="Z497" s="6">
        <f t="shared" si="109"/>
        <v>0</v>
      </c>
      <c r="AB497" s="6">
        <f t="shared" si="110"/>
        <v>0</v>
      </c>
    </row>
    <row r="498" spans="1:28">
      <c r="A498" s="10" t="s">
        <v>472</v>
      </c>
      <c r="B498" s="10"/>
      <c r="C498" s="10" t="s">
        <v>110</v>
      </c>
      <c r="E498" s="6">
        <f t="shared" si="117"/>
        <v>36965094</v>
      </c>
      <c r="G498" s="6">
        <v>10634284</v>
      </c>
      <c r="I498" s="6">
        <v>47599378</v>
      </c>
      <c r="K498" s="6">
        <f t="shared" si="116"/>
        <v>8939131</v>
      </c>
      <c r="M498" s="6">
        <v>711455</v>
      </c>
      <c r="O498" s="6">
        <v>18667044</v>
      </c>
      <c r="Q498" s="6">
        <v>28317630</v>
      </c>
      <c r="S498" s="6">
        <v>9212112</v>
      </c>
      <c r="U498" s="6">
        <f t="shared" si="107"/>
        <v>6397959</v>
      </c>
      <c r="W498" s="6">
        <v>3671677</v>
      </c>
      <c r="Y498" s="6">
        <v>19281748</v>
      </c>
      <c r="Z498" s="6">
        <f t="shared" si="109"/>
        <v>0</v>
      </c>
      <c r="AB498" s="6">
        <f t="shared" si="110"/>
        <v>0</v>
      </c>
    </row>
    <row r="499" spans="1:28" hidden="1">
      <c r="A499" s="10" t="s">
        <v>833</v>
      </c>
      <c r="B499" s="10"/>
      <c r="C499" s="10" t="s">
        <v>61</v>
      </c>
      <c r="E499" s="6">
        <f t="shared" si="117"/>
        <v>0</v>
      </c>
      <c r="K499" s="6">
        <f t="shared" si="116"/>
        <v>0</v>
      </c>
      <c r="U499" s="6">
        <f t="shared" si="107"/>
        <v>0</v>
      </c>
      <c r="Z499" s="6">
        <f t="shared" si="109"/>
        <v>0</v>
      </c>
      <c r="AB499" s="6">
        <f t="shared" si="110"/>
        <v>0</v>
      </c>
    </row>
    <row r="500" spans="1:28">
      <c r="A500" s="10" t="s">
        <v>277</v>
      </c>
      <c r="B500" s="10"/>
      <c r="C500" s="10" t="s">
        <v>20</v>
      </c>
      <c r="E500" s="6">
        <f t="shared" si="117"/>
        <v>92327444</v>
      </c>
      <c r="G500" s="6">
        <v>35068128</v>
      </c>
      <c r="I500" s="6">
        <v>127395572</v>
      </c>
      <c r="K500" s="6">
        <f t="shared" si="116"/>
        <v>53109684</v>
      </c>
      <c r="M500" s="6">
        <v>4512627</v>
      </c>
      <c r="O500" s="6">
        <v>23565169</v>
      </c>
      <c r="Q500" s="6">
        <v>81187480</v>
      </c>
      <c r="S500" s="6">
        <v>19335801</v>
      </c>
      <c r="U500" s="6">
        <f t="shared" si="107"/>
        <v>13247030</v>
      </c>
      <c r="W500" s="6">
        <v>13625261</v>
      </c>
      <c r="Y500" s="6">
        <v>46208092</v>
      </c>
      <c r="Z500" s="6">
        <f t="shared" si="109"/>
        <v>0</v>
      </c>
      <c r="AB500" s="6">
        <f t="shared" si="110"/>
        <v>0</v>
      </c>
    </row>
    <row r="501" spans="1:28">
      <c r="A501" s="10" t="s">
        <v>633</v>
      </c>
      <c r="B501" s="10"/>
      <c r="C501" s="11" t="s">
        <v>37</v>
      </c>
      <c r="E501" s="6">
        <f t="shared" si="117"/>
        <v>5272209</v>
      </c>
      <c r="G501" s="6">
        <v>5833341</v>
      </c>
      <c r="I501" s="6">
        <v>11105550</v>
      </c>
      <c r="K501" s="6">
        <f t="shared" si="116"/>
        <v>2096059</v>
      </c>
      <c r="M501" s="6">
        <v>189963</v>
      </c>
      <c r="O501" s="6">
        <v>1272408</v>
      </c>
      <c r="Q501" s="6">
        <v>3558430</v>
      </c>
      <c r="S501" s="6">
        <v>4988081</v>
      </c>
      <c r="U501" s="6">
        <f t="shared" si="107"/>
        <v>506400</v>
      </c>
      <c r="W501" s="6">
        <v>2052639</v>
      </c>
      <c r="Y501" s="6">
        <v>7547120</v>
      </c>
      <c r="Z501" s="6">
        <f>+I501-Q501-Y501</f>
        <v>0</v>
      </c>
      <c r="AB501" s="6">
        <f t="shared" si="110"/>
        <v>0</v>
      </c>
    </row>
    <row r="502" spans="1:28">
      <c r="A502" s="10" t="s">
        <v>278</v>
      </c>
      <c r="B502" s="10"/>
      <c r="C502" s="10" t="s">
        <v>20</v>
      </c>
      <c r="E502" s="6">
        <f t="shared" si="117"/>
        <v>69761849</v>
      </c>
      <c r="G502" s="6">
        <f>821208+18126300</f>
        <v>18947508</v>
      </c>
      <c r="I502" s="6">
        <v>88709357</v>
      </c>
      <c r="K502" s="6">
        <f t="shared" si="116"/>
        <v>48465784</v>
      </c>
      <c r="M502" s="6">
        <v>1658817</v>
      </c>
      <c r="O502" s="6">
        <v>7743065</v>
      </c>
      <c r="Q502" s="6">
        <v>57867666</v>
      </c>
      <c r="S502" s="6">
        <v>6751416</v>
      </c>
      <c r="U502" s="6">
        <f t="shared" si="107"/>
        <v>4377829</v>
      </c>
      <c r="W502" s="6">
        <v>19712446</v>
      </c>
      <c r="Y502" s="6">
        <v>30841691</v>
      </c>
      <c r="Z502" s="6">
        <f t="shared" si="109"/>
        <v>0</v>
      </c>
      <c r="AB502" s="6">
        <f t="shared" si="110"/>
        <v>0</v>
      </c>
    </row>
    <row r="503" spans="1:28">
      <c r="A503" s="10" t="s">
        <v>371</v>
      </c>
      <c r="B503" s="10"/>
      <c r="C503" s="10" t="s">
        <v>366</v>
      </c>
      <c r="E503" s="6">
        <f t="shared" si="117"/>
        <v>15110990</v>
      </c>
      <c r="G503" s="6">
        <f>1978553+47913190</f>
        <v>49891743</v>
      </c>
      <c r="I503" s="6">
        <v>65002733</v>
      </c>
      <c r="K503" s="6">
        <f t="shared" si="116"/>
        <v>5071934</v>
      </c>
      <c r="M503" s="6">
        <v>989844</v>
      </c>
      <c r="O503" s="6">
        <v>10857279</v>
      </c>
      <c r="Q503" s="6">
        <v>16919057</v>
      </c>
      <c r="S503" s="6">
        <v>40452981</v>
      </c>
      <c r="U503" s="6">
        <f t="shared" si="107"/>
        <v>2797743</v>
      </c>
      <c r="W503" s="6">
        <v>4832952</v>
      </c>
      <c r="Y503" s="6">
        <v>48083676</v>
      </c>
      <c r="Z503" s="6">
        <f>+I503-Q503-Y503</f>
        <v>0</v>
      </c>
      <c r="AB503" s="6">
        <f t="shared" si="110"/>
        <v>0</v>
      </c>
    </row>
    <row r="504" spans="1:28">
      <c r="A504" s="10" t="s">
        <v>406</v>
      </c>
      <c r="B504" s="10"/>
      <c r="C504" s="10" t="s">
        <v>45</v>
      </c>
      <c r="E504" s="6">
        <f t="shared" si="117"/>
        <v>10924926</v>
      </c>
      <c r="G504" s="6">
        <v>37624255</v>
      </c>
      <c r="I504" s="6">
        <v>48549181</v>
      </c>
      <c r="K504" s="6">
        <f t="shared" si="116"/>
        <v>8608748</v>
      </c>
      <c r="M504" s="6">
        <v>740636</v>
      </c>
      <c r="O504" s="6">
        <v>19230786</v>
      </c>
      <c r="Q504" s="6">
        <v>28580170</v>
      </c>
      <c r="S504" s="6">
        <v>18982528</v>
      </c>
      <c r="U504" s="6">
        <f t="shared" si="107"/>
        <v>1094666</v>
      </c>
      <c r="W504" s="6">
        <v>-108183</v>
      </c>
      <c r="Y504" s="6">
        <v>19969011</v>
      </c>
      <c r="Z504" s="6">
        <f t="shared" si="109"/>
        <v>0</v>
      </c>
      <c r="AB504" s="6">
        <f t="shared" si="110"/>
        <v>0</v>
      </c>
    </row>
    <row r="505" spans="1:28">
      <c r="A505" s="10" t="s">
        <v>463</v>
      </c>
      <c r="B505" s="10"/>
      <c r="C505" s="10" t="s">
        <v>56</v>
      </c>
      <c r="E505" s="6">
        <f t="shared" si="117"/>
        <v>24724815</v>
      </c>
      <c r="G505" s="6">
        <f>400918+26813359</f>
        <v>27214277</v>
      </c>
      <c r="I505" s="6">
        <v>51939092</v>
      </c>
      <c r="K505" s="6">
        <f t="shared" si="116"/>
        <v>8722612</v>
      </c>
      <c r="M505" s="6">
        <v>432105</v>
      </c>
      <c r="O505" s="6">
        <v>5893004</v>
      </c>
      <c r="Q505" s="6">
        <v>15047721</v>
      </c>
      <c r="S505" s="6">
        <v>22416587</v>
      </c>
      <c r="U505" s="6">
        <f t="shared" si="107"/>
        <v>5449960</v>
      </c>
      <c r="W505" s="6">
        <v>9024824</v>
      </c>
      <c r="Y505" s="6">
        <v>36891371</v>
      </c>
      <c r="Z505" s="6">
        <f t="shared" si="109"/>
        <v>0</v>
      </c>
      <c r="AB505" s="6">
        <f t="shared" si="110"/>
        <v>0</v>
      </c>
    </row>
    <row r="506" spans="1:28">
      <c r="A506" s="10" t="s">
        <v>463</v>
      </c>
      <c r="B506" s="10"/>
      <c r="C506" s="10" t="s">
        <v>71</v>
      </c>
      <c r="E506" s="6">
        <f t="shared" si="117"/>
        <v>10495130</v>
      </c>
      <c r="G506" s="6">
        <f>2904780+588680</f>
        <v>3493460</v>
      </c>
      <c r="I506" s="6">
        <v>13988590</v>
      </c>
      <c r="K506" s="6">
        <f t="shared" si="116"/>
        <v>8427527</v>
      </c>
      <c r="M506" s="6">
        <v>230295</v>
      </c>
      <c r="O506" s="6">
        <v>501028</v>
      </c>
      <c r="Q506" s="6">
        <v>9158850</v>
      </c>
      <c r="S506" s="6">
        <v>3448650</v>
      </c>
      <c r="U506" s="6">
        <f t="shared" si="107"/>
        <v>795386</v>
      </c>
      <c r="W506" s="6">
        <v>585704</v>
      </c>
      <c r="Y506" s="6">
        <v>4829740</v>
      </c>
      <c r="Z506" s="6">
        <f t="shared" si="109"/>
        <v>0</v>
      </c>
      <c r="AB506" s="6">
        <f t="shared" si="110"/>
        <v>0</v>
      </c>
    </row>
    <row r="507" spans="1:28">
      <c r="A507" s="10" t="s">
        <v>235</v>
      </c>
      <c r="B507" s="10"/>
      <c r="C507" s="10" t="s">
        <v>17</v>
      </c>
      <c r="E507" s="6">
        <f t="shared" si="117"/>
        <v>9798183</v>
      </c>
      <c r="G507" s="6">
        <f>97466+4079506</f>
        <v>4176972</v>
      </c>
      <c r="I507" s="6">
        <v>13975155</v>
      </c>
      <c r="K507" s="6">
        <f t="shared" si="116"/>
        <v>2864001</v>
      </c>
      <c r="M507" s="6">
        <v>215763</v>
      </c>
      <c r="O507" s="6">
        <v>1496955</v>
      </c>
      <c r="Q507" s="6">
        <v>4576719</v>
      </c>
      <c r="S507" s="6">
        <v>2907602</v>
      </c>
      <c r="U507" s="6">
        <f t="shared" si="107"/>
        <v>1124038</v>
      </c>
      <c r="W507" s="6">
        <v>5366796</v>
      </c>
      <c r="Y507" s="6">
        <v>9398436</v>
      </c>
      <c r="Z507" s="6">
        <f>+I507-Q507-Y507</f>
        <v>0</v>
      </c>
      <c r="AB507" s="6">
        <f>+E507+G507+-K507-M507-S507-U507-W507-O507</f>
        <v>0</v>
      </c>
    </row>
    <row r="508" spans="1:28">
      <c r="A508" s="10" t="s">
        <v>235</v>
      </c>
      <c r="B508" s="10"/>
      <c r="C508" s="10" t="s">
        <v>58</v>
      </c>
      <c r="E508" s="6">
        <f t="shared" si="117"/>
        <v>10912307</v>
      </c>
      <c r="G508" s="6">
        <f>705000+20304523</f>
        <v>21009523</v>
      </c>
      <c r="I508" s="6">
        <v>31921830</v>
      </c>
      <c r="K508" s="6">
        <f t="shared" si="116"/>
        <v>2838332</v>
      </c>
      <c r="M508" s="6">
        <v>290041</v>
      </c>
      <c r="O508" s="6">
        <v>4500439</v>
      </c>
      <c r="Q508" s="6">
        <v>7628812</v>
      </c>
      <c r="S508" s="6">
        <v>16873089</v>
      </c>
      <c r="U508" s="6">
        <f t="shared" si="107"/>
        <v>1304419</v>
      </c>
      <c r="W508" s="6">
        <v>6115510</v>
      </c>
      <c r="Y508" s="6">
        <v>24293018</v>
      </c>
      <c r="Z508" s="6">
        <f t="shared" si="109"/>
        <v>0</v>
      </c>
      <c r="AB508" s="6">
        <f t="shared" si="110"/>
        <v>0</v>
      </c>
    </row>
    <row r="509" spans="1:28">
      <c r="A509" s="10" t="s">
        <v>645</v>
      </c>
      <c r="B509" s="10"/>
      <c r="C509" s="10" t="s">
        <v>112</v>
      </c>
      <c r="D509" s="28"/>
      <c r="E509" s="6">
        <f t="shared" si="117"/>
        <v>4451570</v>
      </c>
      <c r="G509" s="6">
        <v>11750659</v>
      </c>
      <c r="I509" s="6">
        <v>16202229</v>
      </c>
      <c r="K509" s="6">
        <f t="shared" si="116"/>
        <v>2899325</v>
      </c>
      <c r="M509" s="6">
        <v>299995</v>
      </c>
      <c r="O509" s="6">
        <v>2512416</v>
      </c>
      <c r="Q509" s="6">
        <v>5711736</v>
      </c>
      <c r="S509" s="6">
        <v>944398</v>
      </c>
      <c r="U509" s="6">
        <f t="shared" si="107"/>
        <v>9394683</v>
      </c>
      <c r="W509" s="6">
        <v>151412</v>
      </c>
      <c r="Y509" s="6">
        <v>10490493</v>
      </c>
      <c r="Z509" s="6">
        <f t="shared" si="109"/>
        <v>0</v>
      </c>
      <c r="AB509" s="6">
        <f t="shared" si="110"/>
        <v>0</v>
      </c>
    </row>
    <row r="510" spans="1:28">
      <c r="A510" s="10" t="s">
        <v>250</v>
      </c>
      <c r="B510" s="10"/>
      <c r="C510" s="10" t="s">
        <v>420</v>
      </c>
      <c r="D510" s="28"/>
      <c r="E510" s="6">
        <f t="shared" si="117"/>
        <v>15299808</v>
      </c>
      <c r="G510" s="6">
        <f>1406717+8433471</f>
        <v>9840188</v>
      </c>
      <c r="I510" s="6">
        <v>25139996</v>
      </c>
      <c r="K510" s="6">
        <f t="shared" si="116"/>
        <v>2822279</v>
      </c>
      <c r="M510" s="6">
        <v>225907</v>
      </c>
      <c r="O510" s="6">
        <v>6596180</v>
      </c>
      <c r="Q510" s="6">
        <v>9644366</v>
      </c>
      <c r="S510" s="6">
        <v>7601628</v>
      </c>
      <c r="U510" s="6">
        <f t="shared" si="107"/>
        <v>5837372</v>
      </c>
      <c r="W510" s="6">
        <v>2056630</v>
      </c>
      <c r="Y510" s="6">
        <v>15495630</v>
      </c>
      <c r="Z510" s="6">
        <f>+I510-Q510-Y510</f>
        <v>0</v>
      </c>
      <c r="AB510" s="6">
        <f>+E510+G510+-K510-M510-S510-U510-W510-O510</f>
        <v>0</v>
      </c>
    </row>
    <row r="511" spans="1:28" hidden="1">
      <c r="A511" s="11" t="s">
        <v>701</v>
      </c>
      <c r="B511" s="11"/>
      <c r="C511" s="11" t="s">
        <v>451</v>
      </c>
      <c r="D511" s="28"/>
      <c r="E511" s="6">
        <f t="shared" si="117"/>
        <v>0</v>
      </c>
      <c r="K511" s="6">
        <f t="shared" si="116"/>
        <v>0</v>
      </c>
      <c r="U511" s="6">
        <f t="shared" si="107"/>
        <v>0</v>
      </c>
      <c r="Z511" s="6">
        <f>+I511-Q511-Y511</f>
        <v>0</v>
      </c>
      <c r="AB511" s="6">
        <f>+E511+G511+-K511-M511-S511-U511-W511-O511</f>
        <v>0</v>
      </c>
    </row>
    <row r="512" spans="1:28">
      <c r="A512" s="10" t="s">
        <v>530</v>
      </c>
      <c r="B512" s="10"/>
      <c r="C512" s="10" t="s">
        <v>64</v>
      </c>
      <c r="E512" s="6">
        <f t="shared" si="117"/>
        <v>7161336</v>
      </c>
      <c r="G512" s="6">
        <f>655633+18234966</f>
        <v>18890599</v>
      </c>
      <c r="I512" s="6">
        <v>26051935</v>
      </c>
      <c r="K512" s="6">
        <f t="shared" si="116"/>
        <v>2470066</v>
      </c>
      <c r="M512" s="6">
        <v>270104</v>
      </c>
      <c r="O512" s="6">
        <v>7628054</v>
      </c>
      <c r="Q512" s="6">
        <v>10368224</v>
      </c>
      <c r="S512" s="6">
        <v>12782947</v>
      </c>
      <c r="U512" s="6">
        <f t="shared" ref="U512:U574" si="118">Y512-W512-S512</f>
        <v>1936305</v>
      </c>
      <c r="W512" s="6">
        <v>964459</v>
      </c>
      <c r="Y512" s="6">
        <v>15683711</v>
      </c>
      <c r="Z512" s="6">
        <f t="shared" si="109"/>
        <v>0</v>
      </c>
      <c r="AB512" s="6">
        <f t="shared" si="110"/>
        <v>0</v>
      </c>
    </row>
    <row r="513" spans="1:28" hidden="1">
      <c r="A513" s="10" t="s">
        <v>829</v>
      </c>
      <c r="B513" s="10"/>
      <c r="C513" s="10" t="s">
        <v>42</v>
      </c>
      <c r="D513" s="9"/>
      <c r="E513" s="6">
        <f t="shared" si="117"/>
        <v>0</v>
      </c>
      <c r="K513" s="6">
        <f t="shared" si="116"/>
        <v>0</v>
      </c>
      <c r="U513" s="6">
        <f t="shared" si="118"/>
        <v>0</v>
      </c>
      <c r="Z513" s="6">
        <f t="shared" si="109"/>
        <v>0</v>
      </c>
      <c r="AB513" s="6">
        <f t="shared" si="110"/>
        <v>0</v>
      </c>
    </row>
    <row r="514" spans="1:28">
      <c r="A514" s="10" t="s">
        <v>331</v>
      </c>
      <c r="B514" s="10"/>
      <c r="C514" s="10" t="s">
        <v>32</v>
      </c>
      <c r="E514" s="6">
        <f t="shared" si="117"/>
        <v>19598216</v>
      </c>
      <c r="G514" s="6">
        <f>2990625+20755860</f>
        <v>23746485</v>
      </c>
      <c r="I514" s="6">
        <v>43344701</v>
      </c>
      <c r="K514" s="6">
        <f t="shared" si="116"/>
        <v>10761233</v>
      </c>
      <c r="M514" s="6">
        <v>1338916</v>
      </c>
      <c r="O514" s="6">
        <v>20931562</v>
      </c>
      <c r="Q514" s="6">
        <v>33031711</v>
      </c>
      <c r="S514" s="6">
        <v>6367752</v>
      </c>
      <c r="U514" s="6">
        <f t="shared" si="118"/>
        <v>3213622</v>
      </c>
      <c r="W514" s="6">
        <v>731616</v>
      </c>
      <c r="Y514" s="6">
        <v>10312990</v>
      </c>
      <c r="Z514" s="6">
        <f t="shared" si="109"/>
        <v>0</v>
      </c>
      <c r="AB514" s="6">
        <f t="shared" si="110"/>
        <v>0</v>
      </c>
    </row>
    <row r="515" spans="1:28">
      <c r="A515" s="10" t="s">
        <v>307</v>
      </c>
      <c r="B515" s="10"/>
      <c r="C515" s="10" t="s">
        <v>27</v>
      </c>
      <c r="E515" s="6">
        <f t="shared" si="117"/>
        <v>247734011</v>
      </c>
      <c r="G515" s="6">
        <v>130387807</v>
      </c>
      <c r="I515" s="6">
        <v>378121818</v>
      </c>
      <c r="K515" s="6">
        <f t="shared" si="116"/>
        <v>87872468</v>
      </c>
      <c r="M515" s="6">
        <v>14985704</v>
      </c>
      <c r="O515" s="6">
        <v>75361532</v>
      </c>
      <c r="Q515" s="6">
        <v>178219704</v>
      </c>
      <c r="S515" s="6">
        <v>59024319</v>
      </c>
      <c r="U515" s="6">
        <f t="shared" si="118"/>
        <v>38270638</v>
      </c>
      <c r="W515" s="6">
        <v>102607157</v>
      </c>
      <c r="Y515" s="6">
        <v>199902114</v>
      </c>
      <c r="Z515" s="6">
        <f t="shared" si="109"/>
        <v>0</v>
      </c>
      <c r="AB515" s="6">
        <f t="shared" si="110"/>
        <v>0</v>
      </c>
    </row>
    <row r="516" spans="1:28" hidden="1">
      <c r="A516" s="10" t="s">
        <v>702</v>
      </c>
      <c r="B516" s="10"/>
      <c r="C516" s="10" t="s">
        <v>10</v>
      </c>
      <c r="E516" s="6">
        <f t="shared" si="117"/>
        <v>0</v>
      </c>
      <c r="K516" s="6">
        <f t="shared" si="116"/>
        <v>0</v>
      </c>
      <c r="U516" s="6">
        <f t="shared" si="118"/>
        <v>0</v>
      </c>
      <c r="Z516" s="6">
        <f t="shared" si="109"/>
        <v>0</v>
      </c>
      <c r="AB516" s="6">
        <f t="shared" si="110"/>
        <v>0</v>
      </c>
    </row>
    <row r="517" spans="1:28">
      <c r="A517" s="10" t="s">
        <v>847</v>
      </c>
      <c r="B517" s="10"/>
      <c r="C517" s="10" t="s">
        <v>69</v>
      </c>
      <c r="E517" s="6">
        <f t="shared" si="117"/>
        <v>51253251</v>
      </c>
      <c r="G517" s="6">
        <f>2010631+80559740</f>
        <v>82570371</v>
      </c>
      <c r="I517" s="6">
        <v>133823622</v>
      </c>
      <c r="K517" s="6">
        <f t="shared" si="116"/>
        <v>38303548</v>
      </c>
      <c r="M517" s="6">
        <v>4655437</v>
      </c>
      <c r="O517" s="6">
        <v>87443018</v>
      </c>
      <c r="Q517" s="6">
        <v>130402003</v>
      </c>
      <c r="S517" s="6">
        <v>-6558009</v>
      </c>
      <c r="U517" s="6">
        <f t="shared" si="118"/>
        <v>5624760</v>
      </c>
      <c r="W517" s="6">
        <v>4354868</v>
      </c>
      <c r="Y517" s="6">
        <v>3421619</v>
      </c>
      <c r="Z517" s="6">
        <f t="shared" si="109"/>
        <v>0</v>
      </c>
      <c r="AB517" s="6">
        <f t="shared" si="110"/>
        <v>0</v>
      </c>
    </row>
    <row r="518" spans="1:28">
      <c r="A518" s="10" t="s">
        <v>629</v>
      </c>
      <c r="B518" s="10"/>
      <c r="C518" s="10" t="s">
        <v>17</v>
      </c>
      <c r="E518" s="6">
        <f t="shared" si="117"/>
        <v>83948947</v>
      </c>
      <c r="G518" s="6">
        <f>15621819+163285445</f>
        <v>178907264</v>
      </c>
      <c r="I518" s="6">
        <v>262856211</v>
      </c>
      <c r="K518" s="6">
        <f t="shared" si="116"/>
        <v>33058926</v>
      </c>
      <c r="M518" s="6">
        <v>5415584</v>
      </c>
      <c r="O518" s="6">
        <v>28234474</v>
      </c>
      <c r="Q518" s="6">
        <v>66708984</v>
      </c>
      <c r="S518" s="6">
        <v>153769985</v>
      </c>
      <c r="U518" s="6">
        <f t="shared" si="118"/>
        <v>11651741</v>
      </c>
      <c r="W518" s="6">
        <v>30725501</v>
      </c>
      <c r="Y518" s="6">
        <v>196147227</v>
      </c>
      <c r="Z518" s="6">
        <f>+I518-Q518-Y518</f>
        <v>0</v>
      </c>
      <c r="AB518" s="6">
        <f t="shared" si="110"/>
        <v>0</v>
      </c>
    </row>
    <row r="519" spans="1:28">
      <c r="A519" s="10" t="s">
        <v>716</v>
      </c>
      <c r="B519" s="10"/>
      <c r="C519" s="10" t="s">
        <v>115</v>
      </c>
      <c r="E519" s="6">
        <f t="shared" si="117"/>
        <v>34462085</v>
      </c>
      <c r="G519" s="6">
        <v>21354414</v>
      </c>
      <c r="I519" s="6">
        <v>55816499</v>
      </c>
      <c r="K519" s="6">
        <f t="shared" si="116"/>
        <v>29710340</v>
      </c>
      <c r="M519" s="6">
        <v>1995612</v>
      </c>
      <c r="O519" s="6">
        <v>13028848</v>
      </c>
      <c r="Q519" s="6">
        <v>44734800</v>
      </c>
      <c r="S519" s="6">
        <v>8751023</v>
      </c>
      <c r="U519" s="6">
        <f t="shared" si="118"/>
        <v>2654186</v>
      </c>
      <c r="W519" s="6">
        <v>-323510</v>
      </c>
      <c r="Y519" s="6">
        <v>11081699</v>
      </c>
      <c r="Z519" s="6">
        <f t="shared" si="109"/>
        <v>0</v>
      </c>
      <c r="AB519" s="6">
        <f t="shared" si="110"/>
        <v>0</v>
      </c>
    </row>
    <row r="520" spans="1:28">
      <c r="A520" s="10" t="s">
        <v>393</v>
      </c>
      <c r="B520" s="10"/>
      <c r="C520" s="10" t="s">
        <v>45</v>
      </c>
      <c r="E520" s="6">
        <f t="shared" si="117"/>
        <v>10287297</v>
      </c>
      <c r="G520" s="6">
        <v>4864317</v>
      </c>
      <c r="I520" s="6">
        <v>15151614</v>
      </c>
      <c r="K520" s="6">
        <f t="shared" si="116"/>
        <v>4885905</v>
      </c>
      <c r="M520" s="6">
        <v>743336</v>
      </c>
      <c r="O520" s="6">
        <v>4085125</v>
      </c>
      <c r="Q520" s="6">
        <v>9714366</v>
      </c>
      <c r="S520" s="6">
        <v>4225902</v>
      </c>
      <c r="U520" s="6">
        <f t="shared" si="118"/>
        <v>632861</v>
      </c>
      <c r="W520" s="6">
        <v>578485</v>
      </c>
      <c r="Y520" s="6">
        <v>5437248</v>
      </c>
      <c r="Z520" s="6">
        <f t="shared" si="109"/>
        <v>0</v>
      </c>
      <c r="AB520" s="6">
        <f t="shared" si="110"/>
        <v>0</v>
      </c>
    </row>
    <row r="521" spans="1:28">
      <c r="A521" s="10" t="s">
        <v>393</v>
      </c>
      <c r="B521" s="10"/>
      <c r="C521" s="10" t="s">
        <v>63</v>
      </c>
      <c r="E521" s="6">
        <f t="shared" si="117"/>
        <v>54653573</v>
      </c>
      <c r="G521" s="6">
        <f>13384229+1262691</f>
        <v>14646920</v>
      </c>
      <c r="I521" s="6">
        <v>69300493</v>
      </c>
      <c r="K521" s="6">
        <f t="shared" si="116"/>
        <v>15884452</v>
      </c>
      <c r="M521" s="6">
        <v>823244</v>
      </c>
      <c r="O521" s="6">
        <v>35021880</v>
      </c>
      <c r="Q521" s="6">
        <v>51729576</v>
      </c>
      <c r="S521" s="6">
        <v>1899858</v>
      </c>
      <c r="U521" s="6">
        <f t="shared" si="118"/>
        <v>9514111</v>
      </c>
      <c r="W521" s="6">
        <v>6156948</v>
      </c>
      <c r="Y521" s="6">
        <v>17570917</v>
      </c>
      <c r="Z521" s="6">
        <f t="shared" si="109"/>
        <v>0</v>
      </c>
      <c r="AB521" s="6">
        <f t="shared" si="110"/>
        <v>0</v>
      </c>
    </row>
    <row r="522" spans="1:28">
      <c r="A522" s="10" t="s">
        <v>786</v>
      </c>
      <c r="B522" s="10"/>
      <c r="C522" s="10" t="s">
        <v>32</v>
      </c>
      <c r="E522" s="6">
        <f t="shared" si="117"/>
        <v>12443566</v>
      </c>
      <c r="G522" s="6">
        <f>306322+2688911</f>
        <v>2995233</v>
      </c>
      <c r="I522" s="6">
        <v>15438799</v>
      </c>
      <c r="K522" s="6">
        <f t="shared" si="116"/>
        <v>3443572</v>
      </c>
      <c r="M522" s="6">
        <v>266576</v>
      </c>
      <c r="O522" s="6">
        <v>2180173</v>
      </c>
      <c r="Q522" s="6">
        <v>5890321</v>
      </c>
      <c r="S522" s="6">
        <v>2000233</v>
      </c>
      <c r="U522" s="6">
        <f t="shared" si="118"/>
        <v>674733</v>
      </c>
      <c r="W522" s="6">
        <v>6873512</v>
      </c>
      <c r="Y522" s="6">
        <v>9548478</v>
      </c>
      <c r="Z522" s="6">
        <f t="shared" si="109"/>
        <v>0</v>
      </c>
      <c r="AB522" s="6">
        <f t="shared" ref="AB522:AB528" si="119">+E522+G522+-K522-M522-S522-U522-W522-O522</f>
        <v>0</v>
      </c>
    </row>
    <row r="523" spans="1:28">
      <c r="A523" s="10" t="s">
        <v>787</v>
      </c>
      <c r="B523" s="10"/>
      <c r="C523" s="10" t="s">
        <v>15</v>
      </c>
      <c r="E523" s="6">
        <f t="shared" si="117"/>
        <v>10558286</v>
      </c>
      <c r="G523" s="6">
        <f>700855+8145931</f>
        <v>8846786</v>
      </c>
      <c r="I523" s="6">
        <v>19405072</v>
      </c>
      <c r="K523" s="6">
        <f t="shared" si="116"/>
        <v>9135597</v>
      </c>
      <c r="M523" s="6">
        <v>1074639</v>
      </c>
      <c r="O523" s="6">
        <v>1623246</v>
      </c>
      <c r="Q523" s="6">
        <f>4497800+7335682</f>
        <v>11833482</v>
      </c>
      <c r="S523" s="6">
        <v>7551383</v>
      </c>
      <c r="U523" s="6">
        <f t="shared" si="118"/>
        <v>925713</v>
      </c>
      <c r="W523" s="6">
        <v>-905506</v>
      </c>
      <c r="Y523" s="6">
        <f>7571590</f>
        <v>7571590</v>
      </c>
      <c r="Z523" s="6">
        <f t="shared" si="109"/>
        <v>0</v>
      </c>
      <c r="AB523" s="6">
        <f t="shared" si="119"/>
        <v>0</v>
      </c>
    </row>
    <row r="524" spans="1:28" hidden="1">
      <c r="A524" s="10" t="s">
        <v>703</v>
      </c>
      <c r="B524" s="10"/>
      <c r="C524" s="10" t="s">
        <v>422</v>
      </c>
      <c r="E524" s="6">
        <f t="shared" si="117"/>
        <v>0</v>
      </c>
      <c r="K524" s="6">
        <f t="shared" si="116"/>
        <v>0</v>
      </c>
      <c r="U524" s="6">
        <f t="shared" si="118"/>
        <v>0</v>
      </c>
      <c r="Z524" s="6">
        <f t="shared" si="109"/>
        <v>0</v>
      </c>
      <c r="AB524" s="6">
        <f t="shared" si="119"/>
        <v>0</v>
      </c>
    </row>
    <row r="525" spans="1:28" hidden="1">
      <c r="A525" s="10" t="s">
        <v>704</v>
      </c>
      <c r="B525" s="10"/>
      <c r="C525" s="10" t="s">
        <v>14</v>
      </c>
      <c r="E525" s="6">
        <f t="shared" si="117"/>
        <v>0</v>
      </c>
      <c r="K525" s="6">
        <f t="shared" si="116"/>
        <v>0</v>
      </c>
      <c r="U525" s="6">
        <f t="shared" si="118"/>
        <v>0</v>
      </c>
      <c r="Z525" s="6">
        <f>+I525-Q525-Y525</f>
        <v>0</v>
      </c>
      <c r="AB525" s="6">
        <f t="shared" si="119"/>
        <v>0</v>
      </c>
    </row>
    <row r="526" spans="1:28">
      <c r="A526" s="10" t="s">
        <v>364</v>
      </c>
      <c r="B526" s="10"/>
      <c r="C526" s="10" t="s">
        <v>39</v>
      </c>
      <c r="E526" s="6">
        <f t="shared" si="117"/>
        <v>24028036</v>
      </c>
      <c r="G526" s="6">
        <f>5751487+42888744</f>
        <v>48640231</v>
      </c>
      <c r="I526" s="6">
        <v>72668267</v>
      </c>
      <c r="K526" s="6">
        <f t="shared" si="116"/>
        <v>6620847</v>
      </c>
      <c r="M526" s="6">
        <v>991736</v>
      </c>
      <c r="O526" s="6">
        <v>10465853</v>
      </c>
      <c r="Q526" s="6">
        <v>18078436</v>
      </c>
      <c r="S526" s="6">
        <v>40184872</v>
      </c>
      <c r="U526" s="6">
        <f t="shared" si="118"/>
        <v>8444065</v>
      </c>
      <c r="W526" s="6">
        <v>5960894</v>
      </c>
      <c r="Y526" s="6">
        <v>54589831</v>
      </c>
      <c r="Z526" s="6">
        <f>+I526-Q526-Y526</f>
        <v>0</v>
      </c>
      <c r="AB526" s="6">
        <f t="shared" si="119"/>
        <v>0</v>
      </c>
    </row>
    <row r="527" spans="1:28">
      <c r="A527" s="10" t="s">
        <v>514</v>
      </c>
      <c r="B527" s="10"/>
      <c r="C527" s="10" t="s">
        <v>63</v>
      </c>
      <c r="E527" s="6">
        <f t="shared" si="117"/>
        <v>52402388</v>
      </c>
      <c r="G527" s="6">
        <v>15998090</v>
      </c>
      <c r="I527" s="6">
        <v>68400478</v>
      </c>
      <c r="K527" s="6">
        <f t="shared" si="116"/>
        <v>36231118</v>
      </c>
      <c r="M527" s="6">
        <v>729204</v>
      </c>
      <c r="O527" s="6">
        <v>6022388</v>
      </c>
      <c r="Q527" s="6">
        <v>42982710</v>
      </c>
      <c r="S527" s="6">
        <v>13352253</v>
      </c>
      <c r="U527" s="6">
        <f t="shared" si="118"/>
        <v>201134</v>
      </c>
      <c r="W527" s="6">
        <v>11864381</v>
      </c>
      <c r="Y527" s="6">
        <v>25417768</v>
      </c>
      <c r="Z527" s="6">
        <f>+I527-Q527-Y527</f>
        <v>0</v>
      </c>
      <c r="AB527" s="6">
        <f t="shared" si="119"/>
        <v>0</v>
      </c>
    </row>
    <row r="528" spans="1:28" hidden="1">
      <c r="A528" s="11" t="s">
        <v>705</v>
      </c>
      <c r="B528" s="10"/>
      <c r="C528" s="10" t="s">
        <v>65</v>
      </c>
      <c r="E528" s="6">
        <f t="shared" si="117"/>
        <v>0</v>
      </c>
      <c r="K528" s="6">
        <f t="shared" si="116"/>
        <v>0</v>
      </c>
      <c r="U528" s="6">
        <f t="shared" si="118"/>
        <v>0</v>
      </c>
      <c r="Z528" s="6">
        <f>+I528-Q528-Y528</f>
        <v>0</v>
      </c>
      <c r="AB528" s="6">
        <f t="shared" si="119"/>
        <v>0</v>
      </c>
    </row>
    <row r="529" spans="1:28">
      <c r="A529" s="10" t="s">
        <v>464</v>
      </c>
      <c r="B529" s="10"/>
      <c r="C529" s="10" t="s">
        <v>56</v>
      </c>
      <c r="D529" s="9"/>
      <c r="E529" s="6">
        <f t="shared" ref="E529:E537" si="120">+I529-G529</f>
        <v>21110732</v>
      </c>
      <c r="G529" s="6">
        <f>1682068+17693340</f>
        <v>19375408</v>
      </c>
      <c r="I529" s="6">
        <v>40486140</v>
      </c>
      <c r="K529" s="6">
        <f t="shared" si="116"/>
        <v>16366362</v>
      </c>
      <c r="M529" s="6">
        <v>1127563</v>
      </c>
      <c r="O529" s="6">
        <v>12162549</v>
      </c>
      <c r="Q529" s="6">
        <v>29656474</v>
      </c>
      <c r="S529" s="6">
        <v>8555252</v>
      </c>
      <c r="U529" s="6">
        <f t="shared" si="118"/>
        <v>2198699</v>
      </c>
      <c r="W529" s="6">
        <v>75715</v>
      </c>
      <c r="Y529" s="6">
        <v>10829666</v>
      </c>
      <c r="Z529" s="6">
        <f t="shared" ref="Z529:Z575" si="121">+I529-Q529-Y529</f>
        <v>0</v>
      </c>
      <c r="AB529" s="6">
        <f t="shared" ref="AB529:AB575" si="122">+E529+G529+-K529-M529-S529-U529-W529-O529</f>
        <v>0</v>
      </c>
    </row>
    <row r="530" spans="1:28">
      <c r="A530" s="10" t="s">
        <v>279</v>
      </c>
      <c r="B530" s="10"/>
      <c r="C530" s="10" t="s">
        <v>20</v>
      </c>
      <c r="E530" s="6">
        <f t="shared" si="120"/>
        <v>62774968</v>
      </c>
      <c r="G530" s="6">
        <f>2611204+39009221</f>
        <v>41620425</v>
      </c>
      <c r="I530" s="6">
        <v>104395393</v>
      </c>
      <c r="K530" s="6">
        <f t="shared" si="116"/>
        <v>47532823</v>
      </c>
      <c r="M530" s="6">
        <v>6213853</v>
      </c>
      <c r="O530" s="6">
        <v>15686976</v>
      </c>
      <c r="Q530" s="6">
        <v>69433652</v>
      </c>
      <c r="S530" s="6">
        <v>28661439</v>
      </c>
      <c r="U530" s="6">
        <f t="shared" si="118"/>
        <v>6520668</v>
      </c>
      <c r="W530" s="6">
        <v>-220366</v>
      </c>
      <c r="Y530" s="6">
        <v>34961741</v>
      </c>
      <c r="Z530" s="6">
        <f t="shared" si="121"/>
        <v>0</v>
      </c>
      <c r="AB530" s="6">
        <f t="shared" si="122"/>
        <v>0</v>
      </c>
    </row>
    <row r="531" spans="1:28">
      <c r="A531" s="10" t="s">
        <v>407</v>
      </c>
      <c r="B531" s="10"/>
      <c r="C531" s="10" t="s">
        <v>45</v>
      </c>
      <c r="E531" s="6">
        <f t="shared" si="120"/>
        <v>15535339</v>
      </c>
      <c r="G531" s="6">
        <f>422600+21233501</f>
        <v>21656101</v>
      </c>
      <c r="I531" s="6">
        <v>37191440</v>
      </c>
      <c r="K531" s="6">
        <f t="shared" si="116"/>
        <v>7043947</v>
      </c>
      <c r="M531" s="6">
        <v>675169</v>
      </c>
      <c r="O531" s="6">
        <v>4340676</v>
      </c>
      <c r="Q531" s="6">
        <v>12059792</v>
      </c>
      <c r="S531" s="6">
        <v>18604831</v>
      </c>
      <c r="U531" s="6">
        <f t="shared" si="118"/>
        <v>1493324</v>
      </c>
      <c r="W531" s="6">
        <v>5033493</v>
      </c>
      <c r="Y531" s="6">
        <v>25131648</v>
      </c>
      <c r="Z531" s="6">
        <f t="shared" si="121"/>
        <v>0</v>
      </c>
      <c r="AB531" s="6">
        <f t="shared" si="122"/>
        <v>0</v>
      </c>
    </row>
    <row r="532" spans="1:28" hidden="1">
      <c r="A532" s="11" t="s">
        <v>898</v>
      </c>
      <c r="B532" s="10"/>
      <c r="C532" s="10" t="s">
        <v>552</v>
      </c>
      <c r="E532" s="6">
        <f t="shared" si="120"/>
        <v>0</v>
      </c>
      <c r="K532" s="6">
        <f t="shared" si="116"/>
        <v>0</v>
      </c>
      <c r="U532" s="6">
        <f t="shared" si="118"/>
        <v>0</v>
      </c>
      <c r="Z532" s="6">
        <f t="shared" si="121"/>
        <v>0</v>
      </c>
      <c r="AB532" s="6">
        <f t="shared" si="122"/>
        <v>0</v>
      </c>
    </row>
    <row r="533" spans="1:28" hidden="1">
      <c r="A533" s="11" t="s">
        <v>899</v>
      </c>
      <c r="B533" s="10"/>
      <c r="C533" s="10" t="s">
        <v>28</v>
      </c>
      <c r="E533" s="6">
        <f t="shared" si="120"/>
        <v>0</v>
      </c>
      <c r="K533" s="6">
        <f t="shared" si="116"/>
        <v>0</v>
      </c>
      <c r="U533" s="6">
        <f t="shared" si="118"/>
        <v>0</v>
      </c>
      <c r="Z533" s="6">
        <f t="shared" si="121"/>
        <v>0</v>
      </c>
      <c r="AB533" s="6">
        <f t="shared" si="122"/>
        <v>0</v>
      </c>
    </row>
    <row r="534" spans="1:28">
      <c r="A534" s="10" t="s">
        <v>628</v>
      </c>
      <c r="B534" s="10"/>
      <c r="C534" s="10" t="s">
        <v>49</v>
      </c>
      <c r="E534" s="6">
        <f t="shared" si="120"/>
        <v>62583407</v>
      </c>
      <c r="G534" s="6">
        <f>49140344+7969771</f>
        <v>57110115</v>
      </c>
      <c r="I534" s="6">
        <v>119693522</v>
      </c>
      <c r="K534" s="6">
        <f t="shared" si="116"/>
        <v>16808976</v>
      </c>
      <c r="M534" s="6">
        <v>908644</v>
      </c>
      <c r="O534" s="6">
        <v>35693040</v>
      </c>
      <c r="Q534" s="6">
        <v>53410660</v>
      </c>
      <c r="S534" s="6">
        <v>41769596</v>
      </c>
      <c r="U534" s="6">
        <f t="shared" si="118"/>
        <v>26260100</v>
      </c>
      <c r="W534" s="6">
        <v>-1746834</v>
      </c>
      <c r="Y534" s="6">
        <v>66282862</v>
      </c>
      <c r="Z534" s="6">
        <f t="shared" si="121"/>
        <v>0</v>
      </c>
      <c r="AB534" s="6">
        <f t="shared" si="122"/>
        <v>0</v>
      </c>
    </row>
    <row r="535" spans="1:28">
      <c r="A535" s="10" t="s">
        <v>834</v>
      </c>
      <c r="B535" s="10"/>
      <c r="C535" s="10" t="s">
        <v>32</v>
      </c>
      <c r="E535" s="6">
        <f t="shared" si="120"/>
        <v>127612427</v>
      </c>
      <c r="G535" s="6">
        <f>5876683+60126159</f>
        <v>66002842</v>
      </c>
      <c r="I535" s="6">
        <v>193615269</v>
      </c>
      <c r="K535" s="6">
        <f t="shared" si="116"/>
        <v>43969249</v>
      </c>
      <c r="M535" s="6">
        <v>5908199</v>
      </c>
      <c r="O535" s="6">
        <v>67734421</v>
      </c>
      <c r="Q535" s="6">
        <v>117611869</v>
      </c>
      <c r="S535" s="6">
        <v>15759354</v>
      </c>
      <c r="U535" s="6">
        <f t="shared" si="118"/>
        <v>12269755</v>
      </c>
      <c r="W535" s="6">
        <v>47974291</v>
      </c>
      <c r="Y535" s="6">
        <v>76003400</v>
      </c>
      <c r="Z535" s="6">
        <f t="shared" si="121"/>
        <v>0</v>
      </c>
      <c r="AB535" s="6">
        <f t="shared" si="122"/>
        <v>0</v>
      </c>
    </row>
    <row r="536" spans="1:28">
      <c r="A536" s="10" t="s">
        <v>394</v>
      </c>
      <c r="B536" s="10"/>
      <c r="C536" s="10" t="s">
        <v>115</v>
      </c>
      <c r="E536" s="6">
        <f t="shared" si="120"/>
        <v>85212098</v>
      </c>
      <c r="G536" s="6">
        <v>106779637</v>
      </c>
      <c r="I536" s="6">
        <v>191991735</v>
      </c>
      <c r="K536" s="6">
        <f t="shared" si="116"/>
        <v>73770875</v>
      </c>
      <c r="M536" s="6">
        <v>5482761</v>
      </c>
      <c r="O536" s="6">
        <v>104171108</v>
      </c>
      <c r="Q536" s="6">
        <v>183424744</v>
      </c>
      <c r="S536" s="6">
        <v>16273543</v>
      </c>
      <c r="U536" s="6">
        <f t="shared" si="118"/>
        <v>4388544</v>
      </c>
      <c r="W536" s="6">
        <v>-12095096</v>
      </c>
      <c r="Y536" s="6">
        <v>8566991</v>
      </c>
      <c r="Z536" s="6">
        <f t="shared" si="121"/>
        <v>0</v>
      </c>
      <c r="AB536" s="6">
        <f t="shared" si="122"/>
        <v>0</v>
      </c>
    </row>
    <row r="537" spans="1:28">
      <c r="A537" s="10" t="s">
        <v>372</v>
      </c>
      <c r="B537" s="10"/>
      <c r="C537" s="10" t="s">
        <v>366</v>
      </c>
      <c r="E537" s="6">
        <f t="shared" si="120"/>
        <v>5646969</v>
      </c>
      <c r="G537" s="6">
        <f>111779+7875373</f>
        <v>7987152</v>
      </c>
      <c r="I537" s="6">
        <v>13634121</v>
      </c>
      <c r="K537" s="6">
        <f t="shared" si="116"/>
        <v>1773029</v>
      </c>
      <c r="M537" s="6">
        <v>236711</v>
      </c>
      <c r="O537" s="6">
        <v>566549</v>
      </c>
      <c r="Q537" s="6">
        <v>2576289</v>
      </c>
      <c r="S537" s="6">
        <v>7885852</v>
      </c>
      <c r="U537" s="6">
        <f t="shared" si="118"/>
        <v>1219157</v>
      </c>
      <c r="W537" s="6">
        <v>1952823</v>
      </c>
      <c r="Y537" s="6">
        <v>11057832</v>
      </c>
      <c r="Z537" s="6">
        <f t="shared" si="121"/>
        <v>0</v>
      </c>
      <c r="AB537" s="6">
        <f t="shared" si="122"/>
        <v>0</v>
      </c>
    </row>
    <row r="538" spans="1:28">
      <c r="A538" s="10" t="s">
        <v>717</v>
      </c>
      <c r="B538" s="10"/>
      <c r="C538" s="10" t="s">
        <v>221</v>
      </c>
      <c r="E538" s="6">
        <f t="shared" ref="E538:E597" si="123">+I538-G538</f>
        <v>56271445</v>
      </c>
      <c r="G538" s="6">
        <f>43702788+14744102</f>
        <v>58446890</v>
      </c>
      <c r="I538" s="6">
        <v>114718335</v>
      </c>
      <c r="K538" s="6">
        <f t="shared" si="116"/>
        <v>22878130</v>
      </c>
      <c r="M538" s="6">
        <v>2022853</v>
      </c>
      <c r="O538" s="6">
        <f>53938844-2022853</f>
        <v>51915991</v>
      </c>
      <c r="Q538" s="6">
        <v>76816974</v>
      </c>
      <c r="S538" s="6">
        <v>10776504</v>
      </c>
      <c r="U538" s="6">
        <f t="shared" si="118"/>
        <v>7423787</v>
      </c>
      <c r="W538" s="6">
        <v>19701070</v>
      </c>
      <c r="Y538" s="6">
        <v>37901361</v>
      </c>
      <c r="Z538" s="6">
        <f t="shared" si="121"/>
        <v>0</v>
      </c>
      <c r="AB538" s="6">
        <f t="shared" si="122"/>
        <v>0</v>
      </c>
    </row>
    <row r="539" spans="1:28">
      <c r="A539" s="10" t="s">
        <v>515</v>
      </c>
      <c r="B539" s="10"/>
      <c r="C539" s="10" t="s">
        <v>63</v>
      </c>
      <c r="E539" s="6">
        <f t="shared" si="123"/>
        <v>24244121</v>
      </c>
      <c r="G539" s="6">
        <f>3354650+34060725</f>
        <v>37415375</v>
      </c>
      <c r="I539" s="6">
        <v>61659496</v>
      </c>
      <c r="K539" s="6">
        <f t="shared" si="116"/>
        <v>18792472</v>
      </c>
      <c r="M539" s="6">
        <v>1033793</v>
      </c>
      <c r="O539" s="6">
        <f>28799927-1033793</f>
        <v>27766134</v>
      </c>
      <c r="Q539" s="6">
        <v>47592399</v>
      </c>
      <c r="S539" s="6">
        <v>11290953</v>
      </c>
      <c r="U539" s="6">
        <f t="shared" si="118"/>
        <v>2407371</v>
      </c>
      <c r="W539" s="6">
        <v>368773</v>
      </c>
      <c r="Y539" s="6">
        <v>14067097</v>
      </c>
      <c r="Z539" s="6">
        <f t="shared" si="121"/>
        <v>0</v>
      </c>
      <c r="AB539" s="6">
        <f t="shared" si="122"/>
        <v>0</v>
      </c>
    </row>
    <row r="540" spans="1:28">
      <c r="A540" s="10" t="s">
        <v>454</v>
      </c>
      <c r="B540" s="10"/>
      <c r="C540" s="10" t="s">
        <v>54</v>
      </c>
      <c r="E540" s="6">
        <f t="shared" si="123"/>
        <v>24602742</v>
      </c>
      <c r="G540" s="6">
        <v>101076694</v>
      </c>
      <c r="I540" s="6">
        <v>125679436</v>
      </c>
      <c r="K540" s="6">
        <f t="shared" si="116"/>
        <v>14948296</v>
      </c>
      <c r="M540" s="6">
        <v>1868048</v>
      </c>
      <c r="O540" s="6">
        <f>40181542-1868048</f>
        <v>38313494</v>
      </c>
      <c r="Q540" s="6">
        <v>55129838</v>
      </c>
      <c r="S540" s="6">
        <v>64479914</v>
      </c>
      <c r="U540" s="6">
        <f t="shared" si="118"/>
        <v>4023772</v>
      </c>
      <c r="W540" s="6">
        <v>2045912</v>
      </c>
      <c r="Y540" s="6">
        <v>70549598</v>
      </c>
      <c r="Z540" s="6">
        <f t="shared" si="121"/>
        <v>0</v>
      </c>
      <c r="AB540" s="6">
        <f t="shared" si="122"/>
        <v>0</v>
      </c>
    </row>
    <row r="541" spans="1:28">
      <c r="A541" s="10" t="s">
        <v>236</v>
      </c>
      <c r="B541" s="10"/>
      <c r="C541" s="10" t="s">
        <v>17</v>
      </c>
      <c r="E541" s="6">
        <f t="shared" si="123"/>
        <v>17184091</v>
      </c>
      <c r="G541" s="6">
        <f>73016383+520022</f>
        <v>73536405</v>
      </c>
      <c r="I541" s="6">
        <v>90720496</v>
      </c>
      <c r="K541" s="6">
        <f t="shared" si="116"/>
        <v>10278097</v>
      </c>
      <c r="M541" s="6">
        <v>686192</v>
      </c>
      <c r="O541" s="6">
        <f>19926278-686192</f>
        <v>19240086</v>
      </c>
      <c r="Q541" s="6">
        <v>30204375</v>
      </c>
      <c r="S541" s="6">
        <v>55833846</v>
      </c>
      <c r="U541" s="6">
        <f t="shared" si="118"/>
        <v>5005908</v>
      </c>
      <c r="W541" s="6">
        <v>-323633</v>
      </c>
      <c r="Y541" s="6">
        <v>60516121</v>
      </c>
      <c r="Z541" s="6">
        <f t="shared" si="121"/>
        <v>0</v>
      </c>
      <c r="AB541" s="6">
        <f t="shared" si="122"/>
        <v>0</v>
      </c>
    </row>
    <row r="542" spans="1:28">
      <c r="A542" s="11" t="s">
        <v>725</v>
      </c>
      <c r="B542" s="10"/>
      <c r="C542" s="10" t="s">
        <v>32</v>
      </c>
      <c r="E542" s="6">
        <f t="shared" si="123"/>
        <v>77773845</v>
      </c>
      <c r="G542" s="6">
        <f>20504264+2426366</f>
        <v>22930630</v>
      </c>
      <c r="I542" s="6">
        <v>100704475</v>
      </c>
      <c r="K542" s="6">
        <f t="shared" ref="K542:K608" si="124">+Q542-M542-O542</f>
        <v>15885975</v>
      </c>
      <c r="M542" s="6">
        <v>951327</v>
      </c>
      <c r="O542" s="6">
        <f>41776490-951327</f>
        <v>40825163</v>
      </c>
      <c r="Q542" s="6">
        <v>57662465</v>
      </c>
      <c r="S542" s="6">
        <v>8456467</v>
      </c>
      <c r="U542" s="6">
        <f t="shared" si="118"/>
        <v>23001757</v>
      </c>
      <c r="W542" s="6">
        <v>11583786</v>
      </c>
      <c r="Y542" s="6">
        <v>43042010</v>
      </c>
      <c r="Z542" s="6">
        <f t="shared" si="121"/>
        <v>0</v>
      </c>
      <c r="AB542" s="6">
        <f t="shared" si="122"/>
        <v>0</v>
      </c>
    </row>
    <row r="543" spans="1:28">
      <c r="A543" s="10" t="s">
        <v>488</v>
      </c>
      <c r="B543" s="10"/>
      <c r="C543" s="10" t="s">
        <v>60</v>
      </c>
      <c r="E543" s="6">
        <f t="shared" si="123"/>
        <v>17573747</v>
      </c>
      <c r="G543" s="6">
        <v>16969285</v>
      </c>
      <c r="I543" s="6">
        <v>34543032</v>
      </c>
      <c r="K543" s="6">
        <f t="shared" si="124"/>
        <v>8975094</v>
      </c>
      <c r="M543" s="6">
        <v>972964</v>
      </c>
      <c r="O543" s="6">
        <f>8624081-972964</f>
        <v>7651117</v>
      </c>
      <c r="Q543" s="6">
        <v>17599175</v>
      </c>
      <c r="S543" s="6">
        <v>10130005</v>
      </c>
      <c r="U543" s="6">
        <f t="shared" si="118"/>
        <v>2787096</v>
      </c>
      <c r="W543" s="6">
        <v>4026756</v>
      </c>
      <c r="Y543" s="6">
        <v>16943857</v>
      </c>
      <c r="Z543" s="6">
        <f t="shared" si="121"/>
        <v>0</v>
      </c>
      <c r="AB543" s="6">
        <f t="shared" si="122"/>
        <v>0</v>
      </c>
    </row>
    <row r="544" spans="1:28">
      <c r="A544" s="10" t="s">
        <v>778</v>
      </c>
      <c r="B544" s="10"/>
      <c r="C544" s="10" t="s">
        <v>48</v>
      </c>
      <c r="E544" s="6">
        <f t="shared" si="123"/>
        <v>15692585</v>
      </c>
      <c r="G544" s="6">
        <f>1928313+21021034</f>
        <v>22949347</v>
      </c>
      <c r="I544" s="6">
        <v>38641932</v>
      </c>
      <c r="K544" s="6">
        <f t="shared" si="124"/>
        <v>13000600</v>
      </c>
      <c r="M544" s="6">
        <v>1349405</v>
      </c>
      <c r="O544" s="6">
        <f>19054163-1349405</f>
        <v>17704758</v>
      </c>
      <c r="Q544" s="6">
        <v>32054763</v>
      </c>
      <c r="S544" s="6">
        <v>7314252</v>
      </c>
      <c r="U544" s="6">
        <f>Y544-W544-S544</f>
        <v>1892076</v>
      </c>
      <c r="W544" s="6">
        <v>-2619159</v>
      </c>
      <c r="Y544" s="6">
        <v>6587169</v>
      </c>
      <c r="Z544" s="6">
        <f t="shared" si="121"/>
        <v>0</v>
      </c>
      <c r="AB544" s="6">
        <f t="shared" si="122"/>
        <v>0</v>
      </c>
    </row>
    <row r="545" spans="1:28">
      <c r="A545" s="10" t="s">
        <v>395</v>
      </c>
      <c r="B545" s="10"/>
      <c r="C545" s="10" t="s">
        <v>115</v>
      </c>
      <c r="E545" s="6">
        <f t="shared" si="123"/>
        <v>293849496</v>
      </c>
      <c r="G545" s="6">
        <f>24722524+530183132</f>
        <v>554905656</v>
      </c>
      <c r="I545" s="6">
        <v>848755152</v>
      </c>
      <c r="K545" s="6">
        <f t="shared" si="124"/>
        <v>135997609</v>
      </c>
      <c r="M545" s="6">
        <v>2492035</v>
      </c>
      <c r="O545" s="6">
        <f>188966632-2492035</f>
        <v>186474597</v>
      </c>
      <c r="Q545" s="6">
        <v>324964241</v>
      </c>
      <c r="S545" s="6">
        <v>391566146</v>
      </c>
      <c r="U545" s="6">
        <f t="shared" si="118"/>
        <v>124949914</v>
      </c>
      <c r="W545" s="6">
        <v>7274851</v>
      </c>
      <c r="Y545" s="6">
        <v>523790911</v>
      </c>
      <c r="Z545" s="6">
        <f t="shared" si="121"/>
        <v>0</v>
      </c>
      <c r="AB545" s="6">
        <f t="shared" si="122"/>
        <v>0</v>
      </c>
    </row>
    <row r="546" spans="1:28" hidden="1">
      <c r="A546" s="11" t="s">
        <v>894</v>
      </c>
      <c r="B546" s="11"/>
      <c r="C546" s="11" t="s">
        <v>115</v>
      </c>
      <c r="E546" s="6">
        <f t="shared" si="123"/>
        <v>0</v>
      </c>
      <c r="K546" s="6">
        <f t="shared" si="124"/>
        <v>0</v>
      </c>
      <c r="U546" s="6">
        <f t="shared" si="118"/>
        <v>0</v>
      </c>
      <c r="Z546" s="6">
        <f t="shared" si="121"/>
        <v>0</v>
      </c>
      <c r="AB546" s="6">
        <f t="shared" si="122"/>
        <v>0</v>
      </c>
    </row>
    <row r="547" spans="1:28">
      <c r="A547" s="11" t="s">
        <v>726</v>
      </c>
      <c r="B547" s="10"/>
      <c r="C547" s="10" t="s">
        <v>39</v>
      </c>
      <c r="E547" s="6">
        <f t="shared" si="123"/>
        <v>20967835</v>
      </c>
      <c r="G547" s="6">
        <f>3981071+1184791</f>
        <v>5165862</v>
      </c>
      <c r="I547" s="6">
        <v>26133697</v>
      </c>
      <c r="K547" s="6">
        <f t="shared" si="124"/>
        <v>2875189</v>
      </c>
      <c r="M547" s="6">
        <v>182691</v>
      </c>
      <c r="O547" s="6">
        <f>9083731-182691</f>
        <v>8901040</v>
      </c>
      <c r="Q547" s="6">
        <v>11958920</v>
      </c>
      <c r="S547" s="6">
        <v>5126167</v>
      </c>
      <c r="U547" s="6">
        <f>Y547-W547-S547</f>
        <v>6086897</v>
      </c>
      <c r="W547" s="6">
        <v>2961713</v>
      </c>
      <c r="Y547" s="6">
        <v>14174777</v>
      </c>
      <c r="Z547" s="6">
        <f t="shared" si="121"/>
        <v>0</v>
      </c>
      <c r="AB547" s="6">
        <f t="shared" si="122"/>
        <v>0</v>
      </c>
    </row>
    <row r="548" spans="1:28">
      <c r="A548" s="10" t="s">
        <v>229</v>
      </c>
      <c r="B548" s="10"/>
      <c r="C548" s="10" t="s">
        <v>228</v>
      </c>
      <c r="E548" s="6">
        <f t="shared" si="123"/>
        <v>4141141</v>
      </c>
      <c r="G548" s="6">
        <v>16575106</v>
      </c>
      <c r="I548" s="6">
        <v>20716247</v>
      </c>
      <c r="K548" s="6">
        <f t="shared" si="124"/>
        <v>2932171</v>
      </c>
      <c r="M548" s="6">
        <v>306744</v>
      </c>
      <c r="O548" s="6">
        <f>5439543-306744</f>
        <v>5132799</v>
      </c>
      <c r="Q548" s="6">
        <v>8371714</v>
      </c>
      <c r="S548" s="6">
        <v>12370256</v>
      </c>
      <c r="U548" s="6">
        <f>Y548-W548-S548</f>
        <v>359270</v>
      </c>
      <c r="W548" s="6">
        <v>-384993</v>
      </c>
      <c r="Y548" s="6">
        <v>12344533</v>
      </c>
      <c r="Z548" s="6">
        <f t="shared" si="121"/>
        <v>0</v>
      </c>
      <c r="AB548" s="6">
        <f t="shared" si="122"/>
        <v>0</v>
      </c>
    </row>
    <row r="549" spans="1:28">
      <c r="A549" s="10" t="s">
        <v>466</v>
      </c>
      <c r="B549" s="10"/>
      <c r="C549" s="10" t="s">
        <v>57</v>
      </c>
      <c r="E549" s="6">
        <f t="shared" si="123"/>
        <v>7027520</v>
      </c>
      <c r="G549" s="6">
        <f>508042+9204042</f>
        <v>9712084</v>
      </c>
      <c r="I549" s="6">
        <v>16739604</v>
      </c>
      <c r="K549" s="6">
        <f t="shared" si="124"/>
        <v>5093918</v>
      </c>
      <c r="M549" s="6">
        <v>7075</v>
      </c>
      <c r="O549" s="6">
        <f>479258-7075</f>
        <v>472183</v>
      </c>
      <c r="Q549" s="6">
        <v>5573176</v>
      </c>
      <c r="S549" s="6">
        <v>9712084</v>
      </c>
      <c r="U549" s="6">
        <f t="shared" si="118"/>
        <v>515261</v>
      </c>
      <c r="W549" s="6">
        <v>939083</v>
      </c>
      <c r="Y549" s="6">
        <v>11166428</v>
      </c>
      <c r="Z549" s="6">
        <f t="shared" si="121"/>
        <v>0</v>
      </c>
      <c r="AB549" s="6">
        <f t="shared" si="122"/>
        <v>0</v>
      </c>
    </row>
    <row r="550" spans="1:28">
      <c r="A550" s="10" t="s">
        <v>212</v>
      </c>
      <c r="B550" s="10"/>
      <c r="C550" s="10" t="s">
        <v>13</v>
      </c>
      <c r="E550" s="6">
        <f t="shared" si="123"/>
        <v>4084470</v>
      </c>
      <c r="G550" s="6">
        <f>55370+14246845</f>
        <v>14302215</v>
      </c>
      <c r="I550" s="6">
        <v>18386685</v>
      </c>
      <c r="K550" s="6">
        <f t="shared" si="124"/>
        <v>1780659</v>
      </c>
      <c r="M550" s="6">
        <v>60141</v>
      </c>
      <c r="O550" s="6">
        <f>1171274-60141</f>
        <v>1111133</v>
      </c>
      <c r="Q550" s="6">
        <v>2951933</v>
      </c>
      <c r="S550" s="6">
        <v>13742215</v>
      </c>
      <c r="U550" s="6">
        <f t="shared" si="118"/>
        <v>552771</v>
      </c>
      <c r="W550" s="6">
        <v>1139766</v>
      </c>
      <c r="Y550" s="6">
        <v>15434752</v>
      </c>
      <c r="Z550" s="6">
        <f t="shared" si="121"/>
        <v>0</v>
      </c>
      <c r="AB550" s="6">
        <f t="shared" si="122"/>
        <v>0</v>
      </c>
    </row>
    <row r="551" spans="1:28">
      <c r="A551" s="10" t="s">
        <v>446</v>
      </c>
      <c r="B551" s="10"/>
      <c r="C551" s="10" t="s">
        <v>51</v>
      </c>
      <c r="E551" s="6">
        <f t="shared" si="123"/>
        <v>18495539</v>
      </c>
      <c r="G551" s="6">
        <f>4020160+58255831</f>
        <v>62275991</v>
      </c>
      <c r="I551" s="6">
        <v>80771530</v>
      </c>
      <c r="K551" s="6">
        <f t="shared" si="124"/>
        <v>8541933</v>
      </c>
      <c r="M551" s="6">
        <v>729192</v>
      </c>
      <c r="O551" s="6">
        <f>17198621-729192</f>
        <v>16469429</v>
      </c>
      <c r="Q551" s="6">
        <v>25740554</v>
      </c>
      <c r="S551" s="6">
        <v>47354346</v>
      </c>
      <c r="U551" s="6">
        <f t="shared" si="118"/>
        <v>6044815</v>
      </c>
      <c r="W551" s="6">
        <v>1631815</v>
      </c>
      <c r="Y551" s="6">
        <v>55030976</v>
      </c>
      <c r="Z551" s="6">
        <f t="shared" si="121"/>
        <v>0</v>
      </c>
      <c r="AB551" s="6">
        <f t="shared" si="122"/>
        <v>0</v>
      </c>
    </row>
    <row r="552" spans="1:28" hidden="1">
      <c r="A552" s="10" t="s">
        <v>690</v>
      </c>
      <c r="B552" s="10"/>
      <c r="C552" s="10" t="s">
        <v>21</v>
      </c>
      <c r="E552" s="6">
        <f t="shared" si="123"/>
        <v>0</v>
      </c>
      <c r="K552" s="6">
        <f t="shared" si="124"/>
        <v>0</v>
      </c>
      <c r="U552" s="6">
        <f t="shared" si="118"/>
        <v>0</v>
      </c>
      <c r="Z552" s="6">
        <f>+I552-Q552-Y552</f>
        <v>0</v>
      </c>
      <c r="AB552" s="6">
        <f t="shared" si="122"/>
        <v>0</v>
      </c>
    </row>
    <row r="553" spans="1:28" hidden="1">
      <c r="A553" s="10" t="s">
        <v>835</v>
      </c>
      <c r="B553" s="10"/>
      <c r="C553" s="10" t="s">
        <v>71</v>
      </c>
      <c r="E553" s="6">
        <f t="shared" si="123"/>
        <v>0</v>
      </c>
      <c r="K553" s="6">
        <f t="shared" si="124"/>
        <v>0</v>
      </c>
      <c r="U553" s="6">
        <f t="shared" si="118"/>
        <v>0</v>
      </c>
      <c r="Z553" s="6">
        <f t="shared" si="121"/>
        <v>0</v>
      </c>
      <c r="AB553" s="6">
        <f t="shared" si="122"/>
        <v>0</v>
      </c>
    </row>
    <row r="554" spans="1:28">
      <c r="A554" s="10" t="s">
        <v>436</v>
      </c>
      <c r="B554" s="10"/>
      <c r="C554" s="10" t="s">
        <v>50</v>
      </c>
      <c r="E554" s="6">
        <f t="shared" si="123"/>
        <v>35761091</v>
      </c>
      <c r="G554" s="6">
        <f>1339329+84609285</f>
        <v>85948614</v>
      </c>
      <c r="I554" s="6">
        <v>121709705</v>
      </c>
      <c r="K554" s="6">
        <f t="shared" si="124"/>
        <v>12209208</v>
      </c>
      <c r="M554" s="6">
        <v>1275406</v>
      </c>
      <c r="O554" s="6">
        <f>43583225-1275406</f>
        <v>42307819</v>
      </c>
      <c r="Q554" s="6">
        <v>55792433</v>
      </c>
      <c r="S554" s="6">
        <v>45789331</v>
      </c>
      <c r="U554" s="6">
        <f t="shared" si="118"/>
        <v>4916405</v>
      </c>
      <c r="W554" s="6">
        <v>15211536</v>
      </c>
      <c r="Y554" s="6">
        <v>65917272</v>
      </c>
      <c r="Z554" s="6">
        <f t="shared" si="121"/>
        <v>0</v>
      </c>
      <c r="AB554" s="6">
        <f t="shared" si="122"/>
        <v>0</v>
      </c>
    </row>
    <row r="555" spans="1:28">
      <c r="A555" s="10" t="s">
        <v>426</v>
      </c>
      <c r="B555" s="10"/>
      <c r="C555" s="10" t="s">
        <v>48</v>
      </c>
      <c r="E555" s="6">
        <f t="shared" si="123"/>
        <v>35454064</v>
      </c>
      <c r="G555" s="6">
        <f>530131+26987352</f>
        <v>27517483</v>
      </c>
      <c r="I555" s="6">
        <v>62971547</v>
      </c>
      <c r="K555" s="6">
        <f t="shared" si="124"/>
        <v>21610871</v>
      </c>
      <c r="M555" s="6">
        <v>1597743</v>
      </c>
      <c r="O555" s="6">
        <f>24121018-1597743</f>
        <v>22523275</v>
      </c>
      <c r="Q555" s="6">
        <v>45731889</v>
      </c>
      <c r="S555" s="6">
        <v>8417929</v>
      </c>
      <c r="U555" s="6">
        <f t="shared" si="118"/>
        <v>2222304</v>
      </c>
      <c r="W555" s="6">
        <v>6599425</v>
      </c>
      <c r="Y555" s="6">
        <v>17239658</v>
      </c>
      <c r="Z555" s="6">
        <f t="shared" si="121"/>
        <v>0</v>
      </c>
      <c r="AB555" s="6">
        <f>+E555+G555+-K555-M555-S555-U555-W555-O555</f>
        <v>0</v>
      </c>
    </row>
    <row r="556" spans="1:28">
      <c r="A556" s="10" t="s">
        <v>538</v>
      </c>
      <c r="B556" s="10"/>
      <c r="C556" s="10" t="s">
        <v>65</v>
      </c>
      <c r="E556" s="6">
        <f t="shared" si="123"/>
        <v>11850479</v>
      </c>
      <c r="G556" s="6">
        <v>7198290</v>
      </c>
      <c r="I556" s="6">
        <v>19048769</v>
      </c>
      <c r="K556" s="6">
        <f t="shared" si="124"/>
        <v>6449699</v>
      </c>
      <c r="M556" s="6">
        <v>843797</v>
      </c>
      <c r="O556" s="6">
        <f>5640605-843797</f>
        <v>4796808</v>
      </c>
      <c r="Q556" s="6">
        <v>12090304</v>
      </c>
      <c r="S556" s="6">
        <v>4627976</v>
      </c>
      <c r="U556" s="6">
        <f t="shared" si="118"/>
        <v>984751</v>
      </c>
      <c r="W556" s="6">
        <v>1345738</v>
      </c>
      <c r="Y556" s="6">
        <v>6958465</v>
      </c>
      <c r="Z556" s="6">
        <f t="shared" si="121"/>
        <v>0</v>
      </c>
      <c r="AB556" s="6">
        <f t="shared" si="122"/>
        <v>0</v>
      </c>
    </row>
    <row r="557" spans="1:28">
      <c r="A557" s="10" t="s">
        <v>505</v>
      </c>
      <c r="B557" s="10"/>
      <c r="C557" s="10" t="s">
        <v>62</v>
      </c>
      <c r="D557" s="9"/>
      <c r="E557" s="6">
        <f t="shared" si="123"/>
        <v>11033911</v>
      </c>
      <c r="G557" s="6">
        <f>463538+12181049+14200703</f>
        <v>26845290</v>
      </c>
      <c r="I557" s="6">
        <v>37879201</v>
      </c>
      <c r="K557" s="6">
        <f t="shared" si="124"/>
        <v>6824420</v>
      </c>
      <c r="M557" s="6">
        <v>634700</v>
      </c>
      <c r="O557" s="6">
        <f>14124032-634700</f>
        <v>13489332</v>
      </c>
      <c r="Q557" s="6">
        <v>20948452</v>
      </c>
      <c r="S557" s="6">
        <v>14020082</v>
      </c>
      <c r="U557" s="6">
        <f t="shared" si="118"/>
        <v>2184006</v>
      </c>
      <c r="W557" s="6">
        <v>726661</v>
      </c>
      <c r="Y557" s="6">
        <v>16930749</v>
      </c>
      <c r="Z557" s="6">
        <f t="shared" si="121"/>
        <v>0</v>
      </c>
      <c r="AB557" s="6">
        <f t="shared" si="122"/>
        <v>0</v>
      </c>
    </row>
    <row r="558" spans="1:28" hidden="1">
      <c r="A558" s="10" t="s">
        <v>695</v>
      </c>
      <c r="B558" s="10"/>
      <c r="C558" s="10" t="s">
        <v>57</v>
      </c>
      <c r="E558" s="6">
        <f t="shared" si="123"/>
        <v>0</v>
      </c>
      <c r="K558" s="6">
        <f t="shared" si="124"/>
        <v>0</v>
      </c>
      <c r="U558" s="6">
        <f t="shared" si="118"/>
        <v>0</v>
      </c>
      <c r="Z558" s="6">
        <f t="shared" si="121"/>
        <v>0</v>
      </c>
      <c r="AB558" s="6">
        <f t="shared" si="122"/>
        <v>0</v>
      </c>
    </row>
    <row r="559" spans="1:28">
      <c r="A559" s="10" t="s">
        <v>516</v>
      </c>
      <c r="B559" s="10"/>
      <c r="C559" s="10" t="s">
        <v>63</v>
      </c>
      <c r="E559" s="6">
        <f t="shared" si="123"/>
        <v>62439906</v>
      </c>
      <c r="G559" s="6">
        <v>38333697</v>
      </c>
      <c r="I559" s="6">
        <v>100773603</v>
      </c>
      <c r="K559" s="6">
        <f t="shared" si="124"/>
        <v>28820583</v>
      </c>
      <c r="M559" s="6">
        <v>2249809</v>
      </c>
      <c r="O559" s="6">
        <f>25916058-2249809</f>
        <v>23666249</v>
      </c>
      <c r="Q559" s="6">
        <v>54736641</v>
      </c>
      <c r="S559" s="6">
        <v>14909061</v>
      </c>
      <c r="U559" s="6">
        <f t="shared" si="118"/>
        <v>7358896</v>
      </c>
      <c r="W559" s="6">
        <v>23769005</v>
      </c>
      <c r="Y559" s="6">
        <v>46036962</v>
      </c>
      <c r="Z559" s="6">
        <f t="shared" si="121"/>
        <v>0</v>
      </c>
      <c r="AB559" s="6">
        <f t="shared" si="122"/>
        <v>0</v>
      </c>
    </row>
    <row r="560" spans="1:28" hidden="1">
      <c r="A560" s="10" t="s">
        <v>836</v>
      </c>
      <c r="B560" s="10"/>
      <c r="C560" s="10" t="s">
        <v>15</v>
      </c>
      <c r="E560" s="6">
        <f t="shared" si="123"/>
        <v>0</v>
      </c>
      <c r="K560" s="6">
        <f t="shared" si="124"/>
        <v>0</v>
      </c>
      <c r="U560" s="6">
        <f t="shared" si="118"/>
        <v>0</v>
      </c>
      <c r="Z560" s="6">
        <f t="shared" si="121"/>
        <v>0</v>
      </c>
      <c r="AB560" s="6">
        <f t="shared" si="122"/>
        <v>0</v>
      </c>
    </row>
    <row r="561" spans="1:28">
      <c r="A561" s="10" t="s">
        <v>476</v>
      </c>
      <c r="B561" s="10"/>
      <c r="C561" s="10" t="s">
        <v>58</v>
      </c>
      <c r="E561" s="6">
        <f t="shared" si="123"/>
        <v>19629631</v>
      </c>
      <c r="G561" s="6">
        <f>444360+22119433</f>
        <v>22563793</v>
      </c>
      <c r="I561" s="6">
        <v>42193424</v>
      </c>
      <c r="K561" s="6">
        <f t="shared" si="124"/>
        <v>5020733</v>
      </c>
      <c r="M561" s="6">
        <v>632563</v>
      </c>
      <c r="O561" s="6">
        <f>5531275-632563</f>
        <v>4898712</v>
      </c>
      <c r="Q561" s="6">
        <v>10552008</v>
      </c>
      <c r="S561" s="6">
        <v>19631289</v>
      </c>
      <c r="U561" s="6">
        <f t="shared" si="118"/>
        <v>1344698</v>
      </c>
      <c r="W561" s="6">
        <v>10665429</v>
      </c>
      <c r="Y561" s="6">
        <v>31641416</v>
      </c>
      <c r="Z561" s="6">
        <f t="shared" si="121"/>
        <v>0</v>
      </c>
      <c r="AB561" s="6">
        <f t="shared" si="122"/>
        <v>0</v>
      </c>
    </row>
    <row r="562" spans="1:28">
      <c r="A562" s="10" t="s">
        <v>251</v>
      </c>
      <c r="B562" s="10"/>
      <c r="C562" s="10" t="s">
        <v>112</v>
      </c>
      <c r="E562" s="6">
        <f t="shared" si="123"/>
        <v>10036855</v>
      </c>
      <c r="G562" s="6">
        <v>6458823</v>
      </c>
      <c r="I562" s="6">
        <v>16495678</v>
      </c>
      <c r="K562" s="6">
        <f t="shared" si="124"/>
        <v>4340473</v>
      </c>
      <c r="M562" s="6">
        <v>106933</v>
      </c>
      <c r="O562" s="6">
        <f>1198444-106933</f>
        <v>1091511</v>
      </c>
      <c r="Q562" s="6">
        <v>5538917</v>
      </c>
      <c r="S562" s="6">
        <v>6361869</v>
      </c>
      <c r="U562" s="6">
        <f t="shared" si="118"/>
        <v>1160149</v>
      </c>
      <c r="W562" s="6">
        <v>3434743</v>
      </c>
      <c r="Y562" s="6">
        <v>10956761</v>
      </c>
      <c r="Z562" s="6">
        <f t="shared" si="121"/>
        <v>0</v>
      </c>
      <c r="AB562" s="6">
        <f t="shared" si="122"/>
        <v>0</v>
      </c>
    </row>
    <row r="563" spans="1:28">
      <c r="A563" s="10" t="s">
        <v>308</v>
      </c>
      <c r="B563" s="10"/>
      <c r="C563" s="10" t="s">
        <v>27</v>
      </c>
      <c r="E563" s="28">
        <f t="shared" si="123"/>
        <v>112132311</v>
      </c>
      <c r="F563" s="28"/>
      <c r="G563" s="28">
        <f>244883+50724927</f>
        <v>50969810</v>
      </c>
      <c r="H563" s="28"/>
      <c r="I563" s="28">
        <v>163102121</v>
      </c>
      <c r="J563" s="28"/>
      <c r="K563" s="28">
        <f t="shared" si="124"/>
        <v>48932638</v>
      </c>
      <c r="L563" s="28"/>
      <c r="M563" s="28">
        <v>2428492</v>
      </c>
      <c r="N563" s="28"/>
      <c r="O563" s="28">
        <f>33940626-2428492</f>
        <v>31512134</v>
      </c>
      <c r="P563" s="28"/>
      <c r="Q563" s="28">
        <v>82873264</v>
      </c>
      <c r="R563" s="28"/>
      <c r="S563" s="28">
        <v>25778423</v>
      </c>
      <c r="T563" s="28"/>
      <c r="U563" s="28">
        <f t="shared" si="118"/>
        <v>9109106</v>
      </c>
      <c r="V563" s="28"/>
      <c r="W563" s="28">
        <v>45341328</v>
      </c>
      <c r="X563" s="28"/>
      <c r="Y563" s="28">
        <v>80228857</v>
      </c>
      <c r="Z563" s="6">
        <f t="shared" si="121"/>
        <v>0</v>
      </c>
      <c r="AB563" s="6">
        <f t="shared" si="122"/>
        <v>0</v>
      </c>
    </row>
    <row r="564" spans="1:28" hidden="1">
      <c r="A564" s="10" t="s">
        <v>779</v>
      </c>
      <c r="B564" s="10"/>
      <c r="C564" s="10" t="s">
        <v>558</v>
      </c>
      <c r="D564" s="9"/>
      <c r="E564" s="6">
        <f t="shared" si="123"/>
        <v>0</v>
      </c>
      <c r="K564" s="6">
        <f t="shared" si="124"/>
        <v>0</v>
      </c>
      <c r="U564" s="6">
        <f t="shared" si="118"/>
        <v>0</v>
      </c>
      <c r="Z564" s="6">
        <f t="shared" si="121"/>
        <v>0</v>
      </c>
      <c r="AB564" s="6">
        <f t="shared" si="122"/>
        <v>0</v>
      </c>
    </row>
    <row r="565" spans="1:28" hidden="1">
      <c r="A565" s="10" t="s">
        <v>696</v>
      </c>
      <c r="B565" s="10"/>
      <c r="C565" s="10" t="s">
        <v>339</v>
      </c>
      <c r="E565" s="6">
        <f t="shared" si="123"/>
        <v>0</v>
      </c>
      <c r="K565" s="6">
        <f t="shared" si="124"/>
        <v>0</v>
      </c>
      <c r="U565" s="6">
        <f t="shared" si="118"/>
        <v>0</v>
      </c>
      <c r="Z565" s="6">
        <f t="shared" si="121"/>
        <v>0</v>
      </c>
      <c r="AB565" s="6">
        <f t="shared" si="122"/>
        <v>0</v>
      </c>
    </row>
    <row r="566" spans="1:28" hidden="1">
      <c r="A566" s="11" t="s">
        <v>895</v>
      </c>
      <c r="B566" s="10"/>
      <c r="C566" s="10" t="s">
        <v>228</v>
      </c>
      <c r="E566" s="6">
        <f t="shared" si="123"/>
        <v>0</v>
      </c>
      <c r="K566" s="6">
        <f t="shared" si="124"/>
        <v>0</v>
      </c>
      <c r="U566" s="6">
        <f t="shared" si="118"/>
        <v>0</v>
      </c>
      <c r="Z566" s="6">
        <f t="shared" si="121"/>
        <v>0</v>
      </c>
      <c r="AB566" s="6">
        <f t="shared" si="122"/>
        <v>0</v>
      </c>
    </row>
    <row r="567" spans="1:28" hidden="1">
      <c r="A567" s="10" t="s">
        <v>697</v>
      </c>
      <c r="B567" s="10"/>
      <c r="C567" s="10" t="s">
        <v>59</v>
      </c>
      <c r="D567" s="9"/>
      <c r="E567" s="6">
        <f t="shared" si="123"/>
        <v>0</v>
      </c>
      <c r="K567" s="6">
        <f t="shared" si="124"/>
        <v>0</v>
      </c>
      <c r="U567" s="6">
        <f t="shared" si="118"/>
        <v>0</v>
      </c>
      <c r="Z567" s="6">
        <f t="shared" si="121"/>
        <v>0</v>
      </c>
      <c r="AB567" s="6">
        <f t="shared" si="122"/>
        <v>0</v>
      </c>
    </row>
    <row r="568" spans="1:28">
      <c r="A568" s="10" t="s">
        <v>437</v>
      </c>
      <c r="B568" s="10"/>
      <c r="C568" s="10" t="s">
        <v>50</v>
      </c>
      <c r="E568" s="6">
        <f t="shared" si="123"/>
        <v>7924794</v>
      </c>
      <c r="G568" s="6">
        <v>5792116</v>
      </c>
      <c r="I568" s="6">
        <v>13716910</v>
      </c>
      <c r="K568" s="6">
        <f>+Q568-M568-O568</f>
        <v>6877737</v>
      </c>
      <c r="M568" s="6">
        <v>153525</v>
      </c>
      <c r="O568" s="6">
        <f>1581488-153525</f>
        <v>1427963</v>
      </c>
      <c r="Q568" s="6">
        <v>8459225</v>
      </c>
      <c r="S568" s="6">
        <v>5259290</v>
      </c>
      <c r="U568" s="6">
        <f t="shared" si="118"/>
        <v>59616</v>
      </c>
      <c r="W568" s="6">
        <v>-61221</v>
      </c>
      <c r="Y568" s="6">
        <v>5257685</v>
      </c>
      <c r="Z568" s="6">
        <f t="shared" si="121"/>
        <v>0</v>
      </c>
      <c r="AB568" s="6">
        <f t="shared" si="122"/>
        <v>0</v>
      </c>
    </row>
    <row r="569" spans="1:28">
      <c r="A569" s="10" t="s">
        <v>338</v>
      </c>
      <c r="B569" s="10"/>
      <c r="C569" s="10" t="s">
        <v>33</v>
      </c>
      <c r="E569" s="6">
        <f t="shared" si="123"/>
        <v>17310685</v>
      </c>
      <c r="G569" s="6">
        <f>168329+14027436</f>
        <v>14195765</v>
      </c>
      <c r="I569" s="6">
        <v>31506450</v>
      </c>
      <c r="K569" s="6">
        <f t="shared" si="124"/>
        <v>8089390</v>
      </c>
      <c r="M569" s="6">
        <v>900743</v>
      </c>
      <c r="O569" s="6">
        <f>7217298-900743</f>
        <v>6316555</v>
      </c>
      <c r="Q569" s="6">
        <v>15306688</v>
      </c>
      <c r="S569" s="6">
        <v>7785765</v>
      </c>
      <c r="U569" s="6">
        <f>Y569-W569-S569</f>
        <v>1502740</v>
      </c>
      <c r="W569" s="6">
        <v>6911257</v>
      </c>
      <c r="Y569" s="6">
        <v>16199762</v>
      </c>
      <c r="Z569" s="6">
        <f t="shared" si="121"/>
        <v>0</v>
      </c>
      <c r="AB569" s="6">
        <f t="shared" si="122"/>
        <v>0</v>
      </c>
    </row>
    <row r="570" spans="1:28" hidden="1">
      <c r="A570" s="10" t="s">
        <v>830</v>
      </c>
      <c r="B570" s="10"/>
      <c r="C570" s="10" t="s">
        <v>67</v>
      </c>
      <c r="E570" s="6">
        <f t="shared" si="123"/>
        <v>0</v>
      </c>
      <c r="K570" s="6">
        <f t="shared" si="124"/>
        <v>0</v>
      </c>
      <c r="U570" s="6">
        <f t="shared" si="118"/>
        <v>0</v>
      </c>
      <c r="Z570" s="6">
        <f t="shared" si="121"/>
        <v>0</v>
      </c>
      <c r="AB570" s="6">
        <f t="shared" si="122"/>
        <v>0</v>
      </c>
    </row>
    <row r="571" spans="1:28">
      <c r="A571" s="10" t="s">
        <v>438</v>
      </c>
      <c r="B571" s="10"/>
      <c r="C571" s="10" t="s">
        <v>50</v>
      </c>
      <c r="E571" s="6">
        <f t="shared" si="123"/>
        <v>41362945</v>
      </c>
      <c r="G571" s="6">
        <v>58744860</v>
      </c>
      <c r="I571" s="6">
        <v>100107805</v>
      </c>
      <c r="K571" s="6">
        <f t="shared" si="124"/>
        <v>28631152</v>
      </c>
      <c r="M571" s="6">
        <v>2487813</v>
      </c>
      <c r="O571" s="6">
        <f>59774567-2487813</f>
        <v>57286754</v>
      </c>
      <c r="Q571" s="6">
        <v>88405719</v>
      </c>
      <c r="S571" s="6">
        <v>7200386</v>
      </c>
      <c r="U571" s="6">
        <f t="shared" si="118"/>
        <v>4784010</v>
      </c>
      <c r="W571" s="6">
        <v>-282310</v>
      </c>
      <c r="Y571" s="6">
        <v>11702086</v>
      </c>
      <c r="Z571" s="6">
        <f t="shared" si="121"/>
        <v>0</v>
      </c>
      <c r="AB571" s="6">
        <f t="shared" si="122"/>
        <v>0</v>
      </c>
    </row>
    <row r="572" spans="1:28" hidden="1">
      <c r="A572" s="10" t="s">
        <v>698</v>
      </c>
      <c r="B572" s="10"/>
      <c r="C572" s="10" t="s">
        <v>33</v>
      </c>
      <c r="E572" s="6">
        <f t="shared" si="123"/>
        <v>0</v>
      </c>
      <c r="K572" s="6">
        <f t="shared" si="124"/>
        <v>0</v>
      </c>
      <c r="U572" s="6">
        <f t="shared" si="118"/>
        <v>0</v>
      </c>
      <c r="Z572" s="6">
        <f t="shared" si="121"/>
        <v>0</v>
      </c>
      <c r="AB572" s="6">
        <f t="shared" si="122"/>
        <v>0</v>
      </c>
    </row>
    <row r="573" spans="1:28">
      <c r="A573" s="10" t="s">
        <v>291</v>
      </c>
      <c r="B573" s="10"/>
      <c r="C573" s="10" t="s">
        <v>24</v>
      </c>
      <c r="E573" s="6">
        <f t="shared" si="123"/>
        <v>33525689</v>
      </c>
      <c r="G573" s="6">
        <f>852562+6658978</f>
        <v>7511540</v>
      </c>
      <c r="I573" s="6">
        <v>41037229</v>
      </c>
      <c r="K573" s="6">
        <f t="shared" si="124"/>
        <v>14856332</v>
      </c>
      <c r="M573" s="6">
        <v>908211</v>
      </c>
      <c r="O573" s="6">
        <f>7441841-908211</f>
        <v>6533630</v>
      </c>
      <c r="Q573" s="6">
        <v>22298173</v>
      </c>
      <c r="S573" s="6">
        <v>5411353</v>
      </c>
      <c r="U573" s="6">
        <f t="shared" si="118"/>
        <v>1234624</v>
      </c>
      <c r="W573" s="6">
        <v>12093079</v>
      </c>
      <c r="Y573" s="6">
        <v>18739056</v>
      </c>
      <c r="Z573" s="6">
        <f t="shared" si="121"/>
        <v>0</v>
      </c>
      <c r="AB573" s="6">
        <f t="shared" si="122"/>
        <v>0</v>
      </c>
    </row>
    <row r="574" spans="1:28" hidden="1">
      <c r="A574" s="10" t="s">
        <v>699</v>
      </c>
      <c r="B574" s="10"/>
      <c r="C574" s="10" t="s">
        <v>21</v>
      </c>
      <c r="K574" s="6">
        <f t="shared" si="124"/>
        <v>0</v>
      </c>
      <c r="U574" s="6">
        <f t="shared" si="118"/>
        <v>0</v>
      </c>
      <c r="Z574" s="6">
        <f t="shared" si="121"/>
        <v>0</v>
      </c>
      <c r="AB574" s="6">
        <f t="shared" si="122"/>
        <v>0</v>
      </c>
    </row>
    <row r="575" spans="1:28">
      <c r="A575" s="10" t="s">
        <v>542</v>
      </c>
      <c r="B575" s="10"/>
      <c r="C575" s="10" t="s">
        <v>68</v>
      </c>
      <c r="E575" s="6">
        <f t="shared" si="123"/>
        <v>26192361</v>
      </c>
      <c r="G575" s="6">
        <f>1376059+56531806</f>
        <v>57907865</v>
      </c>
      <c r="I575" s="6">
        <v>84100226</v>
      </c>
      <c r="K575" s="6">
        <f t="shared" si="124"/>
        <v>7796839</v>
      </c>
      <c r="M575" s="6">
        <v>539681</v>
      </c>
      <c r="O575" s="6">
        <f>7094284-539681</f>
        <v>6554603</v>
      </c>
      <c r="Q575" s="6">
        <v>14891123</v>
      </c>
      <c r="S575" s="6">
        <v>51640961</v>
      </c>
      <c r="U575" s="6">
        <f t="shared" ref="U575:U630" si="125">Y575-W575-S575</f>
        <v>4255262</v>
      </c>
      <c r="W575" s="6">
        <v>13312880</v>
      </c>
      <c r="Y575" s="6">
        <v>69209103</v>
      </c>
      <c r="Z575" s="6">
        <f t="shared" si="121"/>
        <v>0</v>
      </c>
      <c r="AB575" s="6">
        <f t="shared" si="122"/>
        <v>0</v>
      </c>
    </row>
    <row r="576" spans="1:28">
      <c r="A576" s="10" t="s">
        <v>419</v>
      </c>
      <c r="B576" s="10"/>
      <c r="C576" s="10" t="s">
        <v>47</v>
      </c>
      <c r="E576" s="6">
        <f t="shared" si="123"/>
        <v>81267885</v>
      </c>
      <c r="G576" s="6">
        <v>136370715</v>
      </c>
      <c r="I576" s="6">
        <v>217638600</v>
      </c>
      <c r="K576" s="6">
        <f t="shared" si="124"/>
        <v>30626966</v>
      </c>
      <c r="M576" s="6">
        <v>4399346</v>
      </c>
      <c r="O576" s="6">
        <f>108426725-4399346</f>
        <v>104027379</v>
      </c>
      <c r="Q576" s="6">
        <v>139053691</v>
      </c>
      <c r="S576" s="6">
        <v>38699873</v>
      </c>
      <c r="U576" s="6">
        <f t="shared" si="125"/>
        <v>42316009</v>
      </c>
      <c r="W576" s="6">
        <v>-2430973</v>
      </c>
      <c r="Y576" s="6">
        <v>78584909</v>
      </c>
      <c r="Z576" s="6">
        <f t="shared" ref="Z576:Z602" si="126">+I576-Q576-Y576</f>
        <v>0</v>
      </c>
      <c r="AB576" s="6">
        <f t="shared" ref="AB576:AB602" si="127">+E576+G576+-K576-M576-S576-U576-W576-O576</f>
        <v>0</v>
      </c>
    </row>
    <row r="577" spans="1:28" hidden="1">
      <c r="A577" s="11" t="s">
        <v>875</v>
      </c>
      <c r="B577" s="11"/>
      <c r="C577" s="11" t="s">
        <v>25</v>
      </c>
      <c r="E577" s="6">
        <f t="shared" ref="E577:E579" si="128">+I577-G577</f>
        <v>0</v>
      </c>
      <c r="K577" s="6">
        <f t="shared" ref="K577:K579" si="129">+Q577-M577-O577</f>
        <v>0</v>
      </c>
      <c r="U577" s="6">
        <f t="shared" ref="U577:U579" si="130">Y577-W577-S577</f>
        <v>0</v>
      </c>
      <c r="Z577" s="6">
        <f t="shared" ref="Z577:Z579" si="131">+I577-Q577-Y577</f>
        <v>0</v>
      </c>
      <c r="AB577" s="6">
        <f t="shared" ref="AB577:AB579" si="132">+E577+G577+-K577-M577-S577-U577-W577-O577</f>
        <v>0</v>
      </c>
    </row>
    <row r="578" spans="1:28" hidden="1">
      <c r="A578" s="11" t="s">
        <v>876</v>
      </c>
      <c r="B578" s="11"/>
      <c r="C578" s="11" t="s">
        <v>14</v>
      </c>
      <c r="E578" s="6">
        <f t="shared" si="128"/>
        <v>0</v>
      </c>
      <c r="K578" s="6">
        <f t="shared" si="129"/>
        <v>0</v>
      </c>
      <c r="U578" s="6">
        <f t="shared" si="130"/>
        <v>0</v>
      </c>
      <c r="Z578" s="6">
        <f t="shared" si="131"/>
        <v>0</v>
      </c>
      <c r="AB578" s="6">
        <f t="shared" si="132"/>
        <v>0</v>
      </c>
    </row>
    <row r="579" spans="1:28" hidden="1">
      <c r="A579" s="10" t="s">
        <v>877</v>
      </c>
      <c r="B579" s="10"/>
      <c r="C579" s="10" t="s">
        <v>63</v>
      </c>
      <c r="E579" s="6">
        <f t="shared" si="128"/>
        <v>0</v>
      </c>
      <c r="K579" s="6">
        <f t="shared" si="129"/>
        <v>0</v>
      </c>
      <c r="U579" s="6">
        <f t="shared" si="130"/>
        <v>0</v>
      </c>
      <c r="Z579" s="6">
        <f t="shared" si="131"/>
        <v>0</v>
      </c>
      <c r="AB579" s="6">
        <f t="shared" si="132"/>
        <v>0</v>
      </c>
    </row>
    <row r="580" spans="1:28">
      <c r="A580" s="10" t="s">
        <v>531</v>
      </c>
      <c r="B580" s="10"/>
      <c r="C580" s="10" t="s">
        <v>64</v>
      </c>
      <c r="E580" s="6">
        <f t="shared" si="123"/>
        <v>66140595</v>
      </c>
      <c r="G580" s="6">
        <v>133526631</v>
      </c>
      <c r="I580" s="6">
        <v>199667226</v>
      </c>
      <c r="K580" s="6">
        <f t="shared" si="124"/>
        <v>24437850</v>
      </c>
      <c r="M580" s="6">
        <v>2094253</v>
      </c>
      <c r="O580" s="6">
        <f>37295930-2094253</f>
        <v>35201677</v>
      </c>
      <c r="Q580" s="6">
        <v>61733780</v>
      </c>
      <c r="S580" s="6">
        <v>107719371</v>
      </c>
      <c r="U580" s="6">
        <f t="shared" si="125"/>
        <v>14440625</v>
      </c>
      <c r="W580" s="6">
        <v>15773450</v>
      </c>
      <c r="Y580" s="6">
        <v>137933446</v>
      </c>
      <c r="Z580" s="6">
        <f t="shared" si="126"/>
        <v>0</v>
      </c>
      <c r="AB580" s="6">
        <f t="shared" si="127"/>
        <v>0</v>
      </c>
    </row>
    <row r="581" spans="1:28">
      <c r="A581" s="10" t="s">
        <v>549</v>
      </c>
      <c r="B581" s="10"/>
      <c r="C581" s="10" t="s">
        <v>70</v>
      </c>
      <c r="D581" s="9"/>
      <c r="E581" s="6">
        <f t="shared" si="123"/>
        <v>15263832</v>
      </c>
      <c r="G581" s="6">
        <f>330057+5239480</f>
        <v>5569537</v>
      </c>
      <c r="I581" s="6">
        <v>20833369</v>
      </c>
      <c r="K581" s="6">
        <f t="shared" si="124"/>
        <v>8342094</v>
      </c>
      <c r="M581" s="6">
        <v>29453</v>
      </c>
      <c r="O581" s="6">
        <f>2022969-29453</f>
        <v>1993516</v>
      </c>
      <c r="Q581" s="6">
        <v>10365063</v>
      </c>
      <c r="S581" s="6">
        <v>5569536</v>
      </c>
      <c r="U581" s="6">
        <f t="shared" si="125"/>
        <v>554554</v>
      </c>
      <c r="W581" s="6">
        <v>4344216</v>
      </c>
      <c r="Y581" s="6">
        <v>10468306</v>
      </c>
      <c r="Z581" s="6">
        <f t="shared" si="126"/>
        <v>0</v>
      </c>
      <c r="AB581" s="6">
        <f t="shared" si="127"/>
        <v>0</v>
      </c>
    </row>
    <row r="582" spans="1:28">
      <c r="A582" s="10" t="s">
        <v>280</v>
      </c>
      <c r="B582" s="10"/>
      <c r="C582" s="10" t="s">
        <v>20</v>
      </c>
      <c r="E582" s="6">
        <f t="shared" si="123"/>
        <v>38207734</v>
      </c>
      <c r="G582" s="6">
        <f>414153+22639184</f>
        <v>23053337</v>
      </c>
      <c r="I582" s="6">
        <v>61261071</v>
      </c>
      <c r="K582" s="6">
        <f t="shared" si="124"/>
        <v>20652857</v>
      </c>
      <c r="M582" s="6">
        <v>1528327</v>
      </c>
      <c r="O582" s="6">
        <f>21576641-1528327</f>
        <v>20048314</v>
      </c>
      <c r="Q582" s="6">
        <v>42229498</v>
      </c>
      <c r="S582" s="6">
        <v>5078332</v>
      </c>
      <c r="U582" s="6">
        <f t="shared" si="125"/>
        <v>5163537</v>
      </c>
      <c r="W582" s="6">
        <v>8789704</v>
      </c>
      <c r="Y582" s="6">
        <v>19031573</v>
      </c>
      <c r="Z582" s="6">
        <f t="shared" si="126"/>
        <v>0</v>
      </c>
      <c r="AB582" s="6">
        <f t="shared" si="127"/>
        <v>0</v>
      </c>
    </row>
    <row r="583" spans="1:28">
      <c r="A583" s="10" t="s">
        <v>298</v>
      </c>
      <c r="B583" s="10"/>
      <c r="C583" s="10" t="s">
        <v>26</v>
      </c>
      <c r="E583" s="6">
        <f t="shared" si="123"/>
        <v>13524120</v>
      </c>
      <c r="G583" s="6">
        <f>477521+67382265</f>
        <v>67859786</v>
      </c>
      <c r="I583" s="6">
        <v>81383906</v>
      </c>
      <c r="K583" s="6">
        <f t="shared" si="124"/>
        <v>6061720</v>
      </c>
      <c r="M583" s="6">
        <v>656562</v>
      </c>
      <c r="O583" s="6">
        <f>21882978-656562</f>
        <v>21226416</v>
      </c>
      <c r="Q583" s="6">
        <v>27944698</v>
      </c>
      <c r="S583" s="6">
        <v>49034313</v>
      </c>
      <c r="U583" s="6">
        <f t="shared" si="125"/>
        <v>4892539</v>
      </c>
      <c r="W583" s="6">
        <v>-487644</v>
      </c>
      <c r="Y583" s="6">
        <v>53439208</v>
      </c>
      <c r="Z583" s="6">
        <f t="shared" si="126"/>
        <v>0</v>
      </c>
      <c r="AB583" s="6">
        <f t="shared" si="127"/>
        <v>0</v>
      </c>
    </row>
    <row r="584" spans="1:28">
      <c r="A584" s="10" t="s">
        <v>396</v>
      </c>
      <c r="B584" s="10"/>
      <c r="C584" s="10" t="s">
        <v>115</v>
      </c>
      <c r="E584" s="6">
        <f t="shared" si="123"/>
        <v>82444163</v>
      </c>
      <c r="G584" s="6">
        <v>25846373</v>
      </c>
      <c r="I584" s="6">
        <v>108290536</v>
      </c>
      <c r="K584" s="6">
        <f t="shared" si="124"/>
        <v>46331828</v>
      </c>
      <c r="M584" s="6">
        <v>1026980</v>
      </c>
      <c r="O584" s="6">
        <f>4725914-1026980</f>
        <v>3698934</v>
      </c>
      <c r="Q584" s="6">
        <v>51057742</v>
      </c>
      <c r="S584" s="6">
        <v>25232373</v>
      </c>
      <c r="U584" s="6">
        <f t="shared" si="125"/>
        <v>4180568</v>
      </c>
      <c r="W584" s="6">
        <v>27819853</v>
      </c>
      <c r="Y584" s="6">
        <v>57232794</v>
      </c>
      <c r="Z584" s="6">
        <f t="shared" si="126"/>
        <v>0</v>
      </c>
      <c r="AB584" s="6">
        <f t="shared" si="127"/>
        <v>0</v>
      </c>
    </row>
    <row r="585" spans="1:28">
      <c r="A585" s="10" t="s">
        <v>485</v>
      </c>
      <c r="B585" s="10"/>
      <c r="C585" s="10" t="s">
        <v>59</v>
      </c>
      <c r="E585" s="6">
        <f t="shared" si="123"/>
        <v>7488315</v>
      </c>
      <c r="G585" s="6">
        <f>1852309+32170350</f>
        <v>34022659</v>
      </c>
      <c r="I585" s="6">
        <v>41510974</v>
      </c>
      <c r="K585" s="6">
        <f t="shared" si="124"/>
        <v>3155307</v>
      </c>
      <c r="M585" s="6">
        <v>135737</v>
      </c>
      <c r="O585" s="6">
        <f>999330-135737</f>
        <v>863593</v>
      </c>
      <c r="Q585" s="6">
        <v>4154637</v>
      </c>
      <c r="S585" s="6">
        <v>33510855</v>
      </c>
      <c r="U585" s="6">
        <f t="shared" si="125"/>
        <v>2006142</v>
      </c>
      <c r="W585" s="6">
        <v>1839340</v>
      </c>
      <c r="Y585" s="6">
        <v>37356337</v>
      </c>
      <c r="Z585" s="6">
        <f t="shared" si="126"/>
        <v>0</v>
      </c>
      <c r="AB585" s="6">
        <f t="shared" si="127"/>
        <v>0</v>
      </c>
    </row>
    <row r="586" spans="1:28">
      <c r="A586" s="10" t="s">
        <v>465</v>
      </c>
      <c r="B586" s="10"/>
      <c r="C586" s="10" t="s">
        <v>56</v>
      </c>
      <c r="E586" s="6">
        <f t="shared" si="123"/>
        <v>7761911</v>
      </c>
      <c r="G586" s="6">
        <v>15537585</v>
      </c>
      <c r="I586" s="6">
        <v>23299496</v>
      </c>
      <c r="K586" s="6">
        <f t="shared" si="124"/>
        <v>4635633</v>
      </c>
      <c r="M586" s="6">
        <v>646456</v>
      </c>
      <c r="O586" s="6">
        <f>9603773-646456</f>
        <v>8957317</v>
      </c>
      <c r="Q586" s="6">
        <v>14239406</v>
      </c>
      <c r="S586" s="6">
        <v>8387818</v>
      </c>
      <c r="U586" s="6">
        <f t="shared" si="125"/>
        <v>1149373</v>
      </c>
      <c r="W586" s="6">
        <v>-477101</v>
      </c>
      <c r="Y586" s="6">
        <v>9060090</v>
      </c>
      <c r="Z586" s="6">
        <f t="shared" si="126"/>
        <v>0</v>
      </c>
      <c r="AB586" s="6">
        <f t="shared" si="127"/>
        <v>0</v>
      </c>
    </row>
    <row r="587" spans="1:28">
      <c r="A587" s="10" t="s">
        <v>780</v>
      </c>
      <c r="B587" s="10"/>
      <c r="C587" s="10" t="s">
        <v>28</v>
      </c>
      <c r="E587" s="6">
        <f t="shared" si="123"/>
        <v>18201136</v>
      </c>
      <c r="G587" s="6">
        <v>49545648</v>
      </c>
      <c r="I587" s="6">
        <v>67746784</v>
      </c>
      <c r="K587" s="6">
        <f t="shared" si="124"/>
        <v>8151614</v>
      </c>
      <c r="M587" s="6">
        <v>1134089</v>
      </c>
      <c r="O587" s="6">
        <f>25803440-1134089</f>
        <v>24669351</v>
      </c>
      <c r="Q587" s="6">
        <v>33955054</v>
      </c>
      <c r="S587" s="6">
        <v>27232699</v>
      </c>
      <c r="U587" s="6">
        <f t="shared" si="125"/>
        <v>6938996</v>
      </c>
      <c r="W587" s="6">
        <v>-379965</v>
      </c>
      <c r="Y587" s="6">
        <v>33791730</v>
      </c>
      <c r="Z587" s="6">
        <f t="shared" si="126"/>
        <v>0</v>
      </c>
      <c r="AB587" s="6">
        <f t="shared" si="127"/>
        <v>0</v>
      </c>
    </row>
    <row r="588" spans="1:28">
      <c r="A588" s="10" t="s">
        <v>457</v>
      </c>
      <c r="B588" s="10"/>
      <c r="C588" s="10" t="s">
        <v>55</v>
      </c>
      <c r="E588" s="6">
        <f t="shared" si="123"/>
        <v>8949406</v>
      </c>
      <c r="G588" s="6">
        <f>679800+205389+36975346</f>
        <v>37860535</v>
      </c>
      <c r="I588" s="6">
        <v>46809941</v>
      </c>
      <c r="K588" s="6">
        <f t="shared" si="124"/>
        <v>5145240</v>
      </c>
      <c r="M588" s="6">
        <v>683281</v>
      </c>
      <c r="O588" s="6">
        <f>8158137-683281</f>
        <v>7474856</v>
      </c>
      <c r="Q588" s="6">
        <v>13303377</v>
      </c>
      <c r="S588" s="6">
        <v>31031879</v>
      </c>
      <c r="U588" s="6">
        <f t="shared" si="125"/>
        <v>2007001</v>
      </c>
      <c r="W588" s="6">
        <v>467684</v>
      </c>
      <c r="Y588" s="6">
        <v>33506564</v>
      </c>
      <c r="Z588" s="6">
        <f t="shared" si="126"/>
        <v>0</v>
      </c>
      <c r="AB588" s="6">
        <f t="shared" si="127"/>
        <v>0</v>
      </c>
    </row>
    <row r="589" spans="1:28" hidden="1">
      <c r="A589" s="10" t="s">
        <v>708</v>
      </c>
      <c r="B589" s="10"/>
      <c r="C589" s="10" t="s">
        <v>69</v>
      </c>
      <c r="E589" s="6">
        <f t="shared" si="123"/>
        <v>0</v>
      </c>
      <c r="K589" s="6">
        <f t="shared" si="124"/>
        <v>0</v>
      </c>
      <c r="U589" s="6">
        <f t="shared" si="125"/>
        <v>0</v>
      </c>
      <c r="Z589" s="6">
        <f t="shared" si="126"/>
        <v>0</v>
      </c>
      <c r="AB589" s="6">
        <f t="shared" si="127"/>
        <v>0</v>
      </c>
    </row>
    <row r="590" spans="1:28" hidden="1">
      <c r="A590" s="10" t="s">
        <v>803</v>
      </c>
      <c r="B590" s="10"/>
      <c r="C590" s="10" t="s">
        <v>450</v>
      </c>
      <c r="E590" s="6">
        <f t="shared" si="123"/>
        <v>0</v>
      </c>
      <c r="K590" s="6">
        <f t="shared" si="124"/>
        <v>0</v>
      </c>
      <c r="U590" s="6">
        <f t="shared" si="125"/>
        <v>0</v>
      </c>
      <c r="Z590" s="6">
        <f t="shared" si="126"/>
        <v>0</v>
      </c>
      <c r="AB590" s="6">
        <f t="shared" si="127"/>
        <v>0</v>
      </c>
    </row>
    <row r="591" spans="1:28" hidden="1">
      <c r="A591" s="10" t="s">
        <v>646</v>
      </c>
      <c r="B591" s="10"/>
      <c r="C591" s="10" t="s">
        <v>14</v>
      </c>
      <c r="E591" s="6">
        <f t="shared" si="123"/>
        <v>0</v>
      </c>
      <c r="K591" s="6">
        <f t="shared" si="124"/>
        <v>0</v>
      </c>
      <c r="U591" s="6">
        <f t="shared" si="125"/>
        <v>0</v>
      </c>
      <c r="Z591" s="6">
        <f t="shared" si="126"/>
        <v>0</v>
      </c>
      <c r="AB591" s="6">
        <f t="shared" si="127"/>
        <v>0</v>
      </c>
    </row>
    <row r="592" spans="1:28">
      <c r="A592" s="10" t="s">
        <v>532</v>
      </c>
      <c r="B592" s="10"/>
      <c r="C592" s="10" t="s">
        <v>64</v>
      </c>
      <c r="E592" s="6">
        <f t="shared" si="123"/>
        <v>5230996</v>
      </c>
      <c r="G592" s="6">
        <v>3963548</v>
      </c>
      <c r="I592" s="6">
        <v>9194544</v>
      </c>
      <c r="K592" s="6">
        <f t="shared" si="124"/>
        <v>3283004</v>
      </c>
      <c r="M592" s="6">
        <v>249263</v>
      </c>
      <c r="O592" s="6">
        <f>2286057-249263</f>
        <v>2036794</v>
      </c>
      <c r="Q592" s="6">
        <v>5569061</v>
      </c>
      <c r="S592" s="6">
        <v>2198149</v>
      </c>
      <c r="U592" s="6">
        <f t="shared" si="125"/>
        <v>563891</v>
      </c>
      <c r="W592" s="6">
        <v>863443</v>
      </c>
      <c r="Y592" s="6">
        <v>3625483</v>
      </c>
      <c r="Z592" s="6">
        <f t="shared" si="126"/>
        <v>0</v>
      </c>
      <c r="AB592" s="6">
        <f t="shared" si="127"/>
        <v>0</v>
      </c>
    </row>
    <row r="593" spans="1:28">
      <c r="A593" s="10" t="s">
        <v>781</v>
      </c>
      <c r="B593" s="10"/>
      <c r="C593" s="10" t="s">
        <v>44</v>
      </c>
      <c r="E593" s="6">
        <f t="shared" si="123"/>
        <v>10988748</v>
      </c>
      <c r="G593" s="6">
        <v>5248941</v>
      </c>
      <c r="I593" s="6">
        <v>16237689</v>
      </c>
      <c r="K593" s="6">
        <f t="shared" si="124"/>
        <v>5751532</v>
      </c>
      <c r="M593" s="6">
        <v>267471</v>
      </c>
      <c r="O593" s="6">
        <f>1811102-267471</f>
        <v>1543631</v>
      </c>
      <c r="Q593" s="6">
        <v>7562634</v>
      </c>
      <c r="S593" s="6">
        <v>4268941</v>
      </c>
      <c r="U593" s="6">
        <f t="shared" si="125"/>
        <v>1242609</v>
      </c>
      <c r="W593" s="6">
        <v>3163505</v>
      </c>
      <c r="Y593" s="6">
        <v>8675055</v>
      </c>
      <c r="Z593" s="6">
        <f t="shared" si="126"/>
        <v>0</v>
      </c>
      <c r="AB593" s="6">
        <f t="shared" si="127"/>
        <v>0</v>
      </c>
    </row>
    <row r="594" spans="1:28">
      <c r="A594" s="10" t="s">
        <v>361</v>
      </c>
      <c r="B594" s="10"/>
      <c r="C594" s="10" t="s">
        <v>38</v>
      </c>
      <c r="E594" s="6">
        <f t="shared" si="123"/>
        <v>15877728</v>
      </c>
      <c r="G594" s="6">
        <f>4610096+35418037</f>
        <v>40028133</v>
      </c>
      <c r="I594" s="6">
        <v>55905861</v>
      </c>
      <c r="K594" s="6">
        <f t="shared" si="124"/>
        <v>4006289</v>
      </c>
      <c r="M594" s="6">
        <v>402070</v>
      </c>
      <c r="O594" s="6">
        <f>4943109-402070</f>
        <v>4541039</v>
      </c>
      <c r="Q594" s="6">
        <v>8949398</v>
      </c>
      <c r="S594" s="6">
        <v>35788133</v>
      </c>
      <c r="U594" s="6">
        <f t="shared" si="125"/>
        <v>5216267</v>
      </c>
      <c r="W594" s="6">
        <v>5952063</v>
      </c>
      <c r="Y594" s="6">
        <v>46956463</v>
      </c>
      <c r="Z594" s="6">
        <f t="shared" si="126"/>
        <v>0</v>
      </c>
      <c r="AB594" s="6">
        <f t="shared" si="127"/>
        <v>0</v>
      </c>
    </row>
    <row r="595" spans="1:28">
      <c r="A595" s="10" t="s">
        <v>252</v>
      </c>
      <c r="B595" s="10"/>
      <c r="C595" s="10" t="s">
        <v>112</v>
      </c>
      <c r="E595" s="6">
        <f t="shared" si="123"/>
        <v>5037930</v>
      </c>
      <c r="G595" s="6">
        <v>6408112</v>
      </c>
      <c r="I595" s="6">
        <v>11446042</v>
      </c>
      <c r="K595" s="6">
        <f t="shared" si="124"/>
        <v>2023948</v>
      </c>
      <c r="M595" s="6">
        <v>214968</v>
      </c>
      <c r="O595" s="6">
        <f>1627694-214968</f>
        <v>1412726</v>
      </c>
      <c r="Q595" s="6">
        <v>3651642</v>
      </c>
      <c r="S595" s="6">
        <v>5346529</v>
      </c>
      <c r="U595" s="6">
        <f t="shared" si="125"/>
        <v>1474883</v>
      </c>
      <c r="W595" s="6">
        <v>972988</v>
      </c>
      <c r="Y595" s="6">
        <v>7794400</v>
      </c>
      <c r="Z595" s="6">
        <f t="shared" si="126"/>
        <v>0</v>
      </c>
      <c r="AB595" s="6">
        <f t="shared" si="127"/>
        <v>0</v>
      </c>
    </row>
    <row r="596" spans="1:28">
      <c r="A596" s="10" t="s">
        <v>408</v>
      </c>
      <c r="B596" s="10"/>
      <c r="C596" s="10" t="s">
        <v>45</v>
      </c>
      <c r="E596" s="6">
        <f t="shared" si="123"/>
        <v>12043468</v>
      </c>
      <c r="G596" s="6">
        <v>40744733</v>
      </c>
      <c r="I596" s="6">
        <v>52788201</v>
      </c>
      <c r="K596" s="6">
        <f t="shared" si="124"/>
        <v>8003606</v>
      </c>
      <c r="M596" s="6">
        <v>711000</v>
      </c>
      <c r="O596" s="6">
        <f>8416522-711000</f>
        <v>7705522</v>
      </c>
      <c r="Q596" s="6">
        <v>16420128</v>
      </c>
      <c r="S596" s="6">
        <v>33740353</v>
      </c>
      <c r="U596" s="6">
        <f t="shared" si="125"/>
        <v>1827743</v>
      </c>
      <c r="W596" s="6">
        <v>799977</v>
      </c>
      <c r="Y596" s="6">
        <v>36368073</v>
      </c>
      <c r="Z596" s="6">
        <f t="shared" si="126"/>
        <v>0</v>
      </c>
      <c r="AB596" s="6">
        <f t="shared" si="127"/>
        <v>0</v>
      </c>
    </row>
    <row r="597" spans="1:28">
      <c r="A597" s="10" t="s">
        <v>707</v>
      </c>
      <c r="B597" s="10"/>
      <c r="C597" s="10" t="s">
        <v>50</v>
      </c>
      <c r="E597" s="6">
        <f t="shared" si="123"/>
        <v>32967374</v>
      </c>
      <c r="G597" s="6">
        <v>15713818</v>
      </c>
      <c r="I597" s="6">
        <v>48681192</v>
      </c>
      <c r="K597" s="6">
        <f t="shared" si="124"/>
        <v>18383414</v>
      </c>
      <c r="M597" s="6">
        <v>641120</v>
      </c>
      <c r="O597" s="6">
        <f>3597771-641120</f>
        <v>2956651</v>
      </c>
      <c r="Q597" s="6">
        <v>21981185</v>
      </c>
      <c r="S597" s="6">
        <v>13893818</v>
      </c>
      <c r="U597" s="6">
        <f t="shared" si="125"/>
        <v>1308425</v>
      </c>
      <c r="W597" s="6">
        <v>11497764</v>
      </c>
      <c r="Y597" s="6">
        <v>26700007</v>
      </c>
      <c r="Z597" s="6">
        <f t="shared" si="126"/>
        <v>0</v>
      </c>
      <c r="AB597" s="6">
        <f t="shared" si="127"/>
        <v>0</v>
      </c>
    </row>
    <row r="598" spans="1:28">
      <c r="A598" s="10" t="s">
        <v>241</v>
      </c>
      <c r="B598" s="10"/>
      <c r="C598" s="10" t="s">
        <v>113</v>
      </c>
      <c r="E598" s="6">
        <f>+I598-G598</f>
        <v>57269307</v>
      </c>
      <c r="G598" s="6">
        <f>5328656+44174459</f>
        <v>49503115</v>
      </c>
      <c r="I598" s="6">
        <v>106772422</v>
      </c>
      <c r="K598" s="6">
        <f t="shared" si="124"/>
        <v>44225844</v>
      </c>
      <c r="M598" s="6">
        <v>4119023</v>
      </c>
      <c r="O598" s="6">
        <f>41126442-4119023</f>
        <v>37007419</v>
      </c>
      <c r="Q598" s="6">
        <v>85352286</v>
      </c>
      <c r="S598" s="6">
        <v>12544057</v>
      </c>
      <c r="U598" s="6">
        <f t="shared" si="125"/>
        <v>11419173</v>
      </c>
      <c r="W598" s="6">
        <v>-2543094</v>
      </c>
      <c r="Y598" s="6">
        <v>21420136</v>
      </c>
      <c r="Z598" s="6">
        <f t="shared" si="126"/>
        <v>0</v>
      </c>
      <c r="AB598" s="6">
        <f t="shared" si="127"/>
        <v>0</v>
      </c>
    </row>
    <row r="599" spans="1:28">
      <c r="A599" s="10" t="s">
        <v>316</v>
      </c>
      <c r="B599" s="10"/>
      <c r="C599" s="10" t="s">
        <v>30</v>
      </c>
      <c r="E599" s="6">
        <f>+I599-G599</f>
        <v>25966849</v>
      </c>
      <c r="G599" s="6">
        <f>366380+15980023</f>
        <v>16346403</v>
      </c>
      <c r="I599" s="6">
        <v>42313252</v>
      </c>
      <c r="K599" s="6">
        <f t="shared" si="124"/>
        <v>17084183</v>
      </c>
      <c r="M599" s="6">
        <v>2160843</v>
      </c>
      <c r="O599" s="6">
        <f>4877791-2160843</f>
        <v>2716948</v>
      </c>
      <c r="Q599" s="6">
        <v>21961974</v>
      </c>
      <c r="S599" s="6">
        <v>13251326</v>
      </c>
      <c r="U599" s="6">
        <f t="shared" si="125"/>
        <v>1387179</v>
      </c>
      <c r="W599" s="6">
        <v>5712773</v>
      </c>
      <c r="Y599" s="6">
        <v>20351278</v>
      </c>
      <c r="Z599" s="6">
        <f t="shared" si="126"/>
        <v>0</v>
      </c>
      <c r="AB599" s="6">
        <f t="shared" si="127"/>
        <v>0</v>
      </c>
    </row>
    <row r="600" spans="1:28">
      <c r="A600" s="10" t="s">
        <v>354</v>
      </c>
      <c r="B600" s="10"/>
      <c r="C600" s="10" t="s">
        <v>36</v>
      </c>
      <c r="E600" s="6">
        <f>+I600-G600</f>
        <v>24170959</v>
      </c>
      <c r="G600" s="6">
        <f>643088+21279720</f>
        <v>21922808</v>
      </c>
      <c r="I600" s="6">
        <v>46093767</v>
      </c>
      <c r="K600" s="6">
        <f t="shared" si="124"/>
        <v>12076845</v>
      </c>
      <c r="M600" s="6">
        <v>769215</v>
      </c>
      <c r="O600" s="6">
        <f>12530428-769215</f>
        <v>11761213</v>
      </c>
      <c r="Q600" s="6">
        <v>24607273</v>
      </c>
      <c r="S600" s="6">
        <v>11317796</v>
      </c>
      <c r="U600" s="6">
        <f t="shared" si="125"/>
        <v>1789243</v>
      </c>
      <c r="W600" s="6">
        <v>8379455</v>
      </c>
      <c r="Y600" s="6">
        <v>21486494</v>
      </c>
      <c r="Z600" s="6">
        <f t="shared" si="126"/>
        <v>0</v>
      </c>
      <c r="AB600" s="6">
        <f t="shared" si="127"/>
        <v>0</v>
      </c>
    </row>
    <row r="601" spans="1:28">
      <c r="A601" s="10" t="s">
        <v>230</v>
      </c>
      <c r="B601" s="10"/>
      <c r="C601" s="10" t="s">
        <v>228</v>
      </c>
      <c r="E601" s="6">
        <f>+I601-G601</f>
        <v>4843166</v>
      </c>
      <c r="G601" s="6">
        <v>3671955</v>
      </c>
      <c r="I601" s="6">
        <v>8515121</v>
      </c>
      <c r="K601" s="6">
        <f t="shared" si="124"/>
        <v>3720066</v>
      </c>
      <c r="M601" s="6">
        <v>216027</v>
      </c>
      <c r="O601" s="6">
        <f>765006-216027</f>
        <v>548979</v>
      </c>
      <c r="Q601" s="6">
        <v>4485072</v>
      </c>
      <c r="S601" s="6">
        <v>3659941</v>
      </c>
      <c r="U601" s="6">
        <f t="shared" si="125"/>
        <v>529391</v>
      </c>
      <c r="W601" s="6">
        <v>-159283</v>
      </c>
      <c r="Y601" s="6">
        <v>4030049</v>
      </c>
      <c r="Z601" s="6">
        <f t="shared" si="126"/>
        <v>0</v>
      </c>
      <c r="AB601" s="6">
        <f t="shared" si="127"/>
        <v>0</v>
      </c>
    </row>
    <row r="602" spans="1:28">
      <c r="A602" s="10" t="s">
        <v>447</v>
      </c>
      <c r="B602" s="10"/>
      <c r="C602" s="10" t="s">
        <v>51</v>
      </c>
      <c r="E602" s="6">
        <f>+I602-G602</f>
        <v>16420401</v>
      </c>
      <c r="G602" s="6">
        <f>654259+21067716</f>
        <v>21721975</v>
      </c>
      <c r="I602" s="6">
        <v>38142376</v>
      </c>
      <c r="K602" s="6">
        <f t="shared" si="124"/>
        <v>6434085</v>
      </c>
      <c r="M602" s="6">
        <v>697997</v>
      </c>
      <c r="O602" s="6">
        <f>22598734-697997</f>
        <v>21900737</v>
      </c>
      <c r="Q602" s="6">
        <v>29032819</v>
      </c>
      <c r="S602" s="6">
        <v>263387</v>
      </c>
      <c r="U602" s="6">
        <f t="shared" si="125"/>
        <v>5749196</v>
      </c>
      <c r="W602" s="6">
        <v>3096974</v>
      </c>
      <c r="Y602" s="6">
        <v>9109557</v>
      </c>
      <c r="Z602" s="6">
        <f t="shared" si="126"/>
        <v>0</v>
      </c>
      <c r="AB602" s="6">
        <f t="shared" si="127"/>
        <v>0</v>
      </c>
    </row>
    <row r="603" spans="1:28">
      <c r="A603" s="11" t="s">
        <v>220</v>
      </c>
      <c r="B603" s="11"/>
      <c r="C603" s="11" t="s">
        <v>77</v>
      </c>
      <c r="E603" s="6">
        <f t="shared" ref="E603:E630" si="133">+I603-G603</f>
        <v>11607029</v>
      </c>
      <c r="G603" s="6">
        <f>2524314+42924319</f>
        <v>45448633</v>
      </c>
      <c r="I603" s="6">
        <v>57055662</v>
      </c>
      <c r="K603" s="6">
        <f t="shared" si="124"/>
        <v>6337779</v>
      </c>
      <c r="M603" s="6">
        <v>693740</v>
      </c>
      <c r="O603" s="6">
        <f>6608922-693740</f>
        <v>5915182</v>
      </c>
      <c r="Q603" s="6">
        <v>12946701</v>
      </c>
      <c r="S603" s="6">
        <v>40599290</v>
      </c>
      <c r="U603" s="6">
        <f t="shared" si="125"/>
        <v>4102547</v>
      </c>
      <c r="W603" s="6">
        <v>-592876</v>
      </c>
      <c r="Y603" s="6">
        <v>44108961</v>
      </c>
      <c r="Z603" s="6">
        <f t="shared" ref="Z603:Z630" si="134">+I603-Q603-Y603</f>
        <v>0</v>
      </c>
      <c r="AB603" s="6">
        <f t="shared" ref="AB603:AB627" si="135">+E603+G603+-K603-M603-S603-U603-W603-O603</f>
        <v>0</v>
      </c>
    </row>
    <row r="604" spans="1:28">
      <c r="A604" s="10" t="s">
        <v>458</v>
      </c>
      <c r="B604" s="10"/>
      <c r="C604" s="10" t="s">
        <v>55</v>
      </c>
      <c r="E604" s="6">
        <f t="shared" si="133"/>
        <v>6148210</v>
      </c>
      <c r="G604" s="6">
        <f>364219+15572302</f>
        <v>15936521</v>
      </c>
      <c r="I604" s="6">
        <v>22084731</v>
      </c>
      <c r="K604" s="6">
        <f t="shared" si="124"/>
        <v>1637817</v>
      </c>
      <c r="M604" s="6">
        <v>92294</v>
      </c>
      <c r="O604" s="6">
        <f>1154368-92294</f>
        <v>1062074</v>
      </c>
      <c r="Q604" s="6">
        <v>2792185</v>
      </c>
      <c r="S604" s="6">
        <v>14966521</v>
      </c>
      <c r="U604" s="6">
        <f t="shared" si="125"/>
        <v>1615961</v>
      </c>
      <c r="W604" s="6">
        <v>2710064</v>
      </c>
      <c r="Y604" s="6">
        <v>19292546</v>
      </c>
      <c r="Z604" s="6">
        <f t="shared" si="134"/>
        <v>0</v>
      </c>
      <c r="AB604" s="6">
        <f t="shared" si="135"/>
        <v>0</v>
      </c>
    </row>
    <row r="605" spans="1:28">
      <c r="A605" s="10" t="s">
        <v>359</v>
      </c>
      <c r="B605" s="10"/>
      <c r="C605" s="10" t="s">
        <v>37</v>
      </c>
      <c r="E605" s="6">
        <f t="shared" si="133"/>
        <v>5845595</v>
      </c>
      <c r="G605" s="6">
        <v>16440183</v>
      </c>
      <c r="I605" s="6">
        <v>22285778</v>
      </c>
      <c r="K605" s="6">
        <f t="shared" si="124"/>
        <v>3609529</v>
      </c>
      <c r="M605" s="6">
        <v>214232</v>
      </c>
      <c r="O605" s="6">
        <f>3176135-214232</f>
        <v>2961903</v>
      </c>
      <c r="Q605" s="6">
        <v>6785664</v>
      </c>
      <c r="S605" s="6">
        <v>14025293</v>
      </c>
      <c r="U605" s="6">
        <f t="shared" si="125"/>
        <v>782639</v>
      </c>
      <c r="W605" s="6">
        <v>692182</v>
      </c>
      <c r="Y605" s="6">
        <v>15500114</v>
      </c>
      <c r="Z605" s="6">
        <f t="shared" si="134"/>
        <v>0</v>
      </c>
      <c r="AB605" s="6">
        <f t="shared" si="135"/>
        <v>0</v>
      </c>
    </row>
    <row r="606" spans="1:28">
      <c r="A606" s="10" t="s">
        <v>359</v>
      </c>
      <c r="B606" s="10"/>
      <c r="C606" s="10" t="s">
        <v>45</v>
      </c>
      <c r="E606" s="6">
        <f t="shared" si="133"/>
        <v>7802147</v>
      </c>
      <c r="G606" s="6">
        <f>23915596+2580694</f>
        <v>26496290</v>
      </c>
      <c r="I606" s="6">
        <v>34298437</v>
      </c>
      <c r="K606" s="6">
        <f t="shared" si="124"/>
        <v>4482525</v>
      </c>
      <c r="M606" s="6">
        <v>279189</v>
      </c>
      <c r="O606" s="6">
        <f>11454580-279189</f>
        <v>11175391</v>
      </c>
      <c r="Q606" s="6">
        <v>15937105</v>
      </c>
      <c r="S606" s="6">
        <v>15675455</v>
      </c>
      <c r="U606" s="6">
        <f t="shared" si="125"/>
        <v>1936619</v>
      </c>
      <c r="W606" s="6">
        <v>749258</v>
      </c>
      <c r="Y606" s="6">
        <v>18361332</v>
      </c>
      <c r="Z606" s="6">
        <f t="shared" si="134"/>
        <v>0</v>
      </c>
      <c r="AB606" s="6">
        <f t="shared" si="135"/>
        <v>0</v>
      </c>
    </row>
    <row r="607" spans="1:28">
      <c r="A607" s="10" t="s">
        <v>309</v>
      </c>
      <c r="B607" s="10"/>
      <c r="C607" s="10" t="s">
        <v>27</v>
      </c>
      <c r="E607" s="6">
        <f t="shared" si="133"/>
        <v>152869785</v>
      </c>
      <c r="G607" s="6">
        <v>158604776</v>
      </c>
      <c r="I607" s="6">
        <v>311474561</v>
      </c>
      <c r="K607" s="6">
        <f t="shared" si="124"/>
        <v>103328325</v>
      </c>
      <c r="M607" s="6">
        <v>9297775</v>
      </c>
      <c r="O607" s="6">
        <f>123130743-9297775</f>
        <v>113832968</v>
      </c>
      <c r="Q607" s="6">
        <v>226459068</v>
      </c>
      <c r="S607" s="6">
        <v>48788494</v>
      </c>
      <c r="U607" s="6">
        <f t="shared" si="125"/>
        <v>18891453</v>
      </c>
      <c r="W607" s="6">
        <v>17335546</v>
      </c>
      <c r="Y607" s="6">
        <v>85015493</v>
      </c>
      <c r="Z607" s="6">
        <f t="shared" si="134"/>
        <v>0</v>
      </c>
      <c r="AB607" s="6">
        <f t="shared" si="135"/>
        <v>0</v>
      </c>
    </row>
    <row r="608" spans="1:28">
      <c r="A608" s="10" t="s">
        <v>455</v>
      </c>
      <c r="B608" s="10"/>
      <c r="C608" s="10" t="s">
        <v>54</v>
      </c>
      <c r="E608" s="6">
        <f t="shared" si="133"/>
        <v>16427339</v>
      </c>
      <c r="G608" s="6">
        <f>775043+10042337</f>
        <v>10817380</v>
      </c>
      <c r="I608" s="6">
        <v>27244719</v>
      </c>
      <c r="K608" s="6">
        <f t="shared" si="124"/>
        <v>8183770</v>
      </c>
      <c r="M608" s="6">
        <v>439667</v>
      </c>
      <c r="O608" s="6">
        <f>6038413-439667</f>
        <v>5598746</v>
      </c>
      <c r="Q608" s="6">
        <v>14222183</v>
      </c>
      <c r="S608" s="6">
        <v>5750786</v>
      </c>
      <c r="U608" s="6">
        <f t="shared" si="125"/>
        <v>2945670</v>
      </c>
      <c r="W608" s="6">
        <v>4326080</v>
      </c>
      <c r="Y608" s="6">
        <v>13022536</v>
      </c>
      <c r="Z608" s="6">
        <f t="shared" si="134"/>
        <v>0</v>
      </c>
      <c r="AB608" s="6">
        <f t="shared" si="135"/>
        <v>0</v>
      </c>
    </row>
    <row r="609" spans="1:28">
      <c r="A609" s="10" t="s">
        <v>281</v>
      </c>
      <c r="B609" s="10"/>
      <c r="C609" s="10" t="s">
        <v>20</v>
      </c>
      <c r="E609" s="6">
        <f t="shared" si="133"/>
        <v>145006294</v>
      </c>
      <c r="G609" s="6">
        <v>64361207</v>
      </c>
      <c r="I609" s="6">
        <v>209367501</v>
      </c>
      <c r="K609" s="6">
        <f t="shared" ref="K609:K630" si="136">+Q609-M609-O609</f>
        <v>50045588</v>
      </c>
      <c r="M609" s="6">
        <v>5121533</v>
      </c>
      <c r="O609" s="6">
        <f>105823378-5121533</f>
        <v>100701845</v>
      </c>
      <c r="Q609" s="6">
        <v>155868966</v>
      </c>
      <c r="S609" s="6">
        <v>29978435</v>
      </c>
      <c r="U609" s="6">
        <f t="shared" si="125"/>
        <v>7502554</v>
      </c>
      <c r="W609" s="6">
        <v>16017546</v>
      </c>
      <c r="Y609" s="6">
        <v>53498535</v>
      </c>
      <c r="Z609" s="6">
        <f t="shared" si="134"/>
        <v>0</v>
      </c>
      <c r="AB609" s="6">
        <f t="shared" si="135"/>
        <v>0</v>
      </c>
    </row>
    <row r="610" spans="1:28" s="28" customFormat="1">
      <c r="A610" s="27" t="s">
        <v>486</v>
      </c>
      <c r="B610" s="27"/>
      <c r="C610" s="27" t="s">
        <v>59</v>
      </c>
      <c r="E610" s="6">
        <f t="shared" si="133"/>
        <v>8225951</v>
      </c>
      <c r="F610" s="6"/>
      <c r="G610" s="6">
        <f>3458247+33767042</f>
        <v>37225289</v>
      </c>
      <c r="H610" s="6"/>
      <c r="I610" s="6">
        <v>45451240</v>
      </c>
      <c r="J610" s="6"/>
      <c r="K610" s="6">
        <f t="shared" si="136"/>
        <v>5462545</v>
      </c>
      <c r="L610" s="6"/>
      <c r="M610" s="6">
        <v>435511</v>
      </c>
      <c r="N610" s="6"/>
      <c r="O610" s="6">
        <f>10902855-435511</f>
        <v>10467344</v>
      </c>
      <c r="P610" s="6"/>
      <c r="Q610" s="6">
        <v>16365400</v>
      </c>
      <c r="R610" s="6"/>
      <c r="S610" s="6">
        <v>26471727</v>
      </c>
      <c r="T610" s="6"/>
      <c r="U610" s="6">
        <f t="shared" si="125"/>
        <v>2994233</v>
      </c>
      <c r="V610" s="6"/>
      <c r="W610" s="6">
        <v>-380120</v>
      </c>
      <c r="X610" s="6"/>
      <c r="Y610" s="6">
        <v>29085840</v>
      </c>
      <c r="Z610" s="6">
        <f>+I610-Q610-Y610</f>
        <v>0</v>
      </c>
      <c r="AA610" s="6"/>
      <c r="AB610" s="6">
        <f t="shared" si="135"/>
        <v>0</v>
      </c>
    </row>
    <row r="611" spans="1:28">
      <c r="A611" s="10" t="s">
        <v>310</v>
      </c>
      <c r="B611" s="10"/>
      <c r="C611" s="10" t="s">
        <v>27</v>
      </c>
      <c r="E611" s="6">
        <f t="shared" si="133"/>
        <v>70976352</v>
      </c>
      <c r="G611" s="6">
        <f>48166824+5407865</f>
        <v>53574689</v>
      </c>
      <c r="I611" s="6">
        <v>124551041</v>
      </c>
      <c r="K611" s="6">
        <f t="shared" si="136"/>
        <v>15941893</v>
      </c>
      <c r="M611" s="6">
        <v>1842512</v>
      </c>
      <c r="O611" s="6">
        <f>31309385-1842512</f>
        <v>29466873</v>
      </c>
      <c r="Q611" s="6">
        <v>47251278</v>
      </c>
      <c r="S611" s="6">
        <v>51306353</v>
      </c>
      <c r="U611" s="6">
        <f t="shared" si="125"/>
        <v>9226166</v>
      </c>
      <c r="W611" s="6">
        <v>16767244</v>
      </c>
      <c r="Y611" s="6">
        <v>77299763</v>
      </c>
      <c r="Z611" s="6">
        <f>+I611-Q611-Y611</f>
        <v>0</v>
      </c>
      <c r="AB611" s="6">
        <f t="shared" si="135"/>
        <v>0</v>
      </c>
    </row>
    <row r="612" spans="1:28" hidden="1">
      <c r="A612" s="10" t="s">
        <v>622</v>
      </c>
      <c r="B612" s="10"/>
      <c r="C612" s="10" t="s">
        <v>41</v>
      </c>
      <c r="E612" s="6">
        <f t="shared" si="133"/>
        <v>0</v>
      </c>
      <c r="K612" s="6">
        <f t="shared" si="136"/>
        <v>0</v>
      </c>
      <c r="U612" s="6">
        <f t="shared" si="125"/>
        <v>0</v>
      </c>
      <c r="Z612" s="6">
        <f t="shared" si="134"/>
        <v>0</v>
      </c>
      <c r="AB612" s="6">
        <f t="shared" si="135"/>
        <v>0</v>
      </c>
    </row>
    <row r="613" spans="1:28">
      <c r="A613" s="10" t="s">
        <v>360</v>
      </c>
      <c r="B613" s="10"/>
      <c r="C613" s="10" t="s">
        <v>37</v>
      </c>
      <c r="E613" s="6">
        <f t="shared" si="133"/>
        <v>60307557</v>
      </c>
      <c r="G613" s="6">
        <v>6287940</v>
      </c>
      <c r="I613" s="6">
        <v>66595497</v>
      </c>
      <c r="K613" s="6">
        <f t="shared" si="136"/>
        <v>8282001</v>
      </c>
      <c r="M613" s="6">
        <v>361783</v>
      </c>
      <c r="O613" s="6">
        <f>25321017-361783</f>
        <v>24959234</v>
      </c>
      <c r="Q613" s="6">
        <v>33603018</v>
      </c>
      <c r="S613" s="6">
        <v>2494820</v>
      </c>
      <c r="U613" s="6">
        <f t="shared" si="125"/>
        <v>30881341</v>
      </c>
      <c r="W613" s="6">
        <v>-383682</v>
      </c>
      <c r="Y613" s="6">
        <v>32992479</v>
      </c>
      <c r="Z613" s="6">
        <f t="shared" si="134"/>
        <v>0</v>
      </c>
      <c r="AB613" s="6">
        <f t="shared" si="135"/>
        <v>0</v>
      </c>
    </row>
    <row r="614" spans="1:28" hidden="1">
      <c r="A614" s="11" t="s">
        <v>893</v>
      </c>
      <c r="B614" s="10"/>
      <c r="C614" s="10" t="s">
        <v>113</v>
      </c>
      <c r="E614" s="6">
        <f t="shared" si="133"/>
        <v>0</v>
      </c>
      <c r="K614" s="6">
        <f t="shared" si="136"/>
        <v>0</v>
      </c>
      <c r="U614" s="6">
        <f t="shared" si="125"/>
        <v>0</v>
      </c>
      <c r="Z614" s="6">
        <f t="shared" si="134"/>
        <v>0</v>
      </c>
      <c r="AB614" s="6">
        <f t="shared" si="135"/>
        <v>0</v>
      </c>
    </row>
    <row r="615" spans="1:28">
      <c r="A615" s="10" t="s">
        <v>365</v>
      </c>
      <c r="B615" s="10"/>
      <c r="C615" s="10" t="s">
        <v>41</v>
      </c>
      <c r="E615" s="6">
        <f t="shared" si="133"/>
        <v>103613170</v>
      </c>
      <c r="G615" s="6">
        <f>2094473+16608691</f>
        <v>18703164</v>
      </c>
      <c r="I615" s="6">
        <v>122316334</v>
      </c>
      <c r="K615" s="6">
        <f t="shared" si="136"/>
        <v>67933078</v>
      </c>
      <c r="M615" s="6">
        <v>2283914</v>
      </c>
      <c r="O615" s="6">
        <f>46520909-2283914</f>
        <v>44236995</v>
      </c>
      <c r="Q615" s="6">
        <v>114453987</v>
      </c>
      <c r="S615" s="6">
        <v>14190216</v>
      </c>
      <c r="U615" s="6">
        <f t="shared" si="125"/>
        <v>7950773</v>
      </c>
      <c r="W615" s="6">
        <v>-14278642</v>
      </c>
      <c r="Y615" s="6">
        <v>7862347</v>
      </c>
      <c r="Z615" s="6">
        <f t="shared" si="134"/>
        <v>0</v>
      </c>
      <c r="AB615" s="6">
        <f t="shared" si="135"/>
        <v>0</v>
      </c>
    </row>
    <row r="616" spans="1:28">
      <c r="A616" s="10" t="s">
        <v>245</v>
      </c>
      <c r="B616" s="10"/>
      <c r="C616" s="10" t="s">
        <v>18</v>
      </c>
      <c r="E616" s="6">
        <f t="shared" si="133"/>
        <v>23893635</v>
      </c>
      <c r="G616" s="6">
        <f>624927+15693609</f>
        <v>16318536</v>
      </c>
      <c r="I616" s="6">
        <v>40212171</v>
      </c>
      <c r="K616" s="6">
        <f t="shared" si="136"/>
        <v>15977944</v>
      </c>
      <c r="M616" s="6">
        <v>1513951</v>
      </c>
      <c r="O616" s="6">
        <f>7951851-1513951</f>
        <v>6437900</v>
      </c>
      <c r="Q616" s="6">
        <v>23929795</v>
      </c>
      <c r="S616" s="6">
        <v>10079739</v>
      </c>
      <c r="U616" s="6">
        <f t="shared" si="125"/>
        <v>3953209</v>
      </c>
      <c r="W616" s="6">
        <v>2249428</v>
      </c>
      <c r="Y616" s="6">
        <v>16282376</v>
      </c>
      <c r="Z616" s="6">
        <f t="shared" si="134"/>
        <v>0</v>
      </c>
      <c r="AB616" s="6">
        <f t="shared" si="135"/>
        <v>0</v>
      </c>
    </row>
    <row r="617" spans="1:28">
      <c r="A617" s="10" t="s">
        <v>782</v>
      </c>
      <c r="B617" s="10"/>
      <c r="C617" s="10" t="s">
        <v>56</v>
      </c>
      <c r="E617" s="6">
        <f t="shared" si="133"/>
        <v>5048710</v>
      </c>
      <c r="G617" s="6">
        <v>16242597</v>
      </c>
      <c r="I617" s="6">
        <v>21291307</v>
      </c>
      <c r="K617" s="6">
        <f t="shared" si="136"/>
        <v>2236078</v>
      </c>
      <c r="M617" s="6">
        <v>75444</v>
      </c>
      <c r="O617" s="6">
        <f>1074124-75444</f>
        <v>998680</v>
      </c>
      <c r="Q617" s="6">
        <v>3310202</v>
      </c>
      <c r="S617" s="6">
        <v>15676769</v>
      </c>
      <c r="U617" s="6">
        <f t="shared" si="125"/>
        <v>751463</v>
      </c>
      <c r="W617" s="6">
        <v>1552873</v>
      </c>
      <c r="Y617" s="6">
        <v>17981105</v>
      </c>
      <c r="Z617" s="6">
        <f t="shared" si="134"/>
        <v>0</v>
      </c>
      <c r="AB617" s="6">
        <f t="shared" si="135"/>
        <v>0</v>
      </c>
    </row>
    <row r="618" spans="1:28">
      <c r="A618" s="10" t="s">
        <v>332</v>
      </c>
      <c r="B618" s="10"/>
      <c r="C618" s="10" t="s">
        <v>32</v>
      </c>
      <c r="E618" s="6">
        <f t="shared" si="133"/>
        <v>37151973</v>
      </c>
      <c r="G618" s="6">
        <f>821208+6417585</f>
        <v>7238793</v>
      </c>
      <c r="I618" s="6">
        <v>44390766</v>
      </c>
      <c r="K618" s="6">
        <f t="shared" si="136"/>
        <v>18105856</v>
      </c>
      <c r="M618" s="6">
        <v>1000279</v>
      </c>
      <c r="O618" s="6">
        <f>6036271-1000279</f>
        <v>5035992</v>
      </c>
      <c r="Q618" s="6">
        <v>24142127</v>
      </c>
      <c r="S618" s="6">
        <v>3909061</v>
      </c>
      <c r="U618" s="6">
        <f t="shared" si="125"/>
        <v>2247171</v>
      </c>
      <c r="W618" s="6">
        <v>14092407</v>
      </c>
      <c r="Y618" s="6">
        <v>20248639</v>
      </c>
      <c r="Z618" s="6">
        <f t="shared" si="134"/>
        <v>0</v>
      </c>
      <c r="AB618" s="6">
        <f t="shared" si="135"/>
        <v>0</v>
      </c>
    </row>
    <row r="619" spans="1:28">
      <c r="A619" s="10" t="s">
        <v>550</v>
      </c>
      <c r="B619" s="10"/>
      <c r="C619" s="10" t="s">
        <v>70</v>
      </c>
      <c r="E619" s="6">
        <f t="shared" si="133"/>
        <v>14635516</v>
      </c>
      <c r="G619" s="6">
        <f>19171+7737190</f>
        <v>7756361</v>
      </c>
      <c r="I619" s="6">
        <v>22391877</v>
      </c>
      <c r="K619" s="6">
        <f t="shared" si="136"/>
        <v>5667485</v>
      </c>
      <c r="M619" s="6">
        <v>235000</v>
      </c>
      <c r="O619" s="6">
        <f>6026133-235000</f>
        <v>5791133</v>
      </c>
      <c r="Q619" s="6">
        <v>11693618</v>
      </c>
      <c r="S619" s="6">
        <v>2790905</v>
      </c>
      <c r="U619" s="6">
        <f t="shared" si="125"/>
        <v>1216132</v>
      </c>
      <c r="W619" s="6">
        <v>6691222</v>
      </c>
      <c r="Y619" s="6">
        <v>10698259</v>
      </c>
      <c r="Z619" s="6">
        <f t="shared" si="134"/>
        <v>0</v>
      </c>
      <c r="AB619" s="6">
        <f t="shared" si="135"/>
        <v>0</v>
      </c>
    </row>
    <row r="620" spans="1:28">
      <c r="A620" s="10" t="s">
        <v>478</v>
      </c>
      <c r="B620" s="10"/>
      <c r="C620" s="10" t="s">
        <v>79</v>
      </c>
      <c r="E620" s="6">
        <f t="shared" si="133"/>
        <v>6561854</v>
      </c>
      <c r="G620" s="6">
        <v>5824329</v>
      </c>
      <c r="I620" s="6">
        <v>12386183</v>
      </c>
      <c r="K620" s="6">
        <f t="shared" si="136"/>
        <v>4437177</v>
      </c>
      <c r="M620" s="6">
        <v>103741</v>
      </c>
      <c r="O620" s="6">
        <f>717554-103741</f>
        <v>613813</v>
      </c>
      <c r="Q620" s="6">
        <v>5154731</v>
      </c>
      <c r="S620" s="6">
        <v>5807772</v>
      </c>
      <c r="U620" s="6">
        <f t="shared" si="125"/>
        <v>828094</v>
      </c>
      <c r="W620" s="6">
        <v>595586</v>
      </c>
      <c r="Y620" s="6">
        <v>7231452</v>
      </c>
      <c r="Z620" s="6">
        <f t="shared" si="134"/>
        <v>0</v>
      </c>
      <c r="AB620" s="6">
        <f t="shared" si="135"/>
        <v>0</v>
      </c>
    </row>
    <row r="621" spans="1:28">
      <c r="A621" s="10" t="s">
        <v>517</v>
      </c>
      <c r="B621" s="10"/>
      <c r="C621" s="10" t="s">
        <v>63</v>
      </c>
      <c r="E621" s="6">
        <f t="shared" si="133"/>
        <v>23891906</v>
      </c>
      <c r="G621" s="6">
        <v>15324650</v>
      </c>
      <c r="I621" s="6">
        <v>39216556</v>
      </c>
      <c r="K621" s="6">
        <f t="shared" si="136"/>
        <v>17129982</v>
      </c>
      <c r="M621" s="6">
        <v>1497466</v>
      </c>
      <c r="O621" s="6">
        <f>11336989-1497466</f>
        <v>9839523</v>
      </c>
      <c r="Q621" s="6">
        <v>28466971</v>
      </c>
      <c r="S621" s="6">
        <v>4868239</v>
      </c>
      <c r="U621" s="6">
        <f t="shared" si="125"/>
        <v>857073</v>
      </c>
      <c r="W621" s="6">
        <v>5024273</v>
      </c>
      <c r="Y621" s="6">
        <v>10749585</v>
      </c>
      <c r="Z621" s="6">
        <f t="shared" si="134"/>
        <v>0</v>
      </c>
      <c r="AB621" s="6">
        <f t="shared" si="135"/>
        <v>0</v>
      </c>
    </row>
    <row r="622" spans="1:28">
      <c r="A622" s="10" t="s">
        <v>623</v>
      </c>
      <c r="B622" s="10"/>
      <c r="C622" s="10" t="s">
        <v>71</v>
      </c>
      <c r="E622" s="6">
        <f t="shared" si="133"/>
        <v>56244113</v>
      </c>
      <c r="G622" s="6">
        <f>2676543+31827686</f>
        <v>34504229</v>
      </c>
      <c r="I622" s="6">
        <v>90748342</v>
      </c>
      <c r="K622" s="6">
        <f t="shared" si="136"/>
        <v>28163069</v>
      </c>
      <c r="M622" s="6">
        <v>3324559</v>
      </c>
      <c r="O622" s="6">
        <f>22761283-3324559</f>
        <v>19436724</v>
      </c>
      <c r="Q622" s="6">
        <v>50924352</v>
      </c>
      <c r="S622" s="6">
        <v>21384394</v>
      </c>
      <c r="U622" s="6">
        <f t="shared" si="125"/>
        <v>4122388</v>
      </c>
      <c r="W622" s="6">
        <v>14317208</v>
      </c>
      <c r="Y622" s="6">
        <v>39823990</v>
      </c>
      <c r="Z622" s="6">
        <f t="shared" si="134"/>
        <v>0</v>
      </c>
      <c r="AB622" s="6">
        <f t="shared" si="135"/>
        <v>0</v>
      </c>
    </row>
    <row r="623" spans="1:28">
      <c r="A623" s="10" t="s">
        <v>311</v>
      </c>
      <c r="B623" s="10"/>
      <c r="C623" s="10" t="s">
        <v>27</v>
      </c>
      <c r="E623" s="6">
        <f t="shared" si="133"/>
        <v>149825873</v>
      </c>
      <c r="G623" s="6">
        <f>12256927+53883422</f>
        <v>66140349</v>
      </c>
      <c r="I623" s="6">
        <v>215966222</v>
      </c>
      <c r="K623" s="6">
        <f t="shared" si="136"/>
        <v>67613758</v>
      </c>
      <c r="M623" s="6">
        <v>5529994</v>
      </c>
      <c r="O623" s="6">
        <f>61867462-5529994</f>
        <v>56337468</v>
      </c>
      <c r="Q623" s="6">
        <v>129481220</v>
      </c>
      <c r="S623" s="6">
        <v>19805237</v>
      </c>
      <c r="U623" s="6">
        <f t="shared" si="125"/>
        <v>4092720</v>
      </c>
      <c r="W623" s="6">
        <v>62587045</v>
      </c>
      <c r="Y623" s="6">
        <v>86485002</v>
      </c>
      <c r="Z623" s="6">
        <f t="shared" si="134"/>
        <v>0</v>
      </c>
      <c r="AB623" s="6">
        <f t="shared" si="135"/>
        <v>0</v>
      </c>
    </row>
    <row r="624" spans="1:28">
      <c r="A624" s="10" t="s">
        <v>260</v>
      </c>
      <c r="B624" s="10"/>
      <c r="C624" s="10" t="s">
        <v>111</v>
      </c>
      <c r="E624" s="6">
        <f t="shared" si="133"/>
        <v>6495405</v>
      </c>
      <c r="G624" s="6">
        <v>7453152</v>
      </c>
      <c r="I624" s="6">
        <v>13948557</v>
      </c>
      <c r="K624" s="6">
        <f t="shared" si="136"/>
        <v>3802751</v>
      </c>
      <c r="M624" s="6">
        <v>395397</v>
      </c>
      <c r="O624" s="6">
        <f>5891033-395397</f>
        <v>5495636</v>
      </c>
      <c r="Q624" s="6">
        <v>9693784</v>
      </c>
      <c r="S624" s="6">
        <v>2263133</v>
      </c>
      <c r="U624" s="6">
        <f t="shared" si="125"/>
        <v>1021426</v>
      </c>
      <c r="W624" s="6">
        <v>970214</v>
      </c>
      <c r="Y624" s="6">
        <v>4254773</v>
      </c>
      <c r="Z624" s="6">
        <f t="shared" si="134"/>
        <v>0</v>
      </c>
      <c r="AB624" s="6">
        <f t="shared" si="135"/>
        <v>0</v>
      </c>
    </row>
    <row r="625" spans="1:28">
      <c r="A625" s="10" t="s">
        <v>333</v>
      </c>
      <c r="B625" s="10"/>
      <c r="C625" s="10" t="s">
        <v>32</v>
      </c>
      <c r="E625" s="6">
        <f t="shared" si="133"/>
        <v>52160130</v>
      </c>
      <c r="G625" s="6">
        <f>629493+20644949</f>
        <v>21274442</v>
      </c>
      <c r="I625" s="6">
        <v>73434572</v>
      </c>
      <c r="K625" s="6">
        <f t="shared" si="136"/>
        <v>8882511</v>
      </c>
      <c r="M625" s="6">
        <v>1191204</v>
      </c>
      <c r="O625" s="6">
        <f>47083789-1191204</f>
        <v>45892585</v>
      </c>
      <c r="Q625" s="6">
        <v>55966300</v>
      </c>
      <c r="S625" s="6">
        <v>982911</v>
      </c>
      <c r="U625" s="6">
        <f t="shared" si="125"/>
        <v>2808694</v>
      </c>
      <c r="W625" s="6">
        <v>13676667</v>
      </c>
      <c r="Y625" s="6">
        <v>17468272</v>
      </c>
      <c r="Z625" s="6">
        <f t="shared" si="134"/>
        <v>0</v>
      </c>
      <c r="AB625" s="6">
        <f t="shared" si="135"/>
        <v>0</v>
      </c>
    </row>
    <row r="626" spans="1:28">
      <c r="A626" s="10" t="s">
        <v>884</v>
      </c>
      <c r="B626" s="10"/>
      <c r="C626" s="10" t="s">
        <v>114</v>
      </c>
      <c r="E626" s="6">
        <f t="shared" ref="E626" si="137">+I626-G626</f>
        <v>58466310</v>
      </c>
      <c r="G626" s="6">
        <f>12184792+38344905</f>
        <v>50529697</v>
      </c>
      <c r="I626" s="6">
        <v>108996007</v>
      </c>
      <c r="K626" s="6">
        <f t="shared" ref="K626" si="138">+Q626-M626-O626</f>
        <v>26445279</v>
      </c>
      <c r="M626" s="6">
        <v>756282</v>
      </c>
      <c r="O626" s="6">
        <f>44035556-756282</f>
        <v>43279274</v>
      </c>
      <c r="Q626" s="6">
        <v>70480835</v>
      </c>
      <c r="S626" s="6">
        <v>33241674</v>
      </c>
      <c r="U626" s="6">
        <f t="shared" ref="U626" si="139">Y626-W626-S626</f>
        <v>11570320</v>
      </c>
      <c r="W626" s="6">
        <v>-6296822</v>
      </c>
      <c r="Y626" s="6">
        <v>38515172</v>
      </c>
      <c r="Z626" s="6">
        <f t="shared" ref="Z626" si="140">+I626-Q626-Y626</f>
        <v>0</v>
      </c>
      <c r="AB626" s="6">
        <f t="shared" ref="AB626" si="141">+E626+G626+-K626-M626-S626-U626-W626-O626</f>
        <v>0</v>
      </c>
    </row>
    <row r="627" spans="1:28">
      <c r="A627" s="10" t="s">
        <v>783</v>
      </c>
      <c r="B627" s="10"/>
      <c r="C627" s="10" t="s">
        <v>114</v>
      </c>
      <c r="E627" s="6">
        <f t="shared" si="133"/>
        <v>6915551</v>
      </c>
      <c r="G627" s="6">
        <f>1238340+4698193</f>
        <v>5936533</v>
      </c>
      <c r="I627" s="6">
        <v>12852084</v>
      </c>
      <c r="K627" s="6">
        <f t="shared" si="136"/>
        <v>3915090</v>
      </c>
      <c r="M627" s="6">
        <v>349993</v>
      </c>
      <c r="O627" s="6">
        <f>4999444-349993</f>
        <v>4649451</v>
      </c>
      <c r="Q627" s="6">
        <v>8914534</v>
      </c>
      <c r="S627" s="6">
        <v>1747952</v>
      </c>
      <c r="U627" s="6">
        <f t="shared" si="125"/>
        <v>513716</v>
      </c>
      <c r="W627" s="6">
        <v>1675882</v>
      </c>
      <c r="Y627" s="6">
        <v>3937550</v>
      </c>
      <c r="Z627" s="6">
        <f t="shared" si="134"/>
        <v>0</v>
      </c>
      <c r="AB627" s="6">
        <f t="shared" si="135"/>
        <v>0</v>
      </c>
    </row>
    <row r="628" spans="1:28">
      <c r="A628" s="10" t="s">
        <v>409</v>
      </c>
      <c r="B628" s="10"/>
      <c r="C628" s="10" t="s">
        <v>45</v>
      </c>
      <c r="E628" s="6">
        <f t="shared" si="133"/>
        <v>56508939</v>
      </c>
      <c r="G628" s="6">
        <f>2849196+151531102</f>
        <v>154380298</v>
      </c>
      <c r="I628" s="6">
        <v>210889237</v>
      </c>
      <c r="K628" s="6">
        <f t="shared" si="136"/>
        <v>36655613</v>
      </c>
      <c r="M628" s="6">
        <v>2209138</v>
      </c>
      <c r="O628" s="6">
        <f>42128501-2209138</f>
        <v>39919363</v>
      </c>
      <c r="Q628" s="6">
        <v>78784114</v>
      </c>
      <c r="S628" s="6">
        <v>120041909</v>
      </c>
      <c r="U628" s="6">
        <f t="shared" si="125"/>
        <v>16373577</v>
      </c>
      <c r="W628" s="6">
        <v>-4310363</v>
      </c>
      <c r="Y628" s="6">
        <v>132105123</v>
      </c>
      <c r="Z628" s="6">
        <f t="shared" si="134"/>
        <v>0</v>
      </c>
      <c r="AB628" s="6">
        <f>+E628+G628+-K628-M628-S628-U628-W628-O628</f>
        <v>0</v>
      </c>
    </row>
    <row r="629" spans="1:28">
      <c r="A629" s="10" t="s">
        <v>477</v>
      </c>
      <c r="B629" s="10"/>
      <c r="C629" s="10" t="s">
        <v>58</v>
      </c>
      <c r="E629" s="6">
        <f t="shared" si="133"/>
        <v>10091881</v>
      </c>
      <c r="G629" s="6">
        <f>137750+14217235</f>
        <v>14354985</v>
      </c>
      <c r="I629" s="6">
        <v>24446866</v>
      </c>
      <c r="K629" s="6">
        <f t="shared" si="136"/>
        <v>5807122</v>
      </c>
      <c r="M629" s="6">
        <v>501821</v>
      </c>
      <c r="O629" s="6">
        <f>5707016-501821</f>
        <v>5205195</v>
      </c>
      <c r="Q629" s="6">
        <v>11514138</v>
      </c>
      <c r="S629" s="6">
        <v>9386564</v>
      </c>
      <c r="U629" s="6">
        <f t="shared" si="125"/>
        <v>1463269</v>
      </c>
      <c r="W629" s="6">
        <v>2082895</v>
      </c>
      <c r="Y629" s="6">
        <v>12932728</v>
      </c>
      <c r="Z629" s="6">
        <f t="shared" si="134"/>
        <v>0</v>
      </c>
      <c r="AB629" s="6">
        <f>+E629+G629+-K629-M629-S629-U629-W629-O629</f>
        <v>0</v>
      </c>
    </row>
    <row r="630" spans="1:28">
      <c r="A630" s="10" t="s">
        <v>448</v>
      </c>
      <c r="B630" s="10"/>
      <c r="C630" s="10" t="s">
        <v>51</v>
      </c>
      <c r="E630" s="6">
        <f t="shared" si="133"/>
        <v>32577778</v>
      </c>
      <c r="G630" s="6">
        <f>2500227+82594874</f>
        <v>85095101</v>
      </c>
      <c r="I630" s="6">
        <v>117672879</v>
      </c>
      <c r="K630" s="6">
        <f t="shared" si="136"/>
        <v>15974532</v>
      </c>
      <c r="M630" s="6">
        <v>604288</v>
      </c>
      <c r="O630" s="6">
        <f>32787477-604288</f>
        <v>32183189</v>
      </c>
      <c r="Q630" s="6">
        <v>48762009</v>
      </c>
      <c r="S630" s="6">
        <v>54887547</v>
      </c>
      <c r="U630" s="6">
        <f t="shared" si="125"/>
        <v>7893189</v>
      </c>
      <c r="W630" s="6">
        <v>6130134</v>
      </c>
      <c r="Y630" s="6">
        <v>68910870</v>
      </c>
      <c r="Z630" s="6">
        <f t="shared" si="134"/>
        <v>0</v>
      </c>
      <c r="AB630" s="6">
        <f>+E630+G630+-K630-M630-S630-U630-W630-O630</f>
        <v>0</v>
      </c>
    </row>
  </sheetData>
  <mergeCells count="4">
    <mergeCell ref="A1:G1"/>
    <mergeCell ref="S7:W7"/>
    <mergeCell ref="E7:H7"/>
    <mergeCell ref="M7:O7"/>
  </mergeCells>
  <phoneticPr fontId="3" type="noConversion"/>
  <pageMargins left="0.9" right="0.75" top="0.5" bottom="0.5" header="0.25" footer="0.25"/>
  <pageSetup scale="77" firstPageNumber="6" pageOrder="overThenDown" orientation="portrait" useFirstPageNumber="1" r:id="rId1"/>
  <headerFooter differentOddEven="1" alignWithMargins="0">
    <oddFooter xml:space="preserve">&amp;R  </oddFooter>
  </headerFooter>
  <colBreaks count="1" manualBreakCount="1">
    <brk id="12" max="617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31"/>
  <sheetViews>
    <sheetView view="pageBreakPreview" zoomScaleNormal="100" zoomScaleSheetLayoutView="100" workbookViewId="0">
      <pane xSplit="4" ySplit="9" topLeftCell="E10" activePane="bottomRight" state="frozen"/>
      <selection activeCell="A563" sqref="A563:XFD563"/>
      <selection pane="topRight" activeCell="A563" sqref="A563:XFD563"/>
      <selection pane="bottomLeft" activeCell="A563" sqref="A563:XFD563"/>
      <selection pane="bottomRight" activeCell="A3" sqref="A3"/>
    </sheetView>
  </sheetViews>
  <sheetFormatPr defaultColWidth="9.140625" defaultRowHeight="12"/>
  <cols>
    <col min="1" max="1" width="32" style="6" customWidth="1"/>
    <col min="2" max="2" width="1.7109375" style="6" customWidth="1"/>
    <col min="3" max="3" width="11.7109375" style="6" customWidth="1"/>
    <col min="4" max="4" width="1.7109375" style="6" customWidth="1"/>
    <col min="5" max="5" width="11.7109375" style="6" customWidth="1"/>
    <col min="6" max="6" width="1.7109375" style="6" customWidth="1"/>
    <col min="7" max="7" width="11.7109375" style="6" customWidth="1"/>
    <col min="8" max="8" width="1.7109375" style="6" customWidth="1"/>
    <col min="9" max="9" width="11.7109375" style="6" customWidth="1"/>
    <col min="10" max="10" width="1.7109375" style="6" customWidth="1"/>
    <col min="11" max="11" width="11.7109375" style="6" customWidth="1"/>
    <col min="12" max="12" width="1.7109375" style="6" customWidth="1"/>
    <col min="13" max="13" width="11.7109375" style="6" customWidth="1"/>
    <col min="14" max="14" width="1.7109375" style="6" customWidth="1"/>
    <col min="15" max="15" width="11.7109375" style="6" customWidth="1"/>
    <col min="16" max="16" width="1.7109375" style="6" customWidth="1"/>
    <col min="17" max="17" width="12.28515625" style="6" customWidth="1"/>
    <col min="18" max="18" width="1.7109375" style="6" customWidth="1"/>
    <col min="19" max="19" width="11.7109375" style="6" customWidth="1"/>
    <col min="20" max="20" width="14.28515625" style="6" hidden="1" customWidth="1"/>
    <col min="21" max="21" width="3.28515625" style="6" hidden="1" customWidth="1"/>
    <col min="22" max="16384" width="9.140625" style="6"/>
  </cols>
  <sheetData>
    <row r="1" spans="1:21" s="13" customFormat="1">
      <c r="A1" s="34" t="s">
        <v>80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</row>
    <row r="2" spans="1:21" s="13" customFormat="1">
      <c r="A2" s="34" t="s">
        <v>851</v>
      </c>
      <c r="B2" s="34"/>
      <c r="C2" s="34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21" s="13" customFormat="1">
      <c r="A3" s="34"/>
      <c r="B3" s="24"/>
      <c r="C3" s="24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</row>
    <row r="4" spans="1:21">
      <c r="A4" s="13" t="s">
        <v>169</v>
      </c>
    </row>
    <row r="5" spans="1:21" s="13" customFormat="1">
      <c r="A5" s="24"/>
      <c r="B5" s="9"/>
      <c r="C5" s="9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</row>
    <row r="6" spans="1:21">
      <c r="A6" s="45" t="s">
        <v>727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14" t="s">
        <v>567</v>
      </c>
      <c r="U6" s="14"/>
    </row>
    <row r="7" spans="1:21">
      <c r="A7" s="54"/>
      <c r="B7" s="54"/>
      <c r="C7" s="54"/>
      <c r="D7" s="54"/>
      <c r="E7" s="54" t="s">
        <v>81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 t="s">
        <v>565</v>
      </c>
      <c r="T7" s="14" t="s">
        <v>568</v>
      </c>
      <c r="U7" s="14"/>
    </row>
    <row r="8" spans="1:21">
      <c r="A8" s="54"/>
      <c r="B8" s="54"/>
      <c r="C8" s="54"/>
      <c r="D8" s="54"/>
      <c r="E8" s="54" t="s">
        <v>83</v>
      </c>
      <c r="F8" s="54"/>
      <c r="G8" s="54"/>
      <c r="H8" s="54"/>
      <c r="I8" s="54" t="s">
        <v>95</v>
      </c>
      <c r="J8" s="54"/>
      <c r="K8" s="54" t="s">
        <v>73</v>
      </c>
      <c r="L8" s="54"/>
      <c r="M8" s="54" t="s">
        <v>94</v>
      </c>
      <c r="N8" s="54"/>
      <c r="O8" s="54" t="s">
        <v>127</v>
      </c>
      <c r="P8" s="54"/>
      <c r="Q8" s="54" t="s">
        <v>848</v>
      </c>
      <c r="R8" s="54"/>
      <c r="S8" s="14" t="s">
        <v>566</v>
      </c>
      <c r="T8" s="14" t="s">
        <v>569</v>
      </c>
      <c r="U8" s="14"/>
    </row>
    <row r="9" spans="1:21">
      <c r="A9" s="53" t="s">
        <v>199</v>
      </c>
      <c r="B9" s="14"/>
      <c r="C9" s="53" t="s">
        <v>4</v>
      </c>
      <c r="D9" s="54"/>
      <c r="E9" s="53" t="s">
        <v>84</v>
      </c>
      <c r="F9" s="54"/>
      <c r="G9" s="53" t="s">
        <v>85</v>
      </c>
      <c r="H9" s="54"/>
      <c r="I9" s="53" t="s">
        <v>98</v>
      </c>
      <c r="J9" s="54"/>
      <c r="K9" s="53" t="s">
        <v>96</v>
      </c>
      <c r="L9" s="54"/>
      <c r="M9" s="53" t="s">
        <v>97</v>
      </c>
      <c r="N9" s="54"/>
      <c r="O9" s="53" t="s">
        <v>86</v>
      </c>
      <c r="P9" s="54"/>
      <c r="Q9" s="53" t="s">
        <v>86</v>
      </c>
      <c r="R9" s="54"/>
      <c r="S9" s="53" t="s">
        <v>116</v>
      </c>
      <c r="T9" s="14" t="s">
        <v>100</v>
      </c>
      <c r="U9" s="14"/>
    </row>
    <row r="10" spans="1:21">
      <c r="A10" s="11"/>
      <c r="B10" s="11"/>
      <c r="C10" s="11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21" hidden="1">
      <c r="A11" s="11" t="s">
        <v>862</v>
      </c>
      <c r="B11" s="11"/>
      <c r="C11" s="11" t="s">
        <v>339</v>
      </c>
      <c r="G11" s="6">
        <v>0</v>
      </c>
      <c r="I11" s="6">
        <v>0</v>
      </c>
      <c r="K11" s="6">
        <v>0</v>
      </c>
      <c r="O11" s="6">
        <v>0</v>
      </c>
      <c r="Q11" s="7">
        <f t="shared" ref="Q11" si="0">SUM(E11:P11)</f>
        <v>0</v>
      </c>
      <c r="T11" s="6">
        <f>+'St of Net Assets - GA'!M11-'Long Term Liab - GA'!S11</f>
        <v>0</v>
      </c>
    </row>
    <row r="12" spans="1:21" s="28" customFormat="1">
      <c r="A12" s="27" t="s">
        <v>788</v>
      </c>
      <c r="B12" s="27"/>
      <c r="C12" s="27" t="s">
        <v>200</v>
      </c>
      <c r="E12" s="28">
        <v>31514036</v>
      </c>
      <c r="G12" s="28">
        <v>0</v>
      </c>
      <c r="I12" s="28">
        <v>0</v>
      </c>
      <c r="K12" s="28">
        <v>0</v>
      </c>
      <c r="M12" s="28">
        <v>1769249</v>
      </c>
      <c r="O12" s="28">
        <v>0</v>
      </c>
      <c r="Q12" s="32">
        <f>SUM(E12:P12)</f>
        <v>33283285</v>
      </c>
      <c r="S12" s="28">
        <v>1788590</v>
      </c>
      <c r="T12" s="28">
        <f>+'St of Net Assets - GA'!M12-'Long Term Liab - GA'!S12</f>
        <v>0</v>
      </c>
    </row>
    <row r="13" spans="1:21">
      <c r="A13" s="11" t="s">
        <v>587</v>
      </c>
      <c r="B13" s="11"/>
      <c r="C13" s="11" t="s">
        <v>58</v>
      </c>
      <c r="E13" s="6">
        <f>545000+1085000+23285</f>
        <v>1653285</v>
      </c>
      <c r="G13" s="6">
        <v>0</v>
      </c>
      <c r="I13" s="6">
        <v>0</v>
      </c>
      <c r="K13" s="6">
        <v>1456079</v>
      </c>
      <c r="M13" s="6">
        <v>567524</v>
      </c>
      <c r="O13" s="6">
        <v>0</v>
      </c>
      <c r="Q13" s="7">
        <f t="shared" ref="Q13:Q73" si="1">SUM(E13:P13)</f>
        <v>3676888</v>
      </c>
      <c r="S13" s="6">
        <v>291740</v>
      </c>
      <c r="T13" s="6">
        <f>+'St of Net Assets - GA'!M13-'Long Term Liab - GA'!S13</f>
        <v>0</v>
      </c>
    </row>
    <row r="14" spans="1:21">
      <c r="A14" s="11" t="s">
        <v>506</v>
      </c>
      <c r="B14" s="11"/>
      <c r="C14" s="11" t="s">
        <v>63</v>
      </c>
      <c r="E14" s="6">
        <v>0</v>
      </c>
      <c r="G14" s="6">
        <v>0</v>
      </c>
      <c r="I14" s="6">
        <v>0</v>
      </c>
      <c r="K14" s="6">
        <v>0</v>
      </c>
      <c r="M14" s="6">
        <v>30830831</v>
      </c>
      <c r="O14" s="6">
        <v>0</v>
      </c>
      <c r="Q14" s="7">
        <f t="shared" si="1"/>
        <v>30830831</v>
      </c>
      <c r="S14" s="6">
        <v>1701658</v>
      </c>
      <c r="T14" s="6">
        <f>+'St of Net Assets - GA'!M14-'Long Term Liab - GA'!S14</f>
        <v>0</v>
      </c>
    </row>
    <row r="15" spans="1:21" hidden="1">
      <c r="A15" s="11" t="s">
        <v>617</v>
      </c>
      <c r="B15" s="11"/>
      <c r="C15" s="11" t="s">
        <v>13</v>
      </c>
      <c r="Q15" s="7">
        <f t="shared" si="1"/>
        <v>0</v>
      </c>
      <c r="T15" s="6">
        <f>+'St of Net Assets - GA'!M15-'Long Term Liab - GA'!S15</f>
        <v>0</v>
      </c>
    </row>
    <row r="16" spans="1:21" hidden="1">
      <c r="A16" s="11" t="s">
        <v>864</v>
      </c>
      <c r="B16" s="11"/>
      <c r="C16" s="11" t="s">
        <v>10</v>
      </c>
      <c r="G16" s="6">
        <v>0</v>
      </c>
      <c r="I16" s="6">
        <v>0</v>
      </c>
      <c r="K16" s="6">
        <v>0</v>
      </c>
      <c r="O16" s="6">
        <v>0</v>
      </c>
      <c r="Q16" s="7">
        <f>SUM(E16:P16)</f>
        <v>0</v>
      </c>
      <c r="T16" s="6">
        <f>+'St of Net Assets - GA'!M16-'Long Term Liab - GA'!S16</f>
        <v>0</v>
      </c>
    </row>
    <row r="17" spans="1:20">
      <c r="A17" s="11" t="s">
        <v>493</v>
      </c>
      <c r="B17" s="11"/>
      <c r="C17" s="11" t="s">
        <v>62</v>
      </c>
      <c r="E17" s="6">
        <f>2259000+38137+39999+146730+6845000+183980+396032+508050+225000-389330</f>
        <v>10252598</v>
      </c>
      <c r="G17" s="6">
        <v>0</v>
      </c>
      <c r="I17" s="6">
        <v>0</v>
      </c>
      <c r="K17" s="6">
        <v>0</v>
      </c>
      <c r="M17" s="6">
        <v>3437099</v>
      </c>
      <c r="O17" s="6">
        <v>0</v>
      </c>
      <c r="Q17" s="7">
        <f t="shared" si="1"/>
        <v>13689697</v>
      </c>
      <c r="S17" s="6">
        <v>927884</v>
      </c>
      <c r="T17" s="6">
        <f>+'St of Net Assets - GA'!M17-'Long Term Liab - GA'!S17</f>
        <v>0</v>
      </c>
    </row>
    <row r="18" spans="1:20">
      <c r="A18" s="11" t="s">
        <v>292</v>
      </c>
      <c r="B18" s="11"/>
      <c r="C18" s="11" t="s">
        <v>25</v>
      </c>
      <c r="E18" s="6">
        <f>605000+2044998+266232</f>
        <v>2916230</v>
      </c>
      <c r="G18" s="6">
        <v>0</v>
      </c>
      <c r="I18" s="6">
        <v>0</v>
      </c>
      <c r="K18" s="6">
        <v>135673</v>
      </c>
      <c r="M18" s="6">
        <v>357843</v>
      </c>
      <c r="O18" s="6">
        <v>0</v>
      </c>
      <c r="Q18" s="7">
        <f t="shared" si="1"/>
        <v>3409746</v>
      </c>
      <c r="S18" s="6">
        <v>379133</v>
      </c>
      <c r="T18" s="6">
        <f>+'St of Net Assets - GA'!M18-'Long Term Liab - GA'!S18</f>
        <v>0</v>
      </c>
    </row>
    <row r="19" spans="1:20">
      <c r="A19" s="11" t="s">
        <v>749</v>
      </c>
      <c r="B19" s="11"/>
      <c r="C19" s="11" t="s">
        <v>44</v>
      </c>
      <c r="E19" s="6">
        <v>17871217</v>
      </c>
      <c r="G19" s="6">
        <v>0</v>
      </c>
      <c r="I19" s="6">
        <v>0</v>
      </c>
      <c r="K19" s="6">
        <v>0</v>
      </c>
      <c r="M19" s="6">
        <v>4523619</v>
      </c>
      <c r="O19" s="6">
        <v>0</v>
      </c>
      <c r="Q19" s="7">
        <f>SUM(E19:P19)</f>
        <v>22394836</v>
      </c>
      <c r="S19" s="6">
        <v>611772</v>
      </c>
      <c r="T19" s="6">
        <f>+'St of Net Assets - GA'!M19-'Long Term Liab - GA'!S19</f>
        <v>0</v>
      </c>
    </row>
    <row r="20" spans="1:20">
      <c r="A20" s="11" t="s">
        <v>804</v>
      </c>
      <c r="B20" s="11"/>
      <c r="C20" s="11" t="s">
        <v>61</v>
      </c>
      <c r="E20" s="6">
        <v>3432461</v>
      </c>
      <c r="G20" s="6">
        <v>0</v>
      </c>
      <c r="I20" s="6">
        <v>0</v>
      </c>
      <c r="K20" s="6">
        <v>0</v>
      </c>
      <c r="M20" s="6">
        <v>631447</v>
      </c>
      <c r="O20" s="6">
        <v>0</v>
      </c>
      <c r="Q20" s="7">
        <f t="shared" si="1"/>
        <v>4063908</v>
      </c>
      <c r="S20" s="6">
        <v>310678</v>
      </c>
      <c r="T20" s="6">
        <f>+'St of Net Assets - GA'!M20-'Long Term Liab - GA'!S20</f>
        <v>0</v>
      </c>
    </row>
    <row r="21" spans="1:20" hidden="1">
      <c r="A21" s="11" t="s">
        <v>691</v>
      </c>
      <c r="B21" s="11"/>
      <c r="C21" s="11" t="s">
        <v>603</v>
      </c>
      <c r="Q21" s="7">
        <f t="shared" si="1"/>
        <v>0</v>
      </c>
      <c r="T21" s="6">
        <f>+'St of Net Assets - GA'!M21-'Long Term Liab - GA'!S21</f>
        <v>0</v>
      </c>
    </row>
    <row r="22" spans="1:20">
      <c r="A22" s="11" t="s">
        <v>390</v>
      </c>
      <c r="B22" s="11"/>
      <c r="C22" s="11" t="s">
        <v>115</v>
      </c>
      <c r="E22" s="6">
        <f>22332117+975503-494849</f>
        <v>22812771</v>
      </c>
      <c r="G22" s="6">
        <v>0</v>
      </c>
      <c r="I22" s="6">
        <v>0</v>
      </c>
      <c r="K22" s="6">
        <v>0</v>
      </c>
      <c r="M22" s="6">
        <v>1646022</v>
      </c>
      <c r="O22" s="6">
        <v>0</v>
      </c>
      <c r="Q22" s="7">
        <f t="shared" si="1"/>
        <v>24458793</v>
      </c>
      <c r="S22" s="6">
        <v>1784181</v>
      </c>
      <c r="T22" s="6">
        <f>+'St of Net Assets - GA'!M22-'Long Term Liab - GA'!S22</f>
        <v>0</v>
      </c>
    </row>
    <row r="23" spans="1:20" hidden="1">
      <c r="A23" s="11" t="s">
        <v>865</v>
      </c>
      <c r="B23" s="11"/>
      <c r="C23" s="11" t="s">
        <v>450</v>
      </c>
      <c r="G23" s="6">
        <v>0</v>
      </c>
      <c r="I23" s="6">
        <v>0</v>
      </c>
      <c r="K23" s="6">
        <v>0</v>
      </c>
      <c r="O23" s="6">
        <v>0</v>
      </c>
      <c r="Q23" s="7">
        <f t="shared" ref="Q23" si="2">SUM(E23:P23)</f>
        <v>0</v>
      </c>
      <c r="T23" s="6">
        <f>+'St of Net Assets - GA'!M23-'Long Term Liab - GA'!S23</f>
        <v>0</v>
      </c>
    </row>
    <row r="24" spans="1:20">
      <c r="A24" s="11" t="s">
        <v>334</v>
      </c>
      <c r="B24" s="11"/>
      <c r="C24" s="11" t="s">
        <v>33</v>
      </c>
      <c r="E24" s="6">
        <v>0</v>
      </c>
      <c r="G24" s="6">
        <v>0</v>
      </c>
      <c r="I24" s="6">
        <v>0</v>
      </c>
      <c r="K24" s="6">
        <v>0</v>
      </c>
      <c r="M24" s="6">
        <v>370118</v>
      </c>
      <c r="O24" s="6">
        <v>0</v>
      </c>
      <c r="Q24" s="7">
        <f t="shared" si="1"/>
        <v>370118</v>
      </c>
      <c r="S24" s="6">
        <v>15448</v>
      </c>
      <c r="T24" s="6">
        <f>+'St of Net Assets - GA'!M24-'Long Term Liab - GA'!S24</f>
        <v>0</v>
      </c>
    </row>
    <row r="25" spans="1:20" hidden="1">
      <c r="A25" s="11" t="s">
        <v>670</v>
      </c>
      <c r="B25" s="11"/>
      <c r="C25" s="11" t="s">
        <v>21</v>
      </c>
      <c r="Q25" s="7">
        <f t="shared" si="1"/>
        <v>0</v>
      </c>
      <c r="T25" s="6">
        <f>+'St of Net Assets - GA'!M25-'Long Term Liab - GA'!S25</f>
        <v>0</v>
      </c>
    </row>
    <row r="26" spans="1:20">
      <c r="A26" s="11" t="s">
        <v>866</v>
      </c>
      <c r="B26" s="11"/>
      <c r="C26" s="11" t="s">
        <v>28</v>
      </c>
      <c r="E26" s="6">
        <f>6313939+625000+2650308</f>
        <v>9589247</v>
      </c>
      <c r="G26" s="6">
        <v>0</v>
      </c>
      <c r="I26" s="6">
        <v>0</v>
      </c>
      <c r="K26" s="6">
        <v>0</v>
      </c>
      <c r="M26" s="6">
        <v>1059074</v>
      </c>
      <c r="O26" s="6">
        <v>0</v>
      </c>
      <c r="Q26" s="7">
        <f t="shared" si="1"/>
        <v>10648321</v>
      </c>
      <c r="S26" s="6">
        <v>758048</v>
      </c>
      <c r="T26" s="6">
        <f>+'St of Net Assets - GA'!M26-'Long Term Liab - GA'!S26</f>
        <v>0</v>
      </c>
    </row>
    <row r="27" spans="1:20">
      <c r="A27" s="11" t="s">
        <v>335</v>
      </c>
      <c r="B27" s="11"/>
      <c r="C27" s="11" t="s">
        <v>33</v>
      </c>
      <c r="E27" s="6">
        <v>760000</v>
      </c>
      <c r="G27" s="6">
        <v>0</v>
      </c>
      <c r="I27" s="6">
        <v>0</v>
      </c>
      <c r="K27" s="6">
        <v>0</v>
      </c>
      <c r="M27" s="6">
        <v>510980</v>
      </c>
      <c r="O27" s="6">
        <v>0</v>
      </c>
      <c r="Q27" s="7">
        <f t="shared" si="1"/>
        <v>1270980</v>
      </c>
      <c r="S27" s="6">
        <v>135083</v>
      </c>
      <c r="T27" s="6">
        <f>+'St of Net Assets - GA'!M27-'Long Term Liab - GA'!S27</f>
        <v>0</v>
      </c>
    </row>
    <row r="28" spans="1:20">
      <c r="A28" s="11" t="s">
        <v>203</v>
      </c>
      <c r="B28" s="11"/>
      <c r="C28" s="11" t="s">
        <v>11</v>
      </c>
      <c r="E28" s="6">
        <v>3190709</v>
      </c>
      <c r="G28" s="6">
        <v>73000</v>
      </c>
      <c r="I28" s="6">
        <v>0</v>
      </c>
      <c r="K28" s="6">
        <v>0</v>
      </c>
      <c r="M28" s="6">
        <v>2395081</v>
      </c>
      <c r="O28" s="6">
        <v>0</v>
      </c>
      <c r="Q28" s="7">
        <f t="shared" si="1"/>
        <v>5658790</v>
      </c>
      <c r="S28" s="6">
        <v>711957</v>
      </c>
      <c r="T28" s="6">
        <f>+'St of Net Assets - GA'!M28-'Long Term Liab - GA'!S28</f>
        <v>0</v>
      </c>
    </row>
    <row r="29" spans="1:20">
      <c r="A29" s="11" t="s">
        <v>669</v>
      </c>
      <c r="B29" s="11"/>
      <c r="C29" s="11" t="s">
        <v>12</v>
      </c>
      <c r="E29" s="6">
        <f>1655000+32370000+354958+142599+1809142+1163164</f>
        <v>37494863</v>
      </c>
      <c r="G29" s="6">
        <v>0</v>
      </c>
      <c r="I29" s="6">
        <v>0</v>
      </c>
      <c r="K29" s="6">
        <v>0</v>
      </c>
      <c r="M29" s="6">
        <v>2659063</v>
      </c>
      <c r="O29" s="6">
        <v>0</v>
      </c>
      <c r="Q29" s="7">
        <f t="shared" si="1"/>
        <v>40153926</v>
      </c>
      <c r="S29" s="6">
        <v>2553808</v>
      </c>
      <c r="T29" s="6">
        <f>+'St of Net Assets - GA'!M29-'Long Term Liab - GA'!S29</f>
        <v>0</v>
      </c>
    </row>
    <row r="30" spans="1:20">
      <c r="A30" s="11" t="s">
        <v>210</v>
      </c>
      <c r="B30" s="11"/>
      <c r="C30" s="11" t="s">
        <v>13</v>
      </c>
      <c r="E30" s="6">
        <f>2815000+7720000+140000+855932+791356</f>
        <v>12322288</v>
      </c>
      <c r="G30" s="6">
        <v>0</v>
      </c>
      <c r="I30" s="6">
        <v>0</v>
      </c>
      <c r="K30" s="6">
        <v>0</v>
      </c>
      <c r="M30" s="6">
        <v>1683210</v>
      </c>
      <c r="O30" s="6">
        <v>0</v>
      </c>
      <c r="Q30" s="7">
        <f t="shared" si="1"/>
        <v>14005498</v>
      </c>
      <c r="S30" s="6">
        <v>1003067</v>
      </c>
      <c r="T30" s="6">
        <f>+'St of Net Assets - GA'!M30-'Long Term Liab - GA'!S30</f>
        <v>0</v>
      </c>
    </row>
    <row r="31" spans="1:20">
      <c r="A31" s="11" t="s">
        <v>459</v>
      </c>
      <c r="B31" s="11"/>
      <c r="C31" s="11" t="s">
        <v>56</v>
      </c>
      <c r="E31" s="6">
        <v>23056792</v>
      </c>
      <c r="G31" s="6">
        <v>0</v>
      </c>
      <c r="I31" s="6">
        <v>0</v>
      </c>
      <c r="K31" s="6">
        <v>133332</v>
      </c>
      <c r="M31" s="6">
        <v>2113105</v>
      </c>
      <c r="O31" s="6">
        <v>8713683</v>
      </c>
      <c r="Q31" s="7">
        <f t="shared" si="1"/>
        <v>34016912</v>
      </c>
      <c r="S31" s="6">
        <v>2131668</v>
      </c>
      <c r="T31" s="6">
        <f>+'St of Net Assets - GA'!M31-'Long Term Liab - GA'!S31</f>
        <v>0</v>
      </c>
    </row>
    <row r="32" spans="1:20">
      <c r="A32" s="11" t="s">
        <v>401</v>
      </c>
      <c r="B32" s="11"/>
      <c r="C32" s="11" t="s">
        <v>45</v>
      </c>
      <c r="E32" s="6">
        <f>48761142+3268062-2450398</f>
        <v>49578806</v>
      </c>
      <c r="G32" s="6">
        <v>260840</v>
      </c>
      <c r="I32" s="6">
        <v>0</v>
      </c>
      <c r="K32" s="6">
        <v>0</v>
      </c>
      <c r="M32" s="6">
        <v>2840839</v>
      </c>
      <c r="O32" s="6">
        <v>80000</v>
      </c>
      <c r="Q32" s="7">
        <f t="shared" si="1"/>
        <v>52760485</v>
      </c>
      <c r="S32" s="6">
        <v>2170306</v>
      </c>
      <c r="T32" s="6">
        <f>+'St of Net Assets - GA'!M32-'Long Term Liab - GA'!S32</f>
        <v>0</v>
      </c>
    </row>
    <row r="33" spans="1:20">
      <c r="A33" s="11" t="s">
        <v>380</v>
      </c>
      <c r="B33" s="11"/>
      <c r="C33" s="11" t="s">
        <v>44</v>
      </c>
      <c r="E33" s="6">
        <v>52867070</v>
      </c>
      <c r="G33" s="6">
        <v>0</v>
      </c>
      <c r="I33" s="6">
        <v>0</v>
      </c>
      <c r="K33" s="6">
        <v>118207</v>
      </c>
      <c r="M33" s="6">
        <v>5348778</v>
      </c>
      <c r="O33" s="6">
        <v>0</v>
      </c>
      <c r="Q33" s="7">
        <f t="shared" si="1"/>
        <v>58334055</v>
      </c>
      <c r="S33" s="6">
        <v>3633924</v>
      </c>
      <c r="T33" s="6">
        <f>+'St of Net Assets - GA'!M33-'Long Term Liab - GA'!S33</f>
        <v>0</v>
      </c>
    </row>
    <row r="34" spans="1:20">
      <c r="A34" s="11" t="s">
        <v>381</v>
      </c>
      <c r="B34" s="11"/>
      <c r="C34" s="11" t="s">
        <v>44</v>
      </c>
      <c r="E34" s="6">
        <f>30495000+1099964+1591534</f>
        <v>33186498</v>
      </c>
      <c r="G34" s="6">
        <v>0</v>
      </c>
      <c r="I34" s="6">
        <v>55000</v>
      </c>
      <c r="K34" s="6">
        <v>115856</v>
      </c>
      <c r="M34" s="6">
        <v>2663474</v>
      </c>
      <c r="O34" s="6">
        <v>0</v>
      </c>
      <c r="Q34" s="7">
        <f t="shared" si="1"/>
        <v>36020828</v>
      </c>
      <c r="S34" s="6">
        <v>2845632</v>
      </c>
      <c r="T34" s="6">
        <f>+'St of Net Assets - GA'!M34-'Long Term Liab - GA'!S34</f>
        <v>0</v>
      </c>
    </row>
    <row r="35" spans="1:20">
      <c r="A35" s="11" t="s">
        <v>283</v>
      </c>
      <c r="B35" s="11"/>
      <c r="C35" s="11" t="s">
        <v>22</v>
      </c>
      <c r="E35" s="6">
        <v>0</v>
      </c>
      <c r="G35" s="6">
        <v>0</v>
      </c>
      <c r="I35" s="6">
        <v>0</v>
      </c>
      <c r="K35" s="6">
        <f>55665+116855</f>
        <v>172520</v>
      </c>
      <c r="M35" s="6">
        <v>685695</v>
      </c>
      <c r="O35" s="6">
        <v>0</v>
      </c>
      <c r="Q35" s="7">
        <f t="shared" si="1"/>
        <v>858215</v>
      </c>
      <c r="S35" s="6">
        <v>210705</v>
      </c>
      <c r="T35" s="6">
        <f>+'St of Net Assets - GA'!M35-'Long Term Liab - GA'!S35</f>
        <v>0</v>
      </c>
    </row>
    <row r="36" spans="1:20">
      <c r="A36" s="11" t="s">
        <v>507</v>
      </c>
      <c r="B36" s="11"/>
      <c r="C36" s="11" t="s">
        <v>63</v>
      </c>
      <c r="E36" s="6">
        <v>52449980</v>
      </c>
      <c r="G36" s="6">
        <v>0</v>
      </c>
      <c r="I36" s="6">
        <v>0</v>
      </c>
      <c r="K36" s="6">
        <v>0</v>
      </c>
      <c r="M36" s="6">
        <v>2139703</v>
      </c>
      <c r="O36" s="6">
        <v>0</v>
      </c>
      <c r="Q36" s="7">
        <f t="shared" si="1"/>
        <v>54589683</v>
      </c>
      <c r="S36" s="6">
        <v>2482705</v>
      </c>
      <c r="T36" s="6">
        <f>+'St of Net Assets - GA'!M36-'Long Term Liab - GA'!S36</f>
        <v>0</v>
      </c>
    </row>
    <row r="37" spans="1:20">
      <c r="A37" s="11" t="s">
        <v>750</v>
      </c>
      <c r="B37" s="11"/>
      <c r="C37" s="11" t="s">
        <v>15</v>
      </c>
      <c r="E37" s="6">
        <f>620000+1440000+94999+121278+111476+630000</f>
        <v>3017753</v>
      </c>
      <c r="G37" s="6">
        <v>0</v>
      </c>
      <c r="I37" s="6">
        <v>0</v>
      </c>
      <c r="K37" s="6">
        <v>3936</v>
      </c>
      <c r="M37" s="6">
        <v>671718</v>
      </c>
      <c r="O37" s="6">
        <v>0</v>
      </c>
      <c r="Q37" s="7">
        <f t="shared" ref="Q37" si="3">SUM(E37:P37)</f>
        <v>3693407</v>
      </c>
      <c r="S37" s="6">
        <v>267572</v>
      </c>
      <c r="T37" s="6">
        <f>+'St of Net Assets - GA'!M37-'Long Term Liab - GA'!S37</f>
        <v>0</v>
      </c>
    </row>
    <row r="38" spans="1:20">
      <c r="A38" s="11" t="s">
        <v>237</v>
      </c>
      <c r="B38" s="11"/>
      <c r="C38" s="11" t="s">
        <v>113</v>
      </c>
      <c r="E38" s="6">
        <f>65788929+310692</f>
        <v>66099621</v>
      </c>
      <c r="G38" s="6">
        <v>0</v>
      </c>
      <c r="I38" s="6">
        <v>0</v>
      </c>
      <c r="K38" s="6">
        <v>4200000</v>
      </c>
      <c r="M38" s="6">
        <v>922623</v>
      </c>
      <c r="O38" s="6">
        <v>0</v>
      </c>
      <c r="Q38" s="7">
        <f t="shared" si="1"/>
        <v>71222244</v>
      </c>
      <c r="S38" s="6">
        <v>904575</v>
      </c>
      <c r="T38" s="6">
        <f>+'St of Net Assets - GA'!M38-'Long Term Liab - GA'!S38</f>
        <v>0</v>
      </c>
    </row>
    <row r="39" spans="1:20" hidden="1">
      <c r="A39" s="11" t="s">
        <v>671</v>
      </c>
      <c r="B39" s="11"/>
      <c r="C39" s="11" t="s">
        <v>10</v>
      </c>
      <c r="Q39" s="7">
        <f t="shared" ref="Q39" si="4">SUM(E39:P39)</f>
        <v>0</v>
      </c>
      <c r="T39" s="6">
        <f>+'St of Net Assets - GA'!M39-'Long Term Liab - GA'!S39</f>
        <v>0</v>
      </c>
    </row>
    <row r="40" spans="1:20">
      <c r="A40" s="11" t="s">
        <v>634</v>
      </c>
      <c r="B40" s="11"/>
      <c r="C40" s="11" t="s">
        <v>20</v>
      </c>
      <c r="E40" s="6">
        <v>13871747</v>
      </c>
      <c r="G40" s="6">
        <v>0</v>
      </c>
      <c r="I40" s="6">
        <v>0</v>
      </c>
      <c r="K40" s="6">
        <v>0</v>
      </c>
      <c r="M40" s="6">
        <v>3687372</v>
      </c>
      <c r="O40" s="6">
        <v>1730000</v>
      </c>
      <c r="Q40" s="7">
        <f t="shared" si="1"/>
        <v>19289119</v>
      </c>
      <c r="S40" s="6">
        <v>1462834</v>
      </c>
      <c r="T40" s="6">
        <f>+'St of Net Assets - GA'!M40-'Long Term Liab - GA'!S40</f>
        <v>0</v>
      </c>
    </row>
    <row r="41" spans="1:20">
      <c r="A41" s="11" t="s">
        <v>261</v>
      </c>
      <c r="B41" s="11"/>
      <c r="C41" s="11" t="s">
        <v>20</v>
      </c>
      <c r="E41" s="6">
        <v>39812758</v>
      </c>
      <c r="G41" s="6">
        <v>0</v>
      </c>
      <c r="I41" s="6">
        <v>4550000</v>
      </c>
      <c r="K41" s="6">
        <v>202643</v>
      </c>
      <c r="M41" s="6">
        <v>2505048</v>
      </c>
      <c r="O41" s="6">
        <v>0</v>
      </c>
      <c r="Q41" s="7">
        <f t="shared" si="1"/>
        <v>47070449</v>
      </c>
      <c r="S41" s="6">
        <v>2797267</v>
      </c>
      <c r="T41" s="6">
        <f>+'St of Net Assets - GA'!M41-'Long Term Liab - GA'!S41</f>
        <v>0</v>
      </c>
    </row>
    <row r="42" spans="1:20">
      <c r="A42" s="11" t="s">
        <v>246</v>
      </c>
      <c r="B42" s="11"/>
      <c r="C42" s="11" t="s">
        <v>112</v>
      </c>
      <c r="E42" s="6">
        <v>0</v>
      </c>
      <c r="G42" s="6">
        <v>141893</v>
      </c>
      <c r="I42" s="6">
        <v>0</v>
      </c>
      <c r="K42" s="6">
        <v>232416</v>
      </c>
      <c r="M42" s="6">
        <v>1130290</v>
      </c>
      <c r="O42" s="6">
        <v>0</v>
      </c>
      <c r="Q42" s="7">
        <f t="shared" si="1"/>
        <v>1504599</v>
      </c>
      <c r="S42" s="6">
        <v>373977</v>
      </c>
      <c r="T42" s="6">
        <f>+'St of Net Assets - GA'!M42-'Long Term Liab - GA'!S42</f>
        <v>0</v>
      </c>
    </row>
    <row r="43" spans="1:20">
      <c r="A43" s="11" t="s">
        <v>317</v>
      </c>
      <c r="B43" s="11"/>
      <c r="C43" s="11" t="s">
        <v>114</v>
      </c>
      <c r="E43" s="6">
        <f>113528584-5008584-3180000</f>
        <v>105340000</v>
      </c>
      <c r="G43" s="6">
        <v>0</v>
      </c>
      <c r="I43" s="6">
        <v>0</v>
      </c>
      <c r="K43" s="6">
        <v>3180000</v>
      </c>
      <c r="M43" s="6">
        <v>5008584</v>
      </c>
      <c r="O43" s="6">
        <v>0</v>
      </c>
      <c r="Q43" s="7">
        <f t="shared" si="1"/>
        <v>113528584</v>
      </c>
      <c r="S43" s="6">
        <v>3731925</v>
      </c>
      <c r="T43" s="6">
        <f>+'St of Net Assets - GA'!M43-'Long Term Liab - GA'!S43</f>
        <v>0</v>
      </c>
    </row>
    <row r="44" spans="1:20">
      <c r="A44" s="11" t="s">
        <v>262</v>
      </c>
      <c r="B44" s="11"/>
      <c r="C44" s="11" t="s">
        <v>20</v>
      </c>
      <c r="E44" s="6">
        <v>3911235</v>
      </c>
      <c r="G44" s="6">
        <v>73000</v>
      </c>
      <c r="I44" s="6">
        <v>0</v>
      </c>
      <c r="K44" s="6">
        <v>388868</v>
      </c>
      <c r="M44" s="6">
        <v>3722900</v>
      </c>
      <c r="O44" s="6">
        <v>0</v>
      </c>
      <c r="Q44" s="7">
        <f t="shared" si="1"/>
        <v>8096003</v>
      </c>
      <c r="S44" s="6">
        <v>2098073</v>
      </c>
      <c r="T44" s="6">
        <f>+'St of Net Assets - GA'!M44-'Long Term Liab - GA'!S44</f>
        <v>0</v>
      </c>
    </row>
    <row r="45" spans="1:20">
      <c r="A45" s="11" t="s">
        <v>215</v>
      </c>
      <c r="B45" s="11"/>
      <c r="C45" s="11" t="s">
        <v>15</v>
      </c>
      <c r="E45" s="6">
        <v>2559387</v>
      </c>
      <c r="G45" s="6">
        <v>0</v>
      </c>
      <c r="I45" s="6">
        <v>0</v>
      </c>
      <c r="K45" s="6">
        <v>19403</v>
      </c>
      <c r="M45" s="6">
        <v>1134692</v>
      </c>
      <c r="O45" s="6">
        <v>0</v>
      </c>
      <c r="Q45" s="7">
        <f t="shared" si="1"/>
        <v>3713482</v>
      </c>
      <c r="S45" s="6">
        <v>414337</v>
      </c>
      <c r="T45" s="6">
        <f>+'St of Net Assets - GA'!M45-'Long Term Liab - GA'!S45</f>
        <v>0</v>
      </c>
    </row>
    <row r="46" spans="1:20">
      <c r="A46" s="11" t="s">
        <v>735</v>
      </c>
      <c r="B46" s="11"/>
      <c r="C46" s="11" t="s">
        <v>114</v>
      </c>
      <c r="E46" s="6">
        <v>41155373</v>
      </c>
      <c r="G46" s="6">
        <v>0</v>
      </c>
      <c r="I46" s="6">
        <v>0</v>
      </c>
      <c r="K46" s="6">
        <v>3967569</v>
      </c>
      <c r="M46" s="6">
        <v>1626987</v>
      </c>
      <c r="O46" s="6">
        <v>0</v>
      </c>
      <c r="Q46" s="7">
        <f t="shared" si="1"/>
        <v>46749929</v>
      </c>
      <c r="S46" s="6">
        <v>1855277</v>
      </c>
      <c r="T46" s="6">
        <f>+'St of Net Assets - GA'!M46-'Long Term Liab - GA'!S46</f>
        <v>0</v>
      </c>
    </row>
    <row r="47" spans="1:20" hidden="1">
      <c r="A47" s="11" t="s">
        <v>885</v>
      </c>
      <c r="B47" s="11"/>
      <c r="C47" s="11" t="s">
        <v>43</v>
      </c>
      <c r="Q47" s="7">
        <f t="shared" ref="Q47" si="5">SUM(E47:P47)</f>
        <v>0</v>
      </c>
      <c r="T47" s="6">
        <f>+'St of Net Assets - GA'!M47-'Long Term Liab - GA'!S47</f>
        <v>0</v>
      </c>
    </row>
    <row r="48" spans="1:20">
      <c r="A48" s="11" t="s">
        <v>355</v>
      </c>
      <c r="B48" s="11"/>
      <c r="C48" s="11" t="s">
        <v>37</v>
      </c>
      <c r="E48" s="6">
        <f>8995000+13993733</f>
        <v>22988733</v>
      </c>
      <c r="G48" s="6">
        <v>0</v>
      </c>
      <c r="I48" s="6">
        <v>921350</v>
      </c>
      <c r="K48" s="6">
        <v>321947</v>
      </c>
      <c r="M48" s="6">
        <v>1635525</v>
      </c>
      <c r="O48" s="6">
        <v>0</v>
      </c>
      <c r="Q48" s="7">
        <f t="shared" si="1"/>
        <v>25867555</v>
      </c>
      <c r="S48" s="6">
        <v>981033</v>
      </c>
      <c r="T48" s="6">
        <f>+'St of Net Assets - GA'!M48-'Long Term Liab - GA'!S48</f>
        <v>0</v>
      </c>
    </row>
    <row r="49" spans="1:20">
      <c r="A49" s="11" t="s">
        <v>547</v>
      </c>
      <c r="B49" s="11"/>
      <c r="C49" s="11" t="s">
        <v>70</v>
      </c>
      <c r="E49" s="6">
        <v>0</v>
      </c>
      <c r="G49" s="6">
        <v>0</v>
      </c>
      <c r="I49" s="6">
        <v>0</v>
      </c>
      <c r="K49" s="6">
        <v>0</v>
      </c>
      <c r="M49" s="6">
        <v>511520</v>
      </c>
      <c r="O49" s="6">
        <v>0</v>
      </c>
      <c r="Q49" s="7">
        <f t="shared" si="1"/>
        <v>511520</v>
      </c>
      <c r="S49" s="6">
        <v>42236</v>
      </c>
      <c r="T49" s="6">
        <f>+'St of Net Assets - GA'!M49-'Long Term Liab - GA'!S49</f>
        <v>0</v>
      </c>
    </row>
    <row r="50" spans="1:20" hidden="1">
      <c r="A50" s="11" t="s">
        <v>886</v>
      </c>
      <c r="B50" s="11"/>
      <c r="C50" s="11" t="s">
        <v>43</v>
      </c>
      <c r="G50" s="6">
        <v>0</v>
      </c>
      <c r="I50" s="6">
        <v>0</v>
      </c>
      <c r="K50" s="6">
        <v>0</v>
      </c>
      <c r="O50" s="6">
        <v>0</v>
      </c>
      <c r="Q50" s="7">
        <f t="shared" ref="Q50" si="6">SUM(E50:P50)</f>
        <v>0</v>
      </c>
      <c r="T50" s="6">
        <f>+'St of Net Assets - GA'!M50-'Long Term Liab - GA'!S50</f>
        <v>0</v>
      </c>
    </row>
    <row r="51" spans="1:20" hidden="1">
      <c r="A51" s="11" t="s">
        <v>869</v>
      </c>
      <c r="B51" s="11"/>
      <c r="C51" s="11" t="s">
        <v>53</v>
      </c>
      <c r="G51" s="6">
        <v>0</v>
      </c>
      <c r="I51" s="6">
        <v>0</v>
      </c>
      <c r="K51" s="6">
        <v>0</v>
      </c>
      <c r="O51" s="6">
        <v>0</v>
      </c>
      <c r="Q51" s="7">
        <f t="shared" si="1"/>
        <v>0</v>
      </c>
      <c r="T51" s="6">
        <f>+'St of Net Assets - GA'!M51-'Long Term Liab - GA'!S51</f>
        <v>0</v>
      </c>
    </row>
    <row r="52" spans="1:20">
      <c r="A52" s="11" t="s">
        <v>263</v>
      </c>
      <c r="B52" s="11"/>
      <c r="C52" s="11" t="s">
        <v>20</v>
      </c>
      <c r="E52" s="6">
        <v>10734025</v>
      </c>
      <c r="G52" s="6">
        <v>0</v>
      </c>
      <c r="I52" s="6">
        <v>0</v>
      </c>
      <c r="K52" s="6">
        <v>0</v>
      </c>
      <c r="M52" s="6">
        <v>3692515</v>
      </c>
      <c r="O52" s="6">
        <v>25756135</v>
      </c>
      <c r="Q52" s="7">
        <f t="shared" si="1"/>
        <v>40182675</v>
      </c>
      <c r="S52" s="6">
        <v>2377766</v>
      </c>
      <c r="T52" s="6">
        <f>+'St of Net Assets - GA'!M52-'Long Term Liab - GA'!S52</f>
        <v>0</v>
      </c>
    </row>
    <row r="53" spans="1:20">
      <c r="A53" s="11" t="s">
        <v>639</v>
      </c>
      <c r="B53" s="11"/>
      <c r="C53" s="11" t="s">
        <v>30</v>
      </c>
      <c r="E53" s="6">
        <v>0</v>
      </c>
      <c r="G53" s="6">
        <v>0</v>
      </c>
      <c r="I53" s="6">
        <v>0</v>
      </c>
      <c r="K53" s="6">
        <v>49047</v>
      </c>
      <c r="M53" s="6">
        <v>965016</v>
      </c>
      <c r="O53" s="6">
        <v>0</v>
      </c>
      <c r="Q53" s="7">
        <f t="shared" si="1"/>
        <v>1014063</v>
      </c>
      <c r="S53" s="6">
        <v>311618</v>
      </c>
      <c r="T53" s="6">
        <f>+'St of Net Assets - GA'!M53-'Long Term Liab - GA'!S53</f>
        <v>0</v>
      </c>
    </row>
    <row r="54" spans="1:20" hidden="1">
      <c r="A54" s="11" t="s">
        <v>285</v>
      </c>
      <c r="B54" s="11"/>
      <c r="C54" s="11" t="s">
        <v>24</v>
      </c>
      <c r="G54" s="6">
        <v>0</v>
      </c>
      <c r="I54" s="6">
        <v>0</v>
      </c>
      <c r="K54" s="6">
        <v>0</v>
      </c>
      <c r="O54" s="6">
        <v>0</v>
      </c>
      <c r="Q54" s="7">
        <f t="shared" si="1"/>
        <v>0</v>
      </c>
      <c r="T54" s="6">
        <f>+'St of Net Assets - GA'!M54-'Long Term Liab - GA'!S54</f>
        <v>0</v>
      </c>
    </row>
    <row r="55" spans="1:20" hidden="1">
      <c r="A55" s="11" t="s">
        <v>792</v>
      </c>
      <c r="B55" s="11"/>
      <c r="C55" s="11" t="s">
        <v>25</v>
      </c>
      <c r="Q55" s="7">
        <f t="shared" si="1"/>
        <v>0</v>
      </c>
      <c r="T55" s="6">
        <f>+'St of Net Assets - GA'!M55-'Long Term Liab - GA'!S55</f>
        <v>0</v>
      </c>
    </row>
    <row r="56" spans="1:20">
      <c r="A56" s="11" t="s">
        <v>423</v>
      </c>
      <c r="B56" s="11"/>
      <c r="C56" s="11" t="s">
        <v>48</v>
      </c>
      <c r="E56" s="6">
        <v>0</v>
      </c>
      <c r="G56" s="6">
        <v>0</v>
      </c>
      <c r="I56" s="6">
        <v>570740</v>
      </c>
      <c r="K56" s="6">
        <v>824000</v>
      </c>
      <c r="M56" s="6">
        <v>340306</v>
      </c>
      <c r="O56" s="6">
        <v>0</v>
      </c>
      <c r="Q56" s="7">
        <f t="shared" si="1"/>
        <v>1735046</v>
      </c>
      <c r="S56" s="6">
        <v>194638</v>
      </c>
      <c r="T56" s="6">
        <f>+'St of Net Assets - GA'!M56-'Long Term Liab - GA'!S56</f>
        <v>0</v>
      </c>
    </row>
    <row r="57" spans="1:20">
      <c r="A57" s="11" t="s">
        <v>238</v>
      </c>
      <c r="B57" s="11"/>
      <c r="C57" s="11" t="s">
        <v>113</v>
      </c>
      <c r="E57" s="6">
        <v>3988169</v>
      </c>
      <c r="G57" s="6">
        <v>0</v>
      </c>
      <c r="I57" s="6">
        <v>0</v>
      </c>
      <c r="K57" s="6">
        <v>240625</v>
      </c>
      <c r="M57" s="6">
        <v>992217</v>
      </c>
      <c r="O57" s="6">
        <v>2193000</v>
      </c>
      <c r="Q57" s="7">
        <f t="shared" si="1"/>
        <v>7414011</v>
      </c>
      <c r="S57" s="6">
        <v>543371</v>
      </c>
      <c r="T57" s="6">
        <f>+'St of Net Assets - GA'!M57-'Long Term Liab - GA'!S57</f>
        <v>0</v>
      </c>
    </row>
    <row r="58" spans="1:20" hidden="1">
      <c r="A58" s="11" t="s">
        <v>672</v>
      </c>
      <c r="B58" s="11"/>
      <c r="C58" s="11" t="s">
        <v>60</v>
      </c>
      <c r="Q58" s="7">
        <f t="shared" ref="Q58" si="7">SUM(E58:P58)</f>
        <v>0</v>
      </c>
      <c r="T58" s="6">
        <f>+'St of Net Assets - GA'!M58-'Long Term Liab - GA'!S58</f>
        <v>0</v>
      </c>
    </row>
    <row r="59" spans="1:20">
      <c r="A59" s="11" t="s">
        <v>299</v>
      </c>
      <c r="B59" s="11"/>
      <c r="C59" s="11" t="s">
        <v>27</v>
      </c>
      <c r="E59" s="6">
        <v>23019996</v>
      </c>
      <c r="G59" s="6">
        <v>0</v>
      </c>
      <c r="I59" s="6">
        <v>0</v>
      </c>
      <c r="K59" s="6">
        <v>0</v>
      </c>
      <c r="M59" s="6">
        <v>1954099</v>
      </c>
      <c r="O59" s="6">
        <v>0</v>
      </c>
      <c r="Q59" s="7">
        <f t="shared" si="1"/>
        <v>24974095</v>
      </c>
      <c r="S59" s="6">
        <v>1970000</v>
      </c>
      <c r="T59" s="6">
        <f>+'St of Net Assets - GA'!M59-'Long Term Liab - GA'!S59</f>
        <v>0</v>
      </c>
    </row>
    <row r="60" spans="1:20">
      <c r="A60" s="11" t="s">
        <v>635</v>
      </c>
      <c r="B60" s="11"/>
      <c r="C60" s="11" t="s">
        <v>23</v>
      </c>
      <c r="E60" s="6">
        <v>44105296</v>
      </c>
      <c r="G60" s="6">
        <v>0</v>
      </c>
      <c r="I60" s="6">
        <v>0</v>
      </c>
      <c r="K60" s="6">
        <v>0</v>
      </c>
      <c r="M60" s="6">
        <v>1620740</v>
      </c>
      <c r="O60" s="6">
        <v>0</v>
      </c>
      <c r="Q60" s="7">
        <f t="shared" si="1"/>
        <v>45726036</v>
      </c>
      <c r="S60" s="6">
        <v>1441676</v>
      </c>
      <c r="T60" s="6">
        <f>+'St of Net Assets - GA'!M60-'Long Term Liab - GA'!S60</f>
        <v>0</v>
      </c>
    </row>
    <row r="61" spans="1:20">
      <c r="A61" s="11" t="s">
        <v>414</v>
      </c>
      <c r="B61" s="11"/>
      <c r="C61" s="11" t="s">
        <v>47</v>
      </c>
      <c r="E61" s="6">
        <v>2820000</v>
      </c>
      <c r="G61" s="6">
        <v>0</v>
      </c>
      <c r="I61" s="6">
        <v>0</v>
      </c>
      <c r="K61" s="6">
        <v>11170</v>
      </c>
      <c r="M61" s="6">
        <v>559217</v>
      </c>
      <c r="O61" s="6">
        <v>0</v>
      </c>
      <c r="Q61" s="7">
        <f t="shared" si="1"/>
        <v>3390387</v>
      </c>
      <c r="S61" s="6">
        <v>559680</v>
      </c>
      <c r="T61" s="6">
        <f>+'St of Net Assets - GA'!M61-'Long Term Liab - GA'!S61</f>
        <v>0</v>
      </c>
    </row>
    <row r="62" spans="1:20">
      <c r="A62" s="11" t="s">
        <v>242</v>
      </c>
      <c r="B62" s="11"/>
      <c r="C62" s="11" t="s">
        <v>18</v>
      </c>
      <c r="E62" s="6">
        <v>2832260</v>
      </c>
      <c r="G62" s="6">
        <v>0</v>
      </c>
      <c r="I62" s="6">
        <v>0</v>
      </c>
      <c r="K62" s="6">
        <v>0</v>
      </c>
      <c r="M62" s="6">
        <v>338305</v>
      </c>
      <c r="O62" s="6">
        <v>0</v>
      </c>
      <c r="Q62" s="7">
        <f t="shared" si="1"/>
        <v>3170565</v>
      </c>
      <c r="S62" s="6">
        <v>268856</v>
      </c>
      <c r="T62" s="6">
        <f>+'St of Net Assets - GA'!M62-'Long Term Liab - GA'!S62</f>
        <v>0</v>
      </c>
    </row>
    <row r="63" spans="1:20">
      <c r="A63" s="11" t="s">
        <v>293</v>
      </c>
      <c r="B63" s="11"/>
      <c r="C63" s="11" t="s">
        <v>25</v>
      </c>
      <c r="E63" s="6">
        <f>24715000+515229+187287+17701</f>
        <v>25435217</v>
      </c>
      <c r="G63" s="6">
        <v>0</v>
      </c>
      <c r="I63" s="6">
        <v>0</v>
      </c>
      <c r="K63" s="6">
        <v>0</v>
      </c>
      <c r="M63" s="6">
        <v>593470</v>
      </c>
      <c r="O63" s="6">
        <v>0</v>
      </c>
      <c r="Q63" s="7">
        <f t="shared" si="1"/>
        <v>26028687</v>
      </c>
      <c r="S63" s="6">
        <v>907160</v>
      </c>
      <c r="T63" s="6">
        <f>+'St of Net Assets - GA'!M63-'Long Term Liab - GA'!S63</f>
        <v>0</v>
      </c>
    </row>
    <row r="64" spans="1:20">
      <c r="A64" s="11" t="s">
        <v>518</v>
      </c>
      <c r="B64" s="11"/>
      <c r="C64" s="11" t="s">
        <v>64</v>
      </c>
      <c r="E64" s="6">
        <v>0</v>
      </c>
      <c r="G64" s="6">
        <v>0</v>
      </c>
      <c r="I64" s="6">
        <v>237043</v>
      </c>
      <c r="K64" s="6">
        <v>41785</v>
      </c>
      <c r="M64" s="6">
        <v>202521</v>
      </c>
      <c r="O64" s="6">
        <v>0</v>
      </c>
      <c r="Q64" s="7">
        <f t="shared" si="1"/>
        <v>481349</v>
      </c>
      <c r="S64" s="6">
        <v>77640</v>
      </c>
      <c r="T64" s="6">
        <f>+'St of Net Assets - GA'!M64-'Long Term Liab - GA'!S64</f>
        <v>0</v>
      </c>
    </row>
    <row r="65" spans="1:20">
      <c r="A65" s="11" t="s">
        <v>479</v>
      </c>
      <c r="B65" s="11"/>
      <c r="C65" s="11" t="s">
        <v>59</v>
      </c>
      <c r="E65" s="6">
        <v>936522</v>
      </c>
      <c r="G65" s="6">
        <v>0</v>
      </c>
      <c r="I65" s="6">
        <v>0</v>
      </c>
      <c r="K65" s="6">
        <v>0</v>
      </c>
      <c r="M65" s="6">
        <v>714519</v>
      </c>
      <c r="O65" s="6">
        <v>0</v>
      </c>
      <c r="Q65" s="7">
        <f>SUM(E65:P65)</f>
        <v>1651041</v>
      </c>
      <c r="S65" s="6">
        <v>189189</v>
      </c>
      <c r="T65" s="6">
        <f>+'St of Net Assets - GA'!M65-'Long Term Liab - GA'!S65</f>
        <v>0</v>
      </c>
    </row>
    <row r="66" spans="1:20" hidden="1">
      <c r="A66" s="11" t="s">
        <v>887</v>
      </c>
      <c r="B66" s="11"/>
      <c r="C66" s="11" t="s">
        <v>10</v>
      </c>
      <c r="Q66" s="7">
        <f t="shared" si="1"/>
        <v>0</v>
      </c>
      <c r="T66" s="6">
        <f>+'St of Net Assets - GA'!M66-'Long Term Liab - GA'!S66</f>
        <v>0</v>
      </c>
    </row>
    <row r="67" spans="1:20">
      <c r="A67" s="11" t="s">
        <v>402</v>
      </c>
      <c r="B67" s="11"/>
      <c r="C67" s="11" t="s">
        <v>45</v>
      </c>
      <c r="E67" s="6">
        <v>0</v>
      </c>
      <c r="G67" s="6">
        <v>0</v>
      </c>
      <c r="I67" s="6">
        <f>143074+3190943</f>
        <v>3334017</v>
      </c>
      <c r="K67" s="6">
        <v>6320000</v>
      </c>
      <c r="M67" s="6">
        <v>3076668</v>
      </c>
      <c r="O67" s="6">
        <v>425000</v>
      </c>
      <c r="Q67" s="7">
        <f t="shared" si="1"/>
        <v>13155685</v>
      </c>
      <c r="S67" s="6">
        <v>1341396</v>
      </c>
      <c r="T67" s="6">
        <f>+'St of Net Assets - GA'!M67-'Long Term Liab - GA'!S67</f>
        <v>0</v>
      </c>
    </row>
    <row r="68" spans="1:20">
      <c r="A68" s="11" t="s">
        <v>489</v>
      </c>
      <c r="B68" s="11"/>
      <c r="C68" s="11" t="s">
        <v>61</v>
      </c>
      <c r="E68" s="6">
        <f>180000+895000+5995000+60000+113635</f>
        <v>7243635</v>
      </c>
      <c r="G68" s="6">
        <f>8089+78100</f>
        <v>86189</v>
      </c>
      <c r="I68" s="6">
        <v>0</v>
      </c>
      <c r="K68" s="6">
        <v>0</v>
      </c>
      <c r="M68" s="6">
        <v>140434</v>
      </c>
      <c r="O68" s="6">
        <v>0</v>
      </c>
      <c r="Q68" s="7">
        <f t="shared" si="1"/>
        <v>7470258</v>
      </c>
      <c r="S68" s="6">
        <v>56087</v>
      </c>
      <c r="T68" s="6">
        <f>+'St of Net Assets - GA'!M68-'Long Term Liab - GA'!S68</f>
        <v>0</v>
      </c>
    </row>
    <row r="69" spans="1:20">
      <c r="A69" s="11" t="s">
        <v>554</v>
      </c>
      <c r="B69" s="11"/>
      <c r="C69" s="11" t="s">
        <v>72</v>
      </c>
      <c r="E69" s="6">
        <f>25505000+1193754</f>
        <v>26698754</v>
      </c>
      <c r="G69" s="6">
        <v>0</v>
      </c>
      <c r="I69" s="6">
        <v>1250000</v>
      </c>
      <c r="K69" s="6">
        <v>0</v>
      </c>
      <c r="M69" s="6">
        <f>2499407+228585</f>
        <v>2727992</v>
      </c>
      <c r="O69" s="6">
        <v>0</v>
      </c>
      <c r="Q69" s="7">
        <f t="shared" si="1"/>
        <v>30676746</v>
      </c>
      <c r="S69" s="6">
        <v>1069692</v>
      </c>
      <c r="T69" s="6">
        <f>+'St of Net Assets - GA'!M69-'Long Term Liab - GA'!S69</f>
        <v>0</v>
      </c>
    </row>
    <row r="70" spans="1:20" hidden="1">
      <c r="A70" s="11" t="s">
        <v>888</v>
      </c>
      <c r="B70" s="11"/>
      <c r="C70" s="11" t="s">
        <v>48</v>
      </c>
      <c r="Q70" s="7">
        <f t="shared" ref="Q70" si="8">SUM(E70:P70)</f>
        <v>0</v>
      </c>
      <c r="T70" s="6">
        <f>+'St of Net Assets - GA'!M70-'Long Term Liab - GA'!S70</f>
        <v>0</v>
      </c>
    </row>
    <row r="71" spans="1:20">
      <c r="A71" s="11" t="s">
        <v>785</v>
      </c>
      <c r="B71" s="11"/>
      <c r="C71" s="11" t="s">
        <v>20</v>
      </c>
      <c r="E71" s="6">
        <v>11144108</v>
      </c>
      <c r="G71" s="6">
        <v>0</v>
      </c>
      <c r="I71" s="6">
        <v>9128612</v>
      </c>
      <c r="K71" s="6">
        <v>176382</v>
      </c>
      <c r="M71" s="6">
        <v>5425986</v>
      </c>
      <c r="O71" s="6">
        <f>15000+360000</f>
        <v>375000</v>
      </c>
      <c r="Q71" s="7">
        <f t="shared" si="1"/>
        <v>26250088</v>
      </c>
      <c r="S71" s="6">
        <v>2257390</v>
      </c>
      <c r="T71" s="6">
        <f>+'St of Net Assets - GA'!M71-'Long Term Liab - GA'!S71</f>
        <v>0</v>
      </c>
    </row>
    <row r="72" spans="1:20">
      <c r="A72" s="11" t="s">
        <v>751</v>
      </c>
      <c r="B72" s="11"/>
      <c r="C72" s="11" t="s">
        <v>15</v>
      </c>
      <c r="E72" s="6">
        <f>400000+3550000+159994+1346</f>
        <v>4111340</v>
      </c>
      <c r="G72" s="6">
        <v>0</v>
      </c>
      <c r="I72" s="6">
        <v>0</v>
      </c>
      <c r="K72" s="6">
        <v>0</v>
      </c>
      <c r="M72" s="6">
        <v>327278</v>
      </c>
      <c r="O72" s="6">
        <v>0</v>
      </c>
      <c r="Q72" s="7">
        <f t="shared" si="1"/>
        <v>4438618</v>
      </c>
      <c r="S72" s="6">
        <v>303722</v>
      </c>
      <c r="T72" s="6">
        <f>+'St of Net Assets - GA'!M72-'Long Term Liab - GA'!S72</f>
        <v>0</v>
      </c>
    </row>
    <row r="73" spans="1:20" hidden="1">
      <c r="A73" s="11" t="s">
        <v>793</v>
      </c>
      <c r="B73" s="11"/>
      <c r="C73" s="11" t="s">
        <v>348</v>
      </c>
      <c r="Q73" s="7">
        <f t="shared" si="1"/>
        <v>0</v>
      </c>
      <c r="T73" s="6">
        <f>+'St of Net Assets - GA'!M73-'Long Term Liab - GA'!S73</f>
        <v>0</v>
      </c>
    </row>
    <row r="74" spans="1:20">
      <c r="A74" s="11" t="s">
        <v>519</v>
      </c>
      <c r="B74" s="11"/>
      <c r="C74" s="11" t="s">
        <v>64</v>
      </c>
      <c r="E74" s="6">
        <v>1543922</v>
      </c>
      <c r="G74" s="6">
        <v>5519</v>
      </c>
      <c r="I74" s="6">
        <v>0</v>
      </c>
      <c r="K74" s="6">
        <v>0</v>
      </c>
      <c r="M74" s="6">
        <v>528596</v>
      </c>
      <c r="O74" s="6">
        <v>0</v>
      </c>
      <c r="Q74" s="7">
        <f>SUM(E74:P74)</f>
        <v>2078037</v>
      </c>
      <c r="S74" s="6">
        <v>259831</v>
      </c>
      <c r="T74" s="6">
        <f>+'St of Net Assets - GA'!M74-'Long Term Liab - GA'!S74</f>
        <v>0</v>
      </c>
    </row>
    <row r="75" spans="1:20">
      <c r="A75" s="11" t="s">
        <v>673</v>
      </c>
      <c r="B75" s="11"/>
      <c r="C75" s="11" t="s">
        <v>64</v>
      </c>
      <c r="E75" s="6">
        <f>13690000+215729+44419</f>
        <v>13950148</v>
      </c>
      <c r="G75" s="6">
        <v>0</v>
      </c>
      <c r="I75" s="6">
        <v>0</v>
      </c>
      <c r="K75" s="6">
        <v>32049</v>
      </c>
      <c r="M75" s="6">
        <v>849385</v>
      </c>
      <c r="O75" s="6">
        <f>67500+129782</f>
        <v>197282</v>
      </c>
      <c r="Q75" s="7">
        <f t="shared" ref="Q75:Q87" si="9">SUM(E75:P75)</f>
        <v>15028864</v>
      </c>
      <c r="S75" s="6">
        <v>572694</v>
      </c>
      <c r="T75" s="6">
        <f>+'St of Net Assets - GA'!M75-'Long Term Liab - GA'!S75</f>
        <v>0</v>
      </c>
    </row>
    <row r="76" spans="1:20">
      <c r="A76" s="11" t="s">
        <v>264</v>
      </c>
      <c r="B76" s="11"/>
      <c r="C76" s="11" t="s">
        <v>20</v>
      </c>
      <c r="E76" s="6">
        <v>0</v>
      </c>
      <c r="G76" s="6">
        <v>0</v>
      </c>
      <c r="I76" s="6">
        <v>0</v>
      </c>
      <c r="K76" s="6">
        <v>0</v>
      </c>
      <c r="M76" s="6">
        <v>1244312</v>
      </c>
      <c r="O76" s="6">
        <v>0</v>
      </c>
      <c r="Q76" s="7">
        <f t="shared" si="9"/>
        <v>1244312</v>
      </c>
      <c r="S76" s="6">
        <v>179121</v>
      </c>
      <c r="T76" s="6">
        <f>+'St of Net Assets - GA'!M76-'Long Term Liab - GA'!S76</f>
        <v>0</v>
      </c>
    </row>
    <row r="77" spans="1:20">
      <c r="A77" s="11" t="s">
        <v>428</v>
      </c>
      <c r="B77" s="11"/>
      <c r="C77" s="11" t="s">
        <v>50</v>
      </c>
      <c r="E77" s="6">
        <v>20531047</v>
      </c>
      <c r="G77" s="6">
        <v>0</v>
      </c>
      <c r="I77" s="6">
        <v>0</v>
      </c>
      <c r="K77" s="6">
        <v>0</v>
      </c>
      <c r="M77" s="6">
        <v>1007750</v>
      </c>
      <c r="O77" s="6">
        <v>0</v>
      </c>
      <c r="Q77" s="7">
        <f t="shared" si="9"/>
        <v>21538797</v>
      </c>
      <c r="S77" s="6">
        <v>866897</v>
      </c>
      <c r="T77" s="6">
        <f>+'St of Net Assets - GA'!M77-'Long Term Liab - GA'!S77</f>
        <v>0</v>
      </c>
    </row>
    <row r="78" spans="1:20">
      <c r="A78" s="11" t="s">
        <v>227</v>
      </c>
      <c r="B78" s="11"/>
      <c r="C78" s="11" t="s">
        <v>16</v>
      </c>
      <c r="E78" s="6">
        <v>0</v>
      </c>
      <c r="G78" s="6">
        <v>0</v>
      </c>
      <c r="I78" s="6">
        <v>0</v>
      </c>
      <c r="K78" s="6">
        <v>23148</v>
      </c>
      <c r="M78" s="6">
        <v>386989</v>
      </c>
      <c r="O78" s="6">
        <v>0</v>
      </c>
      <c r="Q78" s="7">
        <f t="shared" si="9"/>
        <v>410137</v>
      </c>
      <c r="S78" s="6">
        <v>148786</v>
      </c>
      <c r="T78" s="6">
        <f>+'St of Net Assets - GA'!M78-'Long Term Liab - GA'!S78</f>
        <v>0</v>
      </c>
    </row>
    <row r="79" spans="1:20">
      <c r="A79" s="11" t="s">
        <v>415</v>
      </c>
      <c r="B79" s="11"/>
      <c r="C79" s="11" t="s">
        <v>47</v>
      </c>
      <c r="E79" s="6">
        <v>37406615</v>
      </c>
      <c r="G79" s="6">
        <v>0</v>
      </c>
      <c r="I79" s="6">
        <v>0</v>
      </c>
      <c r="K79" s="6">
        <v>138000</v>
      </c>
      <c r="M79" s="6">
        <v>5428355</v>
      </c>
      <c r="O79" s="6">
        <v>0</v>
      </c>
      <c r="Q79" s="7">
        <f t="shared" si="9"/>
        <v>42972970</v>
      </c>
      <c r="S79" s="6">
        <v>2844241</v>
      </c>
      <c r="T79" s="6">
        <f>+'St of Net Assets - GA'!M79-'Long Term Liab - GA'!S79</f>
        <v>0</v>
      </c>
    </row>
    <row r="80" spans="1:20" hidden="1">
      <c r="A80" s="11" t="s">
        <v>674</v>
      </c>
      <c r="B80" s="11"/>
      <c r="C80" s="11" t="s">
        <v>552</v>
      </c>
      <c r="Q80" s="7">
        <f t="shared" si="9"/>
        <v>0</v>
      </c>
      <c r="T80" s="6">
        <f>+'St of Net Assets - GA'!M80-'Long Term Liab - GA'!S80</f>
        <v>0</v>
      </c>
    </row>
    <row r="81" spans="1:20">
      <c r="A81" s="11" t="s">
        <v>256</v>
      </c>
      <c r="B81" s="11"/>
      <c r="C81" s="11" t="s">
        <v>111</v>
      </c>
      <c r="E81" s="6">
        <v>7973724</v>
      </c>
      <c r="G81" s="6">
        <v>384599</v>
      </c>
      <c r="I81" s="6">
        <v>0</v>
      </c>
      <c r="K81" s="6">
        <v>55688</v>
      </c>
      <c r="M81" s="6">
        <v>302989</v>
      </c>
      <c r="O81" s="6">
        <v>0</v>
      </c>
      <c r="Q81" s="7">
        <f t="shared" si="9"/>
        <v>8717000</v>
      </c>
      <c r="S81" s="6">
        <v>318791</v>
      </c>
      <c r="T81" s="6">
        <f>+'St of Net Assets - GA'!M81-'Long Term Liab - GA'!S81</f>
        <v>0</v>
      </c>
    </row>
    <row r="82" spans="1:20">
      <c r="A82" s="11" t="s">
        <v>206</v>
      </c>
      <c r="B82" s="11"/>
      <c r="C82" s="11" t="s">
        <v>12</v>
      </c>
      <c r="E82" s="6">
        <v>0</v>
      </c>
      <c r="G82" s="6">
        <v>0</v>
      </c>
      <c r="I82" s="6">
        <v>0</v>
      </c>
      <c r="K82" s="6">
        <v>45692</v>
      </c>
      <c r="M82" s="6">
        <v>1027237</v>
      </c>
      <c r="O82" s="6">
        <v>0</v>
      </c>
      <c r="Q82" s="7">
        <f t="shared" si="9"/>
        <v>1072929</v>
      </c>
      <c r="S82" s="6">
        <v>74586</v>
      </c>
      <c r="T82" s="6">
        <f>+'St of Net Assets - GA'!M82-'Long Term Liab - GA'!S82</f>
        <v>0</v>
      </c>
    </row>
    <row r="83" spans="1:20">
      <c r="A83" s="11" t="s">
        <v>206</v>
      </c>
      <c r="B83" s="11"/>
      <c r="C83" s="11" t="s">
        <v>39</v>
      </c>
      <c r="E83" s="6">
        <v>0</v>
      </c>
      <c r="G83" s="6">
        <v>0</v>
      </c>
      <c r="I83" s="6">
        <v>0</v>
      </c>
      <c r="K83" s="6">
        <v>26721</v>
      </c>
      <c r="M83" s="6">
        <v>1308147</v>
      </c>
      <c r="O83" s="6">
        <v>0</v>
      </c>
      <c r="Q83" s="7">
        <f t="shared" si="9"/>
        <v>1334868</v>
      </c>
      <c r="S83" s="6">
        <v>141517</v>
      </c>
      <c r="T83" s="6">
        <f>+'St of Net Assets - GA'!M83-'Long Term Liab - GA'!S83</f>
        <v>0</v>
      </c>
    </row>
    <row r="84" spans="1:20">
      <c r="A84" s="11" t="s">
        <v>675</v>
      </c>
      <c r="B84" s="11"/>
      <c r="C84" s="11" t="s">
        <v>47</v>
      </c>
      <c r="E84" s="6">
        <v>17305659</v>
      </c>
      <c r="G84" s="6">
        <v>0</v>
      </c>
      <c r="I84" s="6">
        <v>0</v>
      </c>
      <c r="K84" s="6">
        <v>3203918</v>
      </c>
      <c r="M84" s="6">
        <v>1517442</v>
      </c>
      <c r="O84" s="6">
        <v>0</v>
      </c>
      <c r="Q84" s="7">
        <f t="shared" si="9"/>
        <v>22027019</v>
      </c>
      <c r="S84" s="6">
        <v>1385598</v>
      </c>
      <c r="T84" s="6">
        <f>+'St of Net Assets - GA'!M84-'Long Term Liab - GA'!S84</f>
        <v>0</v>
      </c>
    </row>
    <row r="85" spans="1:20" hidden="1">
      <c r="A85" s="42" t="s">
        <v>794</v>
      </c>
      <c r="B85" s="11"/>
      <c r="C85" s="11" t="s">
        <v>112</v>
      </c>
      <c r="Q85" s="7">
        <f>SUM(E85:P85)</f>
        <v>0</v>
      </c>
      <c r="T85" s="6">
        <f>+'St of Net Assets - GA'!M85-'Long Term Liab - GA'!S85</f>
        <v>0</v>
      </c>
    </row>
    <row r="86" spans="1:20">
      <c r="A86" s="11" t="s">
        <v>636</v>
      </c>
      <c r="B86" s="11"/>
      <c r="C86" s="11" t="s">
        <v>23</v>
      </c>
      <c r="E86" s="6">
        <v>22217455</v>
      </c>
      <c r="G86" s="6">
        <v>0</v>
      </c>
      <c r="I86" s="6">
        <v>0</v>
      </c>
      <c r="K86" s="6">
        <v>758</v>
      </c>
      <c r="M86" s="6">
        <v>1643226</v>
      </c>
      <c r="O86" s="6">
        <v>0</v>
      </c>
      <c r="Q86" s="7">
        <f t="shared" si="9"/>
        <v>23861439</v>
      </c>
      <c r="S86" s="6">
        <v>1380117</v>
      </c>
      <c r="T86" s="6">
        <f>+'St of Net Assets - GA'!M86-'Long Term Liab - GA'!S86</f>
        <v>0</v>
      </c>
    </row>
    <row r="87" spans="1:20">
      <c r="A87" s="11" t="s">
        <v>257</v>
      </c>
      <c r="B87" s="11"/>
      <c r="C87" s="11" t="s">
        <v>111</v>
      </c>
      <c r="E87" s="6">
        <v>12504641</v>
      </c>
      <c r="G87" s="6">
        <v>0</v>
      </c>
      <c r="I87" s="6">
        <v>0</v>
      </c>
      <c r="K87" s="6">
        <v>0</v>
      </c>
      <c r="M87" s="6">
        <v>1221951</v>
      </c>
      <c r="O87" s="6">
        <v>0</v>
      </c>
      <c r="Q87" s="7">
        <f t="shared" si="9"/>
        <v>13726592</v>
      </c>
      <c r="S87" s="6">
        <v>358912</v>
      </c>
      <c r="T87" s="6">
        <f>+'St of Net Assets - GA'!M87-'Long Term Liab - GA'!S87</f>
        <v>0</v>
      </c>
    </row>
    <row r="88" spans="1:20">
      <c r="A88" s="11" t="s">
        <v>752</v>
      </c>
      <c r="B88" s="11"/>
      <c r="C88" s="11" t="s">
        <v>52</v>
      </c>
      <c r="E88" s="6">
        <v>0</v>
      </c>
      <c r="G88" s="6">
        <v>0</v>
      </c>
      <c r="I88" s="6">
        <v>0</v>
      </c>
      <c r="K88" s="6">
        <v>2946</v>
      </c>
      <c r="M88" s="6">
        <v>10812</v>
      </c>
      <c r="O88" s="6">
        <v>0</v>
      </c>
      <c r="Q88" s="7">
        <f t="shared" ref="Q88:Q141" si="10">SUM(E88:P88)</f>
        <v>13758</v>
      </c>
      <c r="S88" s="6">
        <v>13758</v>
      </c>
      <c r="T88" s="6">
        <f>+'St of Net Assets - GA'!M88-'Long Term Liab - GA'!S88</f>
        <v>0</v>
      </c>
    </row>
    <row r="89" spans="1:20">
      <c r="A89" s="11" t="s">
        <v>319</v>
      </c>
      <c r="B89" s="11"/>
      <c r="C89" s="11" t="s">
        <v>31</v>
      </c>
      <c r="E89" s="6">
        <v>5573866</v>
      </c>
      <c r="G89" s="6">
        <v>0</v>
      </c>
      <c r="I89" s="6">
        <v>0</v>
      </c>
      <c r="K89" s="6">
        <v>14012</v>
      </c>
      <c r="M89" s="6">
        <v>1388053</v>
      </c>
      <c r="O89" s="6">
        <v>0</v>
      </c>
      <c r="Q89" s="7">
        <f t="shared" si="10"/>
        <v>6975931</v>
      </c>
      <c r="S89" s="6">
        <v>534684</v>
      </c>
      <c r="T89" s="6">
        <f>+'St of Net Assets - GA'!M89-'Long Term Liab - GA'!S89</f>
        <v>0</v>
      </c>
    </row>
    <row r="90" spans="1:20">
      <c r="A90" s="11" t="s">
        <v>647</v>
      </c>
      <c r="B90" s="11"/>
      <c r="C90" s="11" t="s">
        <v>45</v>
      </c>
      <c r="E90" s="6">
        <v>1913661</v>
      </c>
      <c r="G90" s="6">
        <v>0</v>
      </c>
      <c r="I90" s="6">
        <v>0</v>
      </c>
      <c r="K90" s="6">
        <v>1947000</v>
      </c>
      <c r="M90" s="6">
        <v>661275</v>
      </c>
      <c r="O90" s="6">
        <v>0</v>
      </c>
      <c r="Q90" s="7">
        <f t="shared" si="10"/>
        <v>4521936</v>
      </c>
      <c r="S90" s="6">
        <v>349413</v>
      </c>
      <c r="T90" s="6">
        <f>+'St of Net Assets - GA'!M90-'Long Term Liab - GA'!S90</f>
        <v>0</v>
      </c>
    </row>
    <row r="91" spans="1:20">
      <c r="A91" s="11" t="s">
        <v>300</v>
      </c>
      <c r="B91" s="11"/>
      <c r="C91" s="11" t="s">
        <v>27</v>
      </c>
      <c r="E91" s="6">
        <f>62502315+4529752-1569086</f>
        <v>65462981</v>
      </c>
      <c r="G91" s="6">
        <v>0</v>
      </c>
      <c r="I91" s="6">
        <v>2184257</v>
      </c>
      <c r="K91" s="6">
        <v>115525</v>
      </c>
      <c r="M91" s="6">
        <v>747548</v>
      </c>
      <c r="O91" s="6">
        <v>1030887</v>
      </c>
      <c r="Q91" s="7">
        <f t="shared" si="10"/>
        <v>69541198</v>
      </c>
      <c r="S91" s="6">
        <v>2001174</v>
      </c>
      <c r="T91" s="6">
        <f>+'St of Net Assets - GA'!M91-'Long Term Liab - GA'!S91</f>
        <v>0</v>
      </c>
    </row>
    <row r="92" spans="1:20">
      <c r="A92" s="11" t="s">
        <v>403</v>
      </c>
      <c r="B92" s="11"/>
      <c r="C92" s="11" t="s">
        <v>45</v>
      </c>
      <c r="E92" s="6">
        <f>40000+106694</f>
        <v>146694</v>
      </c>
      <c r="G92" s="6">
        <v>0</v>
      </c>
      <c r="I92" s="6">
        <v>840000</v>
      </c>
      <c r="K92" s="6">
        <v>0</v>
      </c>
      <c r="M92" s="6">
        <v>2885497</v>
      </c>
      <c r="O92" s="6">
        <v>0</v>
      </c>
      <c r="Q92" s="7">
        <f t="shared" si="10"/>
        <v>3872191</v>
      </c>
      <c r="S92" s="6">
        <v>211501</v>
      </c>
      <c r="T92" s="6">
        <f>+'St of Net Assets - GA'!M92-'Long Term Liab - GA'!S92</f>
        <v>0</v>
      </c>
    </row>
    <row r="93" spans="1:20">
      <c r="A93" s="11" t="s">
        <v>494</v>
      </c>
      <c r="B93" s="11"/>
      <c r="C93" s="11" t="s">
        <v>62</v>
      </c>
      <c r="E93" s="6">
        <f>43885000+6729000+1657000-1415000</f>
        <v>50856000</v>
      </c>
      <c r="G93" s="6">
        <v>0</v>
      </c>
      <c r="I93" s="6">
        <v>730000</v>
      </c>
      <c r="K93" s="6">
        <v>453000</v>
      </c>
      <c r="M93" s="6">
        <v>5249000</v>
      </c>
      <c r="O93" s="6">
        <v>4001000</v>
      </c>
      <c r="Q93" s="7">
        <f>SUM(E93:P93)</f>
        <v>61289000</v>
      </c>
      <c r="S93" s="6">
        <v>2847000</v>
      </c>
      <c r="T93" s="6">
        <f>+'St of Net Assets - GA'!M93-'Long Term Liab - GA'!S93</f>
        <v>0</v>
      </c>
    </row>
    <row r="94" spans="1:20">
      <c r="A94" s="11" t="s">
        <v>495</v>
      </c>
      <c r="B94" s="11"/>
      <c r="C94" s="11" t="s">
        <v>62</v>
      </c>
      <c r="E94" s="6">
        <v>0</v>
      </c>
      <c r="G94" s="6">
        <v>81716</v>
      </c>
      <c r="I94" s="6">
        <f>650131+100000</f>
        <v>750131</v>
      </c>
      <c r="K94" s="6">
        <v>1062638</v>
      </c>
      <c r="M94" s="6">
        <v>2370713</v>
      </c>
      <c r="O94" s="6">
        <v>9540</v>
      </c>
      <c r="Q94" s="7">
        <f t="shared" si="10"/>
        <v>4274738</v>
      </c>
      <c r="S94" s="6">
        <v>605634</v>
      </c>
      <c r="T94" s="6">
        <f>+'St of Net Assets - GA'!M94-'Long Term Liab - GA'!S94</f>
        <v>0</v>
      </c>
    </row>
    <row r="95" spans="1:20">
      <c r="A95" s="11" t="s">
        <v>648</v>
      </c>
      <c r="B95" s="11"/>
      <c r="C95" s="11" t="s">
        <v>30</v>
      </c>
      <c r="E95" s="6">
        <f>9240266+940000</f>
        <v>10180266</v>
      </c>
      <c r="G95" s="6">
        <v>0</v>
      </c>
      <c r="I95" s="6">
        <v>0</v>
      </c>
      <c r="K95" s="6">
        <v>0</v>
      </c>
      <c r="M95" s="6">
        <v>889175</v>
      </c>
      <c r="O95" s="6">
        <v>0</v>
      </c>
      <c r="Q95" s="7">
        <f t="shared" si="10"/>
        <v>11069441</v>
      </c>
      <c r="S95" s="6">
        <v>572634</v>
      </c>
      <c r="T95" s="6">
        <f>+'St of Net Assets - GA'!M95-'Long Term Liab - GA'!S95</f>
        <v>0</v>
      </c>
    </row>
    <row r="96" spans="1:20">
      <c r="A96" s="11" t="s">
        <v>441</v>
      </c>
      <c r="B96" s="11"/>
      <c r="C96" s="11" t="s">
        <v>78</v>
      </c>
      <c r="E96" s="6">
        <v>4218363</v>
      </c>
      <c r="G96" s="6">
        <v>0</v>
      </c>
      <c r="I96" s="6">
        <v>0</v>
      </c>
      <c r="K96" s="6">
        <v>0</v>
      </c>
      <c r="M96" s="6">
        <v>755010</v>
      </c>
      <c r="O96" s="6">
        <v>0</v>
      </c>
      <c r="Q96" s="7">
        <f>SUM(E96:P96)</f>
        <v>4973373</v>
      </c>
      <c r="S96" s="6">
        <v>506021</v>
      </c>
      <c r="T96" s="6">
        <f>+'St of Net Assets - GA'!M96-'Long Term Liab - GA'!S96</f>
        <v>0</v>
      </c>
    </row>
    <row r="97" spans="1:20" hidden="1">
      <c r="A97" s="11" t="s">
        <v>867</v>
      </c>
      <c r="B97" s="11"/>
      <c r="C97" s="11" t="s">
        <v>558</v>
      </c>
      <c r="Q97" s="7">
        <f t="shared" si="10"/>
        <v>0</v>
      </c>
      <c r="T97" s="6">
        <f>+'St of Net Assets - GA'!M97-'Long Term Liab - GA'!S97</f>
        <v>0</v>
      </c>
    </row>
    <row r="98" spans="1:20">
      <c r="A98" s="11" t="s">
        <v>543</v>
      </c>
      <c r="B98" s="11"/>
      <c r="C98" s="11" t="s">
        <v>69</v>
      </c>
      <c r="E98" s="6">
        <v>0</v>
      </c>
      <c r="G98" s="6">
        <v>0</v>
      </c>
      <c r="I98" s="6">
        <v>85316</v>
      </c>
      <c r="K98" s="6">
        <v>0</v>
      </c>
      <c r="M98" s="6">
        <v>712910</v>
      </c>
      <c r="O98" s="6">
        <v>0</v>
      </c>
      <c r="Q98" s="7">
        <f t="shared" si="10"/>
        <v>798226</v>
      </c>
      <c r="S98" s="6">
        <v>158160</v>
      </c>
      <c r="T98" s="6">
        <f>+'St of Net Assets - GA'!M98-'Long Term Liab - GA'!S98</f>
        <v>0</v>
      </c>
    </row>
    <row r="99" spans="1:20" s="28" customFormat="1">
      <c r="A99" s="27" t="s">
        <v>753</v>
      </c>
      <c r="B99" s="27"/>
      <c r="C99" s="27" t="s">
        <v>16</v>
      </c>
      <c r="E99" s="28">
        <v>500000</v>
      </c>
      <c r="G99" s="28">
        <v>0</v>
      </c>
      <c r="I99" s="28">
        <v>0</v>
      </c>
      <c r="K99" s="28">
        <v>0</v>
      </c>
      <c r="M99" s="28">
        <v>1432931</v>
      </c>
      <c r="O99" s="28">
        <v>0</v>
      </c>
      <c r="Q99" s="32">
        <f t="shared" si="10"/>
        <v>1932931</v>
      </c>
      <c r="S99" s="28">
        <v>169928</v>
      </c>
      <c r="T99" s="28">
        <f>+'St of Net Assets - GA'!M99-'Long Term Liab - GA'!S99</f>
        <v>0</v>
      </c>
    </row>
    <row r="100" spans="1:20">
      <c r="A100" s="11" t="s">
        <v>649</v>
      </c>
      <c r="B100" s="11"/>
      <c r="C100" s="11" t="s">
        <v>114</v>
      </c>
      <c r="E100" s="6">
        <f>7910000+3440000</f>
        <v>11350000</v>
      </c>
      <c r="G100" s="6">
        <v>0</v>
      </c>
      <c r="I100" s="6">
        <v>0</v>
      </c>
      <c r="K100" s="6">
        <v>2240000</v>
      </c>
      <c r="M100" s="6">
        <v>442266</v>
      </c>
      <c r="O100" s="6">
        <v>0</v>
      </c>
      <c r="Q100" s="7">
        <f t="shared" si="10"/>
        <v>14032266</v>
      </c>
      <c r="S100" s="6">
        <v>35000</v>
      </c>
      <c r="T100" s="6">
        <f>+'St of Net Assets - GA'!M100-'Long Term Liab - GA'!S100</f>
        <v>0</v>
      </c>
    </row>
    <row r="101" spans="1:20" hidden="1">
      <c r="A101" s="11" t="s">
        <v>618</v>
      </c>
      <c r="B101" s="11"/>
      <c r="C101" s="11" t="s">
        <v>422</v>
      </c>
      <c r="Q101" s="7">
        <f t="shared" ref="Q101" si="11">SUM(E101:P101)</f>
        <v>0</v>
      </c>
      <c r="T101" s="6">
        <f>+'St of Net Assets - GA'!M101-'Long Term Liab - GA'!S101</f>
        <v>0</v>
      </c>
    </row>
    <row r="102" spans="1:20" hidden="1">
      <c r="A102" s="11" t="s">
        <v>868</v>
      </c>
      <c r="B102" s="11"/>
      <c r="C102" s="11" t="s">
        <v>40</v>
      </c>
      <c r="E102" s="6">
        <v>0</v>
      </c>
      <c r="G102" s="6">
        <v>0</v>
      </c>
      <c r="I102" s="6">
        <v>0</v>
      </c>
      <c r="K102" s="6">
        <v>0</v>
      </c>
      <c r="M102" s="6">
        <v>0</v>
      </c>
      <c r="O102" s="6">
        <v>0</v>
      </c>
      <c r="Q102" s="7">
        <f t="shared" si="10"/>
        <v>0</v>
      </c>
      <c r="T102" s="6">
        <f>+'St of Net Assets - GA'!M102-'Long Term Liab - GA'!S102</f>
        <v>0</v>
      </c>
    </row>
    <row r="103" spans="1:20">
      <c r="A103" s="11" t="s">
        <v>650</v>
      </c>
      <c r="B103" s="11"/>
      <c r="C103" s="11" t="s">
        <v>50</v>
      </c>
      <c r="E103" s="6">
        <v>60593399</v>
      </c>
      <c r="G103" s="6">
        <v>0</v>
      </c>
      <c r="I103" s="6">
        <v>0</v>
      </c>
      <c r="K103" s="6">
        <v>0</v>
      </c>
      <c r="M103" s="6">
        <v>2432111</v>
      </c>
      <c r="O103" s="6">
        <v>0</v>
      </c>
      <c r="Q103" s="7">
        <f t="shared" si="10"/>
        <v>63025510</v>
      </c>
      <c r="S103" s="6">
        <v>5479779</v>
      </c>
      <c r="T103" s="6">
        <f>+'St of Net Assets - GA'!M103-'Long Term Liab - GA'!S103</f>
        <v>0</v>
      </c>
    </row>
    <row r="104" spans="1:20" hidden="1">
      <c r="A104" s="11" t="s">
        <v>736</v>
      </c>
      <c r="B104" s="11"/>
      <c r="C104" s="11" t="s">
        <v>22</v>
      </c>
      <c r="Q104" s="7">
        <f t="shared" si="10"/>
        <v>0</v>
      </c>
      <c r="T104" s="6">
        <f>+'St of Net Assets - GA'!M104-'Long Term Liab - GA'!S104</f>
        <v>0</v>
      </c>
    </row>
    <row r="105" spans="1:20">
      <c r="A105" s="11" t="s">
        <v>754</v>
      </c>
      <c r="B105" s="11"/>
      <c r="C105" s="11" t="s">
        <v>20</v>
      </c>
      <c r="E105" s="6">
        <v>26537792</v>
      </c>
      <c r="G105" s="6">
        <v>0</v>
      </c>
      <c r="I105" s="6">
        <v>0</v>
      </c>
      <c r="K105" s="6">
        <v>65760</v>
      </c>
      <c r="M105" s="6">
        <v>1457344</v>
      </c>
      <c r="O105" s="6">
        <v>0</v>
      </c>
      <c r="Q105" s="7">
        <f t="shared" si="10"/>
        <v>28060896</v>
      </c>
      <c r="S105" s="6">
        <v>1535867</v>
      </c>
      <c r="T105" s="6">
        <f>+'St of Net Assets - GA'!M105-'Long Term Liab - GA'!S105</f>
        <v>0</v>
      </c>
    </row>
    <row r="106" spans="1:20">
      <c r="A106" s="11" t="s">
        <v>520</v>
      </c>
      <c r="B106" s="11"/>
      <c r="C106" s="11" t="s">
        <v>64</v>
      </c>
      <c r="E106" s="6">
        <f>500000+990000</f>
        <v>1490000</v>
      </c>
      <c r="G106" s="6">
        <v>0</v>
      </c>
      <c r="I106" s="6">
        <v>13466</v>
      </c>
      <c r="K106" s="6">
        <v>802002</v>
      </c>
      <c r="M106" s="6">
        <v>666834</v>
      </c>
      <c r="O106" s="6">
        <v>0</v>
      </c>
      <c r="Q106" s="7">
        <f t="shared" si="10"/>
        <v>2972302</v>
      </c>
      <c r="S106" s="6">
        <v>341682</v>
      </c>
      <c r="T106" s="6">
        <f>+'St of Net Assets - GA'!M106-'Long Term Liab - GA'!S106</f>
        <v>0</v>
      </c>
    </row>
    <row r="107" spans="1:20" hidden="1">
      <c r="A107" s="11" t="s">
        <v>737</v>
      </c>
      <c r="B107" s="11"/>
      <c r="C107" s="11" t="s">
        <v>30</v>
      </c>
      <c r="Q107" s="7">
        <f t="shared" si="10"/>
        <v>0</v>
      </c>
      <c r="T107" s="6">
        <f>+'St of Net Assets - GA'!M107-'Long Term Liab - GA'!S107</f>
        <v>0</v>
      </c>
    </row>
    <row r="108" spans="1:20">
      <c r="A108" s="11" t="s">
        <v>755</v>
      </c>
      <c r="B108" s="11"/>
      <c r="C108" s="11" t="s">
        <v>366</v>
      </c>
      <c r="E108" s="6">
        <v>1448532</v>
      </c>
      <c r="G108" s="6">
        <v>0</v>
      </c>
      <c r="I108" s="6">
        <v>0</v>
      </c>
      <c r="K108" s="6">
        <v>10684</v>
      </c>
      <c r="M108" s="6">
        <v>503945</v>
      </c>
      <c r="O108" s="6">
        <v>307441</v>
      </c>
      <c r="Q108" s="7">
        <f t="shared" si="10"/>
        <v>2270602</v>
      </c>
      <c r="S108" s="6">
        <v>323605</v>
      </c>
      <c r="T108" s="6">
        <f>+'St of Net Assets - GA'!M108-'Long Term Liab - GA'!S108</f>
        <v>0</v>
      </c>
    </row>
    <row r="109" spans="1:20">
      <c r="A109" s="11" t="s">
        <v>473</v>
      </c>
      <c r="B109" s="11"/>
      <c r="C109" s="11" t="s">
        <v>58</v>
      </c>
      <c r="E109" s="6">
        <v>32188977</v>
      </c>
      <c r="G109" s="6">
        <v>0</v>
      </c>
      <c r="I109" s="6">
        <v>215000</v>
      </c>
      <c r="K109" s="6">
        <v>0</v>
      </c>
      <c r="M109" s="6">
        <v>2365937</v>
      </c>
      <c r="O109" s="6">
        <v>0</v>
      </c>
      <c r="Q109" s="7">
        <f t="shared" si="10"/>
        <v>34769914</v>
      </c>
      <c r="S109" s="6">
        <v>834461</v>
      </c>
      <c r="T109" s="6">
        <f>+'St of Net Assets - GA'!M109-'Long Term Liab - GA'!S109</f>
        <v>0</v>
      </c>
    </row>
    <row r="110" spans="1:20">
      <c r="A110" s="11" t="s">
        <v>551</v>
      </c>
      <c r="B110" s="11"/>
      <c r="C110" s="11" t="s">
        <v>71</v>
      </c>
      <c r="E110" s="6">
        <v>0</v>
      </c>
      <c r="G110" s="6">
        <v>0</v>
      </c>
      <c r="I110" s="6">
        <v>0</v>
      </c>
      <c r="K110" s="6">
        <v>0</v>
      </c>
      <c r="M110" s="6">
        <v>575404</v>
      </c>
      <c r="O110" s="6">
        <v>0</v>
      </c>
      <c r="Q110" s="7">
        <f t="shared" si="10"/>
        <v>575404</v>
      </c>
      <c r="S110" s="6">
        <v>103651</v>
      </c>
      <c r="T110" s="6">
        <f>+'St of Net Assets - GA'!M110-'Long Term Liab - GA'!S110</f>
        <v>0</v>
      </c>
    </row>
    <row r="111" spans="1:20">
      <c r="A111" s="11" t="s">
        <v>652</v>
      </c>
      <c r="B111" s="11"/>
      <c r="C111" s="11" t="s">
        <v>32</v>
      </c>
      <c r="E111" s="6">
        <v>636566647</v>
      </c>
      <c r="G111" s="6">
        <v>0</v>
      </c>
      <c r="I111" s="6">
        <v>0</v>
      </c>
      <c r="K111" s="6">
        <v>106715000</v>
      </c>
      <c r="M111" s="6">
        <v>54472945</v>
      </c>
      <c r="O111" s="6">
        <v>0</v>
      </c>
      <c r="Q111" s="7">
        <f t="shared" si="10"/>
        <v>797754592</v>
      </c>
      <c r="S111" s="6">
        <v>41201840</v>
      </c>
      <c r="T111" s="6">
        <f>+'St of Net Assets - GA'!M111-'Long Term Liab - GA'!S111</f>
        <v>0</v>
      </c>
    </row>
    <row r="112" spans="1:20">
      <c r="A112" s="11" t="s">
        <v>452</v>
      </c>
      <c r="B112" s="11"/>
      <c r="C112" s="11" t="s">
        <v>54</v>
      </c>
      <c r="E112" s="6">
        <f>37893750+993249</f>
        <v>38886999</v>
      </c>
      <c r="G112" s="6">
        <v>0</v>
      </c>
      <c r="I112" s="6">
        <v>279000</v>
      </c>
      <c r="K112" s="6">
        <v>169586</v>
      </c>
      <c r="M112" s="6">
        <v>1540529</v>
      </c>
      <c r="O112" s="6">
        <v>7000000</v>
      </c>
      <c r="Q112" s="7">
        <f t="shared" si="10"/>
        <v>47876114</v>
      </c>
      <c r="S112" s="6">
        <v>822238</v>
      </c>
      <c r="T112" s="6">
        <f>+'St of Net Assets - GA'!M112-'Long Term Liab - GA'!S112</f>
        <v>0</v>
      </c>
    </row>
    <row r="113" spans="1:20">
      <c r="A113" s="11" t="s">
        <v>231</v>
      </c>
      <c r="B113" s="11"/>
      <c r="C113" s="11" t="s">
        <v>17</v>
      </c>
      <c r="E113" s="6">
        <v>0</v>
      </c>
      <c r="G113" s="6">
        <v>0</v>
      </c>
      <c r="I113" s="6">
        <v>0</v>
      </c>
      <c r="K113" s="6">
        <v>1359</v>
      </c>
      <c r="M113" s="6">
        <v>1330093</v>
      </c>
      <c r="O113" s="6">
        <v>0</v>
      </c>
      <c r="Q113" s="7">
        <f t="shared" si="10"/>
        <v>1331452</v>
      </c>
      <c r="S113" s="6">
        <v>57142</v>
      </c>
      <c r="T113" s="6">
        <f>+'St of Net Assets - GA'!M113-'Long Term Liab - GA'!S113</f>
        <v>0</v>
      </c>
    </row>
    <row r="114" spans="1:20">
      <c r="A114" s="11" t="s">
        <v>480</v>
      </c>
      <c r="B114" s="11"/>
      <c r="C114" s="11" t="s">
        <v>59</v>
      </c>
      <c r="E114" s="6">
        <v>5406504</v>
      </c>
      <c r="G114" s="6">
        <v>160024</v>
      </c>
      <c r="I114" s="6">
        <v>0</v>
      </c>
      <c r="K114" s="6">
        <v>65000</v>
      </c>
      <c r="M114" s="6">
        <v>408930</v>
      </c>
      <c r="O114" s="6">
        <v>0</v>
      </c>
      <c r="Q114" s="7">
        <f t="shared" si="10"/>
        <v>6040458</v>
      </c>
      <c r="S114" s="6">
        <v>213224</v>
      </c>
      <c r="T114" s="6">
        <f>+'St of Net Assets - GA'!M114-'Long Term Liab - GA'!S114</f>
        <v>0</v>
      </c>
    </row>
    <row r="115" spans="1:20">
      <c r="A115" s="11" t="s">
        <v>533</v>
      </c>
      <c r="B115" s="11"/>
      <c r="C115" s="11" t="s">
        <v>65</v>
      </c>
      <c r="E115" s="6">
        <f>2885536+372043-254054</f>
        <v>3003525</v>
      </c>
      <c r="G115" s="6">
        <v>0</v>
      </c>
      <c r="I115" s="6">
        <v>0</v>
      </c>
      <c r="K115" s="6">
        <v>116284</v>
      </c>
      <c r="M115" s="6">
        <v>1375893</v>
      </c>
      <c r="O115" s="6">
        <v>0</v>
      </c>
      <c r="Q115" s="7">
        <f t="shared" si="10"/>
        <v>4495702</v>
      </c>
      <c r="S115" s="6">
        <v>575090</v>
      </c>
      <c r="T115" s="6">
        <f>+'St of Net Assets - GA'!M115-'Long Term Liab - GA'!S115</f>
        <v>0</v>
      </c>
    </row>
    <row r="116" spans="1:20">
      <c r="A116" s="11" t="s">
        <v>468</v>
      </c>
      <c r="B116" s="11"/>
      <c r="C116" s="11" t="s">
        <v>110</v>
      </c>
      <c r="E116" s="6">
        <f>6309440+340995-268158</f>
        <v>6382277</v>
      </c>
      <c r="G116" s="6">
        <v>0</v>
      </c>
      <c r="I116" s="6">
        <v>0</v>
      </c>
      <c r="K116" s="6">
        <v>0</v>
      </c>
      <c r="M116" s="6">
        <v>794766</v>
      </c>
      <c r="O116" s="6">
        <v>0</v>
      </c>
      <c r="Q116" s="7">
        <f t="shared" si="10"/>
        <v>7177043</v>
      </c>
      <c r="S116" s="6">
        <v>526046</v>
      </c>
      <c r="T116" s="6">
        <f>+'St of Net Assets - GA'!M116-'Long Term Liab - GA'!S116</f>
        <v>0</v>
      </c>
    </row>
    <row r="117" spans="1:20">
      <c r="A117" s="11" t="s">
        <v>382</v>
      </c>
      <c r="B117" s="11"/>
      <c r="C117" s="11" t="s">
        <v>44</v>
      </c>
      <c r="E117" s="6">
        <f>4239999+8780</f>
        <v>4248779</v>
      </c>
      <c r="G117" s="6">
        <v>122991</v>
      </c>
      <c r="I117" s="6">
        <v>0</v>
      </c>
      <c r="K117" s="6">
        <v>0</v>
      </c>
      <c r="M117" s="6">
        <v>1380898</v>
      </c>
      <c r="O117" s="6">
        <v>0</v>
      </c>
      <c r="Q117" s="7">
        <f t="shared" si="10"/>
        <v>5752668</v>
      </c>
      <c r="S117" s="6">
        <v>465193</v>
      </c>
      <c r="T117" s="6">
        <f>+'St of Net Assets - GA'!M117-'Long Term Liab - GA'!S117</f>
        <v>0</v>
      </c>
    </row>
    <row r="118" spans="1:20">
      <c r="A118" s="11" t="s">
        <v>653</v>
      </c>
      <c r="B118" s="11"/>
      <c r="C118" s="11" t="s">
        <v>113</v>
      </c>
      <c r="E118" s="6">
        <v>498594</v>
      </c>
      <c r="G118" s="6">
        <v>0</v>
      </c>
      <c r="I118" s="6">
        <v>0</v>
      </c>
      <c r="K118" s="6">
        <v>0</v>
      </c>
      <c r="M118" s="6">
        <v>879272</v>
      </c>
      <c r="O118" s="6">
        <v>0</v>
      </c>
      <c r="Q118" s="7">
        <f t="shared" si="10"/>
        <v>1377866</v>
      </c>
      <c r="S118" s="6">
        <v>294002</v>
      </c>
      <c r="T118" s="6">
        <f>+'St of Net Assets - GA'!M118-'Long Term Liab - GA'!S118</f>
        <v>0</v>
      </c>
    </row>
    <row r="119" spans="1:20">
      <c r="A119" s="11" t="s">
        <v>651</v>
      </c>
      <c r="B119" s="11"/>
      <c r="C119" s="11" t="s">
        <v>20</v>
      </c>
      <c r="E119" s="6">
        <f>1295000+7160000+5500000</f>
        <v>13955000</v>
      </c>
      <c r="G119" s="6">
        <v>0</v>
      </c>
      <c r="I119" s="6">
        <v>0</v>
      </c>
      <c r="K119" s="6">
        <v>758514</v>
      </c>
      <c r="M119" s="6">
        <v>6067503</v>
      </c>
      <c r="O119" s="6">
        <v>114500</v>
      </c>
      <c r="Q119" s="7">
        <f t="shared" si="10"/>
        <v>20895517</v>
      </c>
      <c r="S119" s="6">
        <v>1911435</v>
      </c>
      <c r="T119" s="6">
        <f>+'St of Net Assets - GA'!M119-'Long Term Liab - GA'!S119</f>
        <v>0</v>
      </c>
    </row>
    <row r="120" spans="1:20">
      <c r="A120" s="11" t="s">
        <v>265</v>
      </c>
      <c r="B120" s="11"/>
      <c r="C120" s="11" t="s">
        <v>20</v>
      </c>
      <c r="E120" s="6">
        <f>21250000+171402209-4518566</f>
        <v>188133643</v>
      </c>
      <c r="G120" s="6">
        <v>0</v>
      </c>
      <c r="I120" s="6">
        <v>4518566</v>
      </c>
      <c r="K120" s="6">
        <v>0</v>
      </c>
      <c r="M120" s="6">
        <v>37335058</v>
      </c>
      <c r="O120" s="6">
        <v>7493345</v>
      </c>
      <c r="Q120" s="7">
        <f t="shared" si="10"/>
        <v>237480612</v>
      </c>
      <c r="S120" s="6">
        <v>11902538</v>
      </c>
      <c r="T120" s="6">
        <f>+'St of Net Assets - GA'!M120-'Long Term Liab - GA'!S120</f>
        <v>0</v>
      </c>
    </row>
    <row r="121" spans="1:20">
      <c r="A121" s="11" t="s">
        <v>243</v>
      </c>
      <c r="B121" s="11"/>
      <c r="C121" s="11" t="s">
        <v>18</v>
      </c>
      <c r="E121" s="6">
        <f>262502+420000+6715000+274995+40697+479084-325493</f>
        <v>7866785</v>
      </c>
      <c r="G121" s="6">
        <v>0</v>
      </c>
      <c r="I121" s="6">
        <v>0</v>
      </c>
      <c r="K121" s="6">
        <v>658752</v>
      </c>
      <c r="M121" s="6">
        <v>857246</v>
      </c>
      <c r="O121" s="6">
        <v>0</v>
      </c>
      <c r="Q121" s="7">
        <f t="shared" si="10"/>
        <v>9382783</v>
      </c>
      <c r="S121" s="6">
        <v>755660</v>
      </c>
      <c r="T121" s="6">
        <f>+'St of Net Assets - GA'!M121-'Long Term Liab - GA'!S121</f>
        <v>0</v>
      </c>
    </row>
    <row r="122" spans="1:20">
      <c r="A122" s="11" t="s">
        <v>416</v>
      </c>
      <c r="B122" s="11"/>
      <c r="C122" s="11" t="s">
        <v>47</v>
      </c>
      <c r="E122" s="6">
        <v>0</v>
      </c>
      <c r="G122" s="6">
        <v>0</v>
      </c>
      <c r="I122" s="6">
        <v>0</v>
      </c>
      <c r="K122" s="6">
        <v>0</v>
      </c>
      <c r="M122" s="6">
        <v>2383846</v>
      </c>
      <c r="O122" s="6">
        <f>3845000+21815000+1140000-619269</f>
        <v>26180731</v>
      </c>
      <c r="Q122" s="7">
        <f t="shared" si="10"/>
        <v>28564577</v>
      </c>
      <c r="S122" s="6">
        <v>484218</v>
      </c>
      <c r="T122" s="6">
        <f>+'St of Net Assets - GA'!M122-'Long Term Liab - GA'!S122</f>
        <v>0</v>
      </c>
    </row>
    <row r="123" spans="1:20">
      <c r="A123" s="11" t="s">
        <v>756</v>
      </c>
      <c r="B123" s="11"/>
      <c r="C123" s="11" t="s">
        <v>79</v>
      </c>
      <c r="E123" s="6">
        <f>24791966+979331-141004</f>
        <v>25630293</v>
      </c>
      <c r="G123" s="6">
        <v>0</v>
      </c>
      <c r="I123" s="6">
        <v>0</v>
      </c>
      <c r="K123" s="6">
        <v>1472547</v>
      </c>
      <c r="M123" s="6">
        <v>1781328</v>
      </c>
      <c r="O123" s="6">
        <v>0</v>
      </c>
      <c r="Q123" s="7">
        <f t="shared" si="10"/>
        <v>28884168</v>
      </c>
      <c r="S123" s="6">
        <v>1221765</v>
      </c>
      <c r="T123" s="6">
        <f>+'St of Net Assets - GA'!M123-'Long Term Liab - GA'!S123</f>
        <v>0</v>
      </c>
    </row>
    <row r="124" spans="1:20" hidden="1">
      <c r="A124" s="11" t="s">
        <v>654</v>
      </c>
      <c r="B124" s="11"/>
      <c r="C124" s="11" t="s">
        <v>422</v>
      </c>
      <c r="Q124" s="7">
        <f t="shared" si="10"/>
        <v>0</v>
      </c>
      <c r="T124" s="6">
        <f>+'St of Net Assets - GA'!M124-'Long Term Liab - GA'!S124</f>
        <v>0</v>
      </c>
    </row>
    <row r="125" spans="1:20" hidden="1">
      <c r="A125" s="11" t="s">
        <v>610</v>
      </c>
      <c r="B125" s="11"/>
      <c r="C125" s="11" t="s">
        <v>57</v>
      </c>
      <c r="Q125" s="7">
        <f>SUM(E125:P125)</f>
        <v>0</v>
      </c>
      <c r="T125" s="6">
        <f>+'St of Net Assets - GA'!M125-'Long Term Liab - GA'!S125</f>
        <v>0</v>
      </c>
    </row>
    <row r="126" spans="1:20">
      <c r="A126" s="11" t="s">
        <v>258</v>
      </c>
      <c r="B126" s="11"/>
      <c r="C126" s="11" t="s">
        <v>111</v>
      </c>
      <c r="E126" s="6">
        <f>13099534+565459-331955</f>
        <v>13333038</v>
      </c>
      <c r="G126" s="6">
        <v>0</v>
      </c>
      <c r="I126" s="6">
        <v>0</v>
      </c>
      <c r="K126" s="6">
        <v>0</v>
      </c>
      <c r="M126" s="6">
        <v>456455</v>
      </c>
      <c r="O126" s="6">
        <v>97035</v>
      </c>
      <c r="Q126" s="7">
        <f t="shared" si="10"/>
        <v>13886528</v>
      </c>
      <c r="S126" s="6">
        <v>461283</v>
      </c>
      <c r="T126" s="6">
        <f>+'St of Net Assets - GA'!M126-'Long Term Liab - GA'!S126</f>
        <v>0</v>
      </c>
    </row>
    <row r="127" spans="1:20">
      <c r="A127" s="11" t="s">
        <v>383</v>
      </c>
      <c r="B127" s="11"/>
      <c r="C127" s="11" t="s">
        <v>44</v>
      </c>
      <c r="E127" s="6">
        <f>6004419+1086754+436534</f>
        <v>7527707</v>
      </c>
      <c r="G127" s="6">
        <v>0</v>
      </c>
      <c r="I127" s="6">
        <v>0</v>
      </c>
      <c r="K127" s="6">
        <v>70170</v>
      </c>
      <c r="M127" s="6">
        <v>861268</v>
      </c>
      <c r="O127" s="6">
        <v>0</v>
      </c>
      <c r="Q127" s="7">
        <f t="shared" si="10"/>
        <v>8459145</v>
      </c>
      <c r="S127" s="6">
        <v>365624</v>
      </c>
      <c r="T127" s="6">
        <f>+'St of Net Assets - GA'!M127-'Long Term Liab - GA'!S127</f>
        <v>0</v>
      </c>
    </row>
    <row r="128" spans="1:20">
      <c r="A128" s="11" t="s">
        <v>757</v>
      </c>
      <c r="B128" s="11"/>
      <c r="C128" s="11" t="s">
        <v>112</v>
      </c>
      <c r="E128" s="6">
        <v>900667</v>
      </c>
      <c r="G128" s="6">
        <v>77570</v>
      </c>
      <c r="I128" s="6">
        <v>0</v>
      </c>
      <c r="K128" s="6">
        <v>30970</v>
      </c>
      <c r="M128" s="6">
        <v>567476</v>
      </c>
      <c r="O128" s="6">
        <v>13592521</v>
      </c>
      <c r="Q128" s="7">
        <f t="shared" si="10"/>
        <v>15169204</v>
      </c>
      <c r="S128" s="6">
        <v>336447</v>
      </c>
      <c r="T128" s="6">
        <f>+'St of Net Assets - GA'!M128-'Long Term Liab - GA'!S128</f>
        <v>0</v>
      </c>
    </row>
    <row r="129" spans="1:20">
      <c r="A129" s="11" t="s">
        <v>301</v>
      </c>
      <c r="B129" s="11"/>
      <c r="C129" s="11" t="s">
        <v>27</v>
      </c>
      <c r="E129" s="6">
        <f>585356733-53536701-15719658</f>
        <v>516100374</v>
      </c>
      <c r="G129" s="6">
        <v>0</v>
      </c>
      <c r="I129" s="6">
        <v>0</v>
      </c>
      <c r="K129" s="6">
        <v>0</v>
      </c>
      <c r="M129" s="6">
        <v>56536701</v>
      </c>
      <c r="O129" s="6">
        <v>15719658</v>
      </c>
      <c r="Q129" s="7">
        <f t="shared" si="10"/>
        <v>588356733</v>
      </c>
      <c r="S129" s="6">
        <v>29611678</v>
      </c>
      <c r="T129" s="6">
        <f>+'St of Net Assets - GA'!M129-'Long Term Liab - GA'!S129</f>
        <v>0</v>
      </c>
    </row>
    <row r="130" spans="1:20" hidden="1">
      <c r="A130" s="11" t="s">
        <v>611</v>
      </c>
      <c r="B130" s="11"/>
      <c r="C130" s="11" t="s">
        <v>467</v>
      </c>
      <c r="Q130" s="7">
        <f t="shared" ref="Q130" si="12">SUM(E130:P130)</f>
        <v>0</v>
      </c>
      <c r="T130" s="6">
        <f>+'St of Net Assets - GA'!M130-'Long Term Liab - GA'!S130</f>
        <v>0</v>
      </c>
    </row>
    <row r="131" spans="1:20">
      <c r="A131" s="11" t="s">
        <v>207</v>
      </c>
      <c r="B131" s="11"/>
      <c r="C131" s="11" t="s">
        <v>12</v>
      </c>
      <c r="E131" s="6">
        <v>6015390</v>
      </c>
      <c r="G131" s="6">
        <v>224000</v>
      </c>
      <c r="I131" s="6">
        <v>0</v>
      </c>
      <c r="K131" s="6">
        <v>0</v>
      </c>
      <c r="M131" s="6">
        <v>1148653</v>
      </c>
      <c r="O131" s="6">
        <v>0</v>
      </c>
      <c r="Q131" s="7">
        <f t="shared" si="10"/>
        <v>7388043</v>
      </c>
      <c r="S131" s="6">
        <v>490259</v>
      </c>
      <c r="T131" s="6">
        <f>+'St of Net Assets - GA'!M131-'Long Term Liab - GA'!S131</f>
        <v>0</v>
      </c>
    </row>
    <row r="132" spans="1:20">
      <c r="A132" s="11" t="s">
        <v>342</v>
      </c>
      <c r="B132" s="11"/>
      <c r="C132" s="11" t="s">
        <v>343</v>
      </c>
      <c r="E132" s="6">
        <v>0</v>
      </c>
      <c r="G132" s="6">
        <v>0</v>
      </c>
      <c r="I132" s="6">
        <v>0</v>
      </c>
      <c r="K132" s="6">
        <v>14320</v>
      </c>
      <c r="M132" s="6">
        <v>184265</v>
      </c>
      <c r="O132" s="6">
        <v>0</v>
      </c>
      <c r="Q132" s="7">
        <f t="shared" si="10"/>
        <v>198585</v>
      </c>
      <c r="S132" s="6">
        <v>77263</v>
      </c>
      <c r="T132" s="6">
        <f>+'St of Net Assets - GA'!M132-'Long Term Liab - GA'!S132</f>
        <v>0</v>
      </c>
    </row>
    <row r="133" spans="1:20" hidden="1">
      <c r="A133" s="11" t="s">
        <v>676</v>
      </c>
      <c r="B133" s="11"/>
      <c r="C133" s="11" t="s">
        <v>467</v>
      </c>
      <c r="Q133" s="7">
        <f t="shared" si="10"/>
        <v>0</v>
      </c>
      <c r="T133" s="6">
        <f>+'St of Net Assets - GA'!M133-'Long Term Liab - GA'!S133</f>
        <v>0</v>
      </c>
    </row>
    <row r="134" spans="1:20">
      <c r="A134" s="11" t="s">
        <v>508</v>
      </c>
      <c r="B134" s="11"/>
      <c r="C134" s="11" t="s">
        <v>63</v>
      </c>
      <c r="E134" s="6">
        <v>2122431</v>
      </c>
      <c r="G134" s="6">
        <v>0</v>
      </c>
      <c r="I134" s="6">
        <v>577745</v>
      </c>
      <c r="K134" s="6">
        <v>80147</v>
      </c>
      <c r="M134" s="6">
        <v>1759019</v>
      </c>
      <c r="O134" s="6">
        <v>0</v>
      </c>
      <c r="Q134" s="7">
        <f t="shared" si="10"/>
        <v>4539342</v>
      </c>
      <c r="S134" s="6">
        <v>954408</v>
      </c>
      <c r="T134" s="6">
        <f>+'St of Net Assets - GA'!M134-'Long Term Liab - GA'!S134</f>
        <v>0</v>
      </c>
    </row>
    <row r="135" spans="1:20">
      <c r="A135" s="11" t="s">
        <v>336</v>
      </c>
      <c r="B135" s="11"/>
      <c r="C135" s="11" t="s">
        <v>33</v>
      </c>
      <c r="E135" s="6">
        <v>6195089</v>
      </c>
      <c r="G135" s="6">
        <v>76946</v>
      </c>
      <c r="I135" s="6">
        <v>0</v>
      </c>
      <c r="K135" s="6">
        <v>0</v>
      </c>
      <c r="M135" s="6">
        <v>552313</v>
      </c>
      <c r="O135" s="6">
        <v>0</v>
      </c>
      <c r="Q135" s="7">
        <f t="shared" si="10"/>
        <v>6824348</v>
      </c>
      <c r="S135" s="6">
        <v>202840</v>
      </c>
      <c r="T135" s="6">
        <f>+'St of Net Assets - GA'!M135-'Long Term Liab - GA'!S135</f>
        <v>0</v>
      </c>
    </row>
    <row r="136" spans="1:20">
      <c r="A136" s="11" t="s">
        <v>253</v>
      </c>
      <c r="B136" s="11"/>
      <c r="C136" s="11" t="s">
        <v>19</v>
      </c>
      <c r="E136" s="6">
        <v>9855962</v>
      </c>
      <c r="G136" s="6">
        <v>0</v>
      </c>
      <c r="I136" s="6">
        <v>0</v>
      </c>
      <c r="K136" s="6">
        <v>100821</v>
      </c>
      <c r="M136" s="6">
        <v>1611578</v>
      </c>
      <c r="O136" s="6">
        <v>0</v>
      </c>
      <c r="Q136" s="7">
        <f t="shared" si="10"/>
        <v>11568361</v>
      </c>
      <c r="S136" s="6">
        <v>519062</v>
      </c>
      <c r="T136" s="6">
        <f>+'St of Net Assets - GA'!M136-'Long Term Liab - GA'!S136</f>
        <v>0</v>
      </c>
    </row>
    <row r="137" spans="1:20">
      <c r="A137" s="11" t="s">
        <v>604</v>
      </c>
      <c r="B137" s="11"/>
      <c r="C137" s="11" t="s">
        <v>63</v>
      </c>
      <c r="E137" s="6">
        <v>615000</v>
      </c>
      <c r="G137" s="6">
        <v>968493</v>
      </c>
      <c r="I137" s="6">
        <v>1018876</v>
      </c>
      <c r="K137" s="6">
        <v>2813000</v>
      </c>
      <c r="M137" s="6">
        <v>1135146</v>
      </c>
      <c r="O137" s="6">
        <v>0</v>
      </c>
      <c r="Q137" s="7">
        <f t="shared" si="10"/>
        <v>6550515</v>
      </c>
      <c r="S137" s="6">
        <v>696648</v>
      </c>
      <c r="T137" s="6">
        <f>+'St of Net Assets - GA'!M137-'Long Term Liab - GA'!S137</f>
        <v>0</v>
      </c>
    </row>
    <row r="138" spans="1:20">
      <c r="A138" s="11" t="s">
        <v>758</v>
      </c>
      <c r="B138" s="11"/>
      <c r="C138" s="11" t="s">
        <v>48</v>
      </c>
      <c r="E138" s="6">
        <v>86085</v>
      </c>
      <c r="G138" s="6">
        <v>0</v>
      </c>
      <c r="I138" s="6">
        <v>99712</v>
      </c>
      <c r="K138" s="6">
        <v>0</v>
      </c>
      <c r="M138" s="6">
        <v>611668</v>
      </c>
      <c r="O138" s="6">
        <v>0</v>
      </c>
      <c r="Q138" s="7">
        <f t="shared" si="10"/>
        <v>797465</v>
      </c>
      <c r="S138" s="6">
        <v>91123</v>
      </c>
      <c r="T138" s="6">
        <f>+'St of Net Assets - GA'!M138-'Long Term Liab - GA'!S138</f>
        <v>0</v>
      </c>
    </row>
    <row r="139" spans="1:20" hidden="1">
      <c r="A139" s="11" t="s">
        <v>831</v>
      </c>
      <c r="B139" s="11"/>
      <c r="C139" s="11" t="s">
        <v>111</v>
      </c>
      <c r="Q139" s="7">
        <f t="shared" si="10"/>
        <v>0</v>
      </c>
      <c r="T139" s="6">
        <f>+'St of Net Assets - GA'!M139-'Long Term Liab - GA'!S139</f>
        <v>0</v>
      </c>
    </row>
    <row r="140" spans="1:20">
      <c r="A140" s="11" t="s">
        <v>247</v>
      </c>
      <c r="B140" s="11"/>
      <c r="C140" s="11" t="s">
        <v>112</v>
      </c>
      <c r="E140" s="6">
        <f>4552845+747265</f>
        <v>5300110</v>
      </c>
      <c r="G140" s="6">
        <v>0</v>
      </c>
      <c r="I140" s="6">
        <v>167620</v>
      </c>
      <c r="K140" s="6">
        <f>115000+260570</f>
        <v>375570</v>
      </c>
      <c r="M140" s="6">
        <v>333679</v>
      </c>
      <c r="O140" s="6">
        <v>0</v>
      </c>
      <c r="Q140" s="7">
        <f t="shared" si="10"/>
        <v>6176979</v>
      </c>
      <c r="S140" s="6">
        <v>684526</v>
      </c>
      <c r="T140" s="6">
        <f>+'St of Net Assets - GA'!M140-'Long Term Liab - GA'!S140</f>
        <v>0</v>
      </c>
    </row>
    <row r="141" spans="1:20">
      <c r="A141" s="11" t="s">
        <v>247</v>
      </c>
      <c r="B141" s="11"/>
      <c r="C141" s="11" t="s">
        <v>110</v>
      </c>
      <c r="E141" s="6">
        <f>2503370-52397</f>
        <v>2450973</v>
      </c>
      <c r="G141" s="6">
        <v>0</v>
      </c>
      <c r="I141" s="6">
        <v>0</v>
      </c>
      <c r="K141" s="6">
        <v>0</v>
      </c>
      <c r="M141" s="6">
        <v>436701</v>
      </c>
      <c r="O141" s="6">
        <v>0</v>
      </c>
      <c r="Q141" s="7">
        <f t="shared" si="10"/>
        <v>2887674</v>
      </c>
      <c r="S141" s="6">
        <v>338818</v>
      </c>
      <c r="T141" s="6">
        <f>+'St of Net Assets - GA'!M141-'Long Term Liab - GA'!S141</f>
        <v>0</v>
      </c>
    </row>
    <row r="142" spans="1:20" hidden="1">
      <c r="A142" s="11" t="s">
        <v>655</v>
      </c>
      <c r="B142" s="11"/>
      <c r="C142" s="11" t="s">
        <v>67</v>
      </c>
      <c r="Q142" s="7">
        <f t="shared" ref="Q142:Q147" si="13">SUM(E142:P142)</f>
        <v>0</v>
      </c>
      <c r="T142" s="6">
        <f>+'St of Net Assets - GA'!M142-'Long Term Liab - GA'!S142</f>
        <v>0</v>
      </c>
    </row>
    <row r="143" spans="1:20">
      <c r="A143" s="11" t="s">
        <v>718</v>
      </c>
      <c r="B143" s="11"/>
      <c r="C143" s="11" t="s">
        <v>56</v>
      </c>
      <c r="E143" s="6">
        <v>5918744</v>
      </c>
      <c r="G143" s="6">
        <v>6904</v>
      </c>
      <c r="I143" s="6">
        <v>0</v>
      </c>
      <c r="K143" s="6">
        <v>0</v>
      </c>
      <c r="M143" s="6">
        <v>1523227</v>
      </c>
      <c r="O143" s="6">
        <v>537000</v>
      </c>
      <c r="Q143" s="7">
        <f t="shared" si="13"/>
        <v>7985875</v>
      </c>
      <c r="S143" s="6">
        <v>648926</v>
      </c>
      <c r="T143" s="6">
        <f>+'St of Net Assets - GA'!M143-'Long Term Liab - GA'!S143</f>
        <v>0</v>
      </c>
    </row>
    <row r="144" spans="1:20">
      <c r="A144" s="11" t="s">
        <v>759</v>
      </c>
      <c r="B144" s="11"/>
      <c r="C144" s="11" t="s">
        <v>451</v>
      </c>
      <c r="E144" s="6">
        <v>1126000</v>
      </c>
      <c r="G144" s="6">
        <v>0</v>
      </c>
      <c r="I144" s="6">
        <v>0</v>
      </c>
      <c r="K144" s="6">
        <v>44364</v>
      </c>
      <c r="M144" s="6">
        <v>514489</v>
      </c>
      <c r="O144" s="6">
        <v>0</v>
      </c>
      <c r="Q144" s="7">
        <f t="shared" si="13"/>
        <v>1684853</v>
      </c>
      <c r="S144" s="6">
        <v>118640</v>
      </c>
      <c r="T144" s="6">
        <f>+'St of Net Assets - GA'!M144-'Long Term Liab - GA'!S144</f>
        <v>0</v>
      </c>
    </row>
    <row r="145" spans="1:20">
      <c r="A145" s="11" t="s">
        <v>656</v>
      </c>
      <c r="B145" s="11"/>
      <c r="C145" s="11" t="s">
        <v>63</v>
      </c>
      <c r="E145" s="6">
        <f>3585000+162461-78301</f>
        <v>3669160</v>
      </c>
      <c r="G145" s="6">
        <v>13179</v>
      </c>
      <c r="I145" s="6">
        <v>0</v>
      </c>
      <c r="K145" s="6">
        <v>18237</v>
      </c>
      <c r="M145" s="6">
        <v>2432205</v>
      </c>
      <c r="O145" s="6">
        <v>0</v>
      </c>
      <c r="Q145" s="7">
        <f t="shared" si="13"/>
        <v>6132781</v>
      </c>
      <c r="S145" s="6">
        <v>864607</v>
      </c>
      <c r="T145" s="6">
        <f>+'St of Net Assets - GA'!M145-'Long Term Liab - GA'!S145</f>
        <v>0</v>
      </c>
    </row>
    <row r="146" spans="1:20">
      <c r="A146" s="11" t="s">
        <v>719</v>
      </c>
      <c r="B146" s="11"/>
      <c r="C146" s="11" t="s">
        <v>20</v>
      </c>
      <c r="E146" s="6">
        <v>358021</v>
      </c>
      <c r="G146" s="6">
        <v>0</v>
      </c>
      <c r="I146" s="6">
        <v>0</v>
      </c>
      <c r="K146" s="6">
        <v>1745427</v>
      </c>
      <c r="M146" s="6">
        <v>1002754</v>
      </c>
      <c r="O146" s="6">
        <v>0</v>
      </c>
      <c r="Q146" s="7">
        <f t="shared" si="13"/>
        <v>3106202</v>
      </c>
      <c r="S146" s="6">
        <v>928937</v>
      </c>
      <c r="T146" s="6">
        <f>+'St of Net Assets - GA'!M146-'Long Term Liab - GA'!S146</f>
        <v>0</v>
      </c>
    </row>
    <row r="147" spans="1:20">
      <c r="A147" s="11" t="s">
        <v>609</v>
      </c>
      <c r="B147" s="11"/>
      <c r="C147" s="11" t="s">
        <v>71</v>
      </c>
      <c r="E147" s="6">
        <f>14750000+281760</f>
        <v>15031760</v>
      </c>
      <c r="G147" s="6">
        <v>0</v>
      </c>
      <c r="I147" s="6">
        <v>0</v>
      </c>
      <c r="K147" s="6">
        <v>4875</v>
      </c>
      <c r="M147" s="6">
        <v>730486</v>
      </c>
      <c r="O147" s="6">
        <v>0</v>
      </c>
      <c r="Q147" s="7">
        <f t="shared" si="13"/>
        <v>15767121</v>
      </c>
      <c r="S147" s="6">
        <v>76326</v>
      </c>
      <c r="T147" s="6">
        <f>+'St of Net Assets - GA'!M147-'Long Term Liab - GA'!S147</f>
        <v>0</v>
      </c>
    </row>
    <row r="148" spans="1:20" hidden="1">
      <c r="A148" s="11" t="s">
        <v>741</v>
      </c>
      <c r="B148" s="11"/>
      <c r="C148" s="11" t="s">
        <v>53</v>
      </c>
      <c r="Q148" s="7">
        <f t="shared" ref="Q148:Q159" si="14">SUM(E148:P148)</f>
        <v>0</v>
      </c>
      <c r="T148" s="6">
        <f>+'St of Net Assets - GA'!M148-'Long Term Liab - GA'!S148</f>
        <v>0</v>
      </c>
    </row>
    <row r="149" spans="1:20" hidden="1">
      <c r="A149" s="11" t="s">
        <v>657</v>
      </c>
      <c r="B149" s="11"/>
      <c r="C149" s="11" t="s">
        <v>40</v>
      </c>
      <c r="Q149" s="7">
        <f t="shared" si="14"/>
        <v>0</v>
      </c>
      <c r="T149" s="6">
        <f>+'St of Net Assets - GA'!M149-'Long Term Liab - GA'!S149</f>
        <v>0</v>
      </c>
    </row>
    <row r="150" spans="1:20">
      <c r="A150" s="11" t="s">
        <v>367</v>
      </c>
      <c r="B150" s="11"/>
      <c r="C150" s="11" t="s">
        <v>366</v>
      </c>
      <c r="E150" s="6">
        <f>280000+700000-16172+42394+660000</f>
        <v>1666222</v>
      </c>
      <c r="G150" s="6">
        <v>0</v>
      </c>
      <c r="I150" s="6">
        <v>0</v>
      </c>
      <c r="K150" s="6">
        <v>0</v>
      </c>
      <c r="M150" s="6">
        <v>446693</v>
      </c>
      <c r="O150" s="6">
        <v>880000</v>
      </c>
      <c r="Q150" s="7">
        <f t="shared" si="14"/>
        <v>2992915</v>
      </c>
      <c r="S150" s="6">
        <v>331082</v>
      </c>
      <c r="T150" s="6">
        <f>+'St of Net Assets - GA'!M150-'Long Term Liab - GA'!S150</f>
        <v>0</v>
      </c>
    </row>
    <row r="151" spans="1:20">
      <c r="A151" s="11" t="s">
        <v>429</v>
      </c>
      <c r="B151" s="11"/>
      <c r="C151" s="11" t="s">
        <v>50</v>
      </c>
      <c r="E151" s="6">
        <f>209887137+10000000+35832636+14735000+622210-729824</f>
        <v>270347159</v>
      </c>
      <c r="G151" s="6">
        <v>0</v>
      </c>
      <c r="I151" s="6">
        <v>1050000</v>
      </c>
      <c r="K151" s="6">
        <v>0</v>
      </c>
      <c r="M151" s="6">
        <v>4464212</v>
      </c>
      <c r="O151" s="6">
        <f>5495982</f>
        <v>5495982</v>
      </c>
      <c r="Q151" s="7">
        <f t="shared" si="14"/>
        <v>281357353</v>
      </c>
      <c r="S151" s="6">
        <v>11914333</v>
      </c>
      <c r="T151" s="6">
        <f>+'St of Net Assets - GA'!M151-'Long Term Liab - GA'!S151</f>
        <v>0</v>
      </c>
    </row>
    <row r="152" spans="1:20">
      <c r="A152" s="11" t="s">
        <v>889</v>
      </c>
      <c r="B152" s="11"/>
      <c r="C152" s="11" t="s">
        <v>32</v>
      </c>
      <c r="E152" s="6">
        <v>0</v>
      </c>
      <c r="G152" s="6">
        <v>0</v>
      </c>
      <c r="I152" s="6">
        <v>0</v>
      </c>
      <c r="K152" s="6">
        <v>0</v>
      </c>
      <c r="M152" s="6">
        <v>875424</v>
      </c>
      <c r="O152" s="6">
        <v>281495</v>
      </c>
      <c r="Q152" s="7">
        <f t="shared" si="14"/>
        <v>1156919</v>
      </c>
      <c r="S152" s="6">
        <v>268221</v>
      </c>
      <c r="T152" s="6">
        <f>+'St of Net Assets - GA'!M152-'Long Term Liab - GA'!S152</f>
        <v>0</v>
      </c>
    </row>
    <row r="153" spans="1:20" hidden="1">
      <c r="A153" s="11" t="s">
        <v>658</v>
      </c>
      <c r="B153" s="11"/>
      <c r="C153" s="11" t="s">
        <v>22</v>
      </c>
      <c r="Q153" s="7">
        <f t="shared" si="14"/>
        <v>0</v>
      </c>
      <c r="T153" s="6">
        <f>+'St of Net Assets - GA'!M153-'Long Term Liab - GA'!S153</f>
        <v>0</v>
      </c>
    </row>
    <row r="154" spans="1:20">
      <c r="A154" s="11" t="s">
        <v>742</v>
      </c>
      <c r="B154" s="11"/>
      <c r="C154" s="11" t="s">
        <v>23</v>
      </c>
      <c r="E154" s="6">
        <v>28943786</v>
      </c>
      <c r="G154" s="6">
        <v>0</v>
      </c>
      <c r="I154" s="6">
        <v>2819270</v>
      </c>
      <c r="K154" s="6">
        <v>14957</v>
      </c>
      <c r="M154" s="6">
        <v>1123119</v>
      </c>
      <c r="O154" s="6">
        <v>0</v>
      </c>
      <c r="Q154" s="7">
        <f t="shared" si="14"/>
        <v>32901132</v>
      </c>
      <c r="S154" s="6">
        <v>2763537</v>
      </c>
      <c r="T154" s="6">
        <f>+'St of Net Assets - GA'!M154-'Long Term Liab - GA'!S154</f>
        <v>0</v>
      </c>
    </row>
    <row r="155" spans="1:20">
      <c r="A155" s="11" t="s">
        <v>201</v>
      </c>
      <c r="B155" s="11"/>
      <c r="C155" s="11" t="s">
        <v>10</v>
      </c>
      <c r="E155" s="6">
        <v>0</v>
      </c>
      <c r="G155" s="6">
        <v>0</v>
      </c>
      <c r="I155" s="6">
        <v>0</v>
      </c>
      <c r="K155" s="6">
        <v>0</v>
      </c>
      <c r="M155" s="6">
        <v>535231</v>
      </c>
      <c r="O155" s="6">
        <v>0</v>
      </c>
      <c r="Q155" s="7">
        <f t="shared" si="14"/>
        <v>535231</v>
      </c>
      <c r="S155" s="6">
        <v>5080</v>
      </c>
      <c r="T155" s="6">
        <f>+'St of Net Assets - GA'!M155-'Long Term Liab - GA'!S155</f>
        <v>0</v>
      </c>
    </row>
    <row r="156" spans="1:20">
      <c r="A156" s="11" t="s">
        <v>534</v>
      </c>
      <c r="B156" s="11"/>
      <c r="C156" s="11" t="s">
        <v>65</v>
      </c>
      <c r="E156" s="6">
        <v>3161215</v>
      </c>
      <c r="G156" s="6">
        <v>0</v>
      </c>
      <c r="I156" s="6">
        <v>0</v>
      </c>
      <c r="K156" s="6">
        <v>158863</v>
      </c>
      <c r="M156" s="6">
        <v>1881145</v>
      </c>
      <c r="O156" s="6">
        <v>0</v>
      </c>
      <c r="Q156" s="7">
        <f t="shared" si="14"/>
        <v>5201223</v>
      </c>
      <c r="S156" s="6">
        <v>694869</v>
      </c>
      <c r="T156" s="6">
        <f>+'St of Net Assets - GA'!M156-'Long Term Liab - GA'!S156</f>
        <v>0</v>
      </c>
    </row>
    <row r="157" spans="1:20">
      <c r="A157" s="11" t="s">
        <v>302</v>
      </c>
      <c r="B157" s="11"/>
      <c r="C157" s="11" t="s">
        <v>27</v>
      </c>
      <c r="E157" s="6">
        <f>142481000+49220385+7927124</f>
        <v>199628509</v>
      </c>
      <c r="G157" s="6">
        <v>0</v>
      </c>
      <c r="I157" s="6">
        <v>0</v>
      </c>
      <c r="K157" s="6">
        <v>0</v>
      </c>
      <c r="M157" s="6">
        <v>12303428</v>
      </c>
      <c r="O157" s="6">
        <v>0</v>
      </c>
      <c r="Q157" s="7">
        <f t="shared" si="14"/>
        <v>211931937</v>
      </c>
      <c r="S157" s="6">
        <v>19976972</v>
      </c>
      <c r="T157" s="6">
        <f>+'St of Net Assets - GA'!M157-'Long Term Liab - GA'!S157</f>
        <v>0</v>
      </c>
    </row>
    <row r="158" spans="1:20">
      <c r="A158" s="11" t="s">
        <v>266</v>
      </c>
      <c r="B158" s="11"/>
      <c r="C158" s="11" t="s">
        <v>20</v>
      </c>
      <c r="E158" s="6">
        <v>5760788</v>
      </c>
      <c r="G158" s="6">
        <v>0</v>
      </c>
      <c r="I158" s="6">
        <v>0</v>
      </c>
      <c r="K158" s="6">
        <v>0</v>
      </c>
      <c r="M158" s="6">
        <v>5044679</v>
      </c>
      <c r="O158" s="6">
        <v>0</v>
      </c>
      <c r="Q158" s="7">
        <f t="shared" si="14"/>
        <v>10805467</v>
      </c>
      <c r="S158" s="6">
        <v>1829132</v>
      </c>
      <c r="T158" s="6">
        <f>+'St of Net Assets - GA'!M158-'Long Term Liab - GA'!S158</f>
        <v>0</v>
      </c>
    </row>
    <row r="159" spans="1:20">
      <c r="A159" s="11" t="s">
        <v>244</v>
      </c>
      <c r="B159" s="11"/>
      <c r="C159" s="11" t="s">
        <v>18</v>
      </c>
      <c r="E159" s="6">
        <f>1495872+520000</f>
        <v>2015872</v>
      </c>
      <c r="G159" s="6">
        <v>0</v>
      </c>
      <c r="I159" s="6">
        <v>0</v>
      </c>
      <c r="K159" s="6">
        <v>0</v>
      </c>
      <c r="M159" s="6">
        <v>378201</v>
      </c>
      <c r="O159" s="6">
        <v>0</v>
      </c>
      <c r="Q159" s="7">
        <f t="shared" si="14"/>
        <v>2394073</v>
      </c>
      <c r="S159" s="6">
        <v>336197</v>
      </c>
      <c r="T159" s="6">
        <f>+'St of Net Assets - GA'!M159-'Long Term Liab - GA'!S159</f>
        <v>0</v>
      </c>
    </row>
    <row r="160" spans="1:20">
      <c r="A160" s="11" t="s">
        <v>320</v>
      </c>
      <c r="B160" s="11"/>
      <c r="C160" s="11" t="s">
        <v>31</v>
      </c>
      <c r="E160" s="6">
        <f>105000+1062875+1372466</f>
        <v>2540341</v>
      </c>
      <c r="G160" s="6">
        <v>0</v>
      </c>
      <c r="I160" s="6">
        <v>432000</v>
      </c>
      <c r="K160" s="6">
        <v>46572</v>
      </c>
      <c r="M160" s="6">
        <v>520539</v>
      </c>
      <c r="O160" s="6">
        <v>0</v>
      </c>
      <c r="Q160" s="7">
        <f t="shared" ref="Q160:Q219" si="15">SUM(E160:P160)</f>
        <v>3539452</v>
      </c>
      <c r="S160" s="6">
        <v>635989</v>
      </c>
      <c r="T160" s="6">
        <f>+'St of Net Assets - GA'!M160-'Long Term Liab - GA'!S160</f>
        <v>0</v>
      </c>
    </row>
    <row r="161" spans="1:20">
      <c r="A161" s="11" t="s">
        <v>353</v>
      </c>
      <c r="B161" s="11"/>
      <c r="C161" s="11" t="s">
        <v>36</v>
      </c>
      <c r="E161" s="6">
        <v>1777335</v>
      </c>
      <c r="G161" s="6">
        <v>0</v>
      </c>
      <c r="I161" s="6">
        <v>0</v>
      </c>
      <c r="K161" s="6">
        <v>0</v>
      </c>
      <c r="M161" s="6">
        <v>1221708</v>
      </c>
      <c r="O161" s="6">
        <v>0</v>
      </c>
      <c r="Q161" s="7">
        <f t="shared" si="15"/>
        <v>2999043</v>
      </c>
      <c r="S161" s="6">
        <v>315497</v>
      </c>
      <c r="T161" s="6">
        <f>+'St of Net Assets - GA'!M161-'Long Term Liab - GA'!S161</f>
        <v>0</v>
      </c>
    </row>
    <row r="162" spans="1:20" hidden="1">
      <c r="A162" s="11" t="s">
        <v>659</v>
      </c>
      <c r="B162" s="11"/>
      <c r="C162" s="11" t="s">
        <v>40</v>
      </c>
      <c r="Q162" s="7">
        <f t="shared" si="15"/>
        <v>0</v>
      </c>
      <c r="T162" s="6">
        <f>+'St of Net Assets - GA'!M162-'Long Term Liab - GA'!S162</f>
        <v>0</v>
      </c>
    </row>
    <row r="163" spans="1:20">
      <c r="A163" s="11" t="s">
        <v>248</v>
      </c>
      <c r="B163" s="11"/>
      <c r="C163" s="11" t="s">
        <v>112</v>
      </c>
      <c r="E163" s="6">
        <v>7900000</v>
      </c>
      <c r="G163" s="6">
        <v>0</v>
      </c>
      <c r="I163" s="6">
        <v>0</v>
      </c>
      <c r="K163" s="6">
        <v>1961000</v>
      </c>
      <c r="M163" s="6">
        <v>1256168</v>
      </c>
      <c r="O163" s="6">
        <v>357273</v>
      </c>
      <c r="Q163" s="7">
        <f t="shared" si="15"/>
        <v>11474441</v>
      </c>
      <c r="S163" s="6">
        <v>721720</v>
      </c>
      <c r="T163" s="6">
        <f>+'St of Net Assets - GA'!M163-'Long Term Liab - GA'!S163</f>
        <v>0</v>
      </c>
    </row>
    <row r="164" spans="1:20">
      <c r="A164" s="11" t="s">
        <v>443</v>
      </c>
      <c r="B164" s="11"/>
      <c r="C164" s="11" t="s">
        <v>51</v>
      </c>
      <c r="E164" s="6">
        <v>5441594</v>
      </c>
      <c r="G164" s="6">
        <v>0</v>
      </c>
      <c r="I164" s="6">
        <v>0</v>
      </c>
      <c r="K164" s="6">
        <v>45452</v>
      </c>
      <c r="M164" s="6">
        <v>587841</v>
      </c>
      <c r="O164" s="6">
        <v>1060074</v>
      </c>
      <c r="Q164" s="7">
        <f t="shared" si="15"/>
        <v>7134961</v>
      </c>
      <c r="S164" s="6">
        <v>584694</v>
      </c>
      <c r="T164" s="6">
        <f>+'St of Net Assets - GA'!M164-'Long Term Liab - GA'!S164</f>
        <v>0</v>
      </c>
    </row>
    <row r="165" spans="1:20">
      <c r="A165" s="11" t="s">
        <v>249</v>
      </c>
      <c r="B165" s="11"/>
      <c r="C165" s="11" t="s">
        <v>112</v>
      </c>
      <c r="E165" s="6">
        <v>0</v>
      </c>
      <c r="G165" s="6">
        <v>0</v>
      </c>
      <c r="I165" s="6">
        <v>0</v>
      </c>
      <c r="K165" s="6">
        <v>1518689</v>
      </c>
      <c r="M165" s="6">
        <v>419989</v>
      </c>
      <c r="O165" s="6">
        <v>0</v>
      </c>
      <c r="Q165" s="7">
        <f t="shared" si="15"/>
        <v>1938678</v>
      </c>
      <c r="S165" s="6">
        <v>353906</v>
      </c>
      <c r="T165" s="6">
        <f>+'St of Net Assets - GA'!M165-'Long Term Liab - GA'!S165</f>
        <v>0</v>
      </c>
    </row>
    <row r="166" spans="1:20">
      <c r="A166" s="11" t="s">
        <v>218</v>
      </c>
      <c r="B166" s="11"/>
      <c r="C166" s="11" t="s">
        <v>77</v>
      </c>
      <c r="E166" s="6">
        <f>1630000+6245000+144565</f>
        <v>8019565</v>
      </c>
      <c r="G166" s="6">
        <v>0</v>
      </c>
      <c r="I166" s="6">
        <v>0</v>
      </c>
      <c r="K166" s="6">
        <v>0</v>
      </c>
      <c r="M166" s="6">
        <v>676517</v>
      </c>
      <c r="O166" s="6">
        <v>50473</v>
      </c>
      <c r="Q166" s="7">
        <f t="shared" si="15"/>
        <v>8746555</v>
      </c>
      <c r="S166" s="6">
        <v>608769</v>
      </c>
      <c r="T166" s="6">
        <f>+'St of Net Assets - GA'!M166-'Long Term Liab - GA'!S166</f>
        <v>0</v>
      </c>
    </row>
    <row r="167" spans="1:20">
      <c r="A167" s="11" t="s">
        <v>218</v>
      </c>
      <c r="B167" s="11"/>
      <c r="C167" s="11" t="s">
        <v>420</v>
      </c>
      <c r="E167" s="6">
        <f>795000+53360</f>
        <v>848360</v>
      </c>
      <c r="G167" s="6">
        <v>0</v>
      </c>
      <c r="I167" s="6">
        <v>0</v>
      </c>
      <c r="K167" s="6">
        <v>0</v>
      </c>
      <c r="M167" s="6">
        <v>183018</v>
      </c>
      <c r="O167" s="6">
        <v>0</v>
      </c>
      <c r="Q167" s="7">
        <f t="shared" si="15"/>
        <v>1031378</v>
      </c>
      <c r="S167" s="6">
        <v>106440</v>
      </c>
      <c r="T167" s="6">
        <f>+'St of Net Assets - GA'!M167-'Long Term Liab - GA'!S167</f>
        <v>0</v>
      </c>
    </row>
    <row r="168" spans="1:20" hidden="1">
      <c r="A168" s="11" t="s">
        <v>660</v>
      </c>
      <c r="B168" s="11"/>
      <c r="C168" s="11" t="s">
        <v>55</v>
      </c>
      <c r="Q168" s="7">
        <f t="shared" ref="Q168:Q169" si="16">SUM(E168:P168)</f>
        <v>0</v>
      </c>
      <c r="T168" s="6">
        <f>+'St of Net Assets - GA'!M168-'Long Term Liab - GA'!S168</f>
        <v>0</v>
      </c>
    </row>
    <row r="169" spans="1:20">
      <c r="A169" s="11" t="s">
        <v>555</v>
      </c>
      <c r="B169" s="11"/>
      <c r="C169" s="11" t="s">
        <v>72</v>
      </c>
      <c r="E169" s="6">
        <v>2958810</v>
      </c>
      <c r="G169" s="6">
        <v>0</v>
      </c>
      <c r="I169" s="6">
        <v>690000</v>
      </c>
      <c r="K169" s="6">
        <v>0</v>
      </c>
      <c r="M169" s="6">
        <v>919301</v>
      </c>
      <c r="O169" s="6">
        <v>0</v>
      </c>
      <c r="Q169" s="7">
        <f t="shared" si="16"/>
        <v>4568111</v>
      </c>
      <c r="S169" s="6">
        <v>293279</v>
      </c>
      <c r="T169" s="6">
        <f>+'St of Net Assets - GA'!M169-'Long Term Liab - GA'!S169</f>
        <v>0</v>
      </c>
    </row>
    <row r="170" spans="1:20" hidden="1">
      <c r="A170" s="10" t="s">
        <v>870</v>
      </c>
      <c r="B170" s="11"/>
      <c r="C170" s="11" t="s">
        <v>57</v>
      </c>
      <c r="E170" s="6">
        <v>0</v>
      </c>
      <c r="G170" s="6">
        <v>0</v>
      </c>
      <c r="I170" s="6">
        <v>0</v>
      </c>
      <c r="K170" s="6">
        <v>0</v>
      </c>
      <c r="M170" s="6">
        <v>0</v>
      </c>
      <c r="O170" s="6">
        <v>0</v>
      </c>
      <c r="Q170" s="7">
        <f t="shared" si="15"/>
        <v>0</v>
      </c>
      <c r="T170" s="6">
        <f>+'St of Net Assets - GA'!M170-'Long Term Liab - GA'!S170</f>
        <v>0</v>
      </c>
    </row>
    <row r="171" spans="1:20" hidden="1">
      <c r="A171" s="11" t="s">
        <v>661</v>
      </c>
      <c r="B171" s="11"/>
      <c r="C171" s="11" t="s">
        <v>552</v>
      </c>
      <c r="O171" s="6">
        <v>0</v>
      </c>
      <c r="Q171" s="7">
        <f t="shared" si="15"/>
        <v>0</v>
      </c>
      <c r="T171" s="6">
        <f>+'St of Net Assets - GA'!M171-'Long Term Liab - GA'!S171</f>
        <v>0</v>
      </c>
    </row>
    <row r="172" spans="1:20">
      <c r="A172" s="11" t="s">
        <v>662</v>
      </c>
      <c r="B172" s="11"/>
      <c r="C172" s="11" t="s">
        <v>221</v>
      </c>
      <c r="E172" s="6">
        <f>1848576+3652996+6890000+2199979+908099+1400000+21590000+2980000+720232-561897</f>
        <v>41627985</v>
      </c>
      <c r="G172" s="6">
        <v>0</v>
      </c>
      <c r="I172" s="6">
        <v>0</v>
      </c>
      <c r="K172" s="6">
        <f>202000+110335</f>
        <v>312335</v>
      </c>
      <c r="M172" s="6">
        <v>1260730</v>
      </c>
      <c r="O172" s="6">
        <v>0</v>
      </c>
      <c r="Q172" s="7">
        <f t="shared" si="15"/>
        <v>43201050</v>
      </c>
      <c r="S172" s="6">
        <v>2002355</v>
      </c>
      <c r="T172" s="6">
        <f>+'St of Net Assets - GA'!M172-'Long Term Liab - GA'!S172</f>
        <v>0</v>
      </c>
    </row>
    <row r="173" spans="1:20">
      <c r="A173" s="11" t="s">
        <v>362</v>
      </c>
      <c r="B173" s="11"/>
      <c r="C173" s="11" t="s">
        <v>24</v>
      </c>
      <c r="E173" s="6">
        <v>0</v>
      </c>
      <c r="G173" s="6">
        <v>0</v>
      </c>
      <c r="I173" s="6">
        <v>0</v>
      </c>
      <c r="K173" s="6">
        <v>103802</v>
      </c>
      <c r="M173" s="6">
        <v>675010</v>
      </c>
      <c r="O173" s="6">
        <v>0</v>
      </c>
      <c r="Q173" s="7">
        <f>SUM(E173:P173)</f>
        <v>778812</v>
      </c>
      <c r="S173" s="6">
        <v>45014</v>
      </c>
      <c r="T173" s="6">
        <f>+'St of Net Assets - GA'!M173-'Long Term Liab - GA'!S173</f>
        <v>0</v>
      </c>
    </row>
    <row r="174" spans="1:20">
      <c r="A174" s="11" t="s">
        <v>362</v>
      </c>
      <c r="B174" s="11"/>
      <c r="C174" s="11" t="s">
        <v>39</v>
      </c>
      <c r="E174" s="6">
        <v>0</v>
      </c>
      <c r="G174" s="6">
        <v>0</v>
      </c>
      <c r="I174" s="6">
        <v>0</v>
      </c>
      <c r="K174" s="6">
        <v>144018</v>
      </c>
      <c r="M174" s="6">
        <v>1500702</v>
      </c>
      <c r="O174" s="6">
        <v>187500</v>
      </c>
      <c r="Q174" s="7">
        <f>SUM(E174:P174)</f>
        <v>1832220</v>
      </c>
      <c r="S174" s="6">
        <v>561439</v>
      </c>
      <c r="T174" s="6">
        <f>+'St of Net Assets - GA'!M174-'Long Term Liab - GA'!S174</f>
        <v>0</v>
      </c>
    </row>
    <row r="175" spans="1:20" hidden="1">
      <c r="A175" s="11" t="s">
        <v>871</v>
      </c>
      <c r="B175" s="11"/>
      <c r="C175" s="11" t="s">
        <v>552</v>
      </c>
      <c r="Q175" s="7">
        <f t="shared" si="15"/>
        <v>0</v>
      </c>
      <c r="T175" s="6">
        <f>+'St of Net Assets - GA'!M175-'Long Term Liab - GA'!S175</f>
        <v>0</v>
      </c>
    </row>
    <row r="176" spans="1:20">
      <c r="A176" s="11" t="s">
        <v>677</v>
      </c>
      <c r="B176" s="11"/>
      <c r="C176" s="11" t="s">
        <v>46</v>
      </c>
      <c r="E176" s="6">
        <v>16303509</v>
      </c>
      <c r="G176" s="6">
        <v>160511</v>
      </c>
      <c r="I176" s="6">
        <v>0</v>
      </c>
      <c r="K176" s="6">
        <v>57807</v>
      </c>
      <c r="M176" s="6">
        <v>859440</v>
      </c>
      <c r="O176" s="6">
        <v>0</v>
      </c>
      <c r="Q176" s="7">
        <f t="shared" ref="Q176" si="17">SUM(E176:P176)</f>
        <v>17381267</v>
      </c>
      <c r="S176" s="6">
        <v>814676</v>
      </c>
      <c r="T176" s="6">
        <f>+'St of Net Assets - GA'!M176-'Long Term Liab - GA'!S176</f>
        <v>0</v>
      </c>
    </row>
    <row r="177" spans="1:20" hidden="1">
      <c r="A177" s="11" t="s">
        <v>663</v>
      </c>
      <c r="B177" s="11"/>
      <c r="C177" s="11" t="s">
        <v>10</v>
      </c>
      <c r="Q177" s="7">
        <f t="shared" ref="Q177" si="18">SUM(E177:P177)</f>
        <v>0</v>
      </c>
      <c r="T177" s="6">
        <f>+'St of Net Assets - GA'!M177-'Long Term Liab - GA'!S177</f>
        <v>0</v>
      </c>
    </row>
    <row r="178" spans="1:20" hidden="1">
      <c r="A178" s="11" t="s">
        <v>692</v>
      </c>
      <c r="B178" s="11"/>
      <c r="C178" s="11" t="s">
        <v>72</v>
      </c>
      <c r="Q178" s="7">
        <f t="shared" ref="Q178" si="19">SUM(E178:P178)</f>
        <v>0</v>
      </c>
      <c r="T178" s="6">
        <f>+'St of Net Assets - GA'!M178-'Long Term Liab - GA'!S178</f>
        <v>0</v>
      </c>
    </row>
    <row r="179" spans="1:20">
      <c r="A179" s="11" t="s">
        <v>384</v>
      </c>
      <c r="B179" s="11"/>
      <c r="C179" s="11" t="s">
        <v>44</v>
      </c>
      <c r="E179" s="6">
        <v>44375369</v>
      </c>
      <c r="G179" s="6">
        <v>0</v>
      </c>
      <c r="I179" s="6">
        <v>0</v>
      </c>
      <c r="K179" s="6">
        <v>4371141</v>
      </c>
      <c r="M179" s="6">
        <v>5167065</v>
      </c>
      <c r="O179" s="6">
        <v>301500</v>
      </c>
      <c r="Q179" s="7">
        <f t="shared" si="15"/>
        <v>54215075</v>
      </c>
      <c r="S179" s="6">
        <v>2247049</v>
      </c>
      <c r="T179" s="6">
        <f>+'St of Net Assets - GA'!M179-'Long Term Liab - GA'!S179</f>
        <v>0</v>
      </c>
    </row>
    <row r="180" spans="1:20">
      <c r="A180" s="11" t="s">
        <v>267</v>
      </c>
      <c r="B180" s="11"/>
      <c r="C180" s="11" t="s">
        <v>20</v>
      </c>
      <c r="E180" s="6">
        <f>41850197</f>
        <v>41850197</v>
      </c>
      <c r="G180" s="6">
        <v>0</v>
      </c>
      <c r="I180" s="6">
        <f>2250000+4185000+169057</f>
        <v>6604057</v>
      </c>
      <c r="K180" s="6">
        <v>0</v>
      </c>
      <c r="M180" s="6">
        <v>2580822</v>
      </c>
      <c r="O180" s="6">
        <v>1502447</v>
      </c>
      <c r="Q180" s="7">
        <f t="shared" si="15"/>
        <v>52537523</v>
      </c>
      <c r="S180" s="6">
        <v>4104935</v>
      </c>
      <c r="T180" s="6">
        <f>+'St of Net Assets - GA'!M180-'Long Term Liab - GA'!S180</f>
        <v>0</v>
      </c>
    </row>
    <row r="181" spans="1:20" hidden="1">
      <c r="A181" s="11" t="s">
        <v>619</v>
      </c>
      <c r="B181" s="11"/>
      <c r="C181" s="11" t="s">
        <v>28</v>
      </c>
      <c r="Q181" s="7">
        <f t="shared" si="15"/>
        <v>0</v>
      </c>
      <c r="T181" s="6">
        <f>+'St of Net Assets - GA'!M181-'Long Term Liab - GA'!S181</f>
        <v>0</v>
      </c>
    </row>
    <row r="182" spans="1:20">
      <c r="A182" s="11" t="s">
        <v>539</v>
      </c>
      <c r="B182" s="11"/>
      <c r="C182" s="11" t="s">
        <v>66</v>
      </c>
      <c r="E182" s="6">
        <f>576085+10575428+320918</f>
        <v>11472431</v>
      </c>
      <c r="G182" s="6">
        <v>0</v>
      </c>
      <c r="I182" s="6">
        <v>76000</v>
      </c>
      <c r="K182" s="6">
        <v>0</v>
      </c>
      <c r="M182" s="6">
        <v>545492</v>
      </c>
      <c r="O182" s="6">
        <v>0</v>
      </c>
      <c r="Q182" s="7">
        <f t="shared" si="15"/>
        <v>12093923</v>
      </c>
      <c r="S182" s="6">
        <v>547935</v>
      </c>
      <c r="T182" s="6">
        <f>+'St of Net Assets - GA'!M182-'Long Term Liab - GA'!S182</f>
        <v>0</v>
      </c>
    </row>
    <row r="183" spans="1:20">
      <c r="A183" s="11" t="s">
        <v>626</v>
      </c>
      <c r="B183" s="11"/>
      <c r="C183" s="11" t="s">
        <v>114</v>
      </c>
      <c r="E183" s="6">
        <f>16117687-350000</f>
        <v>15767687</v>
      </c>
      <c r="G183" s="6">
        <v>0</v>
      </c>
      <c r="I183" s="6">
        <v>350000</v>
      </c>
      <c r="K183" s="6">
        <v>0</v>
      </c>
      <c r="M183" s="6">
        <v>3544492</v>
      </c>
      <c r="O183" s="6">
        <v>0</v>
      </c>
      <c r="Q183" s="7">
        <f>SUM(E183:P183)</f>
        <v>19662179</v>
      </c>
      <c r="S183" s="6">
        <v>1340342</v>
      </c>
      <c r="T183" s="6">
        <f>+'St of Net Assets - GA'!M183-'Long Term Liab - GA'!S183</f>
        <v>0</v>
      </c>
    </row>
    <row r="184" spans="1:20">
      <c r="A184" s="11" t="s">
        <v>222</v>
      </c>
      <c r="B184" s="11"/>
      <c r="C184" s="11" t="s">
        <v>221</v>
      </c>
      <c r="E184" s="6">
        <v>31809912</v>
      </c>
      <c r="G184" s="6">
        <v>0</v>
      </c>
      <c r="I184" s="6">
        <v>0</v>
      </c>
      <c r="K184" s="6">
        <v>133492</v>
      </c>
      <c r="M184" s="6">
        <v>7615495</v>
      </c>
      <c r="O184" s="6">
        <v>2784860</v>
      </c>
      <c r="Q184" s="7">
        <f t="shared" si="15"/>
        <v>42343759</v>
      </c>
      <c r="S184" s="6">
        <v>1516765</v>
      </c>
      <c r="T184" s="6">
        <f>+'St of Net Assets - GA'!M184-'Long Term Liab - GA'!S184</f>
        <v>0</v>
      </c>
    </row>
    <row r="185" spans="1:20">
      <c r="A185" s="11" t="s">
        <v>349</v>
      </c>
      <c r="B185" s="11"/>
      <c r="C185" s="11" t="s">
        <v>348</v>
      </c>
      <c r="E185" s="6">
        <f>130000+1240000+174999+176501+98565-62802</f>
        <v>1757263</v>
      </c>
      <c r="G185" s="6">
        <v>0</v>
      </c>
      <c r="I185" s="6">
        <v>0</v>
      </c>
      <c r="K185" s="6">
        <v>0</v>
      </c>
      <c r="M185" s="6">
        <v>517470</v>
      </c>
      <c r="O185" s="6">
        <v>0</v>
      </c>
      <c r="Q185" s="7">
        <f t="shared" si="15"/>
        <v>2274733</v>
      </c>
      <c r="S185" s="6">
        <v>180994</v>
      </c>
      <c r="T185" s="6">
        <f>+'St of Net Assets - GA'!M185-'Long Term Liab - GA'!S185</f>
        <v>0</v>
      </c>
    </row>
    <row r="186" spans="1:20">
      <c r="A186" s="11" t="s">
        <v>294</v>
      </c>
      <c r="B186" s="11"/>
      <c r="C186" s="11" t="s">
        <v>25</v>
      </c>
      <c r="E186" s="6">
        <f>7714550+530000+155000+7555000+9364998+303263</f>
        <v>25622811</v>
      </c>
      <c r="G186" s="6">
        <v>0</v>
      </c>
      <c r="I186" s="6">
        <v>120000</v>
      </c>
      <c r="K186" s="6">
        <v>264105</v>
      </c>
      <c r="M186" s="6">
        <v>1191047</v>
      </c>
      <c r="O186" s="6">
        <v>0</v>
      </c>
      <c r="Q186" s="7">
        <f t="shared" si="15"/>
        <v>27197963</v>
      </c>
      <c r="S186" s="6">
        <v>798955</v>
      </c>
      <c r="T186" s="6">
        <f>+'St of Net Assets - GA'!M186-'Long Term Liab - GA'!S186</f>
        <v>0</v>
      </c>
    </row>
    <row r="187" spans="1:20">
      <c r="A187" s="11" t="s">
        <v>368</v>
      </c>
      <c r="B187" s="11"/>
      <c r="C187" s="11" t="s">
        <v>366</v>
      </c>
      <c r="E187" s="6">
        <f>570000+1720000</f>
        <v>2290000</v>
      </c>
      <c r="G187" s="6">
        <v>0</v>
      </c>
      <c r="I187" s="6">
        <v>0</v>
      </c>
      <c r="K187" s="6">
        <v>0</v>
      </c>
      <c r="M187" s="6">
        <v>838593</v>
      </c>
      <c r="O187" s="6">
        <v>280000</v>
      </c>
      <c r="Q187" s="7">
        <f t="shared" si="15"/>
        <v>3408593</v>
      </c>
      <c r="S187" s="6">
        <v>414970</v>
      </c>
      <c r="T187" s="6">
        <f>+'St of Net Assets - GA'!M187-'Long Term Liab - GA'!S187</f>
        <v>0</v>
      </c>
    </row>
    <row r="188" spans="1:20" hidden="1">
      <c r="A188" s="11" t="s">
        <v>620</v>
      </c>
      <c r="B188" s="11"/>
      <c r="C188" s="11" t="s">
        <v>61</v>
      </c>
      <c r="Q188" s="7">
        <f t="shared" si="15"/>
        <v>0</v>
      </c>
      <c r="T188" s="6">
        <f>+'St of Net Assets - GA'!M188-'Long Term Liab - GA'!S188</f>
        <v>0</v>
      </c>
    </row>
    <row r="189" spans="1:20">
      <c r="A189" s="11" t="s">
        <v>496</v>
      </c>
      <c r="B189" s="11"/>
      <c r="C189" s="11" t="s">
        <v>62</v>
      </c>
      <c r="E189" s="6">
        <f>12098446+1634548-1393450</f>
        <v>12339544</v>
      </c>
      <c r="G189" s="6">
        <v>0</v>
      </c>
      <c r="I189" s="6">
        <v>0</v>
      </c>
      <c r="K189" s="6">
        <v>0</v>
      </c>
      <c r="M189" s="6">
        <v>680343</v>
      </c>
      <c r="O189" s="6">
        <v>0</v>
      </c>
      <c r="Q189" s="7">
        <f t="shared" si="15"/>
        <v>13019887</v>
      </c>
      <c r="S189" s="6">
        <v>732488</v>
      </c>
      <c r="T189" s="6">
        <f>+'St of Net Assets - GA'!M189-'Long Term Liab - GA'!S189</f>
        <v>0</v>
      </c>
    </row>
    <row r="190" spans="1:20" hidden="1">
      <c r="A190" s="10" t="s">
        <v>890</v>
      </c>
      <c r="B190" s="11"/>
      <c r="C190" s="11" t="s">
        <v>41</v>
      </c>
      <c r="Q190" s="7">
        <f t="shared" si="15"/>
        <v>0</v>
      </c>
      <c r="T190" s="6">
        <f>+'St of Net Assets - GA'!M190-'Long Term Liab - GA'!S190</f>
        <v>0</v>
      </c>
    </row>
    <row r="191" spans="1:20" s="28" customFormat="1">
      <c r="A191" s="27" t="s">
        <v>268</v>
      </c>
      <c r="B191" s="27"/>
      <c r="C191" s="27" t="s">
        <v>20</v>
      </c>
      <c r="E191" s="28">
        <f>27076141+528059</f>
        <v>27604200</v>
      </c>
      <c r="G191" s="28">
        <v>0</v>
      </c>
      <c r="I191" s="28">
        <v>0</v>
      </c>
      <c r="K191" s="28">
        <v>0</v>
      </c>
      <c r="M191" s="28">
        <v>1413847</v>
      </c>
      <c r="O191" s="28">
        <v>0</v>
      </c>
      <c r="Q191" s="32">
        <f t="shared" si="15"/>
        <v>29018047</v>
      </c>
      <c r="S191" s="28">
        <v>1644714</v>
      </c>
      <c r="T191" s="28">
        <f>+'St of Net Assets - GA'!M191-'Long Term Liab - GA'!S191</f>
        <v>0</v>
      </c>
    </row>
    <row r="192" spans="1:20" hidden="1">
      <c r="A192" s="11" t="s">
        <v>745</v>
      </c>
      <c r="B192" s="11"/>
      <c r="C192" s="11" t="s">
        <v>28</v>
      </c>
      <c r="Q192" s="7">
        <f t="shared" si="15"/>
        <v>0</v>
      </c>
      <c r="T192" s="6">
        <f>+'St of Net Assets - GA'!M192-'Long Term Liab - GA'!S192</f>
        <v>0</v>
      </c>
    </row>
    <row r="193" spans="1:20">
      <c r="A193" s="11" t="s">
        <v>219</v>
      </c>
      <c r="B193" s="11"/>
      <c r="C193" s="11" t="s">
        <v>77</v>
      </c>
      <c r="E193" s="6">
        <f>7415000+101244-81278</f>
        <v>7434966</v>
      </c>
      <c r="G193" s="6">
        <v>0</v>
      </c>
      <c r="I193" s="6">
        <v>0</v>
      </c>
      <c r="K193" s="6">
        <v>0</v>
      </c>
      <c r="M193" s="6">
        <v>422937</v>
      </c>
      <c r="O193" s="6">
        <v>0</v>
      </c>
      <c r="Q193" s="7">
        <f t="shared" si="15"/>
        <v>7857903</v>
      </c>
      <c r="S193" s="6">
        <v>418881</v>
      </c>
      <c r="T193" s="6">
        <f>+'St of Net Assets - GA'!M193-'Long Term Liab - GA'!S193</f>
        <v>0</v>
      </c>
    </row>
    <row r="194" spans="1:20">
      <c r="A194" s="11" t="s">
        <v>743</v>
      </c>
      <c r="B194" s="11"/>
      <c r="C194" s="11" t="s">
        <v>13</v>
      </c>
      <c r="E194" s="6">
        <v>498630</v>
      </c>
      <c r="G194" s="6">
        <v>0</v>
      </c>
      <c r="I194" s="6">
        <v>0</v>
      </c>
      <c r="K194" s="6">
        <v>0</v>
      </c>
      <c r="M194" s="6">
        <v>555512</v>
      </c>
      <c r="O194" s="6">
        <v>0</v>
      </c>
      <c r="Q194" s="7">
        <f t="shared" si="15"/>
        <v>1054142</v>
      </c>
      <c r="S194" s="6">
        <v>121183</v>
      </c>
      <c r="T194" s="6">
        <f>+'St of Net Assets - GA'!M194-'Long Term Liab - GA'!S194</f>
        <v>0</v>
      </c>
    </row>
    <row r="195" spans="1:20">
      <c r="A195" s="11" t="s">
        <v>239</v>
      </c>
      <c r="B195" s="11"/>
      <c r="C195" s="11" t="s">
        <v>113</v>
      </c>
      <c r="E195" s="6">
        <v>2681219</v>
      </c>
      <c r="G195" s="6">
        <v>0</v>
      </c>
      <c r="I195" s="6">
        <v>0</v>
      </c>
      <c r="K195" s="6">
        <v>71904</v>
      </c>
      <c r="M195" s="6">
        <v>423641</v>
      </c>
      <c r="O195" s="6">
        <v>0</v>
      </c>
      <c r="Q195" s="7">
        <f t="shared" si="15"/>
        <v>3176764</v>
      </c>
      <c r="S195" s="6">
        <v>359322</v>
      </c>
      <c r="T195" s="6">
        <f>+'St of Net Assets - GA'!M195-'Long Term Liab - GA'!S195</f>
        <v>0</v>
      </c>
    </row>
    <row r="196" spans="1:20">
      <c r="A196" s="11" t="s">
        <v>720</v>
      </c>
      <c r="B196" s="11"/>
      <c r="C196" s="11" t="s">
        <v>56</v>
      </c>
      <c r="E196" s="6">
        <f>23810000+346689+1140000</f>
        <v>25296689</v>
      </c>
      <c r="G196" s="6">
        <v>34078</v>
      </c>
      <c r="I196" s="6">
        <v>0</v>
      </c>
      <c r="K196" s="6">
        <v>95102</v>
      </c>
      <c r="M196" s="6">
        <v>1046821</v>
      </c>
      <c r="O196" s="6">
        <v>0</v>
      </c>
      <c r="Q196" s="7">
        <f t="shared" si="15"/>
        <v>26472690</v>
      </c>
      <c r="S196" s="6">
        <v>618612</v>
      </c>
      <c r="T196" s="6">
        <f>+'St of Net Assets - GA'!M196-'Long Term Liab - GA'!S196</f>
        <v>0</v>
      </c>
    </row>
    <row r="197" spans="1:20">
      <c r="A197" s="11" t="s">
        <v>337</v>
      </c>
      <c r="B197" s="11"/>
      <c r="C197" s="11" t="s">
        <v>33</v>
      </c>
      <c r="E197" s="6">
        <f>52564972+465193</f>
        <v>53030165</v>
      </c>
      <c r="G197" s="6">
        <v>30700</v>
      </c>
      <c r="I197" s="6">
        <v>0</v>
      </c>
      <c r="K197" s="6">
        <v>694419</v>
      </c>
      <c r="M197" s="6">
        <v>3988007</v>
      </c>
      <c r="O197" s="6">
        <v>0</v>
      </c>
      <c r="Q197" s="7">
        <f t="shared" si="15"/>
        <v>57743291</v>
      </c>
      <c r="S197" s="6">
        <v>2381004</v>
      </c>
      <c r="T197" s="6">
        <f>+'St of Net Assets - GA'!M197-'Long Term Liab - GA'!S197</f>
        <v>0</v>
      </c>
    </row>
    <row r="198" spans="1:20">
      <c r="A198" s="11" t="s">
        <v>322</v>
      </c>
      <c r="B198" s="11"/>
      <c r="C198" s="11" t="s">
        <v>32</v>
      </c>
      <c r="E198" s="6">
        <v>5876336</v>
      </c>
      <c r="G198" s="6">
        <v>0</v>
      </c>
      <c r="I198" s="6">
        <v>0</v>
      </c>
      <c r="K198" s="6">
        <v>427000</v>
      </c>
      <c r="M198" s="6">
        <v>1062333</v>
      </c>
      <c r="O198" s="6">
        <v>0</v>
      </c>
      <c r="Q198" s="7">
        <f t="shared" si="15"/>
        <v>7365669</v>
      </c>
      <c r="S198" s="6">
        <v>536266</v>
      </c>
      <c r="T198" s="6">
        <f>+'St of Net Assets - GA'!M198-'Long Term Liab - GA'!S198</f>
        <v>0</v>
      </c>
    </row>
    <row r="199" spans="1:20">
      <c r="A199" s="11" t="s">
        <v>385</v>
      </c>
      <c r="B199" s="11"/>
      <c r="C199" s="11" t="s">
        <v>44</v>
      </c>
      <c r="E199" s="6">
        <v>930000</v>
      </c>
      <c r="G199" s="6">
        <v>0</v>
      </c>
      <c r="I199" s="6">
        <v>0</v>
      </c>
      <c r="K199" s="6">
        <v>182448</v>
      </c>
      <c r="M199" s="6">
        <v>1012974</v>
      </c>
      <c r="O199" s="6">
        <v>0</v>
      </c>
      <c r="Q199" s="7">
        <f t="shared" si="15"/>
        <v>2125422</v>
      </c>
      <c r="S199" s="6">
        <v>305492</v>
      </c>
      <c r="T199" s="6">
        <f>+'St of Net Assets - GA'!M199-'Long Term Liab - GA'!S199</f>
        <v>0</v>
      </c>
    </row>
    <row r="200" spans="1:20">
      <c r="A200" s="11" t="s">
        <v>323</v>
      </c>
      <c r="B200" s="11"/>
      <c r="C200" s="11" t="s">
        <v>32</v>
      </c>
      <c r="E200" s="6">
        <f>8970000+87031</f>
        <v>9057031</v>
      </c>
      <c r="G200" s="6">
        <v>0</v>
      </c>
      <c r="I200" s="6">
        <v>0</v>
      </c>
      <c r="K200" s="6">
        <v>0</v>
      </c>
      <c r="M200" s="6">
        <v>2674886</v>
      </c>
      <c r="O200" s="6">
        <v>0</v>
      </c>
      <c r="Q200" s="7">
        <f t="shared" si="15"/>
        <v>11731917</v>
      </c>
      <c r="S200" s="6">
        <v>3108395</v>
      </c>
      <c r="T200" s="6">
        <f>+'St of Net Assets - GA'!M200-'Long Term Liab - GA'!S200</f>
        <v>0</v>
      </c>
    </row>
    <row r="201" spans="1:20" hidden="1">
      <c r="A201" s="11" t="s">
        <v>616</v>
      </c>
      <c r="B201" s="11"/>
      <c r="C201" s="11" t="s">
        <v>70</v>
      </c>
      <c r="Q201" s="7">
        <f t="shared" si="15"/>
        <v>0</v>
      </c>
      <c r="T201" s="6">
        <f>+'St of Net Assets - GA'!M201-'Long Term Liab - GA'!S201</f>
        <v>0</v>
      </c>
    </row>
    <row r="202" spans="1:20">
      <c r="A202" s="11" t="s">
        <v>490</v>
      </c>
      <c r="B202" s="11"/>
      <c r="C202" s="11" t="s">
        <v>61</v>
      </c>
      <c r="E202" s="6">
        <v>9554714</v>
      </c>
      <c r="G202" s="6">
        <v>0</v>
      </c>
      <c r="I202" s="6">
        <v>0</v>
      </c>
      <c r="K202" s="6">
        <v>0</v>
      </c>
      <c r="M202" s="6">
        <v>387390</v>
      </c>
      <c r="O202" s="6">
        <v>1110000</v>
      </c>
      <c r="Q202" s="7">
        <f t="shared" si="15"/>
        <v>11052104</v>
      </c>
      <c r="S202" s="6">
        <v>588727</v>
      </c>
      <c r="T202" s="6">
        <f>+'St of Net Assets - GA'!M202-'Long Term Liab - GA'!S202</f>
        <v>0</v>
      </c>
    </row>
    <row r="203" spans="1:20" hidden="1">
      <c r="A203" s="11" t="s">
        <v>764</v>
      </c>
      <c r="B203" s="11"/>
      <c r="C203" s="11" t="s">
        <v>422</v>
      </c>
      <c r="Q203" s="7">
        <f t="shared" si="15"/>
        <v>0</v>
      </c>
      <c r="T203" s="6">
        <f>+'St of Net Assets - GA'!M203-'Long Term Liab - GA'!S203</f>
        <v>0</v>
      </c>
    </row>
    <row r="204" spans="1:20" hidden="1">
      <c r="A204" s="11" t="s">
        <v>747</v>
      </c>
      <c r="B204" s="11"/>
      <c r="C204" s="11" t="s">
        <v>60</v>
      </c>
      <c r="Q204" s="7">
        <f t="shared" si="15"/>
        <v>0</v>
      </c>
      <c r="T204" s="6">
        <f>+'St of Net Assets - GA'!M204-'Long Term Liab - GA'!S204</f>
        <v>0</v>
      </c>
    </row>
    <row r="205" spans="1:20">
      <c r="A205" s="11" t="s">
        <v>544</v>
      </c>
      <c r="B205" s="11"/>
      <c r="C205" s="11" t="s">
        <v>69</v>
      </c>
      <c r="E205" s="6">
        <v>3481432</v>
      </c>
      <c r="G205" s="6">
        <v>0</v>
      </c>
      <c r="I205" s="6">
        <v>0</v>
      </c>
      <c r="K205" s="6">
        <v>0</v>
      </c>
      <c r="M205" s="6">
        <v>2064946</v>
      </c>
      <c r="O205" s="6">
        <v>0</v>
      </c>
      <c r="Q205" s="7">
        <f t="shared" si="15"/>
        <v>5546378</v>
      </c>
      <c r="S205" s="6">
        <v>513570</v>
      </c>
      <c r="T205" s="6">
        <f>+'St of Net Assets - GA'!M205-'Long Term Liab - GA'!S205</f>
        <v>0</v>
      </c>
    </row>
    <row r="206" spans="1:20">
      <c r="A206" s="11" t="s">
        <v>444</v>
      </c>
      <c r="B206" s="11"/>
      <c r="C206" s="11" t="s">
        <v>51</v>
      </c>
      <c r="E206" s="6">
        <v>5099749</v>
      </c>
      <c r="G206" s="6">
        <v>0</v>
      </c>
      <c r="I206" s="6">
        <v>235000</v>
      </c>
      <c r="K206" s="6">
        <v>189686</v>
      </c>
      <c r="M206" s="6">
        <v>1759351</v>
      </c>
      <c r="O206" s="6">
        <v>0</v>
      </c>
      <c r="Q206" s="7">
        <f t="shared" si="15"/>
        <v>7283786</v>
      </c>
      <c r="S206" s="6">
        <v>531497</v>
      </c>
      <c r="T206" s="6">
        <f>+'St of Net Assets - GA'!M206-'Long Term Liab - GA'!S206</f>
        <v>0</v>
      </c>
    </row>
    <row r="207" spans="1:20" hidden="1">
      <c r="A207" s="11" t="s">
        <v>615</v>
      </c>
      <c r="B207" s="11"/>
      <c r="C207" s="11" t="s">
        <v>21</v>
      </c>
      <c r="Q207" s="7">
        <f t="shared" si="15"/>
        <v>0</v>
      </c>
      <c r="T207" s="6">
        <f>+'St of Net Assets - GA'!M207-'Long Term Liab - GA'!S207</f>
        <v>0</v>
      </c>
    </row>
    <row r="208" spans="1:20" hidden="1">
      <c r="A208" s="11" t="s">
        <v>664</v>
      </c>
      <c r="B208" s="11"/>
      <c r="C208" s="11" t="s">
        <v>40</v>
      </c>
      <c r="Q208" s="7">
        <f t="shared" si="15"/>
        <v>0</v>
      </c>
      <c r="T208" s="6">
        <f>+'St of Net Assets - GA'!M208-'Long Term Liab - GA'!S208</f>
        <v>0</v>
      </c>
    </row>
    <row r="209" spans="1:20">
      <c r="A209" s="11" t="s">
        <v>644</v>
      </c>
      <c r="B209" s="11"/>
      <c r="C209" s="11" t="s">
        <v>79</v>
      </c>
      <c r="E209" s="6">
        <v>18307913</v>
      </c>
      <c r="G209" s="6">
        <v>0</v>
      </c>
      <c r="I209" s="6">
        <v>0</v>
      </c>
      <c r="K209" s="6">
        <v>9239</v>
      </c>
      <c r="M209" s="6">
        <v>4446407</v>
      </c>
      <c r="O209" s="6">
        <v>0</v>
      </c>
      <c r="Q209" s="7">
        <f t="shared" si="15"/>
        <v>22763559</v>
      </c>
      <c r="S209" s="6">
        <v>1057950</v>
      </c>
      <c r="T209" s="6">
        <f>+'St of Net Assets - GA'!M209-'Long Term Liab - GA'!S209</f>
        <v>0</v>
      </c>
    </row>
    <row r="210" spans="1:20">
      <c r="A210" s="11" t="s">
        <v>548</v>
      </c>
      <c r="B210" s="11"/>
      <c r="C210" s="11" t="s">
        <v>70</v>
      </c>
      <c r="E210" s="6">
        <f>1459799+38919-17181</f>
        <v>1481537</v>
      </c>
      <c r="G210" s="6">
        <v>0</v>
      </c>
      <c r="I210" s="6">
        <v>83000</v>
      </c>
      <c r="K210" s="6">
        <v>5377</v>
      </c>
      <c r="M210" s="6">
        <v>741779</v>
      </c>
      <c r="O210" s="6">
        <v>38060</v>
      </c>
      <c r="Q210" s="7">
        <f t="shared" si="15"/>
        <v>2349753</v>
      </c>
      <c r="S210" s="6">
        <v>143855</v>
      </c>
      <c r="T210" s="6">
        <f>+'St of Net Assets - GA'!M210-'Long Term Liab - GA'!S210</f>
        <v>0</v>
      </c>
    </row>
    <row r="211" spans="1:20">
      <c r="A211" s="11" t="s">
        <v>641</v>
      </c>
      <c r="B211" s="11"/>
      <c r="C211" s="11" t="s">
        <v>27</v>
      </c>
      <c r="E211" s="6">
        <v>27999155</v>
      </c>
      <c r="G211" s="6">
        <v>0</v>
      </c>
      <c r="I211" s="6">
        <v>0</v>
      </c>
      <c r="K211" s="6">
        <v>1661966</v>
      </c>
      <c r="M211" s="6">
        <v>6774220</v>
      </c>
      <c r="O211" s="6">
        <v>5615000</v>
      </c>
      <c r="Q211" s="7">
        <f t="shared" si="15"/>
        <v>42050341</v>
      </c>
      <c r="S211" s="6">
        <v>4373895</v>
      </c>
      <c r="T211" s="6">
        <f>+'St of Net Assets - GA'!M211-'Long Term Liab - GA'!S211</f>
        <v>0</v>
      </c>
    </row>
    <row r="212" spans="1:20">
      <c r="A212" s="11" t="s">
        <v>259</v>
      </c>
      <c r="B212" s="11"/>
      <c r="C212" s="11" t="s">
        <v>111</v>
      </c>
      <c r="E212" s="6">
        <v>17747694</v>
      </c>
      <c r="G212" s="6">
        <v>0</v>
      </c>
      <c r="I212" s="6">
        <v>0</v>
      </c>
      <c r="K212" s="6">
        <v>0</v>
      </c>
      <c r="M212" s="6">
        <v>1265409</v>
      </c>
      <c r="O212" s="6">
        <v>0</v>
      </c>
      <c r="Q212" s="7">
        <f t="shared" si="15"/>
        <v>19013103</v>
      </c>
      <c r="S212" s="6">
        <v>250487</v>
      </c>
      <c r="T212" s="6">
        <f>+'St of Net Assets - GA'!M212-'Long Term Liab - GA'!S212</f>
        <v>0</v>
      </c>
    </row>
    <row r="213" spans="1:20">
      <c r="A213" s="11" t="s">
        <v>642</v>
      </c>
      <c r="B213" s="11"/>
      <c r="C213" s="11" t="s">
        <v>29</v>
      </c>
      <c r="E213" s="6">
        <v>40621974</v>
      </c>
      <c r="G213" s="6">
        <v>0</v>
      </c>
      <c r="I213" s="6">
        <v>0</v>
      </c>
      <c r="K213" s="6">
        <v>2346941</v>
      </c>
      <c r="M213" s="6">
        <v>1531687</v>
      </c>
      <c r="O213" s="6">
        <v>0</v>
      </c>
      <c r="Q213" s="7">
        <f t="shared" si="15"/>
        <v>44500602</v>
      </c>
      <c r="S213" s="6">
        <v>1245811</v>
      </c>
      <c r="T213" s="6">
        <f>+'St of Net Assets - GA'!M213-'Long Term Liab - GA'!S213</f>
        <v>0</v>
      </c>
    </row>
    <row r="214" spans="1:20">
      <c r="A214" s="11" t="s">
        <v>313</v>
      </c>
      <c r="B214" s="11"/>
      <c r="C214" s="11" t="s">
        <v>29</v>
      </c>
      <c r="E214" s="6">
        <f>22040000+270126</f>
        <v>22310126</v>
      </c>
      <c r="G214" s="6">
        <v>0</v>
      </c>
      <c r="I214" s="6">
        <v>0</v>
      </c>
      <c r="K214" s="6">
        <v>0</v>
      </c>
      <c r="M214" s="6">
        <v>1530251</v>
      </c>
      <c r="O214" s="6">
        <v>0</v>
      </c>
      <c r="Q214" s="7">
        <f t="shared" si="15"/>
        <v>23840377</v>
      </c>
      <c r="S214" s="6">
        <v>716282</v>
      </c>
      <c r="T214" s="6">
        <f>+'St of Net Assets - GA'!M214-'Long Term Liab - GA'!S214</f>
        <v>0</v>
      </c>
    </row>
    <row r="215" spans="1:20">
      <c r="A215" s="11" t="s">
        <v>535</v>
      </c>
      <c r="B215" s="11"/>
      <c r="C215" s="11" t="s">
        <v>65</v>
      </c>
      <c r="E215" s="6">
        <f>470000+7430-10298</f>
        <v>467132</v>
      </c>
      <c r="G215" s="6">
        <v>0</v>
      </c>
      <c r="I215" s="6">
        <v>128123</v>
      </c>
      <c r="K215" s="6">
        <v>0</v>
      </c>
      <c r="M215" s="6">
        <v>904619</v>
      </c>
      <c r="O215" s="6">
        <v>0</v>
      </c>
      <c r="Q215" s="7">
        <f t="shared" si="15"/>
        <v>1499874</v>
      </c>
      <c r="S215" s="6">
        <v>244482</v>
      </c>
      <c r="T215" s="6">
        <f>+'St of Net Assets - GA'!M215-'Long Term Liab - GA'!S215</f>
        <v>0</v>
      </c>
    </row>
    <row r="216" spans="1:20">
      <c r="A216" s="11" t="s">
        <v>678</v>
      </c>
      <c r="B216" s="11"/>
      <c r="C216" s="11" t="s">
        <v>20</v>
      </c>
      <c r="E216" s="6">
        <v>44275734</v>
      </c>
      <c r="G216" s="6">
        <v>0</v>
      </c>
      <c r="I216" s="6">
        <v>0</v>
      </c>
      <c r="K216" s="6">
        <v>3647820</v>
      </c>
      <c r="M216" s="6">
        <v>5370088</v>
      </c>
      <c r="O216" s="6">
        <v>244333</v>
      </c>
      <c r="Q216" s="7">
        <f t="shared" si="15"/>
        <v>53537975</v>
      </c>
      <c r="S216" s="6">
        <v>1813113</v>
      </c>
      <c r="T216" s="6">
        <f>+'St of Net Assets - GA'!M216-'Long Term Liab - GA'!S216</f>
        <v>0</v>
      </c>
    </row>
    <row r="217" spans="1:20">
      <c r="A217" s="11" t="s">
        <v>643</v>
      </c>
      <c r="B217" s="11"/>
      <c r="C217" s="11" t="s">
        <v>12</v>
      </c>
      <c r="E217" s="6">
        <v>17969088</v>
      </c>
      <c r="G217" s="6">
        <v>0</v>
      </c>
      <c r="I217" s="6">
        <v>0</v>
      </c>
      <c r="K217" s="6">
        <v>0</v>
      </c>
      <c r="M217" s="6">
        <v>1552870</v>
      </c>
      <c r="O217" s="6">
        <v>0</v>
      </c>
      <c r="Q217" s="7">
        <f t="shared" si="15"/>
        <v>19521958</v>
      </c>
      <c r="S217" s="6">
        <v>1068223</v>
      </c>
      <c r="T217" s="6">
        <f>+'St of Net Assets - GA'!M217-'Long Term Liab - GA'!S217</f>
        <v>0</v>
      </c>
    </row>
    <row r="218" spans="1:20" hidden="1">
      <c r="A218" s="11" t="s">
        <v>832</v>
      </c>
      <c r="B218" s="11"/>
      <c r="C218" s="11" t="s">
        <v>53</v>
      </c>
      <c r="Q218" s="7">
        <f t="shared" si="15"/>
        <v>0</v>
      </c>
      <c r="T218" s="6">
        <f>+'St of Net Assets - GA'!M218-'Long Term Liab - GA'!S218</f>
        <v>0</v>
      </c>
    </row>
    <row r="219" spans="1:20" hidden="1">
      <c r="A219" s="11" t="s">
        <v>665</v>
      </c>
      <c r="B219" s="11"/>
      <c r="C219" s="11" t="s">
        <v>77</v>
      </c>
      <c r="Q219" s="7">
        <f t="shared" si="15"/>
        <v>0</v>
      </c>
      <c r="T219" s="6">
        <f>+'St of Net Assets - GA'!M219-'Long Term Liab - GA'!S219</f>
        <v>0</v>
      </c>
    </row>
    <row r="220" spans="1:20">
      <c r="A220" s="11" t="s">
        <v>748</v>
      </c>
      <c r="B220" s="11"/>
      <c r="C220" s="11" t="s">
        <v>79</v>
      </c>
      <c r="E220" s="6">
        <f>3742822+211488-156837</f>
        <v>3797473</v>
      </c>
      <c r="G220" s="6">
        <v>0</v>
      </c>
      <c r="I220" s="6">
        <v>0</v>
      </c>
      <c r="K220" s="6">
        <f>67000+21079</f>
        <v>88079</v>
      </c>
      <c r="M220" s="6">
        <v>461756</v>
      </c>
      <c r="O220" s="6">
        <v>0</v>
      </c>
      <c r="Q220" s="7">
        <f t="shared" ref="Q220:Q225" si="20">SUM(E220:P220)</f>
        <v>4347308</v>
      </c>
      <c r="S220" s="6">
        <v>403397</v>
      </c>
      <c r="T220" s="6">
        <f>+'St of Net Assets - GA'!M220-'Long Term Liab - GA'!S220</f>
        <v>0</v>
      </c>
    </row>
    <row r="221" spans="1:20">
      <c r="A221" s="11" t="s">
        <v>521</v>
      </c>
      <c r="B221" s="11"/>
      <c r="C221" s="11" t="s">
        <v>64</v>
      </c>
      <c r="E221" s="6">
        <f>10949726+351676-125391</f>
        <v>11176011</v>
      </c>
      <c r="G221" s="6">
        <v>0</v>
      </c>
      <c r="I221" s="6">
        <v>0</v>
      </c>
      <c r="K221" s="6">
        <v>600000</v>
      </c>
      <c r="M221" s="6">
        <v>1022972</v>
      </c>
      <c r="O221" s="6">
        <v>0</v>
      </c>
      <c r="Q221" s="7">
        <f t="shared" si="20"/>
        <v>12798983</v>
      </c>
      <c r="S221" s="6">
        <v>843704</v>
      </c>
      <c r="T221" s="6">
        <f>+'St of Net Assets - GA'!M221-'Long Term Liab - GA'!S221</f>
        <v>0</v>
      </c>
    </row>
    <row r="222" spans="1:20" hidden="1">
      <c r="A222" s="11" t="s">
        <v>790</v>
      </c>
      <c r="B222" s="11"/>
      <c r="C222" s="11" t="s">
        <v>28</v>
      </c>
      <c r="Q222" s="7">
        <f t="shared" si="20"/>
        <v>0</v>
      </c>
      <c r="T222" s="6">
        <f>+'St of Net Assets - GA'!M222-'Long Term Liab - GA'!S222</f>
        <v>0</v>
      </c>
    </row>
    <row r="223" spans="1:20">
      <c r="A223" s="11" t="s">
        <v>240</v>
      </c>
      <c r="B223" s="11"/>
      <c r="C223" s="11" t="s">
        <v>113</v>
      </c>
      <c r="E223" s="6">
        <f>1420000+1915000+200000+183656-139678+521619+4810000+2250-114470</f>
        <v>8798377</v>
      </c>
      <c r="G223" s="6">
        <v>0</v>
      </c>
      <c r="I223" s="6">
        <v>0</v>
      </c>
      <c r="K223" s="6">
        <v>112734</v>
      </c>
      <c r="M223" s="6">
        <v>1644755</v>
      </c>
      <c r="O223" s="6">
        <v>0</v>
      </c>
      <c r="Q223" s="7">
        <f t="shared" si="20"/>
        <v>10555866</v>
      </c>
      <c r="S223" s="6">
        <v>671802</v>
      </c>
      <c r="T223" s="6">
        <f>+'St of Net Assets - GA'!M223-'Long Term Liab - GA'!S223</f>
        <v>0</v>
      </c>
    </row>
    <row r="224" spans="1:20" hidden="1">
      <c r="A224" s="11" t="s">
        <v>791</v>
      </c>
      <c r="B224" s="11"/>
      <c r="C224" s="11" t="s">
        <v>228</v>
      </c>
      <c r="Q224" s="7">
        <f t="shared" si="20"/>
        <v>0</v>
      </c>
      <c r="T224" s="6">
        <f>+'St of Net Assets - GA'!M224-'Long Term Liab - GA'!S224</f>
        <v>0</v>
      </c>
    </row>
    <row r="225" spans="1:20">
      <c r="A225" s="11" t="s">
        <v>208</v>
      </c>
      <c r="B225" s="11"/>
      <c r="C225" s="11" t="s">
        <v>12</v>
      </c>
      <c r="E225" s="6">
        <v>9936139</v>
      </c>
      <c r="G225" s="6">
        <v>0</v>
      </c>
      <c r="I225" s="6">
        <v>0</v>
      </c>
      <c r="K225" s="6">
        <v>1139000</v>
      </c>
      <c r="M225" s="6">
        <v>611424</v>
      </c>
      <c r="O225" s="6">
        <v>0</v>
      </c>
      <c r="Q225" s="7">
        <f t="shared" si="20"/>
        <v>11686563</v>
      </c>
      <c r="S225" s="6">
        <v>793130</v>
      </c>
      <c r="T225" s="6">
        <f>+'St of Net Assets - GA'!M225-'Long Term Liab - GA'!S225</f>
        <v>0</v>
      </c>
    </row>
    <row r="226" spans="1:20">
      <c r="A226" s="11" t="s">
        <v>303</v>
      </c>
      <c r="B226" s="11"/>
      <c r="C226" s="11" t="s">
        <v>27</v>
      </c>
      <c r="E226" s="6">
        <v>4254989</v>
      </c>
      <c r="G226" s="6">
        <v>0</v>
      </c>
      <c r="I226" s="6">
        <v>87500</v>
      </c>
      <c r="K226" s="6">
        <v>154044</v>
      </c>
      <c r="M226" s="6">
        <v>1022652</v>
      </c>
      <c r="O226" s="6">
        <v>103990</v>
      </c>
      <c r="Q226" s="7">
        <f t="shared" ref="Q226:Q294" si="21">SUM(E226:P226)</f>
        <v>5623175</v>
      </c>
      <c r="S226" s="6">
        <v>588681</v>
      </c>
      <c r="T226" s="6">
        <f>+'St of Net Assets - GA'!M226-'Long Term Liab - GA'!S226</f>
        <v>0</v>
      </c>
    </row>
    <row r="227" spans="1:20">
      <c r="A227" s="11" t="s">
        <v>666</v>
      </c>
      <c r="B227" s="11"/>
      <c r="C227" s="11" t="s">
        <v>42</v>
      </c>
      <c r="E227" s="6">
        <v>31786927</v>
      </c>
      <c r="G227" s="6">
        <v>0</v>
      </c>
      <c r="I227" s="6">
        <v>1280060</v>
      </c>
      <c r="K227" s="6">
        <v>0</v>
      </c>
      <c r="M227" s="6">
        <v>1229344</v>
      </c>
      <c r="O227" s="6">
        <v>0</v>
      </c>
      <c r="Q227" s="7">
        <f t="shared" si="21"/>
        <v>34296331</v>
      </c>
      <c r="S227" s="6">
        <v>940221</v>
      </c>
      <c r="T227" s="6">
        <f>+'St of Net Assets - GA'!M227-'Long Term Liab - GA'!S227</f>
        <v>0</v>
      </c>
    </row>
    <row r="228" spans="1:20">
      <c r="A228" s="11" t="s">
        <v>481</v>
      </c>
      <c r="B228" s="11"/>
      <c r="C228" s="11" t="s">
        <v>59</v>
      </c>
      <c r="E228" s="6">
        <v>0</v>
      </c>
      <c r="G228" s="6">
        <v>0</v>
      </c>
      <c r="I228" s="6">
        <v>148218</v>
      </c>
      <c r="K228" s="6">
        <v>68251</v>
      </c>
      <c r="M228" s="6">
        <v>356515</v>
      </c>
      <c r="O228" s="6">
        <v>0</v>
      </c>
      <c r="Q228" s="7">
        <f t="shared" si="21"/>
        <v>572984</v>
      </c>
      <c r="S228" s="6">
        <v>110255</v>
      </c>
      <c r="T228" s="6">
        <f>+'St of Net Assets - GA'!M228-'Long Term Liab - GA'!S228</f>
        <v>0</v>
      </c>
    </row>
    <row r="229" spans="1:20">
      <c r="A229" s="11" t="s">
        <v>481</v>
      </c>
      <c r="B229" s="11"/>
      <c r="C229" s="11" t="s">
        <v>63</v>
      </c>
      <c r="E229" s="6">
        <v>11133002</v>
      </c>
      <c r="G229" s="6">
        <v>0</v>
      </c>
      <c r="I229" s="6">
        <v>8034672</v>
      </c>
      <c r="K229" s="6">
        <v>0</v>
      </c>
      <c r="M229" s="6">
        <v>1589949</v>
      </c>
      <c r="O229" s="6">
        <f>13070323+171409</f>
        <v>13241732</v>
      </c>
      <c r="Q229" s="7">
        <f t="shared" si="21"/>
        <v>33999355</v>
      </c>
      <c r="S229" s="6">
        <v>2166105</v>
      </c>
      <c r="T229" s="6">
        <f>+'St of Net Assets - GA'!M229-'Long Term Liab - GA'!S229</f>
        <v>0</v>
      </c>
    </row>
    <row r="230" spans="1:20" hidden="1">
      <c r="A230" s="10" t="s">
        <v>856</v>
      </c>
      <c r="B230" s="11"/>
      <c r="C230" s="11" t="s">
        <v>71</v>
      </c>
      <c r="Q230" s="7">
        <f t="shared" si="21"/>
        <v>0</v>
      </c>
      <c r="T230" s="6">
        <f>+'St of Net Assets - GA'!M230-'Long Term Liab - GA'!S230</f>
        <v>0</v>
      </c>
    </row>
    <row r="231" spans="1:20">
      <c r="A231" s="11" t="s">
        <v>318</v>
      </c>
      <c r="B231" s="11"/>
      <c r="C231" s="11" t="s">
        <v>114</v>
      </c>
      <c r="E231" s="6">
        <v>6578723</v>
      </c>
      <c r="G231" s="6">
        <v>0</v>
      </c>
      <c r="I231" s="6">
        <v>0</v>
      </c>
      <c r="K231" s="6">
        <v>0</v>
      </c>
      <c r="M231" s="6">
        <v>676560</v>
      </c>
      <c r="O231" s="6">
        <v>0</v>
      </c>
      <c r="Q231" s="7">
        <f t="shared" si="21"/>
        <v>7255283</v>
      </c>
      <c r="S231" s="6">
        <v>443529</v>
      </c>
      <c r="T231" s="6">
        <f>+'St of Net Assets - GA'!M231-'Long Term Liab - GA'!S231</f>
        <v>0</v>
      </c>
    </row>
    <row r="232" spans="1:20">
      <c r="A232" s="11" t="s">
        <v>760</v>
      </c>
      <c r="B232" s="11"/>
      <c r="C232" s="11" t="s">
        <v>348</v>
      </c>
      <c r="E232" s="6">
        <f>585000+1060000+58682+354998+42692-16154</f>
        <v>2085218</v>
      </c>
      <c r="G232" s="6">
        <v>0</v>
      </c>
      <c r="I232" s="6">
        <v>0</v>
      </c>
      <c r="K232" s="6">
        <v>0</v>
      </c>
      <c r="M232" s="6">
        <v>1751609</v>
      </c>
      <c r="O232" s="6">
        <v>0</v>
      </c>
      <c r="Q232" s="7">
        <f t="shared" si="21"/>
        <v>3836827</v>
      </c>
      <c r="S232" s="6">
        <v>316403</v>
      </c>
      <c r="T232" s="6">
        <f>+'St of Net Assets - GA'!M232-'Long Term Liab - GA'!S232</f>
        <v>0</v>
      </c>
    </row>
    <row r="233" spans="1:20">
      <c r="A233" s="11" t="s">
        <v>232</v>
      </c>
      <c r="B233" s="11"/>
      <c r="C233" s="11" t="s">
        <v>17</v>
      </c>
      <c r="E233" s="6">
        <v>77226</v>
      </c>
      <c r="G233" s="6">
        <v>0</v>
      </c>
      <c r="I233" s="6">
        <v>0</v>
      </c>
      <c r="K233" s="6">
        <v>0</v>
      </c>
      <c r="M233" s="6">
        <v>1034932</v>
      </c>
      <c r="O233" s="6">
        <v>86552</v>
      </c>
      <c r="Q233" s="7">
        <f t="shared" si="21"/>
        <v>1198710</v>
      </c>
      <c r="S233" s="6">
        <v>155826</v>
      </c>
      <c r="T233" s="6">
        <f>+'St of Net Assets - GA'!M233-'Long Term Liab - GA'!S233</f>
        <v>0</v>
      </c>
    </row>
    <row r="234" spans="1:20">
      <c r="A234" s="11" t="s">
        <v>282</v>
      </c>
      <c r="B234" s="11"/>
      <c r="C234" s="11" t="s">
        <v>21</v>
      </c>
      <c r="E234" s="6">
        <v>0</v>
      </c>
      <c r="G234" s="6">
        <v>0</v>
      </c>
      <c r="I234" s="6">
        <v>0</v>
      </c>
      <c r="K234" s="6">
        <v>0</v>
      </c>
      <c r="M234" s="6">
        <v>975230</v>
      </c>
      <c r="O234" s="6">
        <v>0</v>
      </c>
      <c r="Q234" s="7">
        <f t="shared" si="21"/>
        <v>975230</v>
      </c>
      <c r="S234" s="6">
        <v>123696</v>
      </c>
      <c r="T234" s="6">
        <f>+'St of Net Assets - GA'!M234-'Long Term Liab - GA'!S234</f>
        <v>0</v>
      </c>
    </row>
    <row r="235" spans="1:20">
      <c r="A235" s="11" t="s">
        <v>304</v>
      </c>
      <c r="B235" s="11"/>
      <c r="C235" s="11" t="s">
        <v>27</v>
      </c>
      <c r="E235" s="6">
        <v>0</v>
      </c>
      <c r="G235" s="6">
        <v>0</v>
      </c>
      <c r="I235" s="6">
        <v>5739650</v>
      </c>
      <c r="K235" s="6">
        <v>4445895</v>
      </c>
      <c r="M235" s="6">
        <v>2644419</v>
      </c>
      <c r="O235" s="6">
        <v>0</v>
      </c>
      <c r="Q235" s="7">
        <f t="shared" si="21"/>
        <v>12829964</v>
      </c>
      <c r="S235" s="6">
        <v>1250738</v>
      </c>
      <c r="T235" s="6">
        <f>+'St of Net Assets - GA'!M235-'Long Term Liab - GA'!S235</f>
        <v>0</v>
      </c>
    </row>
    <row r="236" spans="1:20" hidden="1">
      <c r="A236" s="10" t="s">
        <v>857</v>
      </c>
      <c r="B236" s="11"/>
      <c r="C236" s="11" t="s">
        <v>221</v>
      </c>
      <c r="Q236" s="7">
        <f t="shared" si="21"/>
        <v>0</v>
      </c>
      <c r="T236" s="6">
        <f>+'St of Net Assets - GA'!M236-'Long Term Liab - GA'!S236</f>
        <v>0</v>
      </c>
    </row>
    <row r="237" spans="1:20">
      <c r="A237" s="10" t="s">
        <v>802</v>
      </c>
      <c r="B237" s="11"/>
      <c r="C237" s="11" t="s">
        <v>27</v>
      </c>
      <c r="E237" s="6">
        <v>24424694</v>
      </c>
      <c r="G237" s="6">
        <v>0</v>
      </c>
      <c r="I237" s="6">
        <v>0</v>
      </c>
      <c r="K237" s="6">
        <v>126748</v>
      </c>
      <c r="M237" s="6">
        <v>707913</v>
      </c>
      <c r="O237" s="6">
        <v>0</v>
      </c>
      <c r="Q237" s="7">
        <f t="shared" si="21"/>
        <v>25259355</v>
      </c>
      <c r="S237" s="6">
        <v>1145509</v>
      </c>
      <c r="T237" s="6">
        <f>+'St of Net Assets - GA'!M237-'Long Term Liab - GA'!S237</f>
        <v>0</v>
      </c>
    </row>
    <row r="238" spans="1:20">
      <c r="A238" s="10" t="s">
        <v>340</v>
      </c>
      <c r="B238" s="11"/>
      <c r="C238" s="11" t="s">
        <v>339</v>
      </c>
      <c r="E238" s="6">
        <v>3345000</v>
      </c>
      <c r="G238" s="6">
        <v>0</v>
      </c>
      <c r="I238" s="6">
        <v>0</v>
      </c>
      <c r="K238" s="6">
        <v>865216</v>
      </c>
      <c r="M238" s="6">
        <v>44131</v>
      </c>
      <c r="O238" s="6">
        <v>0</v>
      </c>
      <c r="Q238" s="7">
        <f t="shared" si="21"/>
        <v>4254347</v>
      </c>
      <c r="S238" s="6">
        <v>103261</v>
      </c>
      <c r="T238" s="6">
        <f>+'St of Net Assets - GA'!M238-'Long Term Liab - GA'!S238</f>
        <v>0</v>
      </c>
    </row>
    <row r="239" spans="1:20">
      <c r="A239" s="10" t="s">
        <v>491</v>
      </c>
      <c r="B239" s="11"/>
      <c r="C239" s="11" t="s">
        <v>61</v>
      </c>
      <c r="E239" s="6">
        <f>4820000+3750000+306432+245330</f>
        <v>9121762</v>
      </c>
      <c r="G239" s="6">
        <v>19597</v>
      </c>
      <c r="I239" s="6">
        <v>0</v>
      </c>
      <c r="K239" s="6">
        <v>0</v>
      </c>
      <c r="M239" s="6">
        <v>408603</v>
      </c>
      <c r="O239" s="6">
        <v>0</v>
      </c>
      <c r="Q239" s="7">
        <f t="shared" si="21"/>
        <v>9549962</v>
      </c>
      <c r="S239" s="6">
        <v>259597</v>
      </c>
      <c r="T239" s="6">
        <f>+'St of Net Assets - GA'!M239-'Long Term Liab - GA'!S239</f>
        <v>0</v>
      </c>
    </row>
    <row r="240" spans="1:20" hidden="1">
      <c r="A240" s="10" t="s">
        <v>858</v>
      </c>
      <c r="B240" s="11"/>
      <c r="C240" s="11" t="s">
        <v>343</v>
      </c>
      <c r="Q240" s="7">
        <f t="shared" si="21"/>
        <v>0</v>
      </c>
      <c r="T240" s="6">
        <f>+'St of Net Assets - GA'!M240-'Long Term Liab - GA'!S240</f>
        <v>0</v>
      </c>
    </row>
    <row r="241" spans="1:20">
      <c r="A241" s="11" t="s">
        <v>373</v>
      </c>
      <c r="B241" s="11"/>
      <c r="C241" s="11" t="s">
        <v>42</v>
      </c>
      <c r="E241" s="6">
        <v>14825640</v>
      </c>
      <c r="G241" s="6">
        <v>0</v>
      </c>
      <c r="I241" s="6">
        <v>0</v>
      </c>
      <c r="K241" s="6">
        <v>69131</v>
      </c>
      <c r="M241" s="6">
        <v>1347406</v>
      </c>
      <c r="O241" s="6">
        <v>0</v>
      </c>
      <c r="Q241" s="7">
        <f t="shared" si="21"/>
        <v>16242177</v>
      </c>
      <c r="S241" s="6">
        <v>1278987</v>
      </c>
      <c r="T241" s="6">
        <f>+'St of Net Assets - GA'!M241-'Long Term Liab - GA'!S241</f>
        <v>0</v>
      </c>
    </row>
    <row r="242" spans="1:20" hidden="1">
      <c r="A242" s="11" t="s">
        <v>667</v>
      </c>
      <c r="B242" s="11"/>
      <c r="C242" s="11" t="s">
        <v>22</v>
      </c>
      <c r="Q242" s="7">
        <f t="shared" si="21"/>
        <v>0</v>
      </c>
      <c r="T242" s="6">
        <f>+'St of Net Assets - GA'!M242-'Long Term Liab - GA'!S242</f>
        <v>0</v>
      </c>
    </row>
    <row r="243" spans="1:20">
      <c r="A243" s="11" t="s">
        <v>417</v>
      </c>
      <c r="B243" s="11"/>
      <c r="C243" s="11" t="s">
        <v>47</v>
      </c>
      <c r="E243" s="6">
        <v>30068951</v>
      </c>
      <c r="G243" s="6">
        <v>0</v>
      </c>
      <c r="I243" s="6">
        <v>0</v>
      </c>
      <c r="K243" s="6">
        <v>3707</v>
      </c>
      <c r="M243" s="6">
        <v>2103979</v>
      </c>
      <c r="O243" s="6">
        <v>0</v>
      </c>
      <c r="Q243" s="7">
        <f t="shared" si="21"/>
        <v>32176637</v>
      </c>
      <c r="S243" s="6">
        <v>1484103</v>
      </c>
      <c r="T243" s="6">
        <f>+'St of Net Assets - GA'!M243-'Long Term Liab - GA'!S243</f>
        <v>0</v>
      </c>
    </row>
    <row r="244" spans="1:20">
      <c r="A244" s="11" t="s">
        <v>417</v>
      </c>
      <c r="B244" s="11"/>
      <c r="C244" s="11" t="s">
        <v>78</v>
      </c>
      <c r="E244" s="6">
        <v>15321337</v>
      </c>
      <c r="G244" s="6">
        <v>0</v>
      </c>
      <c r="I244" s="6">
        <v>0</v>
      </c>
      <c r="K244" s="6">
        <v>17584</v>
      </c>
      <c r="M244" s="6">
        <v>865022</v>
      </c>
      <c r="O244" s="6">
        <v>0</v>
      </c>
      <c r="Q244" s="7">
        <f t="shared" si="21"/>
        <v>16203943</v>
      </c>
      <c r="S244" s="6">
        <v>198064</v>
      </c>
      <c r="T244" s="6">
        <f>+'St of Net Assets - GA'!M244-'Long Term Liab - GA'!S244</f>
        <v>0</v>
      </c>
    </row>
    <row r="245" spans="1:20">
      <c r="A245" s="11" t="s">
        <v>305</v>
      </c>
      <c r="B245" s="11"/>
      <c r="C245" s="11" t="s">
        <v>27</v>
      </c>
      <c r="E245" s="6">
        <v>175917817</v>
      </c>
      <c r="G245" s="6">
        <v>0</v>
      </c>
      <c r="I245" s="6">
        <f>5875000+2769</f>
        <v>5877769</v>
      </c>
      <c r="K245" s="6">
        <v>0</v>
      </c>
      <c r="M245" s="6">
        <v>12514478</v>
      </c>
      <c r="O245" s="6">
        <v>2112000</v>
      </c>
      <c r="Q245" s="7">
        <f t="shared" si="21"/>
        <v>196422064</v>
      </c>
      <c r="S245" s="6">
        <v>15218901</v>
      </c>
      <c r="T245" s="6">
        <f>+'St of Net Assets - GA'!M245-'Long Term Liab - GA'!S245</f>
        <v>0</v>
      </c>
    </row>
    <row r="246" spans="1:20">
      <c r="A246" s="11" t="s">
        <v>350</v>
      </c>
      <c r="B246" s="11"/>
      <c r="C246" s="11" t="s">
        <v>348</v>
      </c>
      <c r="E246" s="6">
        <v>10406158</v>
      </c>
      <c r="G246" s="6">
        <v>0</v>
      </c>
      <c r="I246" s="6">
        <v>0</v>
      </c>
      <c r="K246" s="6">
        <v>718000</v>
      </c>
      <c r="M246" s="6">
        <v>928428</v>
      </c>
      <c r="O246" s="6">
        <v>0</v>
      </c>
      <c r="Q246" s="7">
        <f t="shared" si="21"/>
        <v>12052586</v>
      </c>
      <c r="S246" s="6">
        <v>637383</v>
      </c>
      <c r="T246" s="6">
        <f>+'St of Net Assets - GA'!M246-'Long Term Liab - GA'!S246</f>
        <v>0</v>
      </c>
    </row>
    <row r="247" spans="1:20">
      <c r="A247" s="11" t="s">
        <v>204</v>
      </c>
      <c r="B247" s="11"/>
      <c r="C247" s="11" t="s">
        <v>11</v>
      </c>
      <c r="E247" s="6">
        <v>94500</v>
      </c>
      <c r="G247" s="6">
        <v>0</v>
      </c>
      <c r="I247" s="6">
        <v>75350</v>
      </c>
      <c r="K247" s="6">
        <v>0</v>
      </c>
      <c r="M247" s="6">
        <v>959755</v>
      </c>
      <c r="O247" s="6">
        <v>0</v>
      </c>
      <c r="Q247" s="7">
        <f t="shared" si="21"/>
        <v>1129605</v>
      </c>
      <c r="S247" s="6">
        <v>179741</v>
      </c>
      <c r="T247" s="6">
        <f>+'St of Net Assets - GA'!M247-'Long Term Liab - GA'!S247</f>
        <v>0</v>
      </c>
    </row>
    <row r="248" spans="1:20">
      <c r="A248" s="11" t="s">
        <v>344</v>
      </c>
      <c r="B248" s="11"/>
      <c r="C248" s="11" t="s">
        <v>34</v>
      </c>
      <c r="E248" s="6">
        <v>2245000</v>
      </c>
      <c r="G248" s="6">
        <v>1819000</v>
      </c>
      <c r="I248" s="6">
        <v>0</v>
      </c>
      <c r="K248" s="6">
        <v>0</v>
      </c>
      <c r="M248" s="6">
        <v>260942</v>
      </c>
      <c r="O248" s="6">
        <v>0</v>
      </c>
      <c r="Q248" s="7">
        <f t="shared" si="21"/>
        <v>4324942</v>
      </c>
      <c r="S248" s="6">
        <v>186875</v>
      </c>
      <c r="T248" s="6">
        <f>+'St of Net Assets - GA'!M248-'Long Term Liab - GA'!S248</f>
        <v>0</v>
      </c>
    </row>
    <row r="249" spans="1:20" ht="12" hidden="1" customHeight="1">
      <c r="A249" s="10" t="s">
        <v>891</v>
      </c>
      <c r="B249" s="10"/>
      <c r="C249" s="10" t="s">
        <v>60</v>
      </c>
      <c r="Q249" s="7">
        <v>0</v>
      </c>
      <c r="T249" s="6">
        <f>+'St of Net Assets - GA'!M249-'Long Term Liab - GA'!S249</f>
        <v>0</v>
      </c>
    </row>
    <row r="250" spans="1:20">
      <c r="A250" s="11" t="s">
        <v>522</v>
      </c>
      <c r="B250" s="11"/>
      <c r="C250" s="11" t="s">
        <v>64</v>
      </c>
      <c r="E250" s="6">
        <v>1198500</v>
      </c>
      <c r="G250" s="6">
        <v>0</v>
      </c>
      <c r="I250" s="6">
        <v>0</v>
      </c>
      <c r="K250" s="6">
        <v>0</v>
      </c>
      <c r="M250" s="6">
        <v>3138252</v>
      </c>
      <c r="O250" s="6">
        <v>0</v>
      </c>
      <c r="Q250" s="7">
        <f t="shared" si="21"/>
        <v>4336752</v>
      </c>
      <c r="S250" s="6">
        <v>475094</v>
      </c>
      <c r="T250" s="6">
        <f>+'St of Net Assets - GA'!M250-'Long Term Liab - GA'!S250</f>
        <v>0</v>
      </c>
    </row>
    <row r="251" spans="1:20">
      <c r="A251" s="11" t="s">
        <v>761</v>
      </c>
      <c r="B251" s="11"/>
      <c r="C251" s="11" t="s">
        <v>64</v>
      </c>
      <c r="E251" s="6">
        <v>17266193</v>
      </c>
      <c r="G251" s="6">
        <v>0</v>
      </c>
      <c r="I251" s="6">
        <v>0</v>
      </c>
      <c r="K251" s="6">
        <v>0</v>
      </c>
      <c r="M251" s="6">
        <v>847122</v>
      </c>
      <c r="O251" s="6">
        <v>0</v>
      </c>
      <c r="Q251" s="7">
        <f t="shared" si="21"/>
        <v>18113315</v>
      </c>
      <c r="S251" s="6">
        <v>616792</v>
      </c>
      <c r="T251" s="6">
        <f>+'St of Net Assets - GA'!M251-'Long Term Liab - GA'!S251</f>
        <v>0</v>
      </c>
    </row>
    <row r="252" spans="1:20">
      <c r="A252" s="11" t="s">
        <v>430</v>
      </c>
      <c r="B252" s="11"/>
      <c r="C252" s="11" t="s">
        <v>50</v>
      </c>
      <c r="E252" s="6">
        <f>78285000+1565000</f>
        <v>79850000</v>
      </c>
      <c r="G252" s="6">
        <v>0</v>
      </c>
      <c r="I252" s="6">
        <v>91095</v>
      </c>
      <c r="K252" s="6">
        <v>91937</v>
      </c>
      <c r="M252" s="6">
        <v>1938799</v>
      </c>
      <c r="O252" s="6">
        <v>965746</v>
      </c>
      <c r="Q252" s="7">
        <f t="shared" si="21"/>
        <v>82937577</v>
      </c>
      <c r="S252" s="6">
        <v>2167270</v>
      </c>
      <c r="T252" s="6">
        <f>+'St of Net Assets - GA'!M252-'Long Term Liab - GA'!S252</f>
        <v>0</v>
      </c>
    </row>
    <row r="253" spans="1:20">
      <c r="A253" s="11" t="s">
        <v>509</v>
      </c>
      <c r="B253" s="11"/>
      <c r="C253" s="11" t="s">
        <v>63</v>
      </c>
      <c r="E253" s="6">
        <f>28885000+45317</f>
        <v>28930317</v>
      </c>
      <c r="G253" s="6">
        <v>0</v>
      </c>
      <c r="I253" s="6">
        <v>0</v>
      </c>
      <c r="K253" s="6">
        <v>537113</v>
      </c>
      <c r="M253" s="6">
        <v>2933741</v>
      </c>
      <c r="O253" s="6">
        <v>0</v>
      </c>
      <c r="Q253" s="7">
        <f t="shared" si="21"/>
        <v>32401171</v>
      </c>
      <c r="S253" s="6">
        <v>3644079</v>
      </c>
      <c r="T253" s="6">
        <f>+'St of Net Assets - GA'!M253-'Long Term Liab - GA'!S253</f>
        <v>0</v>
      </c>
    </row>
    <row r="254" spans="1:20">
      <c r="A254" s="11" t="s">
        <v>474</v>
      </c>
      <c r="B254" s="11"/>
      <c r="C254" s="11" t="s">
        <v>58</v>
      </c>
      <c r="E254" s="6">
        <v>580000</v>
      </c>
      <c r="G254" s="6">
        <v>0</v>
      </c>
      <c r="I254" s="6">
        <v>0</v>
      </c>
      <c r="K254" s="6">
        <v>66207</v>
      </c>
      <c r="M254" s="6">
        <v>657574</v>
      </c>
      <c r="O254" s="6">
        <v>0</v>
      </c>
      <c r="Q254" s="7">
        <f t="shared" si="21"/>
        <v>1303781</v>
      </c>
      <c r="S254" s="6">
        <v>171282</v>
      </c>
      <c r="T254" s="6">
        <f>+'St of Net Assets - GA'!M254-'Long Term Liab - GA'!S254</f>
        <v>0</v>
      </c>
    </row>
    <row r="255" spans="1:20">
      <c r="A255" s="11" t="s">
        <v>286</v>
      </c>
      <c r="B255" s="11"/>
      <c r="C255" s="11" t="s">
        <v>24</v>
      </c>
      <c r="E255" s="6">
        <f>3133033+1355000-124731+258503</f>
        <v>4621805</v>
      </c>
      <c r="G255" s="6">
        <v>0</v>
      </c>
      <c r="I255" s="6">
        <v>0</v>
      </c>
      <c r="K255" s="6">
        <v>3516525</v>
      </c>
      <c r="M255" s="6">
        <v>960838</v>
      </c>
      <c r="O255" s="6">
        <v>0</v>
      </c>
      <c r="Q255" s="7">
        <f t="shared" si="21"/>
        <v>9099168</v>
      </c>
      <c r="S255" s="6">
        <v>942933</v>
      </c>
      <c r="T255" s="6">
        <f>+'St of Net Assets - GA'!M255-'Long Term Liab - GA'!S255</f>
        <v>0</v>
      </c>
    </row>
    <row r="256" spans="1:20">
      <c r="A256" s="11" t="s">
        <v>269</v>
      </c>
      <c r="B256" s="11"/>
      <c r="C256" s="11" t="s">
        <v>20</v>
      </c>
      <c r="E256" s="6">
        <v>15515685</v>
      </c>
      <c r="G256" s="6">
        <v>0</v>
      </c>
      <c r="I256" s="6">
        <v>0</v>
      </c>
      <c r="K256" s="6">
        <v>70478</v>
      </c>
      <c r="M256" s="6">
        <v>1372060</v>
      </c>
      <c r="O256" s="6">
        <v>0</v>
      </c>
      <c r="Q256" s="7">
        <f t="shared" si="21"/>
        <v>16958223</v>
      </c>
      <c r="S256" s="6">
        <v>685167</v>
      </c>
      <c r="T256" s="6">
        <f>+'St of Net Assets - GA'!M256-'Long Term Liab - GA'!S256</f>
        <v>0</v>
      </c>
    </row>
    <row r="257" spans="1:20" ht="12" customHeight="1">
      <c r="A257" s="11" t="s">
        <v>363</v>
      </c>
      <c r="B257" s="11"/>
      <c r="C257" s="11" t="s">
        <v>39</v>
      </c>
      <c r="E257" s="6">
        <v>11540491</v>
      </c>
      <c r="G257" s="6">
        <v>0</v>
      </c>
      <c r="I257" s="6">
        <v>0</v>
      </c>
      <c r="K257" s="6">
        <v>194797</v>
      </c>
      <c r="M257" s="6">
        <v>1310850</v>
      </c>
      <c r="O257" s="6">
        <v>0</v>
      </c>
      <c r="Q257" s="7">
        <f t="shared" si="21"/>
        <v>13046138</v>
      </c>
      <c r="S257" s="6">
        <v>740298</v>
      </c>
      <c r="T257" s="6">
        <f>+'St of Net Assets - GA'!M257-'Long Term Liab - GA'!S257</f>
        <v>0</v>
      </c>
    </row>
    <row r="258" spans="1:20" ht="12" customHeight="1">
      <c r="A258" s="11" t="s">
        <v>762</v>
      </c>
      <c r="B258" s="11"/>
      <c r="C258" s="11" t="s">
        <v>32</v>
      </c>
      <c r="E258" s="6">
        <f>32832405+966640-1251664</f>
        <v>32547381</v>
      </c>
      <c r="G258" s="6">
        <v>0</v>
      </c>
      <c r="I258" s="6">
        <v>0</v>
      </c>
      <c r="K258" s="6">
        <v>787000</v>
      </c>
      <c r="M258" s="6">
        <v>1709549</v>
      </c>
      <c r="O258" s="6">
        <v>0</v>
      </c>
      <c r="Q258" s="7">
        <f t="shared" si="21"/>
        <v>35043930</v>
      </c>
      <c r="S258" s="6">
        <v>2841280</v>
      </c>
      <c r="T258" s="6">
        <f>+'St of Net Assets - GA'!M258-'Long Term Liab - GA'!S258</f>
        <v>0</v>
      </c>
    </row>
    <row r="259" spans="1:20" ht="12" hidden="1" customHeight="1">
      <c r="A259" s="11" t="s">
        <v>795</v>
      </c>
      <c r="B259" s="11"/>
      <c r="C259" s="11" t="s">
        <v>43</v>
      </c>
      <c r="Q259" s="7">
        <v>0</v>
      </c>
      <c r="T259" s="6">
        <f>+'St of Net Assets - GA'!M259-'Long Term Liab - GA'!S259</f>
        <v>0</v>
      </c>
    </row>
    <row r="260" spans="1:20" ht="12" customHeight="1">
      <c r="A260" s="11" t="s">
        <v>536</v>
      </c>
      <c r="B260" s="11"/>
      <c r="C260" s="11" t="s">
        <v>65</v>
      </c>
      <c r="E260" s="6">
        <f>6925000+87994+292568+213302+2155000+1059989+623754+167763-119031</f>
        <v>11406339</v>
      </c>
      <c r="G260" s="6">
        <v>1000</v>
      </c>
      <c r="I260" s="6">
        <v>0</v>
      </c>
      <c r="K260" s="6">
        <v>140060</v>
      </c>
      <c r="M260" s="6">
        <v>1301845</v>
      </c>
      <c r="O260" s="6">
        <v>0</v>
      </c>
      <c r="Q260" s="7">
        <f t="shared" si="21"/>
        <v>12849244</v>
      </c>
      <c r="S260" s="6">
        <v>917615</v>
      </c>
      <c r="T260" s="6">
        <f>+'St of Net Assets - GA'!M260-'Long Term Liab - GA'!S260</f>
        <v>0</v>
      </c>
    </row>
    <row r="261" spans="1:20" ht="12" customHeight="1">
      <c r="A261" s="11" t="s">
        <v>369</v>
      </c>
      <c r="B261" s="11"/>
      <c r="C261" s="11" t="s">
        <v>366</v>
      </c>
      <c r="E261" s="6">
        <v>17340976</v>
      </c>
      <c r="G261" s="6">
        <v>0</v>
      </c>
      <c r="I261" s="6">
        <v>0</v>
      </c>
      <c r="K261" s="6">
        <v>0</v>
      </c>
      <c r="M261" s="6">
        <v>740663</v>
      </c>
      <c r="O261" s="6">
        <v>0</v>
      </c>
      <c r="Q261" s="7">
        <f t="shared" si="21"/>
        <v>18081639</v>
      </c>
      <c r="S261" s="6">
        <v>260064</v>
      </c>
      <c r="T261" s="6">
        <f>+'St of Net Assets - GA'!M261-'Long Term Liab - GA'!S261</f>
        <v>0</v>
      </c>
    </row>
    <row r="262" spans="1:20" ht="12" hidden="1" customHeight="1">
      <c r="A262" s="11" t="s">
        <v>668</v>
      </c>
      <c r="B262" s="11"/>
      <c r="C262" s="11" t="s">
        <v>61</v>
      </c>
      <c r="Q262" s="7">
        <f t="shared" si="21"/>
        <v>0</v>
      </c>
      <c r="T262" s="6">
        <f>+'St of Net Assets - GA'!M262-'Long Term Liab - GA'!S262</f>
        <v>0</v>
      </c>
    </row>
    <row r="263" spans="1:20" ht="12" hidden="1" customHeight="1">
      <c r="A263" s="11" t="s">
        <v>679</v>
      </c>
      <c r="B263" s="11"/>
      <c r="C263" s="11" t="s">
        <v>38</v>
      </c>
      <c r="Q263" s="7">
        <f t="shared" si="21"/>
        <v>0</v>
      </c>
      <c r="T263" s="6">
        <f>+'St of Net Assets - GA'!M263-'Long Term Liab - GA'!S263</f>
        <v>0</v>
      </c>
    </row>
    <row r="264" spans="1:20" ht="12" customHeight="1">
      <c r="A264" s="11" t="s">
        <v>497</v>
      </c>
      <c r="B264" s="11"/>
      <c r="C264" s="11" t="s">
        <v>62</v>
      </c>
      <c r="E264" s="6">
        <f>61384867-1945801+3305883</f>
        <v>62744949</v>
      </c>
      <c r="G264" s="6">
        <v>0</v>
      </c>
      <c r="I264" s="6">
        <v>0</v>
      </c>
      <c r="K264" s="6">
        <v>0</v>
      </c>
      <c r="M264" s="6">
        <v>4451168</v>
      </c>
      <c r="O264" s="6">
        <v>50000</v>
      </c>
      <c r="Q264" s="7">
        <f t="shared" si="21"/>
        <v>67246117</v>
      </c>
      <c r="S264" s="6">
        <v>5329501</v>
      </c>
      <c r="T264" s="6">
        <f>+'St of Net Assets - GA'!M264-'Long Term Liab - GA'!S264</f>
        <v>0</v>
      </c>
    </row>
    <row r="265" spans="1:20" ht="12" customHeight="1">
      <c r="A265" s="11" t="s">
        <v>404</v>
      </c>
      <c r="B265" s="11"/>
      <c r="C265" s="11" t="s">
        <v>45</v>
      </c>
      <c r="E265" s="6">
        <f>14675000-166171</f>
        <v>14508829</v>
      </c>
      <c r="G265" s="6">
        <v>0</v>
      </c>
      <c r="I265" s="6">
        <v>30004</v>
      </c>
      <c r="K265" s="6">
        <v>626950</v>
      </c>
      <c r="M265" s="6">
        <v>655929</v>
      </c>
      <c r="O265" s="6">
        <v>0</v>
      </c>
      <c r="Q265" s="7">
        <f t="shared" si="21"/>
        <v>15821712</v>
      </c>
      <c r="S265" s="6">
        <v>504476</v>
      </c>
      <c r="T265" s="6">
        <f>+'St of Net Assets - GA'!M265-'Long Term Liab - GA'!S265</f>
        <v>0</v>
      </c>
    </row>
    <row r="266" spans="1:20" ht="12" customHeight="1">
      <c r="A266" s="11" t="s">
        <v>460</v>
      </c>
      <c r="B266" s="11"/>
      <c r="C266" s="11" t="s">
        <v>56</v>
      </c>
      <c r="E266" s="6">
        <f>4700000+186597-107413</f>
        <v>4779184</v>
      </c>
      <c r="G266" s="6">
        <v>0</v>
      </c>
      <c r="I266" s="6">
        <v>0</v>
      </c>
      <c r="K266" s="6">
        <v>147457</v>
      </c>
      <c r="M266" s="6">
        <v>824006</v>
      </c>
      <c r="O266" s="6">
        <v>0</v>
      </c>
      <c r="Q266" s="7">
        <f t="shared" si="21"/>
        <v>5750647</v>
      </c>
      <c r="S266" s="6">
        <v>403404</v>
      </c>
      <c r="T266" s="6">
        <f>+'St of Net Assets - GA'!M266-'Long Term Liab - GA'!S266</f>
        <v>0</v>
      </c>
    </row>
    <row r="267" spans="1:20">
      <c r="A267" s="11" t="s">
        <v>209</v>
      </c>
      <c r="B267" s="11"/>
      <c r="C267" s="11" t="s">
        <v>12</v>
      </c>
      <c r="E267" s="6">
        <v>19000615</v>
      </c>
      <c r="G267" s="6">
        <v>0</v>
      </c>
      <c r="I267" s="6">
        <v>55000</v>
      </c>
      <c r="K267" s="6">
        <v>0</v>
      </c>
      <c r="M267" s="6">
        <v>1051123</v>
      </c>
      <c r="O267" s="6">
        <v>0</v>
      </c>
      <c r="Q267" s="7">
        <f t="shared" si="21"/>
        <v>20106738</v>
      </c>
      <c r="S267" s="6">
        <v>701099</v>
      </c>
      <c r="T267" s="6">
        <f>+'St of Net Assets - GA'!M267-'Long Term Liab - GA'!S267</f>
        <v>0</v>
      </c>
    </row>
    <row r="268" spans="1:20">
      <c r="A268" s="11" t="s">
        <v>397</v>
      </c>
      <c r="B268" s="11"/>
      <c r="C268" s="11" t="s">
        <v>398</v>
      </c>
      <c r="E268" s="6">
        <f>215883+12240000+135108</f>
        <v>12590991</v>
      </c>
      <c r="G268" s="6">
        <v>0</v>
      </c>
      <c r="I268" s="6">
        <v>675000</v>
      </c>
      <c r="K268" s="6">
        <v>0</v>
      </c>
      <c r="M268" s="6">
        <v>968921</v>
      </c>
      <c r="O268" s="6">
        <v>30000</v>
      </c>
      <c r="Q268" s="7">
        <f t="shared" si="21"/>
        <v>14264912</v>
      </c>
      <c r="S268" s="6">
        <v>1324142</v>
      </c>
      <c r="T268" s="6">
        <f>+'St of Net Assets - GA'!M268-'Long Term Liab - GA'!S268</f>
        <v>0</v>
      </c>
    </row>
    <row r="269" spans="1:20">
      <c r="A269" s="11" t="s">
        <v>680</v>
      </c>
      <c r="B269" s="11"/>
      <c r="C269" s="11" t="s">
        <v>50</v>
      </c>
      <c r="E269" s="6">
        <v>0</v>
      </c>
      <c r="G269" s="6">
        <v>0</v>
      </c>
      <c r="I269" s="6">
        <v>0</v>
      </c>
      <c r="K269" s="6">
        <f>71491+589000</f>
        <v>660491</v>
      </c>
      <c r="M269" s="6">
        <v>248413</v>
      </c>
      <c r="O269" s="6">
        <v>0</v>
      </c>
      <c r="Q269" s="7">
        <f t="shared" si="21"/>
        <v>908904</v>
      </c>
      <c r="S269" s="6">
        <v>78139</v>
      </c>
      <c r="T269" s="6">
        <f>+'St of Net Assets - GA'!M269-'Long Term Liab - GA'!S269</f>
        <v>0</v>
      </c>
    </row>
    <row r="270" spans="1:20" hidden="1">
      <c r="A270" s="11" t="s">
        <v>872</v>
      </c>
      <c r="B270" s="11"/>
      <c r="C270" s="11" t="s">
        <v>467</v>
      </c>
      <c r="Q270" s="7">
        <f t="shared" si="21"/>
        <v>0</v>
      </c>
      <c r="T270" s="6">
        <f>+'St of Net Assets - GA'!M270-'Long Term Liab - GA'!S270</f>
        <v>0</v>
      </c>
    </row>
    <row r="271" spans="1:20">
      <c r="A271" s="11" t="s">
        <v>374</v>
      </c>
      <c r="B271" s="11"/>
      <c r="C271" s="11" t="s">
        <v>42</v>
      </c>
      <c r="E271" s="6">
        <v>0</v>
      </c>
      <c r="G271" s="6">
        <v>0</v>
      </c>
      <c r="I271" s="6">
        <v>321608</v>
      </c>
      <c r="K271" s="6">
        <v>0</v>
      </c>
      <c r="M271" s="6">
        <v>453004</v>
      </c>
      <c r="O271" s="6">
        <v>0</v>
      </c>
      <c r="Q271" s="7">
        <f t="shared" si="21"/>
        <v>774612</v>
      </c>
      <c r="S271" s="6">
        <v>172804</v>
      </c>
      <c r="T271" s="6">
        <f>+'St of Net Assets - GA'!M271-'Long Term Liab - GA'!S271</f>
        <v>0</v>
      </c>
    </row>
    <row r="272" spans="1:20">
      <c r="A272" s="11" t="s">
        <v>399</v>
      </c>
      <c r="B272" s="11"/>
      <c r="C272" s="11" t="s">
        <v>398</v>
      </c>
      <c r="E272" s="6">
        <f>21072158-792405+910462</f>
        <v>21190215</v>
      </c>
      <c r="G272" s="6">
        <v>0</v>
      </c>
      <c r="I272" s="6">
        <v>0</v>
      </c>
      <c r="K272" s="6">
        <v>0</v>
      </c>
      <c r="M272" s="6">
        <v>876650</v>
      </c>
      <c r="O272" s="6">
        <v>0</v>
      </c>
      <c r="Q272" s="7">
        <f t="shared" si="21"/>
        <v>22066865</v>
      </c>
      <c r="S272" s="6">
        <v>968477</v>
      </c>
      <c r="T272" s="6">
        <f>+'St of Net Assets - GA'!M272-'Long Term Liab - GA'!S272</f>
        <v>0</v>
      </c>
    </row>
    <row r="273" spans="1:20">
      <c r="A273" s="11" t="s">
        <v>523</v>
      </c>
      <c r="B273" s="11"/>
      <c r="C273" s="11" t="s">
        <v>64</v>
      </c>
      <c r="E273" s="6">
        <v>7969984</v>
      </c>
      <c r="G273" s="6">
        <v>0</v>
      </c>
      <c r="I273" s="6">
        <v>0</v>
      </c>
      <c r="K273" s="6">
        <v>0</v>
      </c>
      <c r="M273" s="6">
        <v>601220</v>
      </c>
      <c r="O273" s="6">
        <v>0</v>
      </c>
      <c r="Q273" s="7">
        <f t="shared" si="21"/>
        <v>8571204</v>
      </c>
      <c r="S273" s="6">
        <v>548525</v>
      </c>
      <c r="T273" s="6">
        <f>+'St of Net Assets - GA'!M273-'Long Term Liab - GA'!S273</f>
        <v>0</v>
      </c>
    </row>
    <row r="274" spans="1:20" hidden="1">
      <c r="A274" s="11" t="s">
        <v>873</v>
      </c>
      <c r="B274" s="11"/>
      <c r="C274" s="11" t="s">
        <v>467</v>
      </c>
      <c r="E274" s="6">
        <v>0</v>
      </c>
      <c r="G274" s="6">
        <v>0</v>
      </c>
      <c r="I274" s="6">
        <v>0</v>
      </c>
      <c r="K274" s="6">
        <v>0</v>
      </c>
      <c r="M274" s="6">
        <v>0</v>
      </c>
      <c r="O274" s="6">
        <v>0</v>
      </c>
      <c r="Q274" s="7">
        <f t="shared" ref="Q274" si="22">SUM(E274:P274)</f>
        <v>0</v>
      </c>
      <c r="S274" s="6">
        <v>0</v>
      </c>
      <c r="T274" s="6">
        <f>+'St of Net Assets - GA'!M274-'Long Term Liab - GA'!S274</f>
        <v>0</v>
      </c>
    </row>
    <row r="275" spans="1:20">
      <c r="A275" s="11" t="s">
        <v>287</v>
      </c>
      <c r="B275" s="11"/>
      <c r="C275" s="11" t="s">
        <v>24</v>
      </c>
      <c r="E275" s="6">
        <v>0</v>
      </c>
      <c r="G275" s="6">
        <v>0</v>
      </c>
      <c r="I275" s="6">
        <v>0</v>
      </c>
      <c r="K275" s="6">
        <v>0</v>
      </c>
      <c r="M275" s="6">
        <v>25964</v>
      </c>
      <c r="O275" s="6">
        <v>0</v>
      </c>
      <c r="Q275" s="7">
        <f t="shared" si="21"/>
        <v>25964</v>
      </c>
      <c r="S275" s="6">
        <v>3942</v>
      </c>
      <c r="T275" s="6">
        <f>+'St of Net Assets - GA'!M275-'Long Term Liab - GA'!S275</f>
        <v>0</v>
      </c>
    </row>
    <row r="276" spans="1:20">
      <c r="A276" s="11" t="s">
        <v>314</v>
      </c>
      <c r="B276" s="11"/>
      <c r="C276" s="11" t="s">
        <v>30</v>
      </c>
      <c r="E276" s="6">
        <f>41615000+399497+2950105-98502-2341589</f>
        <v>42524511</v>
      </c>
      <c r="G276" s="6">
        <v>0</v>
      </c>
      <c r="I276" s="6">
        <v>0</v>
      </c>
      <c r="K276" s="6">
        <v>190415</v>
      </c>
      <c r="M276" s="6">
        <v>3053168</v>
      </c>
      <c r="O276" s="6">
        <v>0</v>
      </c>
      <c r="Q276" s="7">
        <f t="shared" si="21"/>
        <v>45768094</v>
      </c>
      <c r="S276" s="6">
        <v>3345508</v>
      </c>
      <c r="T276" s="6">
        <f>+'St of Net Assets - GA'!M276-'Long Term Liab - GA'!S276</f>
        <v>0</v>
      </c>
    </row>
    <row r="277" spans="1:20">
      <c r="A277" s="11" t="s">
        <v>461</v>
      </c>
      <c r="B277" s="11"/>
      <c r="C277" s="11" t="s">
        <v>56</v>
      </c>
      <c r="E277" s="6">
        <v>22858921</v>
      </c>
      <c r="G277" s="6">
        <v>0</v>
      </c>
      <c r="I277" s="6">
        <v>0</v>
      </c>
      <c r="K277" s="6">
        <v>1038975</v>
      </c>
      <c r="M277" s="6">
        <v>2997083</v>
      </c>
      <c r="O277" s="6">
        <v>0</v>
      </c>
      <c r="Q277" s="7">
        <f t="shared" si="21"/>
        <v>26894979</v>
      </c>
      <c r="S277" s="6">
        <v>2354231</v>
      </c>
      <c r="T277" s="6">
        <f>+'St of Net Assets - GA'!M277-'Long Term Liab - GA'!S277</f>
        <v>0</v>
      </c>
    </row>
    <row r="278" spans="1:20">
      <c r="A278" s="11" t="s">
        <v>341</v>
      </c>
      <c r="B278" s="11"/>
      <c r="C278" s="11" t="s">
        <v>339</v>
      </c>
      <c r="E278" s="6">
        <v>13788946</v>
      </c>
      <c r="G278" s="6">
        <v>0</v>
      </c>
      <c r="I278" s="6">
        <v>0</v>
      </c>
      <c r="K278" s="6">
        <v>34756</v>
      </c>
      <c r="M278" s="6">
        <v>1096882</v>
      </c>
      <c r="O278" s="6">
        <v>0</v>
      </c>
      <c r="Q278" s="7">
        <f t="shared" si="21"/>
        <v>14920584</v>
      </c>
      <c r="S278" s="6">
        <v>614319</v>
      </c>
      <c r="T278" s="6">
        <f>+'St of Net Assets - GA'!M278-'Long Term Liab - GA'!S278</f>
        <v>0</v>
      </c>
    </row>
    <row r="279" spans="1:20">
      <c r="A279" s="11" t="s">
        <v>431</v>
      </c>
      <c r="B279" s="11"/>
      <c r="C279" s="11" t="s">
        <v>50</v>
      </c>
      <c r="E279" s="6">
        <v>91982438</v>
      </c>
      <c r="G279" s="6">
        <v>0</v>
      </c>
      <c r="I279" s="6">
        <v>0</v>
      </c>
      <c r="K279" s="6">
        <v>0</v>
      </c>
      <c r="M279" s="6">
        <v>8366300</v>
      </c>
      <c r="O279" s="6">
        <v>0</v>
      </c>
      <c r="Q279" s="7">
        <f t="shared" si="21"/>
        <v>100348738</v>
      </c>
      <c r="S279" s="6">
        <v>4308258</v>
      </c>
      <c r="T279" s="6">
        <f>+'St of Net Assets - GA'!M279-'Long Term Liab - GA'!S279</f>
        <v>0</v>
      </c>
    </row>
    <row r="280" spans="1:20" s="28" customFormat="1">
      <c r="A280" s="27" t="s">
        <v>637</v>
      </c>
      <c r="B280" s="27"/>
      <c r="C280" s="27" t="s">
        <v>44</v>
      </c>
      <c r="E280" s="28">
        <f>24890244+1146306-810327</f>
        <v>25226223</v>
      </c>
      <c r="G280" s="28">
        <v>0</v>
      </c>
      <c r="I280" s="28">
        <v>0</v>
      </c>
      <c r="K280" s="28">
        <f>752000+274684</f>
        <v>1026684</v>
      </c>
      <c r="M280" s="28">
        <v>737572</v>
      </c>
      <c r="O280" s="28">
        <f>10673</f>
        <v>10673</v>
      </c>
      <c r="Q280" s="32">
        <f t="shared" si="21"/>
        <v>27001152</v>
      </c>
      <c r="S280" s="28">
        <v>438703</v>
      </c>
      <c r="T280" s="28">
        <f>+'St of Net Assets - GA'!M280-'Long Term Liab - GA'!S280</f>
        <v>0</v>
      </c>
    </row>
    <row r="281" spans="1:20">
      <c r="A281" s="11" t="s">
        <v>721</v>
      </c>
      <c r="B281" s="11"/>
      <c r="C281" s="11" t="s">
        <v>69</v>
      </c>
      <c r="E281" s="6">
        <f>2770000+1955000+4100000+15405000+1447996+90000+685513+26405000+709160</f>
        <v>53567669</v>
      </c>
      <c r="G281" s="6">
        <v>0</v>
      </c>
      <c r="I281" s="6">
        <v>0</v>
      </c>
      <c r="K281" s="6">
        <v>0</v>
      </c>
      <c r="M281" s="6">
        <v>3740855</v>
      </c>
      <c r="O281" s="6">
        <v>0</v>
      </c>
      <c r="Q281" s="7">
        <f t="shared" si="21"/>
        <v>57308524</v>
      </c>
      <c r="S281" s="6">
        <v>1698868</v>
      </c>
      <c r="T281" s="6">
        <f>+'St of Net Assets - GA'!M281-'Long Term Liab - GA'!S281</f>
        <v>0</v>
      </c>
    </row>
    <row r="282" spans="1:20" hidden="1">
      <c r="A282" s="11" t="s">
        <v>693</v>
      </c>
      <c r="B282" s="11"/>
      <c r="C282" s="11" t="s">
        <v>41</v>
      </c>
      <c r="Q282" s="7">
        <f t="shared" si="21"/>
        <v>0</v>
      </c>
      <c r="T282" s="6">
        <f>+'St of Net Assets - GA'!M282-'Long Term Liab - GA'!S282</f>
        <v>0</v>
      </c>
    </row>
    <row r="283" spans="1:20">
      <c r="A283" s="11" t="s">
        <v>524</v>
      </c>
      <c r="B283" s="11"/>
      <c r="C283" s="11" t="s">
        <v>64</v>
      </c>
      <c r="E283" s="6">
        <f>6028418+454726-344575</f>
        <v>6138569</v>
      </c>
      <c r="G283" s="6">
        <v>0</v>
      </c>
      <c r="I283" s="6">
        <v>0</v>
      </c>
      <c r="K283" s="6">
        <v>1752000</v>
      </c>
      <c r="M283" s="6">
        <v>522396</v>
      </c>
      <c r="O283" s="6">
        <v>0</v>
      </c>
      <c r="Q283" s="7">
        <f t="shared" si="21"/>
        <v>8412965</v>
      </c>
      <c r="S283" s="6">
        <v>563372</v>
      </c>
      <c r="T283" s="6">
        <f>+'St of Net Assets - GA'!M283-'Long Term Liab - GA'!S283</f>
        <v>0</v>
      </c>
    </row>
    <row r="284" spans="1:20">
      <c r="A284" s="11" t="s">
        <v>498</v>
      </c>
      <c r="B284" s="11"/>
      <c r="C284" s="11" t="s">
        <v>62</v>
      </c>
      <c r="E284" s="6">
        <v>23021535</v>
      </c>
      <c r="G284" s="6">
        <v>0</v>
      </c>
      <c r="I284" s="6">
        <v>0</v>
      </c>
      <c r="K284" s="6">
        <v>0</v>
      </c>
      <c r="M284" s="6">
        <v>846177</v>
      </c>
      <c r="O284" s="6">
        <v>0</v>
      </c>
      <c r="Q284" s="7">
        <f t="shared" si="21"/>
        <v>23867712</v>
      </c>
      <c r="S284" s="6">
        <v>1477931</v>
      </c>
      <c r="T284" s="6">
        <f>+'St of Net Assets - GA'!M284-'Long Term Liab - GA'!S284</f>
        <v>0</v>
      </c>
    </row>
    <row r="285" spans="1:20" hidden="1">
      <c r="A285" s="11" t="s">
        <v>796</v>
      </c>
      <c r="B285" s="11"/>
      <c r="C285" s="11" t="s">
        <v>72</v>
      </c>
      <c r="Q285" s="7">
        <f t="shared" si="21"/>
        <v>0</v>
      </c>
      <c r="T285" s="6">
        <f>+'St of Net Assets - GA'!M285-'Long Term Liab - GA'!S285</f>
        <v>0</v>
      </c>
    </row>
    <row r="286" spans="1:20">
      <c r="A286" s="11" t="s">
        <v>525</v>
      </c>
      <c r="B286" s="11"/>
      <c r="C286" s="11" t="s">
        <v>64</v>
      </c>
      <c r="E286" s="6">
        <v>3005943</v>
      </c>
      <c r="G286" s="6">
        <v>0</v>
      </c>
      <c r="I286" s="6">
        <v>31443</v>
      </c>
      <c r="K286" s="6">
        <v>315000</v>
      </c>
      <c r="M286" s="6">
        <v>1566214</v>
      </c>
      <c r="O286" s="6">
        <v>0</v>
      </c>
      <c r="Q286" s="7">
        <f t="shared" si="21"/>
        <v>4918600</v>
      </c>
      <c r="S286" s="6">
        <v>843251</v>
      </c>
      <c r="T286" s="6">
        <f>+'St of Net Assets - GA'!M286-'Long Term Liab - GA'!S286</f>
        <v>0</v>
      </c>
    </row>
    <row r="287" spans="1:20">
      <c r="A287" s="11" t="s">
        <v>270</v>
      </c>
      <c r="B287" s="11"/>
      <c r="C287" s="11" t="s">
        <v>20</v>
      </c>
      <c r="E287" s="6">
        <f>122243306+5054294-2253298</f>
        <v>125044302</v>
      </c>
      <c r="G287" s="6">
        <v>0</v>
      </c>
      <c r="I287" s="6">
        <v>0</v>
      </c>
      <c r="K287" s="6">
        <v>1167062</v>
      </c>
      <c r="M287" s="6">
        <v>5646257</v>
      </c>
      <c r="O287" s="6">
        <v>5803463</v>
      </c>
      <c r="Q287" s="7">
        <f t="shared" si="21"/>
        <v>137661084</v>
      </c>
      <c r="S287" s="6">
        <v>6592777</v>
      </c>
      <c r="T287" s="6">
        <f>+'St of Net Assets - GA'!M287-'Long Term Liab - GA'!S287</f>
        <v>0</v>
      </c>
    </row>
    <row r="288" spans="1:20">
      <c r="A288" s="11" t="s">
        <v>630</v>
      </c>
      <c r="B288" s="11"/>
      <c r="C288" s="11" t="s">
        <v>42</v>
      </c>
      <c r="E288" s="6">
        <v>10896412</v>
      </c>
      <c r="G288" s="6">
        <v>0</v>
      </c>
      <c r="I288" s="6">
        <v>483237</v>
      </c>
      <c r="K288" s="6">
        <v>51572</v>
      </c>
      <c r="M288" s="6">
        <v>757984</v>
      </c>
      <c r="O288" s="6">
        <v>0</v>
      </c>
      <c r="Q288" s="7">
        <f>SUM(E288:P288)</f>
        <v>12189205</v>
      </c>
      <c r="S288" s="6">
        <v>886391</v>
      </c>
      <c r="T288" s="6">
        <f>+'St of Net Assets - GA'!M288-'Long Term Liab - GA'!S288</f>
        <v>0</v>
      </c>
    </row>
    <row r="289" spans="1:20">
      <c r="A289" s="11" t="s">
        <v>223</v>
      </c>
      <c r="B289" s="11"/>
      <c r="C289" s="11" t="s">
        <v>221</v>
      </c>
      <c r="E289" s="6">
        <v>167757868</v>
      </c>
      <c r="G289" s="6">
        <v>0</v>
      </c>
      <c r="I289" s="6">
        <v>0</v>
      </c>
      <c r="K289" s="6">
        <v>0</v>
      </c>
      <c r="M289" s="6">
        <v>7943638</v>
      </c>
      <c r="O289" s="6">
        <v>0</v>
      </c>
      <c r="Q289" s="7">
        <f t="shared" si="21"/>
        <v>175701506</v>
      </c>
      <c r="S289" s="6">
        <v>5853513</v>
      </c>
      <c r="T289" s="6">
        <f>+'St of Net Assets - GA'!M289-'Long Term Liab - GA'!S289</f>
        <v>0</v>
      </c>
    </row>
    <row r="290" spans="1:20" hidden="1">
      <c r="A290" s="11" t="s">
        <v>797</v>
      </c>
      <c r="B290" s="11"/>
      <c r="C290" s="11" t="s">
        <v>79</v>
      </c>
      <c r="Q290" s="7">
        <f t="shared" si="21"/>
        <v>0</v>
      </c>
      <c r="T290" s="6">
        <f>+'St of Net Assets - GA'!M290-'Long Term Liab - GA'!S290</f>
        <v>0</v>
      </c>
    </row>
    <row r="291" spans="1:20">
      <c r="A291" s="11" t="s">
        <v>295</v>
      </c>
      <c r="B291" s="11"/>
      <c r="C291" s="11" t="s">
        <v>25</v>
      </c>
      <c r="E291" s="6">
        <v>0</v>
      </c>
      <c r="G291" s="6">
        <v>0</v>
      </c>
      <c r="I291" s="6">
        <v>4361</v>
      </c>
      <c r="K291" s="6">
        <v>378240</v>
      </c>
      <c r="M291" s="6">
        <v>2856952</v>
      </c>
      <c r="O291" s="6">
        <v>0</v>
      </c>
      <c r="Q291" s="7">
        <f t="shared" si="21"/>
        <v>3239553</v>
      </c>
      <c r="S291" s="6">
        <v>434390</v>
      </c>
      <c r="T291" s="6">
        <f>+'St of Net Assets - GA'!M291-'Long Term Liab - GA'!S291</f>
        <v>0</v>
      </c>
    </row>
    <row r="292" spans="1:20" hidden="1">
      <c r="A292" s="11" t="s">
        <v>729</v>
      </c>
      <c r="B292" s="11"/>
      <c r="C292" s="11" t="s">
        <v>69</v>
      </c>
      <c r="Q292" s="7">
        <f t="shared" si="21"/>
        <v>0</v>
      </c>
      <c r="T292" s="6">
        <f>+'St of Net Assets - GA'!M292-'Long Term Liab - GA'!S292</f>
        <v>0</v>
      </c>
    </row>
    <row r="293" spans="1:20">
      <c r="A293" s="11" t="s">
        <v>315</v>
      </c>
      <c r="B293" s="11"/>
      <c r="C293" s="11" t="s">
        <v>30</v>
      </c>
      <c r="E293" s="6">
        <v>0</v>
      </c>
      <c r="G293" s="6">
        <v>0</v>
      </c>
      <c r="I293" s="6">
        <v>0</v>
      </c>
      <c r="K293" s="6">
        <v>0</v>
      </c>
      <c r="M293" s="6">
        <v>320741</v>
      </c>
      <c r="O293" s="6">
        <v>0</v>
      </c>
      <c r="Q293" s="7">
        <f t="shared" si="21"/>
        <v>320741</v>
      </c>
      <c r="S293" s="6">
        <v>75664</v>
      </c>
      <c r="T293" s="6">
        <f>+'St of Net Assets - GA'!M293-'Long Term Liab - GA'!S293</f>
        <v>0</v>
      </c>
    </row>
    <row r="294" spans="1:20" hidden="1">
      <c r="A294" s="11" t="s">
        <v>763</v>
      </c>
      <c r="B294" s="11"/>
      <c r="C294" s="11" t="s">
        <v>112</v>
      </c>
      <c r="Q294" s="7">
        <f t="shared" si="21"/>
        <v>0</v>
      </c>
    </row>
    <row r="295" spans="1:20" hidden="1">
      <c r="A295" s="11" t="s">
        <v>681</v>
      </c>
      <c r="B295" s="11"/>
      <c r="C295" s="11" t="s">
        <v>467</v>
      </c>
      <c r="Q295" s="7">
        <f>SUM(E295:P295)</f>
        <v>0</v>
      </c>
      <c r="T295" s="6">
        <f>+'St of Net Assets - GA'!M295-'Long Term Liab - GA'!S295</f>
        <v>0</v>
      </c>
    </row>
    <row r="296" spans="1:20" hidden="1">
      <c r="A296" s="11" t="s">
        <v>798</v>
      </c>
      <c r="B296" s="11"/>
      <c r="C296" s="11" t="s">
        <v>110</v>
      </c>
      <c r="Q296" s="7">
        <f>SUM(E296:P296)</f>
        <v>0</v>
      </c>
      <c r="T296" s="6">
        <f>+'St of Net Assets - GA'!M296-'Long Term Liab - GA'!S296</f>
        <v>0</v>
      </c>
    </row>
    <row r="297" spans="1:20">
      <c r="A297" s="11" t="s">
        <v>799</v>
      </c>
      <c r="B297" s="11"/>
      <c r="C297" s="11" t="s">
        <v>33</v>
      </c>
      <c r="E297" s="6">
        <v>3595238</v>
      </c>
      <c r="G297" s="6">
        <v>0</v>
      </c>
      <c r="I297" s="6">
        <v>0</v>
      </c>
      <c r="K297" s="6">
        <v>0</v>
      </c>
      <c r="M297" s="6">
        <v>906163</v>
      </c>
      <c r="O297" s="6">
        <v>0</v>
      </c>
      <c r="Q297" s="7">
        <f>SUM(E297:P297)</f>
        <v>4501401</v>
      </c>
      <c r="S297" s="6">
        <v>117108</v>
      </c>
      <c r="T297" s="6">
        <f>+'St of Net Assets - GA'!M297-'Long Term Liab - GA'!S297</f>
        <v>0</v>
      </c>
    </row>
    <row r="298" spans="1:20">
      <c r="A298" s="11" t="s">
        <v>345</v>
      </c>
      <c r="B298" s="11"/>
      <c r="C298" s="11" t="s">
        <v>34</v>
      </c>
      <c r="E298" s="6">
        <f>1634803+216760-147531</f>
        <v>1704032</v>
      </c>
      <c r="G298" s="6">
        <v>0</v>
      </c>
      <c r="I298" s="6">
        <v>811434</v>
      </c>
      <c r="K298" s="6">
        <v>0</v>
      </c>
      <c r="M298" s="6">
        <v>654268</v>
      </c>
      <c r="O298" s="6">
        <v>0</v>
      </c>
      <c r="Q298" s="7">
        <f>SUM(E298:P298)</f>
        <v>3169734</v>
      </c>
      <c r="S298" s="6">
        <v>363462</v>
      </c>
      <c r="T298" s="6">
        <f>+'St of Net Assets - GA'!M298-'Long Term Liab - GA'!S298</f>
        <v>0</v>
      </c>
    </row>
    <row r="299" spans="1:20">
      <c r="A299" s="11" t="s">
        <v>526</v>
      </c>
      <c r="B299" s="11"/>
      <c r="C299" s="11" t="s">
        <v>64</v>
      </c>
      <c r="E299" s="6">
        <f>9474308</f>
        <v>9474308</v>
      </c>
      <c r="G299" s="6">
        <v>0</v>
      </c>
      <c r="I299" s="6">
        <v>0</v>
      </c>
      <c r="K299" s="6">
        <v>120074</v>
      </c>
      <c r="M299" s="6">
        <v>1098400</v>
      </c>
      <c r="O299" s="6">
        <v>0</v>
      </c>
      <c r="Q299" s="7">
        <f t="shared" ref="Q299:Q366" si="23">SUM(E299:P299)</f>
        <v>10692782</v>
      </c>
      <c r="S299" s="6">
        <v>794342</v>
      </c>
      <c r="T299" s="6">
        <f>+'St of Net Assets - GA'!M299-'Long Term Liab - GA'!S299</f>
        <v>0</v>
      </c>
    </row>
    <row r="300" spans="1:20">
      <c r="A300" s="11" t="s">
        <v>744</v>
      </c>
      <c r="B300" s="11"/>
      <c r="C300" s="11" t="s">
        <v>25</v>
      </c>
      <c r="E300" s="6">
        <v>10985468</v>
      </c>
      <c r="G300" s="6">
        <v>0</v>
      </c>
      <c r="I300" s="6">
        <v>0</v>
      </c>
      <c r="K300" s="6">
        <v>11802</v>
      </c>
      <c r="M300" s="6">
        <v>899094</v>
      </c>
      <c r="O300" s="6">
        <v>0</v>
      </c>
      <c r="Q300" s="7">
        <f>SUM(E300:P300)</f>
        <v>11896364</v>
      </c>
      <c r="S300" s="6">
        <v>973563</v>
      </c>
      <c r="T300" s="6">
        <f>+'St of Net Assets - GA'!M300-'Long Term Liab - GA'!S300</f>
        <v>0</v>
      </c>
    </row>
    <row r="301" spans="1:20" hidden="1">
      <c r="A301" s="11" t="s">
        <v>874</v>
      </c>
      <c r="B301" s="11"/>
      <c r="C301" s="11" t="s">
        <v>42</v>
      </c>
      <c r="E301" s="6">
        <v>0</v>
      </c>
      <c r="G301" s="6">
        <v>0</v>
      </c>
      <c r="I301" s="6">
        <v>0</v>
      </c>
      <c r="K301" s="6">
        <v>0</v>
      </c>
      <c r="M301" s="6">
        <v>0</v>
      </c>
      <c r="O301" s="6">
        <v>0</v>
      </c>
      <c r="Q301" s="7">
        <f t="shared" ref="Q301:Q318" si="24">SUM(E301:P301)</f>
        <v>0</v>
      </c>
      <c r="S301" s="6">
        <v>0</v>
      </c>
      <c r="T301" s="6">
        <f>+'St of Net Assets - GA'!M301-'Long Term Liab - GA'!S301</f>
        <v>0</v>
      </c>
    </row>
    <row r="302" spans="1:20">
      <c r="A302" s="11" t="s">
        <v>375</v>
      </c>
      <c r="B302" s="11"/>
      <c r="C302" s="11" t="s">
        <v>42</v>
      </c>
      <c r="E302" s="6">
        <v>14608713</v>
      </c>
      <c r="G302" s="6">
        <v>0</v>
      </c>
      <c r="I302" s="6">
        <v>0</v>
      </c>
      <c r="K302" s="6">
        <v>283748</v>
      </c>
      <c r="M302" s="6">
        <v>887662</v>
      </c>
      <c r="O302" s="6">
        <v>0</v>
      </c>
      <c r="Q302" s="7">
        <f t="shared" si="24"/>
        <v>15780123</v>
      </c>
      <c r="S302" s="6">
        <v>1317248</v>
      </c>
      <c r="T302" s="6">
        <f>+'St of Net Assets - GA'!M302-'Long Term Liab - GA'!S302</f>
        <v>0</v>
      </c>
    </row>
    <row r="303" spans="1:20" hidden="1">
      <c r="A303" s="11" t="s">
        <v>682</v>
      </c>
      <c r="B303" s="11"/>
      <c r="C303" s="11" t="s">
        <v>10</v>
      </c>
      <c r="Q303" s="7">
        <f t="shared" si="24"/>
        <v>0</v>
      </c>
      <c r="T303" s="6">
        <f>+'St of Net Assets - GA'!M303-'Long Term Liab - GA'!S303</f>
        <v>0</v>
      </c>
    </row>
    <row r="304" spans="1:20">
      <c r="A304" s="11" t="s">
        <v>541</v>
      </c>
      <c r="B304" s="11"/>
      <c r="C304" s="11" t="s">
        <v>67</v>
      </c>
      <c r="E304" s="6">
        <f>11430889-329802+446853</f>
        <v>11547940</v>
      </c>
      <c r="G304" s="6">
        <v>0</v>
      </c>
      <c r="I304" s="6">
        <v>0</v>
      </c>
      <c r="K304" s="6">
        <v>0</v>
      </c>
      <c r="M304" s="6">
        <v>364529</v>
      </c>
      <c r="O304" s="6">
        <v>0</v>
      </c>
      <c r="Q304" s="7">
        <f t="shared" si="24"/>
        <v>11912469</v>
      </c>
      <c r="S304" s="6">
        <v>495947</v>
      </c>
      <c r="T304" s="6">
        <f>+'St of Net Assets - GA'!M304-'Long Term Liab - GA'!S304</f>
        <v>0</v>
      </c>
    </row>
    <row r="305" spans="1:20">
      <c r="A305" s="11" t="s">
        <v>766</v>
      </c>
      <c r="B305" s="11"/>
      <c r="C305" s="11" t="s">
        <v>112</v>
      </c>
      <c r="E305" s="6">
        <f>1095000+108236</f>
        <v>1203236</v>
      </c>
      <c r="G305" s="6">
        <v>0</v>
      </c>
      <c r="I305" s="6">
        <v>0</v>
      </c>
      <c r="K305" s="6">
        <v>4621751</v>
      </c>
      <c r="M305" s="6">
        <v>425900</v>
      </c>
      <c r="O305" s="6">
        <v>0</v>
      </c>
      <c r="Q305" s="7">
        <f t="shared" si="24"/>
        <v>6250887</v>
      </c>
      <c r="S305" s="6">
        <v>331515</v>
      </c>
      <c r="T305" s="6">
        <f>+'St of Net Assets - GA'!M305-'Long Term Liab - GA'!S305</f>
        <v>0</v>
      </c>
    </row>
    <row r="306" spans="1:20">
      <c r="A306" s="11" t="s">
        <v>545</v>
      </c>
      <c r="B306" s="11"/>
      <c r="C306" s="11" t="s">
        <v>69</v>
      </c>
      <c r="E306" s="6">
        <v>73661062</v>
      </c>
      <c r="G306" s="6">
        <v>0</v>
      </c>
      <c r="I306" s="6">
        <v>0</v>
      </c>
      <c r="K306" s="6">
        <f>568000+334000</f>
        <v>902000</v>
      </c>
      <c r="M306" s="6">
        <v>1624475</v>
      </c>
      <c r="O306" s="6">
        <v>0</v>
      </c>
      <c r="Q306" s="7">
        <f t="shared" si="24"/>
        <v>76187537</v>
      </c>
      <c r="S306" s="6">
        <v>3607804</v>
      </c>
      <c r="T306" s="6">
        <f>+'St of Net Assets - GA'!M306-'Long Term Liab - GA'!S306</f>
        <v>0</v>
      </c>
    </row>
    <row r="307" spans="1:20" hidden="1">
      <c r="A307" s="11" t="s">
        <v>800</v>
      </c>
      <c r="B307" s="11"/>
      <c r="C307" s="11" t="s">
        <v>32</v>
      </c>
      <c r="Q307" s="7">
        <f t="shared" si="24"/>
        <v>0</v>
      </c>
      <c r="T307" s="6">
        <f>+'St of Net Assets - GA'!M307-'Long Term Liab - GA'!S307</f>
        <v>0</v>
      </c>
    </row>
    <row r="308" spans="1:20">
      <c r="A308" s="11" t="s">
        <v>453</v>
      </c>
      <c r="B308" s="11"/>
      <c r="C308" s="11" t="s">
        <v>54</v>
      </c>
      <c r="E308" s="6">
        <v>0</v>
      </c>
      <c r="G308" s="6">
        <v>0</v>
      </c>
      <c r="I308" s="6">
        <v>0</v>
      </c>
      <c r="K308" s="6">
        <v>0</v>
      </c>
      <c r="M308" s="6">
        <v>1241819</v>
      </c>
      <c r="O308" s="6">
        <v>0</v>
      </c>
      <c r="Q308" s="7">
        <f t="shared" si="24"/>
        <v>1241819</v>
      </c>
      <c r="S308" s="6">
        <v>53561</v>
      </c>
      <c r="T308" s="6">
        <f>+'St of Net Assets - GA'!M308-'Long Term Liab - GA'!S308</f>
        <v>0</v>
      </c>
    </row>
    <row r="309" spans="1:20">
      <c r="A309" s="11" t="s">
        <v>352</v>
      </c>
      <c r="B309" s="11"/>
      <c r="C309" s="11" t="s">
        <v>35</v>
      </c>
      <c r="E309" s="6">
        <v>19095718</v>
      </c>
      <c r="G309" s="6">
        <v>0</v>
      </c>
      <c r="I309" s="6">
        <v>0</v>
      </c>
      <c r="K309" s="6">
        <v>3346436</v>
      </c>
      <c r="M309" s="6">
        <v>2463222</v>
      </c>
      <c r="O309" s="6">
        <v>0</v>
      </c>
      <c r="Q309" s="7">
        <f t="shared" si="24"/>
        <v>24905376</v>
      </c>
      <c r="S309" s="6">
        <v>3014290</v>
      </c>
      <c r="T309" s="6">
        <f>+'St of Net Assets - GA'!M309-'Long Term Liab - GA'!S309</f>
        <v>0</v>
      </c>
    </row>
    <row r="310" spans="1:20">
      <c r="A310" s="11" t="s">
        <v>400</v>
      </c>
      <c r="B310" s="11"/>
      <c r="C310" s="11" t="s">
        <v>398</v>
      </c>
      <c r="E310" s="6">
        <f>21777865-816634-113394</f>
        <v>20847837</v>
      </c>
      <c r="G310" s="6">
        <v>0</v>
      </c>
      <c r="I310" s="6">
        <v>0</v>
      </c>
      <c r="K310" s="6">
        <v>113394</v>
      </c>
      <c r="M310" s="6">
        <v>816634</v>
      </c>
      <c r="O310" s="6">
        <v>0</v>
      </c>
      <c r="Q310" s="7">
        <f t="shared" si="24"/>
        <v>21777865</v>
      </c>
      <c r="S310" s="6">
        <v>2614552</v>
      </c>
      <c r="T310" s="6">
        <f>+'St of Net Assets - GA'!M310-'Long Term Liab - GA'!S310</f>
        <v>0</v>
      </c>
    </row>
    <row r="311" spans="1:20">
      <c r="A311" s="11" t="s">
        <v>386</v>
      </c>
      <c r="B311" s="11"/>
      <c r="C311" s="11" t="s">
        <v>44</v>
      </c>
      <c r="E311" s="6">
        <v>38073276</v>
      </c>
      <c r="G311" s="6">
        <v>0</v>
      </c>
      <c r="I311" s="6">
        <v>0</v>
      </c>
      <c r="K311" s="6">
        <v>0</v>
      </c>
      <c r="M311" s="6">
        <v>9477794</v>
      </c>
      <c r="O311" s="6">
        <v>0</v>
      </c>
      <c r="Q311" s="7">
        <f t="shared" si="24"/>
        <v>47551070</v>
      </c>
      <c r="S311" s="6">
        <v>4163205</v>
      </c>
      <c r="T311" s="6">
        <f>+'St of Net Assets - GA'!M311-'Long Term Liab - GA'!S311</f>
        <v>0</v>
      </c>
    </row>
    <row r="312" spans="1:20">
      <c r="A312" s="11" t="s">
        <v>527</v>
      </c>
      <c r="B312" s="11"/>
      <c r="C312" s="11" t="s">
        <v>64</v>
      </c>
      <c r="E312" s="6">
        <v>0</v>
      </c>
      <c r="G312" s="6">
        <v>0</v>
      </c>
      <c r="I312" s="6">
        <v>390084</v>
      </c>
      <c r="K312" s="6">
        <v>1800000</v>
      </c>
      <c r="M312" s="6">
        <v>303999</v>
      </c>
      <c r="O312" s="6">
        <v>0</v>
      </c>
      <c r="Q312" s="7">
        <f t="shared" si="24"/>
        <v>2494083</v>
      </c>
      <c r="S312" s="6">
        <v>240493</v>
      </c>
      <c r="T312" s="6">
        <f>+'St of Net Assets - GA'!M312-'Long Term Liab - GA'!S312</f>
        <v>0</v>
      </c>
    </row>
    <row r="313" spans="1:20">
      <c r="A313" s="11" t="s">
        <v>683</v>
      </c>
      <c r="B313" s="11"/>
      <c r="C313" s="11" t="s">
        <v>11</v>
      </c>
      <c r="E313" s="6">
        <v>0</v>
      </c>
      <c r="G313" s="6">
        <v>1002060</v>
      </c>
      <c r="I313" s="6">
        <v>0</v>
      </c>
      <c r="K313" s="6">
        <v>0</v>
      </c>
      <c r="M313" s="6">
        <v>1385047</v>
      </c>
      <c r="O313" s="6">
        <v>0</v>
      </c>
      <c r="Q313" s="7">
        <f t="shared" si="24"/>
        <v>2387107</v>
      </c>
      <c r="S313" s="6">
        <v>181292</v>
      </c>
      <c r="T313" s="6">
        <f>+'St of Net Assets - GA'!M313-'Long Term Liab - GA'!S313</f>
        <v>0</v>
      </c>
    </row>
    <row r="314" spans="1:20">
      <c r="A314" s="11" t="s">
        <v>499</v>
      </c>
      <c r="B314" s="11"/>
      <c r="C314" s="11" t="s">
        <v>62</v>
      </c>
      <c r="E314" s="6">
        <f>8285116+155000+22030606</f>
        <v>30470722</v>
      </c>
      <c r="G314" s="6">
        <v>0</v>
      </c>
      <c r="I314" s="6">
        <v>0</v>
      </c>
      <c r="K314" s="6">
        <v>908406</v>
      </c>
      <c r="M314" s="6">
        <v>1041891</v>
      </c>
      <c r="O314" s="6">
        <v>149556</v>
      </c>
      <c r="Q314" s="7">
        <f t="shared" si="24"/>
        <v>32570575</v>
      </c>
      <c r="S314" s="6">
        <v>1236544</v>
      </c>
      <c r="T314" s="6">
        <f>+'St of Net Assets - GA'!M314-'Long Term Liab - GA'!S314</f>
        <v>0</v>
      </c>
    </row>
    <row r="315" spans="1:20">
      <c r="A315" s="11" t="s">
        <v>324</v>
      </c>
      <c r="B315" s="11"/>
      <c r="C315" s="11" t="s">
        <v>32</v>
      </c>
      <c r="E315" s="6">
        <v>23796416</v>
      </c>
      <c r="G315" s="6">
        <v>0</v>
      </c>
      <c r="I315" s="6">
        <v>0</v>
      </c>
      <c r="K315" s="6">
        <v>0</v>
      </c>
      <c r="M315" s="6">
        <v>1783392</v>
      </c>
      <c r="O315" s="6">
        <v>0</v>
      </c>
      <c r="Q315" s="7">
        <f t="shared" si="24"/>
        <v>25579808</v>
      </c>
      <c r="S315" s="6">
        <v>2306144</v>
      </c>
      <c r="T315" s="6">
        <f>+'St of Net Assets - GA'!M315-'Long Term Liab - GA'!S315</f>
        <v>0</v>
      </c>
    </row>
    <row r="316" spans="1:20">
      <c r="A316" s="11" t="s">
        <v>684</v>
      </c>
      <c r="B316" s="11"/>
      <c r="C316" s="11" t="s">
        <v>45</v>
      </c>
      <c r="E316" s="6">
        <f>555000+955000+65354-44427</f>
        <v>1530927</v>
      </c>
      <c r="G316" s="6">
        <v>0</v>
      </c>
      <c r="I316" s="6">
        <v>0</v>
      </c>
      <c r="K316" s="6">
        <v>0</v>
      </c>
      <c r="M316" s="6">
        <v>356707</v>
      </c>
      <c r="O316" s="6">
        <v>2000</v>
      </c>
      <c r="Q316" s="7">
        <f t="shared" si="24"/>
        <v>1889634</v>
      </c>
      <c r="S316" s="6">
        <v>135181</v>
      </c>
      <c r="T316" s="6">
        <f>+'St of Net Assets - GA'!M316-'Long Term Liab - GA'!S316</f>
        <v>0</v>
      </c>
    </row>
    <row r="317" spans="1:20">
      <c r="A317" s="11" t="s">
        <v>801</v>
      </c>
      <c r="B317" s="11"/>
      <c r="C317" s="11" t="s">
        <v>110</v>
      </c>
      <c r="E317" s="6">
        <v>517055</v>
      </c>
      <c r="G317" s="6">
        <v>0</v>
      </c>
      <c r="I317" s="6">
        <v>0</v>
      </c>
      <c r="K317" s="6">
        <v>0</v>
      </c>
      <c r="M317" s="6">
        <v>213033</v>
      </c>
      <c r="O317" s="6">
        <v>0</v>
      </c>
      <c r="Q317" s="7">
        <f t="shared" si="24"/>
        <v>730088</v>
      </c>
      <c r="S317" s="6">
        <v>52243</v>
      </c>
      <c r="T317" s="6">
        <f>+'St of Net Assets - GA'!M317-'Long Term Liab - GA'!S317</f>
        <v>0</v>
      </c>
    </row>
    <row r="318" spans="1:20">
      <c r="A318" s="11" t="s">
        <v>351</v>
      </c>
      <c r="B318" s="11"/>
      <c r="C318" s="11" t="s">
        <v>348</v>
      </c>
      <c r="E318" s="6">
        <f>350000+865000+20913-4739</f>
        <v>1231174</v>
      </c>
      <c r="G318" s="6">
        <v>0</v>
      </c>
      <c r="I318" s="6">
        <v>0</v>
      </c>
      <c r="K318" s="6">
        <v>175295</v>
      </c>
      <c r="M318" s="6">
        <v>583534</v>
      </c>
      <c r="O318" s="6">
        <v>0</v>
      </c>
      <c r="Q318" s="7">
        <f t="shared" si="24"/>
        <v>1990003</v>
      </c>
      <c r="S318" s="6">
        <v>194696</v>
      </c>
      <c r="T318" s="6">
        <f>+'St of Net Assets - GA'!M318-'Long Term Liab - GA'!S318</f>
        <v>0</v>
      </c>
    </row>
    <row r="319" spans="1:20">
      <c r="A319" s="11" t="s">
        <v>711</v>
      </c>
      <c r="B319" s="11"/>
      <c r="C319" s="11" t="s">
        <v>50</v>
      </c>
      <c r="E319" s="6">
        <v>11673921</v>
      </c>
      <c r="G319" s="6">
        <v>0</v>
      </c>
      <c r="I319" s="6">
        <v>0</v>
      </c>
      <c r="K319" s="6">
        <v>1296758</v>
      </c>
      <c r="M319" s="6">
        <v>1898790</v>
      </c>
      <c r="O319" s="6">
        <v>0</v>
      </c>
      <c r="Q319" s="7">
        <f t="shared" si="23"/>
        <v>14869469</v>
      </c>
      <c r="S319" s="6">
        <v>1528917</v>
      </c>
      <c r="T319" s="6">
        <f>+'St of Net Assets - GA'!M319-'Long Term Liab - GA'!S319</f>
        <v>0</v>
      </c>
    </row>
    <row r="320" spans="1:20">
      <c r="A320" s="11" t="s">
        <v>325</v>
      </c>
      <c r="B320" s="11"/>
      <c r="C320" s="11" t="s">
        <v>32</v>
      </c>
      <c r="E320" s="6">
        <v>27274362</v>
      </c>
      <c r="G320" s="6">
        <v>0</v>
      </c>
      <c r="I320" s="6">
        <v>0</v>
      </c>
      <c r="K320" s="6">
        <v>463799</v>
      </c>
      <c r="M320" s="6">
        <v>656094</v>
      </c>
      <c r="O320" s="6">
        <v>0</v>
      </c>
      <c r="Q320" s="7">
        <f t="shared" si="23"/>
        <v>28394255</v>
      </c>
      <c r="S320" s="6">
        <v>1635305</v>
      </c>
      <c r="T320" s="6">
        <f>+'St of Net Assets - GA'!M320-'Long Term Liab - GA'!S320</f>
        <v>0</v>
      </c>
    </row>
    <row r="321" spans="1:20">
      <c r="A321" s="11" t="s">
        <v>224</v>
      </c>
      <c r="B321" s="11"/>
      <c r="C321" s="11" t="s">
        <v>221</v>
      </c>
      <c r="E321" s="6">
        <v>10527383</v>
      </c>
      <c r="G321" s="6">
        <v>0</v>
      </c>
      <c r="I321" s="6">
        <v>0</v>
      </c>
      <c r="K321" s="6">
        <v>2949937</v>
      </c>
      <c r="M321" s="6">
        <v>156736</v>
      </c>
      <c r="O321" s="6">
        <v>0</v>
      </c>
      <c r="Q321" s="7">
        <f t="shared" si="23"/>
        <v>13634056</v>
      </c>
      <c r="S321" s="6">
        <v>254150</v>
      </c>
      <c r="T321" s="6">
        <f>+'St of Net Assets - GA'!M321-'Long Term Liab - GA'!S321</f>
        <v>0</v>
      </c>
    </row>
    <row r="322" spans="1:20" hidden="1">
      <c r="A322" s="11" t="s">
        <v>730</v>
      </c>
      <c r="B322" s="11"/>
      <c r="C322" s="11" t="s">
        <v>41</v>
      </c>
      <c r="Q322" s="7">
        <f t="shared" si="23"/>
        <v>0</v>
      </c>
      <c r="T322" s="6">
        <f>+'St of Net Assets - GA'!M322-'Long Term Liab - GA'!S322</f>
        <v>0</v>
      </c>
    </row>
    <row r="323" spans="1:20">
      <c r="A323" s="11" t="s">
        <v>224</v>
      </c>
      <c r="B323" s="11"/>
      <c r="C323" s="11" t="s">
        <v>110</v>
      </c>
      <c r="E323" s="6">
        <f>26128500+2169377</f>
        <v>28297877</v>
      </c>
      <c r="G323" s="6">
        <v>0</v>
      </c>
      <c r="I323" s="6">
        <v>0</v>
      </c>
      <c r="K323" s="6">
        <v>0</v>
      </c>
      <c r="M323" s="6">
        <v>1867889</v>
      </c>
      <c r="O323" s="6">
        <v>0</v>
      </c>
      <c r="Q323" s="7">
        <f t="shared" si="23"/>
        <v>30165766</v>
      </c>
      <c r="S323" s="6">
        <v>435371</v>
      </c>
      <c r="T323" s="6">
        <f>+'St of Net Assets - GA'!M323-'Long Term Liab - GA'!S323</f>
        <v>0</v>
      </c>
    </row>
    <row r="324" spans="1:20">
      <c r="A324" s="11" t="s">
        <v>694</v>
      </c>
      <c r="B324" s="11"/>
      <c r="C324" s="11" t="s">
        <v>398</v>
      </c>
      <c r="E324" s="6">
        <v>140000</v>
      </c>
      <c r="G324" s="6">
        <v>0</v>
      </c>
      <c r="I324" s="6">
        <v>0</v>
      </c>
      <c r="K324" s="6">
        <v>0</v>
      </c>
      <c r="M324" s="6">
        <v>859186</v>
      </c>
      <c r="O324" s="6">
        <v>7000</v>
      </c>
      <c r="Q324" s="7">
        <f t="shared" si="23"/>
        <v>1006186</v>
      </c>
      <c r="S324" s="6">
        <v>117888</v>
      </c>
      <c r="T324" s="6">
        <f>+'St of Net Assets - GA'!M324-'Long Term Liab - GA'!S324</f>
        <v>0</v>
      </c>
    </row>
    <row r="325" spans="1:20">
      <c r="A325" s="11" t="s">
        <v>605</v>
      </c>
      <c r="B325" s="11"/>
      <c r="C325" s="11" t="s">
        <v>200</v>
      </c>
      <c r="E325" s="6">
        <f>3948529+7919936+276706+22303</f>
        <v>12167474</v>
      </c>
      <c r="G325" s="6">
        <v>0</v>
      </c>
      <c r="I325" s="6">
        <v>490000</v>
      </c>
      <c r="K325" s="6">
        <v>107441</v>
      </c>
      <c r="M325" s="6">
        <v>633064</v>
      </c>
      <c r="O325" s="6">
        <v>0</v>
      </c>
      <c r="Q325" s="7">
        <f t="shared" si="23"/>
        <v>13397979</v>
      </c>
      <c r="S325" s="6">
        <v>1105656</v>
      </c>
      <c r="T325" s="6">
        <f>+'St of Net Assets - GA'!M325-'Long Term Liab - GA'!S325</f>
        <v>0</v>
      </c>
    </row>
    <row r="326" spans="1:20" hidden="1">
      <c r="A326" s="11" t="s">
        <v>805</v>
      </c>
      <c r="B326" s="11"/>
      <c r="C326" s="11" t="s">
        <v>63</v>
      </c>
      <c r="Q326" s="7">
        <f t="shared" ref="Q326" si="25">SUM(E326:P326)</f>
        <v>0</v>
      </c>
      <c r="T326" s="6">
        <f>+'St of Net Assets - GA'!M326-'Long Term Liab - GA'!S326</f>
        <v>0</v>
      </c>
    </row>
    <row r="327" spans="1:20">
      <c r="A327" s="11" t="s">
        <v>469</v>
      </c>
      <c r="B327" s="11"/>
      <c r="C327" s="11" t="s">
        <v>110</v>
      </c>
      <c r="E327" s="6">
        <f>11784301-778609+925454</f>
        <v>11931146</v>
      </c>
      <c r="G327" s="6">
        <v>0</v>
      </c>
      <c r="I327" s="6">
        <v>0</v>
      </c>
      <c r="K327" s="6">
        <v>30811</v>
      </c>
      <c r="M327" s="6">
        <v>3359587</v>
      </c>
      <c r="O327" s="6">
        <v>0</v>
      </c>
      <c r="Q327" s="7">
        <f t="shared" si="23"/>
        <v>15321544</v>
      </c>
      <c r="S327" s="6">
        <v>1565085</v>
      </c>
      <c r="T327" s="6">
        <f>+'St of Net Assets - GA'!M327-'Long Term Liab - GA'!S327</f>
        <v>0</v>
      </c>
    </row>
    <row r="328" spans="1:20">
      <c r="A328" s="11" t="s">
        <v>722</v>
      </c>
      <c r="B328" s="11"/>
      <c r="C328" s="11" t="s">
        <v>20</v>
      </c>
      <c r="E328" s="6">
        <v>59802944</v>
      </c>
      <c r="G328" s="6">
        <v>0</v>
      </c>
      <c r="I328" s="6">
        <v>0</v>
      </c>
      <c r="K328" s="6">
        <v>0</v>
      </c>
      <c r="M328" s="6">
        <v>2754902</v>
      </c>
      <c r="O328" s="6">
        <v>3143259</v>
      </c>
      <c r="Q328" s="7">
        <f t="shared" si="23"/>
        <v>65701105</v>
      </c>
      <c r="S328" s="6">
        <v>798010</v>
      </c>
      <c r="T328" s="6">
        <f>+'St of Net Assets - GA'!M328-'Long Term Liab - GA'!S328</f>
        <v>0</v>
      </c>
    </row>
    <row r="329" spans="1:20">
      <c r="A329" s="11" t="s">
        <v>205</v>
      </c>
      <c r="B329" s="11"/>
      <c r="C329" s="11" t="s">
        <v>11</v>
      </c>
      <c r="E329" s="6">
        <f>1085000+1240000+199997+20198+122497-74693</f>
        <v>2592999</v>
      </c>
      <c r="G329" s="6">
        <v>0</v>
      </c>
      <c r="I329" s="6">
        <v>0</v>
      </c>
      <c r="K329" s="6">
        <v>0</v>
      </c>
      <c r="M329" s="6">
        <v>301169</v>
      </c>
      <c r="O329" s="6">
        <v>0</v>
      </c>
      <c r="Q329" s="7">
        <f t="shared" si="23"/>
        <v>2894168</v>
      </c>
      <c r="S329" s="6">
        <v>286407</v>
      </c>
      <c r="T329" s="6">
        <f>+'St of Net Assets - GA'!M329-'Long Term Liab - GA'!S329</f>
        <v>0</v>
      </c>
    </row>
    <row r="330" spans="1:20">
      <c r="A330" s="11" t="s">
        <v>528</v>
      </c>
      <c r="B330" s="11"/>
      <c r="C330" s="11" t="s">
        <v>64</v>
      </c>
      <c r="E330" s="6">
        <f>1903905+111184-69581</f>
        <v>1945508</v>
      </c>
      <c r="G330" s="6">
        <v>0</v>
      </c>
      <c r="I330" s="6">
        <v>0</v>
      </c>
      <c r="K330" s="6">
        <v>0</v>
      </c>
      <c r="M330" s="6">
        <v>630014</v>
      </c>
      <c r="O330" s="6">
        <v>0</v>
      </c>
      <c r="Q330" s="7">
        <f t="shared" si="23"/>
        <v>2575522</v>
      </c>
      <c r="S330" s="6">
        <v>199373</v>
      </c>
      <c r="T330" s="6">
        <f>+'St of Net Assets - GA'!M330-'Long Term Liab - GA'!S330</f>
        <v>0</v>
      </c>
    </row>
    <row r="331" spans="1:20">
      <c r="A331" s="11" t="s">
        <v>288</v>
      </c>
      <c r="B331" s="11"/>
      <c r="C331" s="11" t="s">
        <v>24</v>
      </c>
      <c r="E331" s="6">
        <v>0</v>
      </c>
      <c r="G331" s="6">
        <v>0</v>
      </c>
      <c r="I331" s="6">
        <v>0</v>
      </c>
      <c r="K331" s="6">
        <v>2389000</v>
      </c>
      <c r="M331" s="6">
        <v>753295</v>
      </c>
      <c r="O331" s="6">
        <v>0</v>
      </c>
      <c r="Q331" s="7">
        <f t="shared" si="23"/>
        <v>3142295</v>
      </c>
      <c r="S331" s="6">
        <v>191461</v>
      </c>
      <c r="T331" s="6">
        <f>+'St of Net Assets - GA'!M331-'Long Term Liab - GA'!S331</f>
        <v>0</v>
      </c>
    </row>
    <row r="332" spans="1:20">
      <c r="A332" s="11" t="s">
        <v>326</v>
      </c>
      <c r="B332" s="11"/>
      <c r="C332" s="11" t="s">
        <v>32</v>
      </c>
      <c r="E332" s="6">
        <f>44954166+1190892-1064151</f>
        <v>45080907</v>
      </c>
      <c r="G332" s="6">
        <v>0</v>
      </c>
      <c r="I332" s="6">
        <v>0</v>
      </c>
      <c r="K332" s="6">
        <v>1579093</v>
      </c>
      <c r="M332" s="6">
        <v>1128516</v>
      </c>
      <c r="O332" s="6">
        <v>0</v>
      </c>
      <c r="Q332" s="7">
        <f t="shared" si="23"/>
        <v>47788516</v>
      </c>
      <c r="S332" s="6">
        <v>648697</v>
      </c>
      <c r="T332" s="6">
        <f>+'St of Net Assets - GA'!M332-'Long Term Liab - GA'!S332</f>
        <v>0</v>
      </c>
    </row>
    <row r="333" spans="1:20" hidden="1">
      <c r="A333" s="11" t="s">
        <v>612</v>
      </c>
      <c r="B333" s="11"/>
      <c r="C333" s="11" t="s">
        <v>70</v>
      </c>
      <c r="Q333" s="7">
        <f t="shared" si="23"/>
        <v>0</v>
      </c>
      <c r="T333" s="6">
        <f>+'St of Net Assets - GA'!M333-'Long Term Liab - GA'!S333</f>
        <v>0</v>
      </c>
    </row>
    <row r="334" spans="1:20">
      <c r="A334" s="11" t="s">
        <v>410</v>
      </c>
      <c r="B334" s="11"/>
      <c r="C334" s="11" t="s">
        <v>46</v>
      </c>
      <c r="E334" s="6">
        <v>10548877</v>
      </c>
      <c r="G334" s="6">
        <v>0</v>
      </c>
      <c r="I334" s="6">
        <v>1823390</v>
      </c>
      <c r="K334" s="6">
        <v>94483</v>
      </c>
      <c r="M334" s="6">
        <v>3454096</v>
      </c>
      <c r="O334" s="6">
        <v>0</v>
      </c>
      <c r="Q334" s="7">
        <f t="shared" si="23"/>
        <v>15920846</v>
      </c>
      <c r="S334" s="6">
        <v>1296245</v>
      </c>
      <c r="T334" s="6">
        <f>+'St of Net Assets - GA'!M334-'Long Term Liab - GA'!S334</f>
        <v>0</v>
      </c>
    </row>
    <row r="335" spans="1:20" hidden="1">
      <c r="A335" s="11" t="s">
        <v>685</v>
      </c>
      <c r="B335" s="11"/>
      <c r="C335" s="11" t="s">
        <v>422</v>
      </c>
      <c r="Q335" s="7">
        <f t="shared" si="23"/>
        <v>0</v>
      </c>
      <c r="T335" s="6">
        <f>+'St of Net Assets - GA'!M335-'Long Term Liab - GA'!S335</f>
        <v>0</v>
      </c>
    </row>
    <row r="336" spans="1:20">
      <c r="A336" s="11" t="s">
        <v>500</v>
      </c>
      <c r="B336" s="11"/>
      <c r="C336" s="11" t="s">
        <v>62</v>
      </c>
      <c r="E336" s="6">
        <v>0</v>
      </c>
      <c r="G336" s="6">
        <v>0</v>
      </c>
      <c r="I336" s="6">
        <v>0</v>
      </c>
      <c r="K336" s="6">
        <v>15701</v>
      </c>
      <c r="M336" s="6">
        <v>1558091</v>
      </c>
      <c r="O336" s="6">
        <v>0</v>
      </c>
      <c r="Q336" s="7">
        <f t="shared" si="23"/>
        <v>1573792</v>
      </c>
      <c r="S336" s="6">
        <v>418555</v>
      </c>
      <c r="T336" s="6">
        <f>+'St of Net Assets - GA'!M336-'Long Term Liab - GA'!S336</f>
        <v>0</v>
      </c>
    </row>
    <row r="337" spans="1:20">
      <c r="A337" s="11" t="s">
        <v>216</v>
      </c>
      <c r="B337" s="11"/>
      <c r="C337" s="11" t="s">
        <v>15</v>
      </c>
      <c r="E337" s="6">
        <f>985025+8864100</f>
        <v>9849125</v>
      </c>
      <c r="G337" s="6">
        <v>0</v>
      </c>
      <c r="I337" s="6">
        <v>0</v>
      </c>
      <c r="K337" s="6">
        <v>3409399</v>
      </c>
      <c r="M337" s="6">
        <v>719509</v>
      </c>
      <c r="O337" s="6">
        <v>0</v>
      </c>
      <c r="Q337" s="7">
        <f t="shared" si="23"/>
        <v>13978033</v>
      </c>
      <c r="S337" s="6">
        <v>689571</v>
      </c>
      <c r="T337" s="6">
        <f>+'St of Net Assets - GA'!M337-'Long Term Liab - GA'!S337</f>
        <v>0</v>
      </c>
    </row>
    <row r="338" spans="1:20">
      <c r="A338" s="11" t="s">
        <v>767</v>
      </c>
      <c r="B338" s="11"/>
      <c r="C338" s="11" t="s">
        <v>66</v>
      </c>
      <c r="E338" s="6">
        <v>93150414</v>
      </c>
      <c r="G338" s="6">
        <v>0</v>
      </c>
      <c r="I338" s="6">
        <v>340000</v>
      </c>
      <c r="K338" s="6">
        <v>1332000</v>
      </c>
      <c r="M338" s="6">
        <v>3617653</v>
      </c>
      <c r="O338" s="6">
        <v>1397345</v>
      </c>
      <c r="Q338" s="7">
        <f t="shared" si="23"/>
        <v>99837412</v>
      </c>
      <c r="S338" s="6">
        <v>4535645</v>
      </c>
      <c r="T338" s="6">
        <f>+'St of Net Assets - GA'!M338-'Long Term Liab - GA'!S338</f>
        <v>0</v>
      </c>
    </row>
    <row r="339" spans="1:20">
      <c r="A339" s="11" t="s">
        <v>546</v>
      </c>
      <c r="B339" s="11"/>
      <c r="C339" s="11" t="s">
        <v>69</v>
      </c>
      <c r="E339" s="6">
        <v>121878627</v>
      </c>
      <c r="G339" s="6">
        <v>0</v>
      </c>
      <c r="I339" s="6">
        <v>0</v>
      </c>
      <c r="K339" s="6">
        <v>5103000</v>
      </c>
      <c r="M339" s="6">
        <v>4794015</v>
      </c>
      <c r="O339" s="6">
        <v>0</v>
      </c>
      <c r="Q339" s="7">
        <f t="shared" si="23"/>
        <v>131775642</v>
      </c>
      <c r="S339" s="6">
        <v>10377206</v>
      </c>
      <c r="T339" s="6">
        <f>+'St of Net Assets - GA'!M339-'Long Term Liab - GA'!S339</f>
        <v>0</v>
      </c>
    </row>
    <row r="340" spans="1:20">
      <c r="A340" s="11" t="s">
        <v>501</v>
      </c>
      <c r="B340" s="11"/>
      <c r="C340" s="11" t="s">
        <v>62</v>
      </c>
      <c r="E340" s="6">
        <v>11844961</v>
      </c>
      <c r="G340" s="6">
        <v>0</v>
      </c>
      <c r="I340" s="6">
        <v>0</v>
      </c>
      <c r="K340" s="6">
        <v>32285</v>
      </c>
      <c r="M340" s="6">
        <v>3128717</v>
      </c>
      <c r="O340" s="6">
        <v>0</v>
      </c>
      <c r="Q340" s="7">
        <f t="shared" si="23"/>
        <v>15005963</v>
      </c>
      <c r="S340" s="6">
        <v>834121</v>
      </c>
      <c r="T340" s="6">
        <f>+'St of Net Assets - GA'!M340-'Long Term Liab - GA'!S340</f>
        <v>0</v>
      </c>
    </row>
    <row r="341" spans="1:20">
      <c r="A341" s="11" t="s">
        <v>529</v>
      </c>
      <c r="B341" s="11"/>
      <c r="C341" s="11" t="s">
        <v>64</v>
      </c>
      <c r="E341" s="6">
        <v>0</v>
      </c>
      <c r="G341" s="6">
        <v>722</v>
      </c>
      <c r="I341" s="6">
        <v>0</v>
      </c>
      <c r="K341" s="6">
        <v>0</v>
      </c>
      <c r="M341" s="6">
        <v>1234340</v>
      </c>
      <c r="O341" s="6">
        <v>0</v>
      </c>
      <c r="Q341" s="7">
        <f t="shared" si="23"/>
        <v>1235062</v>
      </c>
      <c r="S341" s="6">
        <v>269515</v>
      </c>
      <c r="T341" s="6">
        <f>+'St of Net Assets - GA'!M341-'Long Term Liab - GA'!S341</f>
        <v>0</v>
      </c>
    </row>
    <row r="342" spans="1:20" hidden="1">
      <c r="A342" s="10" t="s">
        <v>878</v>
      </c>
      <c r="B342" s="11"/>
      <c r="C342" s="11" t="s">
        <v>115</v>
      </c>
      <c r="E342" s="6">
        <v>0</v>
      </c>
      <c r="G342" s="6">
        <v>0</v>
      </c>
      <c r="I342" s="6">
        <v>0</v>
      </c>
      <c r="K342" s="6">
        <v>0</v>
      </c>
      <c r="M342" s="6">
        <v>0</v>
      </c>
      <c r="O342" s="6">
        <v>0</v>
      </c>
      <c r="Q342" s="7">
        <f t="shared" si="23"/>
        <v>0</v>
      </c>
      <c r="T342" s="6">
        <f>+'St of Net Assets - GA'!M342-'Long Term Liab - GA'!S342</f>
        <v>0</v>
      </c>
    </row>
    <row r="343" spans="1:20">
      <c r="A343" s="11" t="s">
        <v>723</v>
      </c>
      <c r="B343" s="11"/>
      <c r="C343" s="11" t="s">
        <v>20</v>
      </c>
      <c r="E343" s="6">
        <v>3130620</v>
      </c>
      <c r="G343" s="6">
        <v>633337</v>
      </c>
      <c r="I343" s="6">
        <v>0</v>
      </c>
      <c r="K343" s="6">
        <v>9875</v>
      </c>
      <c r="M343" s="6">
        <v>3146632</v>
      </c>
      <c r="O343" s="6">
        <f>248265+39586967</f>
        <v>39835232</v>
      </c>
      <c r="Q343" s="7">
        <f t="shared" si="23"/>
        <v>46755696</v>
      </c>
      <c r="S343" s="6">
        <v>2075934</v>
      </c>
      <c r="T343" s="6">
        <f>+'St of Net Assets - GA'!M343-'Long Term Liab - GA'!S343</f>
        <v>0</v>
      </c>
    </row>
    <row r="344" spans="1:20">
      <c r="A344" s="11" t="s">
        <v>445</v>
      </c>
      <c r="B344" s="11"/>
      <c r="C344" s="11" t="s">
        <v>51</v>
      </c>
      <c r="E344" s="6">
        <v>2761988</v>
      </c>
      <c r="G344" s="6">
        <v>0</v>
      </c>
      <c r="I344" s="6">
        <v>0</v>
      </c>
      <c r="K344" s="6">
        <v>1426601</v>
      </c>
      <c r="M344" s="6">
        <v>1271344</v>
      </c>
      <c r="O344" s="6">
        <v>0</v>
      </c>
      <c r="Q344" s="7">
        <f t="shared" si="23"/>
        <v>5459933</v>
      </c>
      <c r="S344" s="6">
        <v>440794</v>
      </c>
      <c r="T344" s="6">
        <f>+'St of Net Assets - GA'!M344-'Long Term Liab - GA'!S344</f>
        <v>0</v>
      </c>
    </row>
    <row r="345" spans="1:20" hidden="1">
      <c r="A345" s="11" t="s">
        <v>806</v>
      </c>
      <c r="B345" s="11"/>
      <c r="C345" s="11" t="s">
        <v>33</v>
      </c>
      <c r="Q345" s="7">
        <f t="shared" si="23"/>
        <v>0</v>
      </c>
      <c r="T345" s="6">
        <f>+'St of Net Assets - GA'!M345-'Long Term Liab - GA'!S345</f>
        <v>0</v>
      </c>
    </row>
    <row r="346" spans="1:20">
      <c r="A346" s="11" t="s">
        <v>638</v>
      </c>
      <c r="B346" s="11"/>
      <c r="C346" s="11" t="s">
        <v>64</v>
      </c>
      <c r="E346" s="6">
        <v>1274524</v>
      </c>
      <c r="G346" s="6">
        <v>0</v>
      </c>
      <c r="I346" s="6">
        <v>0</v>
      </c>
      <c r="K346" s="6">
        <v>62356</v>
      </c>
      <c r="M346" s="6">
        <v>276882</v>
      </c>
      <c r="O346" s="6">
        <v>70425</v>
      </c>
      <c r="Q346" s="7">
        <f t="shared" si="23"/>
        <v>1684187</v>
      </c>
      <c r="S346" s="6">
        <v>180614</v>
      </c>
      <c r="T346" s="6">
        <f>+'St of Net Assets - GA'!M346-'Long Term Liab - GA'!S346</f>
        <v>0</v>
      </c>
    </row>
    <row r="347" spans="1:20">
      <c r="A347" s="11" t="s">
        <v>768</v>
      </c>
      <c r="B347" s="11"/>
      <c r="C347" s="11" t="s">
        <v>228</v>
      </c>
      <c r="E347" s="6">
        <f>6370000+92725+116480+665000+66781</f>
        <v>7310986</v>
      </c>
      <c r="G347" s="6">
        <v>0</v>
      </c>
      <c r="I347" s="6">
        <v>0</v>
      </c>
      <c r="K347" s="6">
        <v>0</v>
      </c>
      <c r="M347" s="6">
        <v>502118</v>
      </c>
      <c r="O347" s="6">
        <v>0</v>
      </c>
      <c r="Q347" s="7">
        <f t="shared" si="23"/>
        <v>7813104</v>
      </c>
      <c r="S347" s="6">
        <v>360408</v>
      </c>
      <c r="T347" s="6">
        <f>+'St of Net Assets - GA'!M347-'Long Term Liab - GA'!S347</f>
        <v>0</v>
      </c>
    </row>
    <row r="348" spans="1:20">
      <c r="A348" s="11" t="s">
        <v>418</v>
      </c>
      <c r="B348" s="11"/>
      <c r="C348" s="11" t="s">
        <v>47</v>
      </c>
      <c r="E348" s="6">
        <v>65783132</v>
      </c>
      <c r="G348" s="6">
        <v>0</v>
      </c>
      <c r="I348" s="6">
        <v>0</v>
      </c>
      <c r="K348" s="6">
        <v>161273</v>
      </c>
      <c r="M348" s="6">
        <v>5510004</v>
      </c>
      <c r="O348" s="6">
        <v>25251307</v>
      </c>
      <c r="Q348" s="7">
        <f t="shared" si="23"/>
        <v>96705716</v>
      </c>
      <c r="S348" s="6">
        <v>3987034</v>
      </c>
      <c r="T348" s="6">
        <f>+'St of Net Assets - GA'!M348-'Long Term Liab - GA'!S348</f>
        <v>0</v>
      </c>
    </row>
    <row r="349" spans="1:20">
      <c r="A349" s="11" t="s">
        <v>421</v>
      </c>
      <c r="B349" s="11"/>
      <c r="C349" s="11" t="s">
        <v>420</v>
      </c>
      <c r="E349" s="6">
        <f>915000+3210000+100461+118027+283441-222492</f>
        <v>4404437</v>
      </c>
      <c r="G349" s="6">
        <v>0</v>
      </c>
      <c r="I349" s="6">
        <f>77500+495695</f>
        <v>573195</v>
      </c>
      <c r="K349" s="6">
        <v>0</v>
      </c>
      <c r="M349" s="6">
        <v>836425</v>
      </c>
      <c r="O349" s="6">
        <v>0</v>
      </c>
      <c r="Q349" s="7">
        <f t="shared" si="23"/>
        <v>5814057</v>
      </c>
      <c r="S349" s="6">
        <v>489992</v>
      </c>
      <c r="T349" s="6">
        <f>+'St of Net Assets - GA'!M349-'Long Term Liab - GA'!S349</f>
        <v>0</v>
      </c>
    </row>
    <row r="350" spans="1:20">
      <c r="A350" s="11" t="s">
        <v>769</v>
      </c>
      <c r="B350" s="11"/>
      <c r="C350" s="11" t="s">
        <v>41</v>
      </c>
      <c r="E350" s="6">
        <v>935007</v>
      </c>
      <c r="G350" s="6">
        <v>0</v>
      </c>
      <c r="I350" s="6">
        <v>464000</v>
      </c>
      <c r="K350" s="6">
        <v>0</v>
      </c>
      <c r="M350" s="6">
        <v>5542067</v>
      </c>
      <c r="O350" s="6">
        <f>1176498+931250</f>
        <v>2107748</v>
      </c>
      <c r="Q350" s="7">
        <f t="shared" si="23"/>
        <v>9048822</v>
      </c>
      <c r="S350" s="6">
        <v>2968420</v>
      </c>
      <c r="T350" s="6">
        <f>+'St of Net Assets - GA'!M350-'Long Term Liab - GA'!S350</f>
        <v>0</v>
      </c>
    </row>
    <row r="351" spans="1:20">
      <c r="A351" s="11" t="s">
        <v>424</v>
      </c>
      <c r="B351" s="11"/>
      <c r="C351" s="11" t="s">
        <v>48</v>
      </c>
      <c r="E351" s="6">
        <f>18791783-1424497</f>
        <v>17367286</v>
      </c>
      <c r="G351" s="6">
        <v>0</v>
      </c>
      <c r="I351" s="6">
        <v>0</v>
      </c>
      <c r="K351" s="6">
        <v>0</v>
      </c>
      <c r="M351" s="6">
        <v>1424497</v>
      </c>
      <c r="O351" s="6">
        <v>0</v>
      </c>
      <c r="Q351" s="7">
        <f t="shared" si="23"/>
        <v>18791783</v>
      </c>
      <c r="S351" s="6">
        <v>1018897</v>
      </c>
      <c r="T351" s="6">
        <f>+'St of Net Assets - GA'!M351-'Long Term Liab - GA'!S351</f>
        <v>0</v>
      </c>
    </row>
    <row r="352" spans="1:20">
      <c r="A352" s="11" t="s">
        <v>297</v>
      </c>
      <c r="B352" s="11"/>
      <c r="C352" s="11" t="s">
        <v>26</v>
      </c>
      <c r="E352" s="6">
        <v>27154970</v>
      </c>
      <c r="G352" s="6">
        <v>0</v>
      </c>
      <c r="I352" s="6">
        <v>0</v>
      </c>
      <c r="K352" s="6">
        <v>0</v>
      </c>
      <c r="M352" s="6">
        <v>980036</v>
      </c>
      <c r="O352" s="6">
        <v>0</v>
      </c>
      <c r="Q352" s="7">
        <f t="shared" si="23"/>
        <v>28135006</v>
      </c>
      <c r="S352" s="6">
        <v>732579</v>
      </c>
      <c r="T352" s="6">
        <f>+'St of Net Assets - GA'!M352-'Long Term Liab - GA'!S352</f>
        <v>0</v>
      </c>
    </row>
    <row r="353" spans="1:20">
      <c r="A353" s="11" t="s">
        <v>432</v>
      </c>
      <c r="B353" s="11"/>
      <c r="C353" s="11" t="s">
        <v>50</v>
      </c>
      <c r="E353" s="6">
        <v>84572479</v>
      </c>
      <c r="G353" s="6">
        <v>0</v>
      </c>
      <c r="I353" s="6">
        <v>0</v>
      </c>
      <c r="K353" s="6">
        <v>514704</v>
      </c>
      <c r="M353" s="6">
        <v>4030613</v>
      </c>
      <c r="O353" s="6">
        <v>0</v>
      </c>
      <c r="Q353" s="7">
        <f t="shared" si="23"/>
        <v>89117796</v>
      </c>
      <c r="S353" s="6">
        <v>2155266</v>
      </c>
      <c r="T353" s="6">
        <f>+'St of Net Assets - GA'!M353-'Long Term Liab - GA'!S353</f>
        <v>0</v>
      </c>
    </row>
    <row r="354" spans="1:20" hidden="1">
      <c r="A354" s="11" t="s">
        <v>812</v>
      </c>
      <c r="B354" s="11"/>
      <c r="C354" s="11" t="s">
        <v>53</v>
      </c>
      <c r="Q354" s="7">
        <f t="shared" ref="Q354" si="26">SUM(E354:P354)</f>
        <v>0</v>
      </c>
      <c r="T354" s="6">
        <f>+'St of Net Assets - GA'!M354-'Long Term Liab - GA'!S354</f>
        <v>0</v>
      </c>
    </row>
    <row r="355" spans="1:20">
      <c r="A355" s="11" t="s">
        <v>225</v>
      </c>
      <c r="B355" s="11"/>
      <c r="C355" s="11" t="s">
        <v>221</v>
      </c>
      <c r="E355" s="6">
        <f>2930000+53295000-58377+4021875</f>
        <v>60188498</v>
      </c>
      <c r="G355" s="6">
        <v>0</v>
      </c>
      <c r="I355" s="6">
        <f>881552+406597</f>
        <v>1288149</v>
      </c>
      <c r="K355" s="6">
        <v>1258090</v>
      </c>
      <c r="M355" s="6">
        <v>1469999</v>
      </c>
      <c r="O355" s="6">
        <v>2177724</v>
      </c>
      <c r="Q355" s="7">
        <f t="shared" si="23"/>
        <v>66382460</v>
      </c>
      <c r="S355" s="6">
        <v>2178091</v>
      </c>
      <c r="T355" s="6">
        <f>+'St of Net Assets - GA'!M355-'Long Term Liab - GA'!S355</f>
        <v>0</v>
      </c>
    </row>
    <row r="356" spans="1:20">
      <c r="A356" s="11" t="s">
        <v>387</v>
      </c>
      <c r="B356" s="11"/>
      <c r="C356" s="11" t="s">
        <v>44</v>
      </c>
      <c r="E356" s="6">
        <f>2140000+205000</f>
        <v>2345000</v>
      </c>
      <c r="G356" s="6">
        <v>0</v>
      </c>
      <c r="I356" s="6">
        <v>0</v>
      </c>
      <c r="K356" s="6">
        <v>0</v>
      </c>
      <c r="M356" s="6">
        <v>1535942</v>
      </c>
      <c r="O356" s="6">
        <f>7855000+16295000</f>
        <v>24150000</v>
      </c>
      <c r="Q356" s="7">
        <f t="shared" si="23"/>
        <v>28030942</v>
      </c>
      <c r="S356" s="6">
        <v>1094315</v>
      </c>
      <c r="T356" s="6">
        <f>+'St of Net Assets - GA'!M356-'Long Term Liab - GA'!S356</f>
        <v>0</v>
      </c>
    </row>
    <row r="357" spans="1:20">
      <c r="A357" s="11" t="s">
        <v>770</v>
      </c>
      <c r="B357" s="11"/>
      <c r="C357" s="11" t="s">
        <v>113</v>
      </c>
      <c r="E357" s="6">
        <f>6690000+410000+939941+22515000+30810000+285000+257569+3598871+2635000+78448-29057</f>
        <v>68190772</v>
      </c>
      <c r="G357" s="6">
        <v>300229</v>
      </c>
      <c r="I357" s="6">
        <v>1842000</v>
      </c>
      <c r="K357" s="6">
        <v>0</v>
      </c>
      <c r="M357" s="6">
        <v>2102022</v>
      </c>
      <c r="O357" s="6">
        <v>0</v>
      </c>
      <c r="Q357" s="7">
        <f t="shared" si="23"/>
        <v>72435023</v>
      </c>
      <c r="S357" s="6">
        <v>1758085</v>
      </c>
      <c r="T357" s="6">
        <f>+'St of Net Assets - GA'!M357-'Long Term Liab - GA'!S357</f>
        <v>0</v>
      </c>
    </row>
    <row r="358" spans="1:20" hidden="1">
      <c r="A358" s="11" t="s">
        <v>613</v>
      </c>
      <c r="B358" s="11"/>
      <c r="C358" s="11" t="s">
        <v>552</v>
      </c>
      <c r="Q358" s="7">
        <f t="shared" si="23"/>
        <v>0</v>
      </c>
      <c r="T358" s="6">
        <f>+'St of Net Assets - GA'!M358-'Long Term Liab - GA'!S358</f>
        <v>0</v>
      </c>
    </row>
    <row r="359" spans="1:20" hidden="1">
      <c r="A359" s="11" t="s">
        <v>892</v>
      </c>
      <c r="B359" s="11"/>
      <c r="C359" s="11" t="s">
        <v>467</v>
      </c>
      <c r="Q359" s="7">
        <f t="shared" si="23"/>
        <v>0</v>
      </c>
      <c r="T359" s="6">
        <f>+'St of Net Assets - GA'!M359-'Long Term Liab - GA'!S359</f>
        <v>0</v>
      </c>
    </row>
    <row r="360" spans="1:20" hidden="1">
      <c r="A360" s="11" t="s">
        <v>807</v>
      </c>
      <c r="B360" s="11"/>
      <c r="C360" s="11" t="s">
        <v>48</v>
      </c>
      <c r="Q360" s="7">
        <f t="shared" si="23"/>
        <v>0</v>
      </c>
      <c r="T360" s="6">
        <f>+'St of Net Assets - GA'!M360-'Long Term Liab - GA'!S360</f>
        <v>0</v>
      </c>
    </row>
    <row r="361" spans="1:20">
      <c r="A361" s="11" t="s">
        <v>502</v>
      </c>
      <c r="B361" s="11"/>
      <c r="C361" s="11" t="s">
        <v>62</v>
      </c>
      <c r="E361" s="6">
        <f>139423+281020+8750000+64993+343114+548452-407342+2065000+148570+2421</f>
        <v>11935651</v>
      </c>
      <c r="G361" s="6">
        <v>0</v>
      </c>
      <c r="I361" s="6">
        <v>0</v>
      </c>
      <c r="K361" s="6">
        <v>192150</v>
      </c>
      <c r="M361" s="6">
        <v>1022843</v>
      </c>
      <c r="O361" s="6">
        <v>0</v>
      </c>
      <c r="Q361" s="7">
        <f t="shared" si="23"/>
        <v>13150644</v>
      </c>
      <c r="S361" s="6">
        <v>742774</v>
      </c>
      <c r="T361" s="6">
        <f>+'St of Net Assets - GA'!M361-'Long Term Liab - GA'!S361</f>
        <v>0</v>
      </c>
    </row>
    <row r="362" spans="1:20">
      <c r="A362" s="11" t="s">
        <v>482</v>
      </c>
      <c r="B362" s="11"/>
      <c r="C362" s="11" t="s">
        <v>59</v>
      </c>
      <c r="E362" s="6">
        <f>330000+545700+765000+44995+50000+21009-25198</f>
        <v>1731506</v>
      </c>
      <c r="G362" s="6">
        <v>0</v>
      </c>
      <c r="I362" s="6">
        <v>0</v>
      </c>
      <c r="K362" s="6">
        <v>943983</v>
      </c>
      <c r="M362" s="6">
        <v>819941</v>
      </c>
      <c r="O362" s="6">
        <v>0</v>
      </c>
      <c r="Q362" s="7">
        <f t="shared" si="23"/>
        <v>3495430</v>
      </c>
      <c r="S362" s="6">
        <v>465430</v>
      </c>
      <c r="T362" s="6">
        <f>+'St of Net Assets - GA'!M362-'Long Term Liab - GA'!S362</f>
        <v>0</v>
      </c>
    </row>
    <row r="363" spans="1:20">
      <c r="A363" s="11" t="s">
        <v>213</v>
      </c>
      <c r="B363" s="11"/>
      <c r="C363" s="11" t="s">
        <v>14</v>
      </c>
      <c r="E363" s="6">
        <f>847915+9509051</f>
        <v>10356966</v>
      </c>
      <c r="G363" s="6">
        <v>0</v>
      </c>
      <c r="I363" s="6">
        <v>0</v>
      </c>
      <c r="K363" s="6">
        <v>0</v>
      </c>
      <c r="M363" s="6">
        <v>508402</v>
      </c>
      <c r="O363" s="6">
        <v>0</v>
      </c>
      <c r="Q363" s="7">
        <f t="shared" si="23"/>
        <v>10865368</v>
      </c>
      <c r="S363" s="6">
        <v>257777</v>
      </c>
      <c r="T363" s="6">
        <f>+'St of Net Assets - GA'!M363-'Long Term Liab - GA'!S363</f>
        <v>0</v>
      </c>
    </row>
    <row r="364" spans="1:20" hidden="1">
      <c r="A364" s="11" t="s">
        <v>640</v>
      </c>
      <c r="B364" s="11"/>
      <c r="C364" s="11" t="s">
        <v>21</v>
      </c>
      <c r="Q364" s="7">
        <f t="shared" si="23"/>
        <v>0</v>
      </c>
      <c r="T364" s="6">
        <f>+'St of Net Assets - GA'!M364-'Long Term Liab - GA'!S364</f>
        <v>0</v>
      </c>
    </row>
    <row r="365" spans="1:20">
      <c r="A365" s="11" t="s">
        <v>510</v>
      </c>
      <c r="B365" s="11"/>
      <c r="C365" s="11" t="s">
        <v>63</v>
      </c>
      <c r="E365" s="6">
        <f>8350000+545576+1839713</f>
        <v>10735289</v>
      </c>
      <c r="G365" s="6">
        <v>0</v>
      </c>
      <c r="I365" s="6">
        <v>0</v>
      </c>
      <c r="K365" s="6">
        <v>0</v>
      </c>
      <c r="M365" s="6">
        <v>583995</v>
      </c>
      <c r="O365" s="6">
        <v>0</v>
      </c>
      <c r="Q365" s="7">
        <f t="shared" si="23"/>
        <v>11319284</v>
      </c>
      <c r="S365" s="6">
        <v>475750</v>
      </c>
      <c r="T365" s="6">
        <f>+'St of Net Assets - GA'!M365-'Long Term Liab - GA'!S365</f>
        <v>0</v>
      </c>
    </row>
    <row r="366" spans="1:20" hidden="1">
      <c r="A366" s="11" t="s">
        <v>621</v>
      </c>
      <c r="B366" s="11"/>
      <c r="C366" s="11" t="s">
        <v>558</v>
      </c>
      <c r="Q366" s="7">
        <f t="shared" si="23"/>
        <v>0</v>
      </c>
      <c r="T366" s="6">
        <f>+'St of Net Assets - GA'!M366-'Long Term Liab - GA'!S366</f>
        <v>0</v>
      </c>
    </row>
    <row r="367" spans="1:20" hidden="1">
      <c r="A367" s="10" t="s">
        <v>879</v>
      </c>
      <c r="B367" s="11"/>
      <c r="C367" s="11" t="s">
        <v>221</v>
      </c>
      <c r="E367" s="6">
        <v>0</v>
      </c>
      <c r="G367" s="6">
        <v>0</v>
      </c>
      <c r="I367" s="6">
        <v>0</v>
      </c>
      <c r="K367" s="6">
        <v>0</v>
      </c>
      <c r="M367" s="6">
        <v>0</v>
      </c>
      <c r="O367" s="6">
        <v>0</v>
      </c>
      <c r="Q367" s="7">
        <f t="shared" ref="Q367:Q372" si="27">SUM(E367:P367)</f>
        <v>0</v>
      </c>
      <c r="T367" s="6">
        <f>+'St of Net Assets - GA'!M367-'Long Term Liab - GA'!S367</f>
        <v>0</v>
      </c>
    </row>
    <row r="368" spans="1:20">
      <c r="A368" s="11" t="s">
        <v>356</v>
      </c>
      <c r="B368" s="11"/>
      <c r="C368" s="11" t="s">
        <v>37</v>
      </c>
      <c r="E368" s="6">
        <v>723665</v>
      </c>
      <c r="G368" s="6">
        <v>0</v>
      </c>
      <c r="I368" s="6">
        <v>0</v>
      </c>
      <c r="K368" s="6">
        <v>224298</v>
      </c>
      <c r="M368" s="6">
        <v>398801</v>
      </c>
      <c r="O368" s="6">
        <v>0</v>
      </c>
      <c r="Q368" s="7">
        <f t="shared" si="27"/>
        <v>1346764</v>
      </c>
      <c r="S368" s="6">
        <v>182455</v>
      </c>
      <c r="T368" s="6">
        <f>+'St of Net Assets - GA'!M368-'Long Term Liab - GA'!S368</f>
        <v>0</v>
      </c>
    </row>
    <row r="369" spans="1:20" hidden="1">
      <c r="A369" s="11" t="s">
        <v>808</v>
      </c>
      <c r="B369" s="11"/>
      <c r="C369" s="11" t="s">
        <v>552</v>
      </c>
      <c r="Q369" s="7">
        <f t="shared" si="27"/>
        <v>0</v>
      </c>
      <c r="T369" s="6">
        <f>+'St of Net Assets - GA'!M369-'Long Term Liab - GA'!S369</f>
        <v>0</v>
      </c>
    </row>
    <row r="370" spans="1:20">
      <c r="A370" s="11" t="s">
        <v>439</v>
      </c>
      <c r="B370" s="11"/>
      <c r="C370" s="11" t="s">
        <v>440</v>
      </c>
      <c r="E370" s="6">
        <f>220000+1408161+4157542+3351566</f>
        <v>9137269</v>
      </c>
      <c r="G370" s="6">
        <v>94464</v>
      </c>
      <c r="I370" s="6">
        <v>0</v>
      </c>
      <c r="K370" s="6">
        <v>141659</v>
      </c>
      <c r="M370" s="6">
        <v>961319</v>
      </c>
      <c r="O370" s="6">
        <v>84694</v>
      </c>
      <c r="Q370" s="7">
        <f t="shared" si="27"/>
        <v>10419405</v>
      </c>
      <c r="S370" s="6">
        <v>821649</v>
      </c>
      <c r="T370" s="6">
        <f>+'St of Net Assets - GA'!M370-'Long Term Liab - GA'!S370</f>
        <v>0</v>
      </c>
    </row>
    <row r="371" spans="1:20">
      <c r="A371" s="11" t="s">
        <v>771</v>
      </c>
      <c r="B371" s="11"/>
      <c r="C371" s="11" t="s">
        <v>78</v>
      </c>
      <c r="E371" s="6">
        <v>7717966</v>
      </c>
      <c r="G371" s="6">
        <v>0</v>
      </c>
      <c r="I371" s="6">
        <v>0</v>
      </c>
      <c r="K371" s="6">
        <v>1165000</v>
      </c>
      <c r="M371" s="6">
        <v>636627</v>
      </c>
      <c r="O371" s="6">
        <v>0</v>
      </c>
      <c r="Q371" s="7">
        <f t="shared" si="27"/>
        <v>9519593</v>
      </c>
      <c r="S371" s="6">
        <v>743370</v>
      </c>
      <c r="T371" s="6">
        <f>+'St of Net Assets - GA'!M371-'Long Term Liab - GA'!S371</f>
        <v>0</v>
      </c>
    </row>
    <row r="372" spans="1:20" hidden="1">
      <c r="A372" s="10" t="s">
        <v>880</v>
      </c>
      <c r="B372" s="11"/>
      <c r="C372" s="11" t="s">
        <v>40</v>
      </c>
      <c r="E372" s="6">
        <v>0</v>
      </c>
      <c r="G372" s="6">
        <v>0</v>
      </c>
      <c r="I372" s="6">
        <v>0</v>
      </c>
      <c r="K372" s="6">
        <v>0</v>
      </c>
      <c r="M372" s="6">
        <v>0</v>
      </c>
      <c r="O372" s="6">
        <v>0</v>
      </c>
      <c r="Q372" s="7">
        <f t="shared" si="27"/>
        <v>0</v>
      </c>
      <c r="T372" s="6">
        <f>+'St of Net Assets - GA'!M372-'Long Term Liab - GA'!S372</f>
        <v>0</v>
      </c>
    </row>
    <row r="373" spans="1:20">
      <c r="A373" s="11" t="s">
        <v>712</v>
      </c>
      <c r="B373" s="11"/>
      <c r="C373" s="11" t="s">
        <v>32</v>
      </c>
      <c r="E373" s="6">
        <f>30480000+1734883</f>
        <v>32214883</v>
      </c>
      <c r="G373" s="6">
        <v>0</v>
      </c>
      <c r="I373" s="6">
        <v>0</v>
      </c>
      <c r="K373" s="6">
        <v>245904</v>
      </c>
      <c r="M373" s="6">
        <v>1646745</v>
      </c>
      <c r="O373" s="6">
        <v>0</v>
      </c>
      <c r="Q373" s="7">
        <f>SUM(E373:P373)</f>
        <v>34107532</v>
      </c>
      <c r="S373" s="6">
        <v>1157965</v>
      </c>
      <c r="T373" s="6">
        <f>+'St of Net Assets - GA'!M373-'Long Term Liab - GA'!S373</f>
        <v>0</v>
      </c>
    </row>
    <row r="374" spans="1:20" s="28" customFormat="1">
      <c r="A374" s="27" t="s">
        <v>346</v>
      </c>
      <c r="B374" s="27"/>
      <c r="C374" s="27" t="s">
        <v>34</v>
      </c>
      <c r="E374" s="28">
        <f>2255000+97912</f>
        <v>2352912</v>
      </c>
      <c r="G374" s="28">
        <f>1387023+65921+4167</f>
        <v>1457111</v>
      </c>
      <c r="I374" s="28">
        <v>0</v>
      </c>
      <c r="K374" s="28">
        <v>122175</v>
      </c>
      <c r="M374" s="28">
        <v>1336581</v>
      </c>
      <c r="O374" s="28">
        <v>926045</v>
      </c>
      <c r="Q374" s="32">
        <f t="shared" ref="Q374:Q401" si="28">SUM(E374:P374)</f>
        <v>6194824</v>
      </c>
      <c r="S374" s="28">
        <v>940518</v>
      </c>
      <c r="T374" s="28">
        <f>+'St of Net Assets - GA'!M374-'Long Term Liab - GA'!S374</f>
        <v>0</v>
      </c>
    </row>
    <row r="375" spans="1:20" hidden="1">
      <c r="A375" s="11" t="s">
        <v>765</v>
      </c>
      <c r="B375" s="11"/>
      <c r="C375" s="11" t="s">
        <v>57</v>
      </c>
      <c r="Q375" s="7"/>
    </row>
    <row r="376" spans="1:20">
      <c r="A376" s="11" t="s">
        <v>211</v>
      </c>
      <c r="B376" s="11"/>
      <c r="C376" s="11" t="s">
        <v>13</v>
      </c>
      <c r="E376" s="6">
        <v>5670666</v>
      </c>
      <c r="G376" s="6">
        <v>0</v>
      </c>
      <c r="I376" s="6">
        <v>0</v>
      </c>
      <c r="K376" s="6">
        <v>665000</v>
      </c>
      <c r="M376" s="6">
        <v>608727</v>
      </c>
      <c r="O376" s="6">
        <v>0</v>
      </c>
      <c r="Q376" s="7">
        <f t="shared" si="28"/>
        <v>6944393</v>
      </c>
      <c r="S376" s="6">
        <v>473212</v>
      </c>
      <c r="T376" s="6">
        <f>+'St of Net Assets - GA'!M376-'Long Term Liab - GA'!S376</f>
        <v>0</v>
      </c>
    </row>
    <row r="377" spans="1:20">
      <c r="A377" s="11" t="s">
        <v>608</v>
      </c>
      <c r="B377" s="11"/>
      <c r="C377" s="11" t="s">
        <v>27</v>
      </c>
      <c r="E377" s="6">
        <v>78994661</v>
      </c>
      <c r="G377" s="6">
        <v>0</v>
      </c>
      <c r="I377" s="6">
        <v>0</v>
      </c>
      <c r="K377" s="6">
        <v>0</v>
      </c>
      <c r="M377" s="6">
        <v>2547713</v>
      </c>
      <c r="O377" s="6">
        <v>0</v>
      </c>
      <c r="Q377" s="7">
        <f t="shared" si="28"/>
        <v>81542374</v>
      </c>
      <c r="S377" s="6">
        <v>5390568</v>
      </c>
      <c r="T377" s="6">
        <f>+'St of Net Assets - GA'!M377-'Long Term Liab - GA'!S377</f>
        <v>0</v>
      </c>
    </row>
    <row r="378" spans="1:20">
      <c r="A378" s="11" t="s">
        <v>483</v>
      </c>
      <c r="B378" s="11"/>
      <c r="C378" s="11" t="s">
        <v>59</v>
      </c>
      <c r="E378" s="6">
        <f>270000+2935000+107336+41807+71400</f>
        <v>3425543</v>
      </c>
      <c r="G378" s="6">
        <v>0</v>
      </c>
      <c r="I378" s="6">
        <v>0</v>
      </c>
      <c r="K378" s="6">
        <v>0</v>
      </c>
      <c r="M378" s="6">
        <v>171837</v>
      </c>
      <c r="O378" s="6">
        <v>0</v>
      </c>
      <c r="Q378" s="7">
        <f t="shared" si="28"/>
        <v>3597380</v>
      </c>
      <c r="S378" s="6">
        <v>89181</v>
      </c>
      <c r="T378" s="6">
        <f>+'St of Net Assets - GA'!M378-'Long Term Liab - GA'!S378</f>
        <v>0</v>
      </c>
    </row>
    <row r="379" spans="1:20">
      <c r="A379" s="11" t="s">
        <v>214</v>
      </c>
      <c r="B379" s="11"/>
      <c r="C379" s="11" t="s">
        <v>14</v>
      </c>
      <c r="E379" s="6">
        <v>4283941</v>
      </c>
      <c r="G379" s="6">
        <v>0</v>
      </c>
      <c r="I379" s="6">
        <v>0</v>
      </c>
      <c r="K379" s="6">
        <v>0</v>
      </c>
      <c r="M379" s="6">
        <v>524544</v>
      </c>
      <c r="O379" s="6">
        <v>0</v>
      </c>
      <c r="Q379" s="7">
        <f t="shared" si="28"/>
        <v>4808485</v>
      </c>
      <c r="S379" s="6">
        <v>200880</v>
      </c>
      <c r="T379" s="6">
        <f>+'St of Net Assets - GA'!M379-'Long Term Liab - GA'!S379</f>
        <v>0</v>
      </c>
    </row>
    <row r="380" spans="1:20" hidden="1">
      <c r="A380" s="11" t="s">
        <v>706</v>
      </c>
      <c r="B380" s="11"/>
      <c r="C380" s="11" t="s">
        <v>14</v>
      </c>
      <c r="Q380" s="7">
        <f t="shared" si="28"/>
        <v>0</v>
      </c>
      <c r="T380" s="6">
        <f>+'St of Net Assets - GA'!M380-'Long Term Liab - GA'!S380</f>
        <v>0</v>
      </c>
    </row>
    <row r="381" spans="1:20">
      <c r="A381" s="11" t="s">
        <v>433</v>
      </c>
      <c r="B381" s="11"/>
      <c r="C381" s="11" t="s">
        <v>50</v>
      </c>
      <c r="E381" s="6">
        <v>2983670</v>
      </c>
      <c r="G381" s="6">
        <v>0</v>
      </c>
      <c r="I381" s="6">
        <v>0</v>
      </c>
      <c r="K381" s="6">
        <v>0</v>
      </c>
      <c r="M381" s="6">
        <v>522801</v>
      </c>
      <c r="O381" s="6">
        <v>0</v>
      </c>
      <c r="Q381" s="7">
        <f t="shared" si="28"/>
        <v>3506471</v>
      </c>
      <c r="S381" s="6">
        <v>273968</v>
      </c>
      <c r="T381" s="6">
        <f>+'St of Net Assets - GA'!M381-'Long Term Liab - GA'!S381</f>
        <v>0</v>
      </c>
    </row>
    <row r="382" spans="1:20" hidden="1">
      <c r="A382" s="11" t="s">
        <v>809</v>
      </c>
      <c r="B382" s="11"/>
      <c r="C382" s="11" t="s">
        <v>451</v>
      </c>
      <c r="Q382" s="7">
        <f t="shared" si="28"/>
        <v>0</v>
      </c>
      <c r="T382" s="6">
        <f>+'St of Net Assets - GA'!M382-'Long Term Liab - GA'!S382</f>
        <v>0</v>
      </c>
    </row>
    <row r="383" spans="1:20">
      <c r="A383" s="11" t="s">
        <v>357</v>
      </c>
      <c r="B383" s="11"/>
      <c r="C383" s="11" t="s">
        <v>37</v>
      </c>
      <c r="E383" s="6">
        <v>2160645</v>
      </c>
      <c r="G383" s="6">
        <v>0</v>
      </c>
      <c r="I383" s="6">
        <v>0</v>
      </c>
      <c r="K383" s="6">
        <v>40250</v>
      </c>
      <c r="M383" s="6">
        <v>840507</v>
      </c>
      <c r="O383" s="6">
        <v>0</v>
      </c>
      <c r="Q383" s="7">
        <f t="shared" si="28"/>
        <v>3041402</v>
      </c>
      <c r="S383" s="6">
        <v>291062</v>
      </c>
      <c r="T383" s="6">
        <f>+'St of Net Assets - GA'!M383-'Long Term Liab - GA'!S383</f>
        <v>0</v>
      </c>
    </row>
    <row r="384" spans="1:20">
      <c r="A384" s="11" t="s">
        <v>226</v>
      </c>
      <c r="B384" s="11"/>
      <c r="C384" s="11" t="s">
        <v>221</v>
      </c>
      <c r="E384" s="6">
        <f>108481+1174997+98910-67173+249692</f>
        <v>1564907</v>
      </c>
      <c r="G384" s="6">
        <v>0</v>
      </c>
      <c r="I384" s="6">
        <v>0</v>
      </c>
      <c r="K384" s="6">
        <f>262000+100709</f>
        <v>362709</v>
      </c>
      <c r="M384" s="6">
        <v>201279</v>
      </c>
      <c r="O384" s="6">
        <v>0</v>
      </c>
      <c r="Q384" s="7">
        <f t="shared" si="28"/>
        <v>2128895</v>
      </c>
      <c r="S384" s="6">
        <v>165129</v>
      </c>
      <c r="T384" s="6">
        <f>+'St of Net Assets - GA'!M384-'Long Term Liab - GA'!S384</f>
        <v>0</v>
      </c>
    </row>
    <row r="385" spans="1:20">
      <c r="A385" s="11" t="s">
        <v>537</v>
      </c>
      <c r="B385" s="11"/>
      <c r="C385" s="11" t="s">
        <v>65</v>
      </c>
      <c r="E385" s="6">
        <f>2245000+538888+410806</f>
        <v>3194694</v>
      </c>
      <c r="G385" s="6">
        <v>0</v>
      </c>
      <c r="I385" s="6">
        <v>0</v>
      </c>
      <c r="K385" s="6">
        <v>978128</v>
      </c>
      <c r="M385" s="6">
        <v>1768576</v>
      </c>
      <c r="O385" s="6">
        <v>0</v>
      </c>
      <c r="Q385" s="7">
        <f t="shared" si="28"/>
        <v>5941398</v>
      </c>
      <c r="S385" s="6">
        <v>640178</v>
      </c>
      <c r="T385" s="6">
        <f>+'St of Net Assets - GA'!M385-'Long Term Liab - GA'!S385</f>
        <v>0</v>
      </c>
    </row>
    <row r="386" spans="1:20">
      <c r="A386" s="11" t="s">
        <v>772</v>
      </c>
      <c r="B386" s="11"/>
      <c r="C386" s="11" t="s">
        <v>113</v>
      </c>
      <c r="E386" s="6">
        <v>0</v>
      </c>
      <c r="G386" s="6">
        <v>0</v>
      </c>
      <c r="I386" s="6">
        <v>0</v>
      </c>
      <c r="K386" s="6">
        <v>0</v>
      </c>
      <c r="M386" s="6">
        <v>2939029</v>
      </c>
      <c r="O386" s="6">
        <v>0</v>
      </c>
      <c r="Q386" s="7">
        <f t="shared" si="28"/>
        <v>2939029</v>
      </c>
      <c r="S386" s="6">
        <v>315723</v>
      </c>
      <c r="T386" s="6">
        <f>+'St of Net Assets - GA'!M386-'Long Term Liab - GA'!S386</f>
        <v>0</v>
      </c>
    </row>
    <row r="387" spans="1:20" hidden="1">
      <c r="A387" s="11" t="s">
        <v>810</v>
      </c>
      <c r="B387" s="11"/>
      <c r="C387" s="11" t="s">
        <v>60</v>
      </c>
      <c r="Q387" s="7">
        <f t="shared" si="28"/>
        <v>0</v>
      </c>
      <c r="T387" s="6">
        <f>+'St of Net Assets - GA'!M387-'Long Term Liab - GA'!S387</f>
        <v>0</v>
      </c>
    </row>
    <row r="388" spans="1:20">
      <c r="A388" s="11" t="s">
        <v>376</v>
      </c>
      <c r="B388" s="11"/>
      <c r="C388" s="11" t="s">
        <v>42</v>
      </c>
      <c r="E388" s="6">
        <f>63810000+2228816-1409421</f>
        <v>64629395</v>
      </c>
      <c r="G388" s="6">
        <v>0</v>
      </c>
      <c r="I388" s="6">
        <v>0</v>
      </c>
      <c r="K388" s="6">
        <v>565833</v>
      </c>
      <c r="M388" s="6">
        <v>2782877</v>
      </c>
      <c r="O388" s="6">
        <v>0</v>
      </c>
      <c r="Q388" s="7">
        <f t="shared" si="28"/>
        <v>67978105</v>
      </c>
      <c r="S388" s="6">
        <v>2812387</v>
      </c>
      <c r="T388" s="6">
        <f>+'St of Net Assets - GA'!M388-'Long Term Liab - GA'!S388</f>
        <v>0</v>
      </c>
    </row>
    <row r="389" spans="1:20" hidden="1">
      <c r="A389" s="10" t="s">
        <v>881</v>
      </c>
      <c r="B389" s="11"/>
      <c r="C389" s="11" t="s">
        <v>30</v>
      </c>
      <c r="E389" s="6">
        <v>0</v>
      </c>
      <c r="G389" s="6">
        <v>0</v>
      </c>
      <c r="I389" s="6">
        <v>0</v>
      </c>
      <c r="K389" s="6">
        <v>0</v>
      </c>
      <c r="M389" s="6">
        <v>0</v>
      </c>
      <c r="O389" s="6">
        <v>0</v>
      </c>
      <c r="Q389" s="7">
        <f t="shared" si="28"/>
        <v>0</v>
      </c>
      <c r="T389" s="6">
        <f>+'St of Net Assets - GA'!M389-'Long Term Liab - GA'!S389</f>
        <v>0</v>
      </c>
    </row>
    <row r="390" spans="1:20">
      <c r="A390" s="11" t="s">
        <v>773</v>
      </c>
      <c r="B390" s="11"/>
      <c r="C390" s="11" t="s">
        <v>65</v>
      </c>
      <c r="E390" s="6">
        <f>1936607+124469-46382</f>
        <v>2014694</v>
      </c>
      <c r="G390" s="6">
        <v>0</v>
      </c>
      <c r="I390" s="6">
        <v>0</v>
      </c>
      <c r="K390" s="6">
        <f>12508+322261</f>
        <v>334769</v>
      </c>
      <c r="M390" s="6">
        <v>433962</v>
      </c>
      <c r="O390" s="6">
        <v>0</v>
      </c>
      <c r="Q390" s="7">
        <f t="shared" si="28"/>
        <v>2783425</v>
      </c>
      <c r="S390" s="6">
        <v>327581</v>
      </c>
      <c r="T390" s="6">
        <f>+'St of Net Assets - GA'!M390-'Long Term Liab - GA'!S390</f>
        <v>0</v>
      </c>
    </row>
    <row r="391" spans="1:20">
      <c r="A391" s="11" t="s">
        <v>774</v>
      </c>
      <c r="B391" s="11"/>
      <c r="C391" s="11" t="s">
        <v>64</v>
      </c>
      <c r="E391" s="6">
        <v>2972761</v>
      </c>
      <c r="G391" s="6">
        <v>0</v>
      </c>
      <c r="I391" s="6">
        <v>0</v>
      </c>
      <c r="K391" s="6">
        <v>0</v>
      </c>
      <c r="M391" s="6">
        <v>527537</v>
      </c>
      <c r="O391" s="6">
        <v>0</v>
      </c>
      <c r="Q391" s="7">
        <f t="shared" si="28"/>
        <v>3500298</v>
      </c>
      <c r="S391" s="6">
        <v>384579</v>
      </c>
      <c r="T391" s="6">
        <f>+'St of Net Assets - GA'!M391-'Long Term Liab - GA'!S391</f>
        <v>0</v>
      </c>
    </row>
    <row r="392" spans="1:20" hidden="1">
      <c r="A392" s="11" t="s">
        <v>811</v>
      </c>
      <c r="B392" s="11"/>
      <c r="C392" s="11" t="s">
        <v>48</v>
      </c>
      <c r="Q392" s="7">
        <f t="shared" si="28"/>
        <v>0</v>
      </c>
      <c r="T392" s="6">
        <f>+'St of Net Assets - GA'!M392-'Long Term Liab - GA'!S392</f>
        <v>0</v>
      </c>
    </row>
    <row r="393" spans="1:20">
      <c r="A393" s="11" t="s">
        <v>606</v>
      </c>
      <c r="B393" s="11"/>
      <c r="C393" s="11" t="s">
        <v>64</v>
      </c>
      <c r="E393" s="6">
        <f>21086715+141966+174478-96858</f>
        <v>21306301</v>
      </c>
      <c r="G393" s="6">
        <v>0</v>
      </c>
      <c r="I393" s="6">
        <v>1055900</v>
      </c>
      <c r="K393" s="6">
        <v>0</v>
      </c>
      <c r="M393" s="6">
        <v>1167821</v>
      </c>
      <c r="O393" s="6">
        <v>0</v>
      </c>
      <c r="Q393" s="7">
        <f t="shared" si="28"/>
        <v>23530022</v>
      </c>
      <c r="S393" s="6">
        <v>748665</v>
      </c>
      <c r="T393" s="6">
        <f>+'St of Net Assets - GA'!M393-'Long Term Liab - GA'!S393</f>
        <v>0</v>
      </c>
    </row>
    <row r="394" spans="1:20">
      <c r="A394" s="11" t="s">
        <v>449</v>
      </c>
      <c r="B394" s="11"/>
      <c r="C394" s="11" t="s">
        <v>52</v>
      </c>
      <c r="E394" s="6">
        <v>0</v>
      </c>
      <c r="G394" s="6">
        <v>0</v>
      </c>
      <c r="I394" s="6">
        <v>0</v>
      </c>
      <c r="K394" s="6">
        <v>30978</v>
      </c>
      <c r="M394" s="6">
        <v>507858</v>
      </c>
      <c r="O394" s="6">
        <v>0</v>
      </c>
      <c r="Q394" s="7">
        <f t="shared" si="28"/>
        <v>538836</v>
      </c>
      <c r="S394" s="6">
        <v>66990</v>
      </c>
      <c r="T394" s="6">
        <f>+'St of Net Assets - GA'!M394-'Long Term Liab - GA'!S394</f>
        <v>0</v>
      </c>
    </row>
    <row r="395" spans="1:20">
      <c r="A395" s="11" t="s">
        <v>511</v>
      </c>
      <c r="B395" s="11"/>
      <c r="C395" s="11" t="s">
        <v>63</v>
      </c>
      <c r="E395" s="6">
        <v>35146548</v>
      </c>
      <c r="G395" s="6">
        <v>0</v>
      </c>
      <c r="I395" s="6">
        <v>0</v>
      </c>
      <c r="K395" s="6">
        <v>0</v>
      </c>
      <c r="M395" s="6">
        <v>2610430</v>
      </c>
      <c r="O395" s="6">
        <v>609287</v>
      </c>
      <c r="Q395" s="7">
        <f t="shared" si="28"/>
        <v>38366265</v>
      </c>
      <c r="S395" s="6">
        <v>2845323</v>
      </c>
      <c r="T395" s="6">
        <f>+'St of Net Assets - GA'!M395-'Long Term Liab - GA'!S395</f>
        <v>0</v>
      </c>
    </row>
    <row r="396" spans="1:20">
      <c r="A396" s="11" t="s">
        <v>556</v>
      </c>
      <c r="B396" s="11"/>
      <c r="C396" s="11" t="s">
        <v>72</v>
      </c>
      <c r="E396" s="6">
        <f>12181938-572385</f>
        <v>11609553</v>
      </c>
      <c r="G396" s="6">
        <v>0</v>
      </c>
      <c r="I396" s="6">
        <v>0</v>
      </c>
      <c r="K396" s="6">
        <v>0</v>
      </c>
      <c r="M396" s="6">
        <v>572385</v>
      </c>
      <c r="O396" s="6">
        <v>0</v>
      </c>
      <c r="Q396" s="7">
        <f t="shared" si="28"/>
        <v>12181938</v>
      </c>
      <c r="S396" s="6">
        <v>443791</v>
      </c>
      <c r="T396" s="6">
        <f>+'St of Net Assets - GA'!M396-'Long Term Liab - GA'!S396</f>
        <v>0</v>
      </c>
    </row>
    <row r="397" spans="1:20" hidden="1">
      <c r="A397" s="11" t="s">
        <v>813</v>
      </c>
      <c r="B397" s="11"/>
      <c r="C397" s="11" t="s">
        <v>53</v>
      </c>
      <c r="Q397" s="7">
        <f t="shared" si="28"/>
        <v>0</v>
      </c>
      <c r="T397" s="6">
        <f>+'St of Net Assets - GA'!M397-'Long Term Liab - GA'!S397</f>
        <v>0</v>
      </c>
    </row>
    <row r="398" spans="1:20">
      <c r="A398" s="11" t="s">
        <v>503</v>
      </c>
      <c r="B398" s="11"/>
      <c r="C398" s="11" t="s">
        <v>62</v>
      </c>
      <c r="E398" s="6">
        <f>11665000+227484-318149</f>
        <v>11574335</v>
      </c>
      <c r="G398" s="6">
        <v>1180000</v>
      </c>
      <c r="I398" s="6">
        <v>0</v>
      </c>
      <c r="K398" s="6">
        <v>636258</v>
      </c>
      <c r="M398" s="6">
        <v>3322439</v>
      </c>
      <c r="O398" s="6">
        <v>0</v>
      </c>
      <c r="Q398" s="7">
        <f t="shared" si="28"/>
        <v>16713032</v>
      </c>
      <c r="S398" s="6">
        <v>2180778</v>
      </c>
      <c r="T398" s="6">
        <f>+'St of Net Assets - GA'!M398-'Long Term Liab - GA'!S398</f>
        <v>0</v>
      </c>
    </row>
    <row r="399" spans="1:20" hidden="1">
      <c r="A399" s="11" t="s">
        <v>814</v>
      </c>
      <c r="B399" s="11"/>
      <c r="C399" s="11" t="s">
        <v>552</v>
      </c>
      <c r="Q399" s="7">
        <f t="shared" si="28"/>
        <v>0</v>
      </c>
      <c r="T399" s="6">
        <f>+'St of Net Assets - GA'!M399-'Long Term Liab - GA'!S399</f>
        <v>0</v>
      </c>
    </row>
    <row r="400" spans="1:20">
      <c r="A400" s="11" t="s">
        <v>709</v>
      </c>
      <c r="B400" s="11"/>
      <c r="C400" s="11" t="s">
        <v>32</v>
      </c>
      <c r="E400" s="6">
        <f>8815000+90000+93552+204264+1260000+50000+9469+35535</f>
        <v>10557820</v>
      </c>
      <c r="G400" s="6">
        <v>0</v>
      </c>
      <c r="I400" s="6">
        <v>0</v>
      </c>
      <c r="K400" s="6">
        <v>0</v>
      </c>
      <c r="M400" s="6">
        <v>1472898</v>
      </c>
      <c r="O400" s="6">
        <v>3680000</v>
      </c>
      <c r="Q400" s="7">
        <f t="shared" si="28"/>
        <v>15710718</v>
      </c>
      <c r="S400" s="6">
        <v>401303</v>
      </c>
      <c r="T400" s="6">
        <f>+'St of Net Assets - GA'!M400-'Long Term Liab - GA'!S400</f>
        <v>0</v>
      </c>
    </row>
    <row r="401" spans="1:20">
      <c r="A401" s="11" t="s">
        <v>377</v>
      </c>
      <c r="B401" s="11"/>
      <c r="C401" s="11" t="s">
        <v>42</v>
      </c>
      <c r="E401" s="6">
        <f>9240840+498852-384218</f>
        <v>9355474</v>
      </c>
      <c r="G401" s="6">
        <v>0</v>
      </c>
      <c r="I401" s="6">
        <v>0</v>
      </c>
      <c r="K401" s="6">
        <v>0</v>
      </c>
      <c r="M401" s="6">
        <v>1220845</v>
      </c>
      <c r="O401" s="6">
        <v>0</v>
      </c>
      <c r="Q401" s="7">
        <f t="shared" si="28"/>
        <v>10576319</v>
      </c>
      <c r="S401" s="6">
        <v>750534</v>
      </c>
      <c r="T401" s="6">
        <f>+'St of Net Assets - GA'!M401-'Long Term Liab - GA'!S401</f>
        <v>0</v>
      </c>
    </row>
    <row r="402" spans="1:20">
      <c r="A402" s="11" t="s">
        <v>271</v>
      </c>
      <c r="B402" s="11"/>
      <c r="C402" s="11" t="s">
        <v>20</v>
      </c>
      <c r="E402" s="6">
        <v>255000</v>
      </c>
      <c r="G402" s="6">
        <v>0</v>
      </c>
      <c r="I402" s="6">
        <v>0</v>
      </c>
      <c r="K402" s="6">
        <v>0</v>
      </c>
      <c r="M402" s="6">
        <v>3427334</v>
      </c>
      <c r="O402" s="6">
        <v>0</v>
      </c>
      <c r="Q402" s="7">
        <f t="shared" ref="Q402:Q442" si="29">SUM(E402:P402)</f>
        <v>3682334</v>
      </c>
      <c r="S402" s="6">
        <v>888580</v>
      </c>
      <c r="T402" s="6">
        <f>+'St of Net Assets - GA'!M402-'Long Term Liab - GA'!S402</f>
        <v>0</v>
      </c>
    </row>
    <row r="403" spans="1:20">
      <c r="A403" s="11" t="s">
        <v>388</v>
      </c>
      <c r="B403" s="11"/>
      <c r="C403" s="11" t="s">
        <v>44</v>
      </c>
      <c r="E403" s="6">
        <v>1590000</v>
      </c>
      <c r="G403" s="6">
        <v>0</v>
      </c>
      <c r="I403" s="6">
        <v>0</v>
      </c>
      <c r="K403" s="6">
        <v>156758</v>
      </c>
      <c r="M403" s="6">
        <v>1593828</v>
      </c>
      <c r="O403" s="6">
        <v>0</v>
      </c>
      <c r="Q403" s="7">
        <f t="shared" si="29"/>
        <v>3340586</v>
      </c>
      <c r="S403" s="6">
        <v>752768</v>
      </c>
      <c r="T403" s="6">
        <f>+'St of Net Assets - GA'!M403-'Long Term Liab - GA'!S403</f>
        <v>0</v>
      </c>
    </row>
    <row r="404" spans="1:20">
      <c r="A404" s="11" t="s">
        <v>272</v>
      </c>
      <c r="B404" s="11"/>
      <c r="C404" s="11" t="s">
        <v>20</v>
      </c>
      <c r="E404" s="6">
        <v>15795562</v>
      </c>
      <c r="G404" s="6">
        <v>0</v>
      </c>
      <c r="I404" s="6">
        <v>0</v>
      </c>
      <c r="K404" s="6">
        <v>0</v>
      </c>
      <c r="M404" s="6">
        <v>3638144</v>
      </c>
      <c r="O404" s="6">
        <v>0</v>
      </c>
      <c r="Q404" s="7">
        <f t="shared" si="29"/>
        <v>19433706</v>
      </c>
      <c r="S404" s="6">
        <v>1630446</v>
      </c>
      <c r="T404" s="6">
        <f>+'St of Net Assets - GA'!M404-'Long Term Liab - GA'!S404</f>
        <v>0</v>
      </c>
    </row>
    <row r="405" spans="1:20">
      <c r="A405" s="11" t="s">
        <v>540</v>
      </c>
      <c r="B405" s="11"/>
      <c r="C405" s="11" t="s">
        <v>66</v>
      </c>
      <c r="E405" s="6">
        <v>9032188</v>
      </c>
      <c r="G405" s="6">
        <v>0</v>
      </c>
      <c r="I405" s="6">
        <v>0</v>
      </c>
      <c r="K405" s="6">
        <v>0</v>
      </c>
      <c r="M405" s="6">
        <v>709647</v>
      </c>
      <c r="O405" s="6">
        <v>0</v>
      </c>
      <c r="Q405" s="7">
        <f t="shared" si="29"/>
        <v>9741835</v>
      </c>
      <c r="S405" s="6">
        <v>529603</v>
      </c>
      <c r="T405" s="6">
        <f>+'St of Net Assets - GA'!M405-'Long Term Liab - GA'!S405</f>
        <v>0</v>
      </c>
    </row>
    <row r="406" spans="1:20">
      <c r="A406" s="11" t="s">
        <v>233</v>
      </c>
      <c r="B406" s="11"/>
      <c r="C406" s="11" t="s">
        <v>17</v>
      </c>
      <c r="E406" s="6">
        <v>2779909</v>
      </c>
      <c r="G406" s="6">
        <v>0</v>
      </c>
      <c r="I406" s="6">
        <v>0</v>
      </c>
      <c r="K406" s="6">
        <v>121739</v>
      </c>
      <c r="M406" s="6">
        <v>1468442</v>
      </c>
      <c r="O406" s="6">
        <v>461523</v>
      </c>
      <c r="Q406" s="7">
        <f t="shared" si="29"/>
        <v>4831613</v>
      </c>
      <c r="S406" s="6">
        <v>754168</v>
      </c>
      <c r="T406" s="6">
        <f>+'St of Net Assets - GA'!M406-'Long Term Liab - GA'!S406</f>
        <v>0</v>
      </c>
    </row>
    <row r="407" spans="1:20" hidden="1">
      <c r="A407" s="11" t="s">
        <v>815</v>
      </c>
      <c r="B407" s="11"/>
      <c r="C407" s="11" t="s">
        <v>22</v>
      </c>
      <c r="Q407" s="7">
        <f t="shared" si="29"/>
        <v>0</v>
      </c>
      <c r="T407" s="6">
        <f>+'St of Net Assets - GA'!M407-'Long Term Liab - GA'!S407</f>
        <v>0</v>
      </c>
    </row>
    <row r="408" spans="1:20" hidden="1">
      <c r="A408" s="11" t="s">
        <v>816</v>
      </c>
      <c r="B408" s="11"/>
      <c r="C408" s="11" t="s">
        <v>451</v>
      </c>
      <c r="Q408" s="7">
        <f t="shared" si="29"/>
        <v>0</v>
      </c>
      <c r="T408" s="6">
        <f>+'St of Net Assets - GA'!M408-'Long Term Liab - GA'!S408</f>
        <v>0</v>
      </c>
    </row>
    <row r="409" spans="1:20">
      <c r="A409" s="11" t="s">
        <v>434</v>
      </c>
      <c r="B409" s="11"/>
      <c r="C409" s="11" t="s">
        <v>50</v>
      </c>
      <c r="E409" s="6">
        <v>55768214</v>
      </c>
      <c r="G409" s="6">
        <v>0</v>
      </c>
      <c r="I409" s="6">
        <v>0</v>
      </c>
      <c r="K409" s="6">
        <v>88405</v>
      </c>
      <c r="M409" s="6">
        <v>2307051</v>
      </c>
      <c r="O409" s="6">
        <v>0</v>
      </c>
      <c r="Q409" s="7">
        <f t="shared" si="29"/>
        <v>58163670</v>
      </c>
      <c r="S409" s="6">
        <v>1386347</v>
      </c>
      <c r="T409" s="6">
        <f>+'St of Net Assets - GA'!M409-'Long Term Liab - GA'!S409</f>
        <v>0</v>
      </c>
    </row>
    <row r="410" spans="1:20">
      <c r="A410" s="11" t="s">
        <v>442</v>
      </c>
      <c r="B410" s="11"/>
      <c r="C410" s="11" t="s">
        <v>78</v>
      </c>
      <c r="E410" s="6">
        <f>14040928+352036</f>
        <v>14392964</v>
      </c>
      <c r="G410" s="6">
        <v>0</v>
      </c>
      <c r="I410" s="6">
        <v>0</v>
      </c>
      <c r="K410" s="6">
        <v>0</v>
      </c>
      <c r="M410" s="6">
        <v>834707</v>
      </c>
      <c r="O410" s="6">
        <v>0</v>
      </c>
      <c r="Q410" s="7">
        <f t="shared" si="29"/>
        <v>15227671</v>
      </c>
      <c r="S410" s="6">
        <v>427892</v>
      </c>
      <c r="T410" s="6">
        <f>+'St of Net Assets - GA'!M410-'Long Term Liab - GA'!S410</f>
        <v>0</v>
      </c>
    </row>
    <row r="411" spans="1:20">
      <c r="A411" s="11" t="s">
        <v>378</v>
      </c>
      <c r="B411" s="11"/>
      <c r="C411" s="11" t="s">
        <v>42</v>
      </c>
      <c r="E411" s="6">
        <v>4871948</v>
      </c>
      <c r="G411" s="6">
        <v>0</v>
      </c>
      <c r="I411" s="6">
        <v>0</v>
      </c>
      <c r="K411" s="6">
        <v>116960</v>
      </c>
      <c r="M411" s="6">
        <v>571587</v>
      </c>
      <c r="O411" s="6">
        <v>205181</v>
      </c>
      <c r="Q411" s="7">
        <f t="shared" si="29"/>
        <v>5765676</v>
      </c>
      <c r="S411" s="6">
        <v>760508</v>
      </c>
      <c r="T411" s="6">
        <f>+'St of Net Assets - GA'!M411-'Long Term Liab - GA'!S411</f>
        <v>0</v>
      </c>
    </row>
    <row r="412" spans="1:20">
      <c r="A412" s="11" t="s">
        <v>378</v>
      </c>
      <c r="B412" s="11"/>
      <c r="C412" s="11" t="s">
        <v>50</v>
      </c>
      <c r="E412" s="6">
        <v>5781821</v>
      </c>
      <c r="G412" s="6">
        <v>0</v>
      </c>
      <c r="I412" s="6">
        <v>0</v>
      </c>
      <c r="K412" s="6">
        <v>4500000</v>
      </c>
      <c r="M412" s="6">
        <v>1060850</v>
      </c>
      <c r="O412" s="6">
        <v>0</v>
      </c>
      <c r="Q412" s="7">
        <f t="shared" si="29"/>
        <v>11342671</v>
      </c>
      <c r="S412" s="6">
        <v>576488</v>
      </c>
      <c r="T412" s="6">
        <f>+'St of Net Assets - GA'!M412-'Long Term Liab - GA'!S412</f>
        <v>0</v>
      </c>
    </row>
    <row r="413" spans="1:20">
      <c r="A413" s="11" t="s">
        <v>327</v>
      </c>
      <c r="B413" s="11"/>
      <c r="C413" s="11" t="s">
        <v>32</v>
      </c>
      <c r="E413" s="6">
        <v>17155629</v>
      </c>
      <c r="G413" s="6">
        <v>0</v>
      </c>
      <c r="I413" s="6">
        <v>0</v>
      </c>
      <c r="K413" s="6">
        <v>0</v>
      </c>
      <c r="M413" s="6">
        <v>3818422</v>
      </c>
      <c r="O413" s="6">
        <v>0</v>
      </c>
      <c r="Q413" s="7">
        <f t="shared" si="29"/>
        <v>20974051</v>
      </c>
      <c r="S413" s="6">
        <v>1575436</v>
      </c>
      <c r="T413" s="6">
        <f>+'St of Net Assets - GA'!M413-'Long Term Liab - GA'!S413</f>
        <v>0</v>
      </c>
    </row>
    <row r="414" spans="1:20">
      <c r="A414" s="11" t="s">
        <v>597</v>
      </c>
      <c r="B414" s="11"/>
      <c r="C414" s="11" t="s">
        <v>59</v>
      </c>
      <c r="E414" s="6">
        <f>247161+487993</f>
        <v>735154</v>
      </c>
      <c r="G414" s="6">
        <v>0</v>
      </c>
      <c r="I414" s="6">
        <v>0</v>
      </c>
      <c r="K414" s="6">
        <v>1617000</v>
      </c>
      <c r="M414" s="6">
        <v>1377740</v>
      </c>
      <c r="O414" s="6">
        <v>0</v>
      </c>
      <c r="Q414" s="7">
        <f t="shared" si="29"/>
        <v>3729894</v>
      </c>
      <c r="S414" s="6">
        <v>561470</v>
      </c>
      <c r="T414" s="6">
        <f>+'St of Net Assets - GA'!M414-'Long Term Liab - GA'!S414</f>
        <v>0</v>
      </c>
    </row>
    <row r="415" spans="1:20">
      <c r="A415" s="11" t="s">
        <v>327</v>
      </c>
      <c r="B415" s="11"/>
      <c r="C415" s="11" t="s">
        <v>62</v>
      </c>
      <c r="E415" s="6">
        <f>18122486+1407521-971682</f>
        <v>18558325</v>
      </c>
      <c r="G415" s="6">
        <v>0</v>
      </c>
      <c r="I415" s="6">
        <v>1715000</v>
      </c>
      <c r="K415" s="6">
        <v>2657000</v>
      </c>
      <c r="M415" s="6">
        <v>1408786</v>
      </c>
      <c r="O415" s="6">
        <v>0</v>
      </c>
      <c r="Q415" s="7">
        <f t="shared" si="29"/>
        <v>24339111</v>
      </c>
      <c r="S415" s="6">
        <v>1180254</v>
      </c>
      <c r="T415" s="6">
        <f>+'St of Net Assets - GA'!M415-'Long Term Liab - GA'!S415</f>
        <v>0</v>
      </c>
    </row>
    <row r="416" spans="1:20">
      <c r="A416" s="11" t="s">
        <v>234</v>
      </c>
      <c r="B416" s="11"/>
      <c r="C416" s="11" t="s">
        <v>17</v>
      </c>
      <c r="E416" s="6">
        <f>16385000+12840000+382511</f>
        <v>29607511</v>
      </c>
      <c r="G416" s="6">
        <v>0</v>
      </c>
      <c r="I416" s="6">
        <v>0</v>
      </c>
      <c r="K416" s="6">
        <v>235000</v>
      </c>
      <c r="M416" s="6">
        <v>844356</v>
      </c>
      <c r="O416" s="6">
        <v>0</v>
      </c>
      <c r="Q416" s="7">
        <f t="shared" si="29"/>
        <v>30686867</v>
      </c>
      <c r="S416" s="6">
        <v>595496</v>
      </c>
      <c r="T416" s="6">
        <f>+'St of Net Assets - GA'!M416-'Long Term Liab - GA'!S416</f>
        <v>0</v>
      </c>
    </row>
    <row r="417" spans="1:20" hidden="1">
      <c r="A417" s="11" t="s">
        <v>739</v>
      </c>
      <c r="B417" s="11"/>
      <c r="C417" s="11" t="s">
        <v>71</v>
      </c>
      <c r="Q417" s="7"/>
    </row>
    <row r="418" spans="1:20" hidden="1">
      <c r="A418" s="10" t="s">
        <v>882</v>
      </c>
      <c r="B418" s="11"/>
      <c r="C418" s="11" t="s">
        <v>72</v>
      </c>
      <c r="E418" s="6">
        <v>0</v>
      </c>
      <c r="G418" s="6">
        <v>0</v>
      </c>
      <c r="I418" s="6">
        <v>0</v>
      </c>
      <c r="K418" s="6">
        <v>0</v>
      </c>
      <c r="M418" s="6">
        <v>0</v>
      </c>
      <c r="O418" s="6">
        <v>0</v>
      </c>
      <c r="Q418" s="7">
        <f t="shared" si="29"/>
        <v>0</v>
      </c>
      <c r="T418" s="6">
        <f>+'St of Net Assets - GA'!M418-'Long Term Liab - GA'!S418</f>
        <v>0</v>
      </c>
    </row>
    <row r="419" spans="1:20">
      <c r="A419" s="11" t="s">
        <v>512</v>
      </c>
      <c r="B419" s="11"/>
      <c r="C419" s="11" t="s">
        <v>63</v>
      </c>
      <c r="E419" s="6">
        <v>0</v>
      </c>
      <c r="G419" s="6">
        <v>0</v>
      </c>
      <c r="I419" s="6">
        <v>0</v>
      </c>
      <c r="K419" s="6">
        <v>20019</v>
      </c>
      <c r="M419" s="6">
        <v>867683</v>
      </c>
      <c r="O419" s="6">
        <v>0</v>
      </c>
      <c r="Q419" s="7">
        <f t="shared" si="29"/>
        <v>887702</v>
      </c>
      <c r="S419" s="6">
        <v>138517</v>
      </c>
      <c r="T419" s="6">
        <f>+'St of Net Assets - GA'!M419-'Long Term Liab - GA'!S419</f>
        <v>0</v>
      </c>
    </row>
    <row r="420" spans="1:20">
      <c r="A420" s="11" t="s">
        <v>358</v>
      </c>
      <c r="B420" s="11"/>
      <c r="C420" s="11" t="s">
        <v>37</v>
      </c>
      <c r="E420" s="6">
        <v>11384426</v>
      </c>
      <c r="G420" s="6">
        <v>0</v>
      </c>
      <c r="I420" s="6">
        <v>0</v>
      </c>
      <c r="K420" s="6">
        <v>0</v>
      </c>
      <c r="M420" s="6">
        <v>2399905</v>
      </c>
      <c r="O420" s="6">
        <v>0</v>
      </c>
      <c r="Q420" s="7">
        <f t="shared" si="29"/>
        <v>13784331</v>
      </c>
      <c r="S420" s="6">
        <v>962261</v>
      </c>
      <c r="T420" s="6">
        <f>+'St of Net Assets - GA'!M420-'Long Term Liab - GA'!S420</f>
        <v>0</v>
      </c>
    </row>
    <row r="421" spans="1:20" hidden="1">
      <c r="A421" s="11" t="s">
        <v>817</v>
      </c>
      <c r="B421" s="11"/>
      <c r="C421" s="11" t="s">
        <v>71</v>
      </c>
      <c r="Q421" s="7">
        <f t="shared" ref="Q421" si="30">SUM(E421:P421)</f>
        <v>0</v>
      </c>
      <c r="T421" s="6">
        <f>+'St of Net Assets - GA'!M421-'Long Term Liab - GA'!S421</f>
        <v>0</v>
      </c>
    </row>
    <row r="422" spans="1:20">
      <c r="A422" s="11" t="s">
        <v>631</v>
      </c>
      <c r="B422" s="11"/>
      <c r="C422" s="11" t="s">
        <v>32</v>
      </c>
      <c r="E422" s="6">
        <v>4360000</v>
      </c>
      <c r="G422" s="6">
        <v>0</v>
      </c>
      <c r="I422" s="6">
        <v>0</v>
      </c>
      <c r="K422" s="6">
        <v>304425</v>
      </c>
      <c r="M422" s="6">
        <v>1068972</v>
      </c>
      <c r="O422" s="6">
        <v>0</v>
      </c>
      <c r="Q422" s="7">
        <f t="shared" si="29"/>
        <v>5733397</v>
      </c>
      <c r="S422" s="6">
        <v>345412</v>
      </c>
      <c r="T422" s="6">
        <f>+'St of Net Assets - GA'!M422-'Long Term Liab - GA'!S422</f>
        <v>0</v>
      </c>
    </row>
    <row r="423" spans="1:20" hidden="1">
      <c r="A423" s="11" t="s">
        <v>738</v>
      </c>
      <c r="B423" s="11"/>
      <c r="C423" s="11" t="s">
        <v>38</v>
      </c>
      <c r="Q423" s="7"/>
    </row>
    <row r="424" spans="1:20">
      <c r="A424" s="11" t="s">
        <v>328</v>
      </c>
      <c r="B424" s="11"/>
      <c r="C424" s="11" t="s">
        <v>32</v>
      </c>
      <c r="E424" s="6">
        <v>39078460</v>
      </c>
      <c r="G424" s="6">
        <v>0</v>
      </c>
      <c r="I424" s="6">
        <v>0</v>
      </c>
      <c r="K424" s="6">
        <v>0</v>
      </c>
      <c r="M424" s="6">
        <v>4408956</v>
      </c>
      <c r="O424" s="6">
        <v>0</v>
      </c>
      <c r="Q424" s="7">
        <f t="shared" si="29"/>
        <v>43487416</v>
      </c>
      <c r="S424" s="6">
        <v>2446774</v>
      </c>
      <c r="T424" s="6">
        <f>+'St of Net Assets - GA'!M424-'Long Term Liab - GA'!S424</f>
        <v>0</v>
      </c>
    </row>
    <row r="425" spans="1:20">
      <c r="A425" s="11" t="s">
        <v>435</v>
      </c>
      <c r="B425" s="11"/>
      <c r="C425" s="11" t="s">
        <v>50</v>
      </c>
      <c r="E425" s="6">
        <f>7990000+8360000+575779-450662</f>
        <v>16475117</v>
      </c>
      <c r="G425" s="6">
        <v>0</v>
      </c>
      <c r="I425" s="6">
        <v>0</v>
      </c>
      <c r="K425" s="6">
        <v>358333</v>
      </c>
      <c r="M425" s="6">
        <v>1282625</v>
      </c>
      <c r="O425" s="6">
        <v>0</v>
      </c>
      <c r="Q425" s="7">
        <f t="shared" si="29"/>
        <v>18116075</v>
      </c>
      <c r="S425" s="6">
        <v>872868</v>
      </c>
      <c r="T425" s="6">
        <f>+'St of Net Assets - GA'!M425-'Long Term Liab - GA'!S425</f>
        <v>0</v>
      </c>
    </row>
    <row r="426" spans="1:20">
      <c r="A426" s="11" t="s">
        <v>389</v>
      </c>
      <c r="B426" s="11"/>
      <c r="C426" s="11" t="s">
        <v>44</v>
      </c>
      <c r="E426" s="6">
        <v>0</v>
      </c>
      <c r="G426" s="6">
        <v>0</v>
      </c>
      <c r="I426" s="6">
        <v>0</v>
      </c>
      <c r="K426" s="6">
        <v>559089</v>
      </c>
      <c r="M426" s="6">
        <v>973014</v>
      </c>
      <c r="O426" s="6">
        <v>0</v>
      </c>
      <c r="Q426" s="7">
        <f t="shared" si="29"/>
        <v>1532103</v>
      </c>
      <c r="S426" s="6">
        <v>326663</v>
      </c>
      <c r="T426" s="6">
        <f>+'St of Net Assets - GA'!M426-'Long Term Liab - GA'!S426</f>
        <v>0</v>
      </c>
    </row>
    <row r="427" spans="1:20" hidden="1">
      <c r="A427" s="11" t="s">
        <v>614</v>
      </c>
      <c r="B427" s="11"/>
      <c r="C427" s="11" t="s">
        <v>60</v>
      </c>
      <c r="Q427" s="7">
        <f t="shared" si="29"/>
        <v>0</v>
      </c>
      <c r="T427" s="6">
        <f>+'St of Net Assets - GA'!M427-'Long Term Liab - GA'!S427</f>
        <v>0</v>
      </c>
    </row>
    <row r="428" spans="1:20">
      <c r="A428" s="11" t="s">
        <v>284</v>
      </c>
      <c r="B428" s="11"/>
      <c r="C428" s="11" t="s">
        <v>23</v>
      </c>
      <c r="E428" s="6">
        <f>358327248-2100000+9708803+7360674-6163448</f>
        <v>367133277</v>
      </c>
      <c r="G428" s="6">
        <v>0</v>
      </c>
      <c r="I428" s="6">
        <v>2100000</v>
      </c>
      <c r="K428" s="6">
        <v>651735</v>
      </c>
      <c r="M428" s="6">
        <v>6990193</v>
      </c>
      <c r="O428" s="6">
        <v>0</v>
      </c>
      <c r="Q428" s="7">
        <f t="shared" si="29"/>
        <v>376875205</v>
      </c>
      <c r="S428" s="6">
        <v>15028341</v>
      </c>
      <c r="T428" s="6">
        <f>+'St of Net Assets - GA'!M428-'Long Term Liab - GA'!S428</f>
        <v>0</v>
      </c>
    </row>
    <row r="429" spans="1:20">
      <c r="A429" s="11" t="s">
        <v>273</v>
      </c>
      <c r="B429" s="11"/>
      <c r="C429" s="11" t="s">
        <v>20</v>
      </c>
      <c r="E429" s="6">
        <v>18866093</v>
      </c>
      <c r="G429" s="6">
        <v>0</v>
      </c>
      <c r="I429" s="6">
        <v>700000</v>
      </c>
      <c r="K429" s="6">
        <v>0</v>
      </c>
      <c r="M429" s="6">
        <v>2856020</v>
      </c>
      <c r="O429" s="6">
        <v>285482</v>
      </c>
      <c r="Q429" s="7">
        <f t="shared" si="29"/>
        <v>22707595</v>
      </c>
      <c r="S429" s="6">
        <v>1544914</v>
      </c>
      <c r="T429" s="6">
        <f>+'St of Net Assets - GA'!M429-'Long Term Liab - GA'!S429</f>
        <v>0</v>
      </c>
    </row>
    <row r="430" spans="1:20">
      <c r="A430" s="11" t="s">
        <v>470</v>
      </c>
      <c r="B430" s="11"/>
      <c r="C430" s="11" t="s">
        <v>110</v>
      </c>
      <c r="E430" s="6">
        <f>625000+9380000+74996+310134-380930+471703+3270000</f>
        <v>13750903</v>
      </c>
      <c r="G430" s="6">
        <v>0</v>
      </c>
      <c r="I430" s="6">
        <v>1235600</v>
      </c>
      <c r="K430" s="6">
        <v>45227</v>
      </c>
      <c r="M430" s="6">
        <v>1421157</v>
      </c>
      <c r="O430" s="6">
        <v>0</v>
      </c>
      <c r="Q430" s="7">
        <f t="shared" si="29"/>
        <v>16452887</v>
      </c>
      <c r="S430" s="6">
        <v>1275613</v>
      </c>
      <c r="T430" s="6">
        <f>+'St of Net Assets - GA'!M430-'Long Term Liab - GA'!S430</f>
        <v>0</v>
      </c>
    </row>
    <row r="431" spans="1:20">
      <c r="A431" s="11" t="s">
        <v>274</v>
      </c>
      <c r="B431" s="11"/>
      <c r="C431" s="11" t="s">
        <v>20</v>
      </c>
      <c r="E431" s="6">
        <f>25421616-447274+695674</f>
        <v>25670016</v>
      </c>
      <c r="G431" s="6">
        <v>0</v>
      </c>
      <c r="I431" s="6">
        <v>0</v>
      </c>
      <c r="K431" s="6">
        <v>56138</v>
      </c>
      <c r="M431" s="6">
        <v>5729954</v>
      </c>
      <c r="O431" s="6">
        <v>0</v>
      </c>
      <c r="Q431" s="7">
        <f t="shared" si="29"/>
        <v>31456108</v>
      </c>
      <c r="S431" s="6">
        <v>2275286</v>
      </c>
      <c r="T431" s="6">
        <f>+'St of Net Assets - GA'!M431-'Long Term Liab - GA'!S431</f>
        <v>0</v>
      </c>
    </row>
    <row r="432" spans="1:20">
      <c r="A432" s="11" t="s">
        <v>391</v>
      </c>
      <c r="B432" s="11"/>
      <c r="C432" s="11" t="s">
        <v>115</v>
      </c>
      <c r="E432" s="6">
        <f>37430079+2500986+446992</f>
        <v>40378057</v>
      </c>
      <c r="G432" s="6">
        <v>0</v>
      </c>
      <c r="I432" s="6">
        <v>0</v>
      </c>
      <c r="K432" s="6">
        <v>0</v>
      </c>
      <c r="M432" s="6">
        <v>6224030</v>
      </c>
      <c r="O432" s="6">
        <v>56985</v>
      </c>
      <c r="Q432" s="7">
        <f t="shared" si="29"/>
        <v>46659072</v>
      </c>
      <c r="S432" s="6">
        <v>1762308</v>
      </c>
      <c r="T432" s="6">
        <f>+'St of Net Assets - GA'!M432-'Long Term Liab - GA'!S432</f>
        <v>0</v>
      </c>
    </row>
    <row r="433" spans="1:20" hidden="1">
      <c r="A433" s="11" t="s">
        <v>818</v>
      </c>
      <c r="B433" s="11"/>
      <c r="C433" s="11" t="s">
        <v>71</v>
      </c>
      <c r="Q433" s="7">
        <f t="shared" si="29"/>
        <v>0</v>
      </c>
      <c r="T433" s="6">
        <f>+'St of Net Assets - GA'!M433-'Long Term Liab - GA'!S433</f>
        <v>0</v>
      </c>
    </row>
    <row r="434" spans="1:20" hidden="1">
      <c r="A434" s="10" t="s">
        <v>883</v>
      </c>
      <c r="B434" s="11"/>
      <c r="C434" s="11" t="s">
        <v>62</v>
      </c>
      <c r="E434" s="6">
        <v>0</v>
      </c>
      <c r="G434" s="6">
        <v>0</v>
      </c>
      <c r="I434" s="6">
        <v>0</v>
      </c>
      <c r="K434" s="6">
        <v>0</v>
      </c>
      <c r="M434" s="6">
        <v>0</v>
      </c>
      <c r="O434" s="6">
        <v>0</v>
      </c>
      <c r="Q434" s="7">
        <f t="shared" si="29"/>
        <v>0</v>
      </c>
      <c r="T434" s="6">
        <f>+'St of Net Assets - GA'!M434-'Long Term Liab - GA'!S434</f>
        <v>0</v>
      </c>
    </row>
    <row r="435" spans="1:20">
      <c r="A435" s="11" t="s">
        <v>557</v>
      </c>
      <c r="B435" s="11"/>
      <c r="C435" s="11" t="s">
        <v>72</v>
      </c>
      <c r="E435" s="6">
        <v>20461846</v>
      </c>
      <c r="G435" s="6">
        <v>0</v>
      </c>
      <c r="I435" s="6">
        <v>0</v>
      </c>
      <c r="K435" s="6">
        <v>0</v>
      </c>
      <c r="M435" s="6">
        <v>778849</v>
      </c>
      <c r="O435" s="6">
        <v>0</v>
      </c>
      <c r="Q435" s="7">
        <f t="shared" si="29"/>
        <v>21240695</v>
      </c>
      <c r="S435" s="6">
        <v>879568</v>
      </c>
      <c r="T435" s="6">
        <f>+'St of Net Assets - GA'!M435-'Long Term Liab - GA'!S435</f>
        <v>0</v>
      </c>
    </row>
    <row r="436" spans="1:20">
      <c r="A436" s="11" t="s">
        <v>392</v>
      </c>
      <c r="B436" s="11"/>
      <c r="C436" s="11" t="s">
        <v>115</v>
      </c>
      <c r="E436" s="6">
        <v>1890000</v>
      </c>
      <c r="G436" s="6">
        <v>0</v>
      </c>
      <c r="I436" s="6">
        <v>0</v>
      </c>
      <c r="K436" s="6">
        <v>0</v>
      </c>
      <c r="M436" s="6">
        <v>1387689</v>
      </c>
      <c r="O436" s="6">
        <v>0</v>
      </c>
      <c r="Q436" s="7">
        <f t="shared" si="29"/>
        <v>3277689</v>
      </c>
      <c r="S436" s="6">
        <v>667914</v>
      </c>
      <c r="T436" s="6">
        <f>+'St of Net Assets - GA'!M436-'Long Term Liab - GA'!S436</f>
        <v>0</v>
      </c>
    </row>
    <row r="437" spans="1:20" hidden="1">
      <c r="A437" s="11" t="s">
        <v>710</v>
      </c>
      <c r="B437" s="11"/>
      <c r="C437" s="11" t="s">
        <v>467</v>
      </c>
      <c r="Q437" s="7">
        <f t="shared" si="29"/>
        <v>0</v>
      </c>
      <c r="T437" s="6">
        <f>+'St of Net Assets - GA'!M437-'Long Term Liab - GA'!S437</f>
        <v>0</v>
      </c>
    </row>
    <row r="438" spans="1:20" hidden="1">
      <c r="A438" s="11" t="s">
        <v>819</v>
      </c>
      <c r="B438" s="11"/>
      <c r="C438" s="11" t="s">
        <v>467</v>
      </c>
      <c r="Q438" s="7">
        <f t="shared" si="29"/>
        <v>0</v>
      </c>
      <c r="T438" s="6">
        <f>+'St of Net Assets - GA'!M438-'Long Term Liab - GA'!S438</f>
        <v>0</v>
      </c>
    </row>
    <row r="439" spans="1:20" hidden="1">
      <c r="A439" s="11" t="s">
        <v>820</v>
      </c>
      <c r="B439" s="11"/>
      <c r="C439" s="11" t="s">
        <v>41</v>
      </c>
      <c r="Q439" s="7">
        <f t="shared" si="29"/>
        <v>0</v>
      </c>
      <c r="T439" s="6">
        <f>+'St of Net Assets - GA'!M439-'Long Term Liab - GA'!S439</f>
        <v>0</v>
      </c>
    </row>
    <row r="440" spans="1:20" hidden="1">
      <c r="A440" s="11" t="s">
        <v>784</v>
      </c>
      <c r="B440" s="11"/>
      <c r="C440" s="11" t="s">
        <v>41</v>
      </c>
      <c r="Q440" s="7">
        <f t="shared" si="29"/>
        <v>0</v>
      </c>
      <c r="T440" s="6">
        <f>+'St of Net Assets - GA'!M440-'Long Term Liab - GA'!S440</f>
        <v>0</v>
      </c>
    </row>
    <row r="441" spans="1:20">
      <c r="A441" s="11" t="s">
        <v>475</v>
      </c>
      <c r="B441" s="11"/>
      <c r="C441" s="11" t="s">
        <v>58</v>
      </c>
      <c r="E441" s="6">
        <f>960000+45000+14610+45312</f>
        <v>1064922</v>
      </c>
      <c r="G441" s="6">
        <v>0</v>
      </c>
      <c r="I441" s="6">
        <v>0</v>
      </c>
      <c r="K441" s="6">
        <v>163239</v>
      </c>
      <c r="M441" s="6">
        <v>348088</v>
      </c>
      <c r="O441" s="6">
        <v>0</v>
      </c>
      <c r="Q441" s="7">
        <f t="shared" si="29"/>
        <v>1576249</v>
      </c>
      <c r="S441" s="6">
        <v>233578</v>
      </c>
      <c r="T441" s="6">
        <f>+'St of Net Assets - GA'!M441-'Long Term Liab - GA'!S441</f>
        <v>0</v>
      </c>
    </row>
    <row r="442" spans="1:20" hidden="1">
      <c r="A442" s="11" t="s">
        <v>686</v>
      </c>
      <c r="B442" s="11"/>
      <c r="C442" s="11" t="s">
        <v>467</v>
      </c>
      <c r="Q442" s="7">
        <f t="shared" si="29"/>
        <v>0</v>
      </c>
      <c r="T442" s="6">
        <f>+'St of Net Assets - GA'!M442-'Long Term Liab - GA'!S442</f>
        <v>0</v>
      </c>
    </row>
    <row r="443" spans="1:20" hidden="1">
      <c r="A443" s="11" t="s">
        <v>687</v>
      </c>
      <c r="B443" s="11"/>
      <c r="C443" s="11" t="s">
        <v>422</v>
      </c>
      <c r="Q443" s="7">
        <f t="shared" ref="Q443:Q451" si="31">SUM(E443:P443)</f>
        <v>0</v>
      </c>
      <c r="T443" s="6">
        <f>+'St of Net Assets - GA'!M443-'Long Term Liab - GA'!S443</f>
        <v>0</v>
      </c>
    </row>
    <row r="444" spans="1:20">
      <c r="A444" s="11" t="s">
        <v>275</v>
      </c>
      <c r="B444" s="11"/>
      <c r="C444" s="11" t="s">
        <v>20</v>
      </c>
      <c r="E444" s="6">
        <v>0</v>
      </c>
      <c r="G444" s="6">
        <f>962000+2855000+2999541+1537148+2335140+1917738</f>
        <v>12606567</v>
      </c>
      <c r="I444" s="6">
        <f>2375000+4920000+64130</f>
        <v>7359130</v>
      </c>
      <c r="K444" s="6">
        <f>11665000-50408+1078695</f>
        <v>12693287</v>
      </c>
      <c r="M444" s="6">
        <v>11301750</v>
      </c>
      <c r="O444" s="6">
        <v>0</v>
      </c>
      <c r="Q444" s="7">
        <f t="shared" si="31"/>
        <v>43960734</v>
      </c>
      <c r="S444" s="6">
        <v>6694790</v>
      </c>
      <c r="T444" s="6">
        <f>+'St of Net Assets - GA'!M444-'Long Term Liab - GA'!S444</f>
        <v>0</v>
      </c>
    </row>
    <row r="445" spans="1:20">
      <c r="A445" s="11" t="s">
        <v>347</v>
      </c>
      <c r="B445" s="11"/>
      <c r="C445" s="11" t="s">
        <v>34</v>
      </c>
      <c r="E445" s="6">
        <f>95000+1740000+1655000+500000+465946-10506+220190</f>
        <v>4665630</v>
      </c>
      <c r="G445" s="6">
        <v>453334</v>
      </c>
      <c r="I445" s="6">
        <v>155000</v>
      </c>
      <c r="K445" s="6">
        <v>0</v>
      </c>
      <c r="M445" s="6">
        <v>643965</v>
      </c>
      <c r="O445" s="6">
        <v>0</v>
      </c>
      <c r="Q445" s="7">
        <f t="shared" si="31"/>
        <v>5917929</v>
      </c>
      <c r="S445" s="6">
        <v>151333</v>
      </c>
      <c r="T445" s="6">
        <f>+'St of Net Assets - GA'!M445-'Long Term Liab - GA'!S445</f>
        <v>0</v>
      </c>
    </row>
    <row r="446" spans="1:20" hidden="1">
      <c r="A446" s="11" t="s">
        <v>775</v>
      </c>
      <c r="B446" s="11"/>
      <c r="C446" s="11" t="s">
        <v>450</v>
      </c>
      <c r="Q446" s="7">
        <f t="shared" si="31"/>
        <v>0</v>
      </c>
      <c r="T446" s="6">
        <f>+'St of Net Assets - GA'!M446-'Long Term Liab - GA'!S446</f>
        <v>0</v>
      </c>
    </row>
    <row r="447" spans="1:20">
      <c r="A447" s="11" t="s">
        <v>289</v>
      </c>
      <c r="B447" s="11"/>
      <c r="C447" s="11" t="s">
        <v>24</v>
      </c>
      <c r="E447" s="6">
        <v>0</v>
      </c>
      <c r="G447" s="6">
        <v>0</v>
      </c>
      <c r="I447" s="6">
        <v>0</v>
      </c>
      <c r="K447" s="6">
        <f>1165677+1393332</f>
        <v>2559009</v>
      </c>
      <c r="M447" s="6">
        <v>1367374</v>
      </c>
      <c r="O447" s="6">
        <v>0</v>
      </c>
      <c r="Q447" s="7">
        <f t="shared" si="31"/>
        <v>3926383</v>
      </c>
      <c r="S447" s="6">
        <v>961030</v>
      </c>
      <c r="T447" s="6">
        <f>+'St of Net Assets - GA'!M447-'Long Term Liab - GA'!S447</f>
        <v>0</v>
      </c>
    </row>
    <row r="448" spans="1:20" hidden="1">
      <c r="A448" s="11" t="s">
        <v>688</v>
      </c>
      <c r="B448" s="11"/>
      <c r="C448" s="11" t="s">
        <v>10</v>
      </c>
      <c r="Q448" s="7">
        <f t="shared" si="31"/>
        <v>0</v>
      </c>
      <c r="T448" s="6">
        <f>+'St of Net Assets - GA'!M448-'Long Term Liab - GA'!S448</f>
        <v>0</v>
      </c>
    </row>
    <row r="449" spans="1:20">
      <c r="A449" s="11" t="s">
        <v>202</v>
      </c>
      <c r="B449" s="11"/>
      <c r="C449" s="11" t="s">
        <v>41</v>
      </c>
      <c r="E449" s="6">
        <v>0</v>
      </c>
      <c r="G449" s="6">
        <v>0</v>
      </c>
      <c r="I449" s="6">
        <v>963162</v>
      </c>
      <c r="K449" s="6">
        <v>0</v>
      </c>
      <c r="M449" s="6">
        <v>3786146</v>
      </c>
      <c r="O449" s="6">
        <v>0</v>
      </c>
      <c r="Q449" s="7">
        <f t="shared" si="31"/>
        <v>4749308</v>
      </c>
      <c r="S449" s="6">
        <v>815668</v>
      </c>
      <c r="T449" s="6">
        <f>+'St of Net Assets - GA'!M449-'Long Term Liab - GA'!S449</f>
        <v>0</v>
      </c>
    </row>
    <row r="450" spans="1:20">
      <c r="A450" s="11" t="s">
        <v>202</v>
      </c>
      <c r="B450" s="11"/>
      <c r="C450" s="11" t="s">
        <v>62</v>
      </c>
      <c r="E450" s="6">
        <v>5185000</v>
      </c>
      <c r="G450" s="6">
        <v>0</v>
      </c>
      <c r="I450" s="6">
        <v>0</v>
      </c>
      <c r="K450" s="6">
        <v>0</v>
      </c>
      <c r="M450" s="6">
        <v>3990906</v>
      </c>
      <c r="O450" s="6">
        <v>0</v>
      </c>
      <c r="Q450" s="7">
        <f t="shared" si="31"/>
        <v>9175906</v>
      </c>
      <c r="S450" s="6">
        <v>475560</v>
      </c>
      <c r="T450" s="6">
        <f>+'St of Net Assets - GA'!M450-'Long Term Liab - GA'!S450</f>
        <v>0</v>
      </c>
    </row>
    <row r="451" spans="1:20">
      <c r="A451" s="11" t="s">
        <v>776</v>
      </c>
      <c r="B451" s="11"/>
      <c r="C451" s="11" t="s">
        <v>72</v>
      </c>
      <c r="E451" s="6">
        <f>27744789+257813-142932</f>
        <v>27859670</v>
      </c>
      <c r="G451" s="6">
        <v>0</v>
      </c>
      <c r="I451" s="6">
        <v>469000</v>
      </c>
      <c r="K451" s="6">
        <v>343913</v>
      </c>
      <c r="M451" s="6">
        <v>3523457</v>
      </c>
      <c r="O451" s="6">
        <v>131074</v>
      </c>
      <c r="Q451" s="7">
        <f t="shared" si="31"/>
        <v>32327114</v>
      </c>
      <c r="S451" s="6">
        <v>2870907</v>
      </c>
      <c r="T451" s="6">
        <f>+'St of Net Assets - GA'!M451-'Long Term Liab - GA'!S451</f>
        <v>0</v>
      </c>
    </row>
    <row r="452" spans="1:20" hidden="1">
      <c r="A452" s="11" t="s">
        <v>896</v>
      </c>
      <c r="B452" s="11"/>
      <c r="C452" s="11" t="s">
        <v>28</v>
      </c>
      <c r="Q452" s="7">
        <f t="shared" ref="Q452:Q487" si="32">SUM(E452:P452)</f>
        <v>0</v>
      </c>
      <c r="T452" s="6">
        <f>+'St of Net Assets - GA'!M452-'Long Term Liab - GA'!S452</f>
        <v>0</v>
      </c>
    </row>
    <row r="453" spans="1:20">
      <c r="A453" s="11" t="s">
        <v>296</v>
      </c>
      <c r="B453" s="11"/>
      <c r="C453" s="11" t="s">
        <v>25</v>
      </c>
      <c r="E453" s="6">
        <f>148589852-2259131+3671752</f>
        <v>150002473</v>
      </c>
      <c r="G453" s="6">
        <v>0</v>
      </c>
      <c r="I453" s="6">
        <v>0</v>
      </c>
      <c r="K453" s="6">
        <v>1016281</v>
      </c>
      <c r="M453" s="6">
        <v>5154269</v>
      </c>
      <c r="O453" s="6">
        <v>0</v>
      </c>
      <c r="Q453" s="7">
        <f t="shared" si="32"/>
        <v>156173023</v>
      </c>
      <c r="S453" s="6">
        <v>10591263</v>
      </c>
      <c r="T453" s="6">
        <f>+'St of Net Assets - GA'!M453-'Long Term Liab - GA'!S453</f>
        <v>0</v>
      </c>
    </row>
    <row r="454" spans="1:20" hidden="1">
      <c r="A454" s="11" t="s">
        <v>821</v>
      </c>
      <c r="B454" s="11"/>
      <c r="C454" s="11" t="s">
        <v>28</v>
      </c>
      <c r="Q454" s="7">
        <f t="shared" si="32"/>
        <v>0</v>
      </c>
      <c r="T454" s="6">
        <f>+'St of Net Assets - GA'!M454-'Long Term Liab - GA'!S454</f>
        <v>0</v>
      </c>
    </row>
    <row r="455" spans="1:20">
      <c r="A455" s="11" t="s">
        <v>425</v>
      </c>
      <c r="B455" s="11"/>
      <c r="C455" s="11" t="s">
        <v>48</v>
      </c>
      <c r="E455" s="6">
        <f>36454385+3770000</f>
        <v>40224385</v>
      </c>
      <c r="G455" s="6">
        <v>0</v>
      </c>
      <c r="I455" s="6">
        <v>0</v>
      </c>
      <c r="K455" s="6">
        <v>0</v>
      </c>
      <c r="M455" s="6">
        <v>2379837</v>
      </c>
      <c r="O455" s="6">
        <v>0</v>
      </c>
      <c r="Q455" s="7">
        <f t="shared" si="32"/>
        <v>42604222</v>
      </c>
      <c r="S455" s="6">
        <v>1857701</v>
      </c>
      <c r="T455" s="6">
        <f>+'St of Net Assets - GA'!M455-'Long Term Liab - GA'!S455</f>
        <v>0</v>
      </c>
    </row>
    <row r="456" spans="1:20">
      <c r="A456" s="11" t="s">
        <v>306</v>
      </c>
      <c r="B456" s="11"/>
      <c r="C456" s="11" t="s">
        <v>62</v>
      </c>
      <c r="E456" s="6">
        <f>16290000+34345000+2122844-1613908</f>
        <v>51143936</v>
      </c>
      <c r="G456" s="6">
        <v>0</v>
      </c>
      <c r="I456" s="6">
        <v>0</v>
      </c>
      <c r="K456" s="6">
        <v>0</v>
      </c>
      <c r="M456" s="6">
        <v>3449642</v>
      </c>
      <c r="O456" s="6">
        <v>0</v>
      </c>
      <c r="Q456" s="7">
        <f t="shared" si="32"/>
        <v>54593578</v>
      </c>
      <c r="S456" s="6">
        <v>2534391</v>
      </c>
      <c r="T456" s="6">
        <f>+'St of Net Assets - GA'!M456-'Long Term Liab - GA'!S456</f>
        <v>0</v>
      </c>
    </row>
    <row r="457" spans="1:20">
      <c r="A457" s="11" t="s">
        <v>411</v>
      </c>
      <c r="B457" s="11"/>
      <c r="C457" s="11" t="s">
        <v>46</v>
      </c>
      <c r="E457" s="6">
        <f>1435000+9750</f>
        <v>1444750</v>
      </c>
      <c r="G457" s="6">
        <v>226661</v>
      </c>
      <c r="I457" s="6">
        <v>0</v>
      </c>
      <c r="K457" s="6">
        <v>61169</v>
      </c>
      <c r="M457" s="6">
        <v>698014</v>
      </c>
      <c r="O457" s="6">
        <v>0</v>
      </c>
      <c r="Q457" s="7">
        <f t="shared" si="32"/>
        <v>2430594</v>
      </c>
      <c r="S457" s="6">
        <v>311657</v>
      </c>
      <c r="T457" s="6">
        <f>+'St of Net Assets - GA'!M457-'Long Term Liab - GA'!S457</f>
        <v>0</v>
      </c>
    </row>
    <row r="458" spans="1:20">
      <c r="A458" s="11" t="s">
        <v>471</v>
      </c>
      <c r="B458" s="11"/>
      <c r="C458" s="11" t="s">
        <v>110</v>
      </c>
      <c r="E458" s="6">
        <f>345000+836403+78152-60824</f>
        <v>1198731</v>
      </c>
      <c r="G458" s="6">
        <v>0</v>
      </c>
      <c r="I458" s="6">
        <v>0</v>
      </c>
      <c r="K458" s="6">
        <f>689000+20331</f>
        <v>709331</v>
      </c>
      <c r="M458" s="6">
        <v>420721</v>
      </c>
      <c r="O458" s="6">
        <v>0</v>
      </c>
      <c r="Q458" s="7">
        <f t="shared" si="32"/>
        <v>2328783</v>
      </c>
      <c r="S458" s="6">
        <v>189838</v>
      </c>
      <c r="T458" s="6">
        <f>+'St of Net Assets - GA'!M458-'Long Term Liab - GA'!S458</f>
        <v>0</v>
      </c>
    </row>
    <row r="459" spans="1:20">
      <c r="A459" s="11" t="s">
        <v>724</v>
      </c>
      <c r="B459" s="11"/>
      <c r="C459" s="11" t="s">
        <v>45</v>
      </c>
      <c r="E459" s="6">
        <f>3032111+198152-129010</f>
        <v>3101253</v>
      </c>
      <c r="G459" s="6">
        <v>0</v>
      </c>
      <c r="I459" s="6">
        <v>0</v>
      </c>
      <c r="K459" s="6">
        <v>8122339</v>
      </c>
      <c r="M459" s="6">
        <v>1663545</v>
      </c>
      <c r="O459" s="6">
        <v>0</v>
      </c>
      <c r="Q459" s="7">
        <f t="shared" si="32"/>
        <v>12887137</v>
      </c>
      <c r="S459" s="6">
        <v>1100307</v>
      </c>
      <c r="T459" s="6">
        <f>+'St of Net Assets - GA'!M459-'Long Term Liab - GA'!S459</f>
        <v>0</v>
      </c>
    </row>
    <row r="460" spans="1:20" hidden="1">
      <c r="A460" s="11" t="s">
        <v>822</v>
      </c>
      <c r="B460" s="11"/>
      <c r="C460" s="11" t="s">
        <v>53</v>
      </c>
      <c r="Q460" s="7">
        <f t="shared" si="32"/>
        <v>0</v>
      </c>
      <c r="T460" s="6">
        <f>+'St of Net Assets - GA'!M460-'Long Term Liab - GA'!S460</f>
        <v>0</v>
      </c>
    </row>
    <row r="461" spans="1:20">
      <c r="A461" s="11" t="s">
        <v>484</v>
      </c>
      <c r="B461" s="11"/>
      <c r="C461" s="11" t="s">
        <v>59</v>
      </c>
      <c r="E461" s="6">
        <v>13297879</v>
      </c>
      <c r="G461" s="6">
        <v>0</v>
      </c>
      <c r="I461" s="6">
        <v>0</v>
      </c>
      <c r="K461" s="6">
        <v>50999</v>
      </c>
      <c r="M461" s="6">
        <v>1486956</v>
      </c>
      <c r="O461" s="6">
        <v>0</v>
      </c>
      <c r="Q461" s="7">
        <f t="shared" si="32"/>
        <v>14835834</v>
      </c>
      <c r="S461" s="6">
        <v>960063</v>
      </c>
      <c r="T461" s="6">
        <f>+'St of Net Assets - GA'!M461-'Long Term Liab - GA'!S461</f>
        <v>0</v>
      </c>
    </row>
    <row r="462" spans="1:20" hidden="1">
      <c r="A462" s="11" t="s">
        <v>689</v>
      </c>
      <c r="B462" s="11"/>
      <c r="C462" s="11" t="s">
        <v>57</v>
      </c>
      <c r="Q462" s="7">
        <f t="shared" si="32"/>
        <v>0</v>
      </c>
      <c r="T462" s="6">
        <f>+'St of Net Assets - GA'!M462-'Long Term Liab - GA'!S462</f>
        <v>0</v>
      </c>
    </row>
    <row r="463" spans="1:20">
      <c r="A463" s="11" t="s">
        <v>329</v>
      </c>
      <c r="B463" s="11"/>
      <c r="C463" s="11" t="s">
        <v>32</v>
      </c>
      <c r="E463" s="6">
        <f>3185000+60867+70120000+4167708-2146735+118285000+1714930+1259192+10311284+15225000-234027</f>
        <v>221948219</v>
      </c>
      <c r="G463" s="6">
        <v>3385000</v>
      </c>
      <c r="I463" s="6">
        <v>0</v>
      </c>
      <c r="K463" s="6">
        <v>328888</v>
      </c>
      <c r="M463" s="6">
        <v>2128099</v>
      </c>
      <c r="O463" s="6">
        <v>0</v>
      </c>
      <c r="Q463" s="7">
        <f t="shared" si="32"/>
        <v>227790206</v>
      </c>
      <c r="S463" s="6">
        <v>3394849</v>
      </c>
      <c r="T463" s="6">
        <f>+'St of Net Assets - GA'!M463-'Long Term Liab - GA'!S463</f>
        <v>0</v>
      </c>
    </row>
    <row r="464" spans="1:20" hidden="1">
      <c r="A464" s="11" t="s">
        <v>823</v>
      </c>
      <c r="B464" s="11"/>
      <c r="C464" s="11" t="s">
        <v>53</v>
      </c>
      <c r="Q464" s="7">
        <f t="shared" ref="Q464" si="33">SUM(E464:P464)</f>
        <v>0</v>
      </c>
      <c r="T464" s="6">
        <f>+'St of Net Assets - GA'!M464-'Long Term Liab - GA'!S464</f>
        <v>0</v>
      </c>
    </row>
    <row r="465" spans="1:20" hidden="1">
      <c r="A465" s="11" t="s">
        <v>824</v>
      </c>
      <c r="B465" s="11"/>
      <c r="C465" s="11" t="s">
        <v>12</v>
      </c>
      <c r="Q465" s="7">
        <f t="shared" si="32"/>
        <v>0</v>
      </c>
      <c r="T465" s="6">
        <f>+'St of Net Assets - GA'!M465-'Long Term Liab - GA'!S465</f>
        <v>0</v>
      </c>
    </row>
    <row r="466" spans="1:20">
      <c r="A466" s="11" t="s">
        <v>632</v>
      </c>
      <c r="B466" s="11"/>
      <c r="C466" s="11" t="s">
        <v>56</v>
      </c>
      <c r="E466" s="6">
        <v>15881226</v>
      </c>
      <c r="G466" s="6">
        <v>602700</v>
      </c>
      <c r="I466" s="6">
        <v>1585000</v>
      </c>
      <c r="K466" s="6">
        <v>2460000</v>
      </c>
      <c r="M466" s="6">
        <v>2047648</v>
      </c>
      <c r="O466" s="6">
        <v>0</v>
      </c>
      <c r="Q466" s="7">
        <f t="shared" si="32"/>
        <v>22576574</v>
      </c>
      <c r="S466" s="6">
        <v>1335782</v>
      </c>
      <c r="T466" s="6">
        <f>+'St of Net Assets - GA'!M466-'Long Term Liab - GA'!S466</f>
        <v>0</v>
      </c>
    </row>
    <row r="467" spans="1:20">
      <c r="A467" s="11" t="s">
        <v>330</v>
      </c>
      <c r="B467" s="11"/>
      <c r="C467" s="11" t="s">
        <v>32</v>
      </c>
      <c r="E467" s="6">
        <v>162000</v>
      </c>
      <c r="G467" s="6">
        <v>0</v>
      </c>
      <c r="I467" s="6">
        <v>0</v>
      </c>
      <c r="K467" s="6">
        <v>158676</v>
      </c>
      <c r="M467" s="6">
        <v>1104103</v>
      </c>
      <c r="O467" s="6">
        <v>0</v>
      </c>
      <c r="Q467" s="7">
        <f t="shared" si="32"/>
        <v>1424779</v>
      </c>
      <c r="S467" s="6">
        <v>107420</v>
      </c>
      <c r="T467" s="6">
        <f>+'St of Net Assets - GA'!M467-'Long Term Liab - GA'!S467</f>
        <v>0</v>
      </c>
    </row>
    <row r="468" spans="1:20">
      <c r="A468" s="11" t="s">
        <v>513</v>
      </c>
      <c r="B468" s="11"/>
      <c r="C468" s="11" t="s">
        <v>63</v>
      </c>
      <c r="E468" s="6">
        <v>9650624</v>
      </c>
      <c r="G468" s="6">
        <v>0</v>
      </c>
      <c r="I468" s="6">
        <v>0</v>
      </c>
      <c r="K468" s="6">
        <v>0</v>
      </c>
      <c r="M468" s="6">
        <v>2401085</v>
      </c>
      <c r="O468" s="6">
        <v>0</v>
      </c>
      <c r="Q468" s="7">
        <f t="shared" si="32"/>
        <v>12051709</v>
      </c>
      <c r="S468" s="6">
        <v>1428496</v>
      </c>
      <c r="T468" s="6">
        <f>+'St of Net Assets - GA'!M468-'Long Term Liab - GA'!S468</f>
        <v>0</v>
      </c>
    </row>
    <row r="469" spans="1:20" hidden="1">
      <c r="A469" s="11" t="s">
        <v>825</v>
      </c>
      <c r="B469" s="11"/>
      <c r="C469" s="11" t="s">
        <v>27</v>
      </c>
      <c r="Q469" s="7">
        <f t="shared" si="32"/>
        <v>0</v>
      </c>
      <c r="T469" s="6">
        <f>+'St of Net Assets - GA'!M469-'Long Term Liab - GA'!S469</f>
        <v>0</v>
      </c>
    </row>
    <row r="470" spans="1:20">
      <c r="A470" s="11" t="s">
        <v>276</v>
      </c>
      <c r="B470" s="11"/>
      <c r="C470" s="11" t="s">
        <v>20</v>
      </c>
      <c r="E470" s="6">
        <v>0</v>
      </c>
      <c r="G470" s="6">
        <v>0</v>
      </c>
      <c r="I470" s="6">
        <v>877467</v>
      </c>
      <c r="K470" s="6">
        <v>19780</v>
      </c>
      <c r="M470" s="6">
        <v>212209</v>
      </c>
      <c r="O470" s="6">
        <v>0</v>
      </c>
      <c r="Q470" s="7">
        <f t="shared" si="32"/>
        <v>1109456</v>
      </c>
      <c r="S470" s="6">
        <v>95387</v>
      </c>
      <c r="T470" s="6">
        <f>+'St of Net Assets - GA'!M470-'Long Term Liab - GA'!S470</f>
        <v>0</v>
      </c>
    </row>
    <row r="471" spans="1:20">
      <c r="A471" s="11" t="s">
        <v>412</v>
      </c>
      <c r="B471" s="11"/>
      <c r="C471" s="11" t="s">
        <v>46</v>
      </c>
      <c r="E471" s="6">
        <v>0</v>
      </c>
      <c r="G471" s="6">
        <v>32808</v>
      </c>
      <c r="I471" s="6">
        <v>0</v>
      </c>
      <c r="K471" s="6">
        <v>75662</v>
      </c>
      <c r="M471" s="6">
        <v>308872</v>
      </c>
      <c r="O471" s="6">
        <v>0</v>
      </c>
      <c r="Q471" s="7">
        <f t="shared" si="32"/>
        <v>417342</v>
      </c>
      <c r="S471" s="6">
        <v>109316</v>
      </c>
      <c r="T471" s="6">
        <f>+'St of Net Assets - GA'!M471-'Long Term Liab - GA'!S471</f>
        <v>0</v>
      </c>
    </row>
    <row r="472" spans="1:20" hidden="1">
      <c r="A472" s="11" t="s">
        <v>897</v>
      </c>
      <c r="B472" s="11"/>
      <c r="C472" s="11" t="s">
        <v>339</v>
      </c>
      <c r="E472" s="6">
        <v>0</v>
      </c>
      <c r="G472" s="6">
        <v>0</v>
      </c>
      <c r="I472" s="6">
        <v>0</v>
      </c>
      <c r="K472" s="6">
        <v>0</v>
      </c>
      <c r="M472" s="6">
        <v>0</v>
      </c>
      <c r="O472" s="6">
        <v>0</v>
      </c>
      <c r="Q472" s="7">
        <f t="shared" si="32"/>
        <v>0</v>
      </c>
      <c r="T472" s="6">
        <f>+'St of Net Assets - GA'!M472-'Long Term Liab - GA'!S472</f>
        <v>0</v>
      </c>
    </row>
    <row r="473" spans="1:20">
      <c r="A473" s="11" t="s">
        <v>254</v>
      </c>
      <c r="B473" s="11"/>
      <c r="C473" s="11" t="s">
        <v>19</v>
      </c>
      <c r="E473" s="6">
        <f>2547646+186467-141909</f>
        <v>2592204</v>
      </c>
      <c r="G473" s="6">
        <v>0</v>
      </c>
      <c r="I473" s="6">
        <v>0</v>
      </c>
      <c r="K473" s="6">
        <v>253515</v>
      </c>
      <c r="M473" s="6">
        <v>893437</v>
      </c>
      <c r="O473" s="6">
        <v>0</v>
      </c>
      <c r="Q473" s="7">
        <f t="shared" si="32"/>
        <v>3739156</v>
      </c>
      <c r="S473" s="6">
        <v>331840</v>
      </c>
      <c r="T473" s="6">
        <f>+'St of Net Assets - GA'!M473-'Long Term Liab - GA'!S473</f>
        <v>0</v>
      </c>
    </row>
    <row r="474" spans="1:20" hidden="1">
      <c r="A474" s="11" t="s">
        <v>826</v>
      </c>
      <c r="B474" s="11"/>
      <c r="C474" s="11" t="s">
        <v>77</v>
      </c>
      <c r="Q474" s="7">
        <f t="shared" si="32"/>
        <v>0</v>
      </c>
      <c r="T474" s="6">
        <f>+'St of Net Assets - GA'!M474-'Long Term Liab - GA'!S474</f>
        <v>0</v>
      </c>
    </row>
    <row r="475" spans="1:20" hidden="1">
      <c r="A475" s="11" t="s">
        <v>827</v>
      </c>
      <c r="B475" s="11"/>
      <c r="C475" s="11" t="s">
        <v>71</v>
      </c>
      <c r="Q475" s="7">
        <f t="shared" si="32"/>
        <v>0</v>
      </c>
      <c r="T475" s="6">
        <f>+'St of Net Assets - GA'!M475-'Long Term Liab - GA'!S475</f>
        <v>0</v>
      </c>
    </row>
    <row r="476" spans="1:20">
      <c r="A476" s="11" t="s">
        <v>413</v>
      </c>
      <c r="B476" s="11"/>
      <c r="C476" s="11" t="s">
        <v>46</v>
      </c>
      <c r="E476" s="6">
        <v>13377084</v>
      </c>
      <c r="G476" s="6">
        <v>0</v>
      </c>
      <c r="I476" s="6">
        <v>0</v>
      </c>
      <c r="K476" s="6">
        <v>303380</v>
      </c>
      <c r="M476" s="6">
        <v>761242</v>
      </c>
      <c r="O476" s="6">
        <v>0</v>
      </c>
      <c r="Q476" s="7">
        <f t="shared" si="32"/>
        <v>14441706</v>
      </c>
      <c r="S476" s="6">
        <v>1046237</v>
      </c>
      <c r="T476" s="6">
        <f>+'St of Net Assets - GA'!M476-'Long Term Liab - GA'!S476</f>
        <v>0</v>
      </c>
    </row>
    <row r="477" spans="1:20">
      <c r="A477" s="11" t="s">
        <v>255</v>
      </c>
      <c r="B477" s="11"/>
      <c r="C477" s="11" t="s">
        <v>19</v>
      </c>
      <c r="E477" s="6">
        <v>1100772</v>
      </c>
      <c r="G477" s="6">
        <v>0</v>
      </c>
      <c r="I477" s="6">
        <v>0</v>
      </c>
      <c r="K477" s="6">
        <v>84038</v>
      </c>
      <c r="M477" s="6">
        <v>831548</v>
      </c>
      <c r="O477" s="6">
        <v>20000</v>
      </c>
      <c r="Q477" s="7">
        <f t="shared" si="32"/>
        <v>2036358</v>
      </c>
      <c r="S477" s="6">
        <v>325404</v>
      </c>
      <c r="T477" s="6">
        <f>+'St of Net Assets - GA'!M477-'Long Term Liab - GA'!S477</f>
        <v>0</v>
      </c>
    </row>
    <row r="478" spans="1:20" hidden="1">
      <c r="A478" s="11" t="s">
        <v>828</v>
      </c>
      <c r="B478" s="11"/>
      <c r="C478" s="11" t="s">
        <v>339</v>
      </c>
      <c r="E478" s="6">
        <v>0</v>
      </c>
      <c r="G478" s="6">
        <v>0</v>
      </c>
      <c r="I478" s="6">
        <v>0</v>
      </c>
      <c r="K478" s="6">
        <v>0</v>
      </c>
      <c r="M478" s="6">
        <v>0</v>
      </c>
      <c r="O478" s="6">
        <v>0</v>
      </c>
      <c r="Q478" s="7">
        <f t="shared" si="32"/>
        <v>0</v>
      </c>
      <c r="T478" s="6">
        <f>+'St of Net Assets - GA'!M478-'Long Term Liab - GA'!S478</f>
        <v>0</v>
      </c>
    </row>
    <row r="479" spans="1:20" s="28" customFormat="1">
      <c r="A479" s="27" t="s">
        <v>379</v>
      </c>
      <c r="B479" s="27"/>
      <c r="C479" s="27" t="s">
        <v>41</v>
      </c>
      <c r="E479" s="28">
        <f>266768+3035502</f>
        <v>3302270</v>
      </c>
      <c r="G479" s="28">
        <v>0</v>
      </c>
      <c r="I479" s="28">
        <v>0</v>
      </c>
      <c r="K479" s="28">
        <v>2500000</v>
      </c>
      <c r="M479" s="28">
        <v>1071946</v>
      </c>
      <c r="O479" s="28">
        <v>0</v>
      </c>
      <c r="Q479" s="32">
        <f t="shared" si="32"/>
        <v>6874216</v>
      </c>
      <c r="S479" s="28">
        <v>1438355</v>
      </c>
      <c r="T479" s="28">
        <f>+'St of Net Assets - GA'!M479-'Long Term Liab - GA'!S479</f>
        <v>0</v>
      </c>
    </row>
    <row r="480" spans="1:20">
      <c r="A480" s="11" t="s">
        <v>379</v>
      </c>
      <c r="B480" s="11"/>
      <c r="C480" s="11" t="s">
        <v>43</v>
      </c>
      <c r="E480" s="6">
        <f>136457+1609498+155736-116214</f>
        <v>1785477</v>
      </c>
      <c r="G480" s="6">
        <v>0</v>
      </c>
      <c r="I480" s="6">
        <v>0</v>
      </c>
      <c r="K480" s="6">
        <v>0</v>
      </c>
      <c r="M480" s="6">
        <v>569782</v>
      </c>
      <c r="O480" s="6">
        <v>0</v>
      </c>
      <c r="Q480" s="7">
        <f t="shared" si="32"/>
        <v>2355259</v>
      </c>
      <c r="S480" s="6">
        <v>313094</v>
      </c>
      <c r="T480" s="6">
        <f>+'St of Net Assets - GA'!M480-'Long Term Liab - GA'!S480</f>
        <v>0</v>
      </c>
    </row>
    <row r="481" spans="1:20">
      <c r="A481" s="11" t="s">
        <v>370</v>
      </c>
      <c r="B481" s="11"/>
      <c r="C481" s="11" t="s">
        <v>366</v>
      </c>
      <c r="E481" s="6">
        <v>0</v>
      </c>
      <c r="G481" s="6">
        <v>0</v>
      </c>
      <c r="I481" s="6">
        <v>1225000</v>
      </c>
      <c r="K481" s="6">
        <v>1670000</v>
      </c>
      <c r="M481" s="6">
        <v>1147718</v>
      </c>
      <c r="O481" s="6">
        <v>0</v>
      </c>
      <c r="Q481" s="7">
        <f t="shared" si="32"/>
        <v>4042718</v>
      </c>
      <c r="S481" s="6">
        <v>353416</v>
      </c>
      <c r="T481" s="6">
        <f>+'St of Net Assets - GA'!M481-'Long Term Liab - GA'!S481</f>
        <v>0</v>
      </c>
    </row>
    <row r="482" spans="1:20">
      <c r="A482" s="11" t="s">
        <v>713</v>
      </c>
      <c r="B482" s="11"/>
      <c r="C482" s="11" t="s">
        <v>20</v>
      </c>
      <c r="E482" s="6">
        <f>52866086+420727</f>
        <v>53286813</v>
      </c>
      <c r="G482" s="6">
        <v>0</v>
      </c>
      <c r="I482" s="6">
        <v>0</v>
      </c>
      <c r="K482" s="6">
        <v>119426</v>
      </c>
      <c r="M482" s="6">
        <v>4834268</v>
      </c>
      <c r="O482" s="6">
        <v>0</v>
      </c>
      <c r="Q482" s="7">
        <f t="shared" si="32"/>
        <v>58240507</v>
      </c>
      <c r="S482" s="6">
        <v>2549395</v>
      </c>
      <c r="T482" s="6">
        <f>+'St of Net Assets - GA'!M482-'Long Term Liab - GA'!S482</f>
        <v>0</v>
      </c>
    </row>
    <row r="483" spans="1:20">
      <c r="A483" s="11" t="s">
        <v>321</v>
      </c>
      <c r="B483" s="11"/>
      <c r="C483" s="11" t="s">
        <v>31</v>
      </c>
      <c r="E483" s="6">
        <v>0</v>
      </c>
      <c r="G483" s="6">
        <v>0</v>
      </c>
      <c r="I483" s="6">
        <v>659285</v>
      </c>
      <c r="K483" s="6">
        <v>0</v>
      </c>
      <c r="M483" s="6">
        <v>989167</v>
      </c>
      <c r="O483" s="6">
        <v>56000</v>
      </c>
      <c r="Q483" s="7">
        <f t="shared" si="32"/>
        <v>1704452</v>
      </c>
      <c r="S483" s="6">
        <v>184145</v>
      </c>
      <c r="T483" s="6">
        <f>+'St of Net Assets - GA'!M483-'Long Term Liab - GA'!S483</f>
        <v>0</v>
      </c>
    </row>
    <row r="484" spans="1:20">
      <c r="A484" s="11" t="s">
        <v>462</v>
      </c>
      <c r="B484" s="11"/>
      <c r="C484" s="11" t="s">
        <v>56</v>
      </c>
      <c r="E484" s="6">
        <v>0</v>
      </c>
      <c r="G484" s="6">
        <v>0</v>
      </c>
      <c r="I484" s="6">
        <v>250000</v>
      </c>
      <c r="K484" s="6">
        <v>0</v>
      </c>
      <c r="M484" s="6">
        <v>442516</v>
      </c>
      <c r="O484" s="6">
        <v>0</v>
      </c>
      <c r="Q484" s="7">
        <f t="shared" si="32"/>
        <v>692516</v>
      </c>
      <c r="S484" s="6">
        <v>113334</v>
      </c>
      <c r="T484" s="6">
        <f>+'St of Net Assets - GA'!M484-'Long Term Liab - GA'!S484</f>
        <v>0</v>
      </c>
    </row>
    <row r="485" spans="1:20">
      <c r="A485" s="11" t="s">
        <v>714</v>
      </c>
      <c r="B485" s="11"/>
      <c r="C485" s="11" t="s">
        <v>221</v>
      </c>
      <c r="E485" s="6">
        <f>2475000-15937+7395000+1720000+110000+239057+6630000+60000+5848+861320-793937</f>
        <v>18686351</v>
      </c>
      <c r="G485" s="6">
        <v>0</v>
      </c>
      <c r="I485" s="6">
        <v>0</v>
      </c>
      <c r="K485" s="6">
        <v>662101</v>
      </c>
      <c r="M485" s="6">
        <v>852440</v>
      </c>
      <c r="O485" s="6">
        <v>104126</v>
      </c>
      <c r="Q485" s="7">
        <f t="shared" si="32"/>
        <v>20305018</v>
      </c>
      <c r="S485" s="6">
        <v>1458042</v>
      </c>
      <c r="T485" s="6">
        <f>+'St of Net Assets - GA'!M485-'Long Term Liab - GA'!S485</f>
        <v>0</v>
      </c>
    </row>
    <row r="486" spans="1:20">
      <c r="A486" s="11" t="s">
        <v>777</v>
      </c>
      <c r="B486" s="11"/>
      <c r="C486" s="11" t="s">
        <v>72</v>
      </c>
      <c r="E486" s="6">
        <v>0</v>
      </c>
      <c r="G486" s="6">
        <v>0</v>
      </c>
      <c r="I486" s="6">
        <v>0</v>
      </c>
      <c r="K486" s="6">
        <v>0</v>
      </c>
      <c r="M486" s="6">
        <v>1770835</v>
      </c>
      <c r="O486" s="6">
        <v>0</v>
      </c>
      <c r="Q486" s="7">
        <f t="shared" si="32"/>
        <v>1770835</v>
      </c>
      <c r="S486" s="6">
        <v>212579</v>
      </c>
      <c r="T486" s="6">
        <f>+'St of Net Assets - GA'!M486-'Long Term Liab - GA'!S486</f>
        <v>0</v>
      </c>
    </row>
    <row r="487" spans="1:20">
      <c r="A487" s="11" t="s">
        <v>492</v>
      </c>
      <c r="B487" s="11"/>
      <c r="C487" s="11" t="s">
        <v>61</v>
      </c>
      <c r="E487" s="6">
        <v>5324366</v>
      </c>
      <c r="G487" s="6">
        <v>0</v>
      </c>
      <c r="I487" s="6">
        <v>0</v>
      </c>
      <c r="K487" s="6">
        <v>0</v>
      </c>
      <c r="M487" s="6">
        <v>246739</v>
      </c>
      <c r="O487" s="6">
        <v>0</v>
      </c>
      <c r="Q487" s="7">
        <f t="shared" si="32"/>
        <v>5571105</v>
      </c>
      <c r="S487" s="6">
        <v>210000</v>
      </c>
      <c r="T487" s="6">
        <f>+'St of Net Assets - GA'!M487-'Long Term Liab - GA'!S487</f>
        <v>0</v>
      </c>
    </row>
    <row r="488" spans="1:20">
      <c r="A488" s="11" t="s">
        <v>607</v>
      </c>
      <c r="B488" s="11"/>
      <c r="C488" s="11" t="s">
        <v>112</v>
      </c>
      <c r="E488" s="6">
        <f>1625000+341000</f>
        <v>1966000</v>
      </c>
      <c r="G488" s="6">
        <v>0</v>
      </c>
      <c r="I488" s="6">
        <v>0</v>
      </c>
      <c r="K488" s="6">
        <v>165204</v>
      </c>
      <c r="M488" s="6">
        <v>1783699</v>
      </c>
      <c r="O488" s="6">
        <v>0</v>
      </c>
      <c r="Q488" s="7">
        <f t="shared" ref="Q488:Q523" si="34">SUM(E488:P488)</f>
        <v>3914903</v>
      </c>
      <c r="S488" s="6">
        <v>583417</v>
      </c>
      <c r="T488" s="6">
        <f>+'St of Net Assets - GA'!M488-'Long Term Liab - GA'!S488</f>
        <v>0</v>
      </c>
    </row>
    <row r="489" spans="1:20">
      <c r="A489" s="11" t="s">
        <v>290</v>
      </c>
      <c r="B489" s="11"/>
      <c r="C489" s="11" t="s">
        <v>24</v>
      </c>
      <c r="E489" s="6">
        <v>0</v>
      </c>
      <c r="G489" s="6">
        <v>0</v>
      </c>
      <c r="I489" s="6">
        <v>0</v>
      </c>
      <c r="K489" s="6">
        <v>914230</v>
      </c>
      <c r="M489" s="6">
        <v>4431693</v>
      </c>
      <c r="O489" s="6">
        <v>0</v>
      </c>
      <c r="Q489" s="7">
        <f t="shared" si="34"/>
        <v>5345923</v>
      </c>
      <c r="S489" s="6">
        <v>1184344</v>
      </c>
      <c r="T489" s="6">
        <f>+'St of Net Assets - GA'!M489-'Long Term Liab - GA'!S489</f>
        <v>0</v>
      </c>
    </row>
    <row r="490" spans="1:20">
      <c r="A490" s="11" t="s">
        <v>504</v>
      </c>
      <c r="B490" s="11"/>
      <c r="C490" s="11" t="s">
        <v>62</v>
      </c>
      <c r="E490" s="6">
        <f>11131770+177580</f>
        <v>11309350</v>
      </c>
      <c r="G490" s="6">
        <v>0</v>
      </c>
      <c r="I490" s="6">
        <v>371000</v>
      </c>
      <c r="K490" s="6">
        <v>0</v>
      </c>
      <c r="M490" s="6">
        <v>638053</v>
      </c>
      <c r="O490" s="6">
        <v>0</v>
      </c>
      <c r="Q490" s="7">
        <f t="shared" si="34"/>
        <v>12318403</v>
      </c>
      <c r="S490" s="6">
        <v>620067</v>
      </c>
      <c r="T490" s="6">
        <f>+'St of Net Assets - GA'!M490-'Long Term Liab - GA'!S490</f>
        <v>0</v>
      </c>
    </row>
    <row r="491" spans="1:20">
      <c r="A491" s="11" t="s">
        <v>456</v>
      </c>
      <c r="B491" s="11"/>
      <c r="C491" s="11" t="s">
        <v>55</v>
      </c>
      <c r="E491" s="6">
        <v>655000</v>
      </c>
      <c r="G491" s="6">
        <v>0</v>
      </c>
      <c r="I491" s="6">
        <v>0</v>
      </c>
      <c r="K491" s="6">
        <v>927352</v>
      </c>
      <c r="M491" s="6">
        <v>683091</v>
      </c>
      <c r="O491" s="6">
        <v>0</v>
      </c>
      <c r="Q491" s="7">
        <f t="shared" si="34"/>
        <v>2265443</v>
      </c>
      <c r="S491" s="6">
        <v>212776</v>
      </c>
      <c r="T491" s="6">
        <f>+'St of Net Assets - GA'!M491-'Long Term Liab - GA'!S491</f>
        <v>0</v>
      </c>
    </row>
    <row r="492" spans="1:20">
      <c r="A492" s="11" t="s">
        <v>405</v>
      </c>
      <c r="B492" s="11"/>
      <c r="C492" s="11" t="s">
        <v>45</v>
      </c>
      <c r="E492" s="6">
        <v>929483</v>
      </c>
      <c r="G492" s="6">
        <v>0</v>
      </c>
      <c r="I492" s="6">
        <v>0</v>
      </c>
      <c r="K492" s="6">
        <v>0</v>
      </c>
      <c r="M492" s="6">
        <v>398574</v>
      </c>
      <c r="O492" s="6">
        <v>0</v>
      </c>
      <c r="Q492" s="7">
        <f t="shared" si="34"/>
        <v>1328057</v>
      </c>
      <c r="S492" s="6">
        <v>130140</v>
      </c>
      <c r="T492" s="6">
        <f>+'St of Net Assets - GA'!M492-'Long Term Liab - GA'!S492</f>
        <v>0</v>
      </c>
    </row>
    <row r="493" spans="1:20">
      <c r="A493" s="11" t="s">
        <v>487</v>
      </c>
      <c r="B493" s="11"/>
      <c r="C493" s="11" t="s">
        <v>60</v>
      </c>
      <c r="E493" s="6">
        <v>10293517</v>
      </c>
      <c r="G493" s="6">
        <v>0</v>
      </c>
      <c r="I493" s="6">
        <v>0</v>
      </c>
      <c r="K493" s="6">
        <v>144366</v>
      </c>
      <c r="M493" s="6">
        <v>643050</v>
      </c>
      <c r="O493" s="6">
        <v>19800</v>
      </c>
      <c r="Q493" s="7">
        <f t="shared" si="34"/>
        <v>11100733</v>
      </c>
      <c r="S493" s="6">
        <v>444508</v>
      </c>
      <c r="T493" s="6">
        <f>+'St of Net Assets - GA'!M493-'Long Term Liab - GA'!S493</f>
        <v>0</v>
      </c>
    </row>
    <row r="494" spans="1:20">
      <c r="A494" s="11" t="s">
        <v>217</v>
      </c>
      <c r="B494" s="11"/>
      <c r="C494" s="11" t="s">
        <v>15</v>
      </c>
      <c r="E494" s="6">
        <v>0</v>
      </c>
      <c r="G494" s="6">
        <v>0</v>
      </c>
      <c r="I494" s="6">
        <v>24636</v>
      </c>
      <c r="K494" s="6">
        <v>56326</v>
      </c>
      <c r="M494" s="6">
        <v>528487</v>
      </c>
      <c r="O494" s="6">
        <v>0</v>
      </c>
      <c r="Q494" s="7">
        <f t="shared" si="34"/>
        <v>609449</v>
      </c>
      <c r="S494" s="6">
        <v>64062</v>
      </c>
      <c r="T494" s="6">
        <f>+'St of Net Assets - GA'!M494-'Long Term Liab - GA'!S494</f>
        <v>0</v>
      </c>
    </row>
    <row r="495" spans="1:20">
      <c r="A495" s="11" t="s">
        <v>715</v>
      </c>
      <c r="B495" s="11"/>
      <c r="C495" s="11" t="s">
        <v>20</v>
      </c>
      <c r="E495" s="6">
        <v>22465533</v>
      </c>
      <c r="G495" s="6">
        <v>0</v>
      </c>
      <c r="I495" s="6">
        <v>0</v>
      </c>
      <c r="K495" s="6">
        <v>0</v>
      </c>
      <c r="M495" s="6">
        <v>6655029</v>
      </c>
      <c r="O495" s="6">
        <v>1753500</v>
      </c>
      <c r="Q495" s="7">
        <f t="shared" si="34"/>
        <v>30874062</v>
      </c>
      <c r="S495" s="6">
        <v>2844753</v>
      </c>
      <c r="T495" s="6">
        <f>+'St of Net Assets - GA'!M495-'Long Term Liab - GA'!S495</f>
        <v>0</v>
      </c>
    </row>
    <row r="496" spans="1:20" hidden="1">
      <c r="A496" s="11" t="s">
        <v>700</v>
      </c>
      <c r="B496" s="11"/>
      <c r="C496" s="11" t="s">
        <v>10</v>
      </c>
      <c r="Q496" s="7">
        <f t="shared" si="34"/>
        <v>0</v>
      </c>
      <c r="T496" s="6">
        <f>+'St of Net Assets - GA'!M496-'Long Term Liab - GA'!S496</f>
        <v>0</v>
      </c>
    </row>
    <row r="497" spans="1:20">
      <c r="A497" s="11" t="s">
        <v>789</v>
      </c>
      <c r="B497" s="11"/>
      <c r="C497" s="11" t="s">
        <v>44</v>
      </c>
      <c r="E497" s="6">
        <v>31323635</v>
      </c>
      <c r="G497" s="6">
        <v>0</v>
      </c>
      <c r="I497" s="6">
        <v>0</v>
      </c>
      <c r="K497" s="6">
        <v>109717</v>
      </c>
      <c r="M497" s="6">
        <v>1630555</v>
      </c>
      <c r="O497" s="6">
        <v>0</v>
      </c>
      <c r="Q497" s="7">
        <f t="shared" si="34"/>
        <v>33063907</v>
      </c>
      <c r="S497" s="6">
        <v>546463</v>
      </c>
      <c r="T497" s="6">
        <f>+'St of Net Assets - GA'!M497-'Long Term Liab - GA'!S497</f>
        <v>0</v>
      </c>
    </row>
    <row r="498" spans="1:20">
      <c r="A498" s="11" t="s">
        <v>472</v>
      </c>
      <c r="B498" s="11"/>
      <c r="C498" s="11" t="s">
        <v>110</v>
      </c>
      <c r="E498" s="6">
        <f>16935811+105000+685980</f>
        <v>17726791</v>
      </c>
      <c r="G498" s="6">
        <v>0</v>
      </c>
      <c r="I498" s="6">
        <v>0</v>
      </c>
      <c r="K498" s="6">
        <v>61007</v>
      </c>
      <c r="M498" s="6">
        <v>1590701</v>
      </c>
      <c r="O498" s="6">
        <v>0</v>
      </c>
      <c r="Q498" s="7">
        <f t="shared" si="34"/>
        <v>19378499</v>
      </c>
      <c r="S498" s="6">
        <v>711455</v>
      </c>
      <c r="T498" s="6">
        <f>+'St of Net Assets - GA'!M498-'Long Term Liab - GA'!S498</f>
        <v>0</v>
      </c>
    </row>
    <row r="499" spans="1:20" hidden="1">
      <c r="A499" s="11" t="s">
        <v>833</v>
      </c>
      <c r="B499" s="11"/>
      <c r="C499" s="11" t="s">
        <v>61</v>
      </c>
      <c r="Q499" s="7">
        <f>SUM(E499:P499)</f>
        <v>0</v>
      </c>
      <c r="T499" s="6">
        <f>+'St of Net Assets - GA'!M499-'Long Term Liab - GA'!S499</f>
        <v>0</v>
      </c>
    </row>
    <row r="500" spans="1:20">
      <c r="A500" s="11" t="s">
        <v>277</v>
      </c>
      <c r="B500" s="11"/>
      <c r="C500" s="11" t="s">
        <v>20</v>
      </c>
      <c r="E500" s="6">
        <f>15669907+461835-279831</f>
        <v>15851911</v>
      </c>
      <c r="G500" s="6">
        <v>0</v>
      </c>
      <c r="I500" s="6">
        <v>0</v>
      </c>
      <c r="K500" s="6">
        <v>62538</v>
      </c>
      <c r="M500" s="6">
        <v>12163347</v>
      </c>
      <c r="O500" s="6">
        <v>0</v>
      </c>
      <c r="Q500" s="7">
        <f t="shared" si="34"/>
        <v>28077796</v>
      </c>
      <c r="S500" s="6">
        <v>4512627</v>
      </c>
      <c r="T500" s="6">
        <f>+'St of Net Assets - GA'!M500-'Long Term Liab - GA'!S500</f>
        <v>0</v>
      </c>
    </row>
    <row r="501" spans="1:20">
      <c r="A501" s="11" t="s">
        <v>633</v>
      </c>
      <c r="B501" s="11"/>
      <c r="C501" s="11" t="s">
        <v>37</v>
      </c>
      <c r="E501" s="6">
        <f>891618+47840-9780</f>
        <v>929678</v>
      </c>
      <c r="G501" s="6">
        <v>0</v>
      </c>
      <c r="I501" s="6">
        <v>0</v>
      </c>
      <c r="K501" s="6">
        <v>6065</v>
      </c>
      <c r="M501" s="6">
        <v>526628</v>
      </c>
      <c r="O501" s="6">
        <v>0</v>
      </c>
      <c r="Q501" s="7">
        <f t="shared" si="34"/>
        <v>1462371</v>
      </c>
      <c r="S501" s="6">
        <v>189963</v>
      </c>
      <c r="T501" s="6">
        <f>+'St of Net Assets - GA'!M501-'Long Term Liab - GA'!S501</f>
        <v>0</v>
      </c>
    </row>
    <row r="502" spans="1:20">
      <c r="A502" s="11" t="s">
        <v>278</v>
      </c>
      <c r="B502" s="11"/>
      <c r="C502" s="11" t="s">
        <v>20</v>
      </c>
      <c r="E502" s="6">
        <v>5889464</v>
      </c>
      <c r="G502" s="6">
        <v>0</v>
      </c>
      <c r="I502" s="6">
        <v>0</v>
      </c>
      <c r="K502" s="6">
        <v>0</v>
      </c>
      <c r="M502" s="6">
        <v>3512418</v>
      </c>
      <c r="O502" s="6">
        <v>0</v>
      </c>
      <c r="Q502" s="7">
        <f t="shared" si="34"/>
        <v>9401882</v>
      </c>
      <c r="S502" s="6">
        <v>1658817</v>
      </c>
      <c r="T502" s="6">
        <f>+'St of Net Assets - GA'!M502-'Long Term Liab - GA'!S502</f>
        <v>0</v>
      </c>
    </row>
    <row r="503" spans="1:20">
      <c r="A503" s="11" t="s">
        <v>371</v>
      </c>
      <c r="B503" s="11"/>
      <c r="C503" s="11" t="s">
        <v>366</v>
      </c>
      <c r="E503" s="6">
        <f>310000+7785000+556336+433340+269954</f>
        <v>9354630</v>
      </c>
      <c r="G503" s="6">
        <v>0</v>
      </c>
      <c r="I503" s="6">
        <v>0</v>
      </c>
      <c r="K503" s="6">
        <v>926391</v>
      </c>
      <c r="M503" s="6">
        <v>0</v>
      </c>
      <c r="O503" s="6">
        <v>1566102</v>
      </c>
      <c r="Q503" s="7">
        <f t="shared" si="34"/>
        <v>11847123</v>
      </c>
      <c r="S503" s="6">
        <v>989844</v>
      </c>
      <c r="T503" s="6">
        <f>+'St of Net Assets - GA'!M503-'Long Term Liab - GA'!S503</f>
        <v>0</v>
      </c>
    </row>
    <row r="504" spans="1:20">
      <c r="A504" s="11" t="s">
        <v>406</v>
      </c>
      <c r="B504" s="11"/>
      <c r="C504" s="11" t="s">
        <v>45</v>
      </c>
      <c r="E504" s="6">
        <f>13766314+5245054+245604</f>
        <v>19256972</v>
      </c>
      <c r="G504" s="6">
        <v>0</v>
      </c>
      <c r="I504" s="6">
        <v>0</v>
      </c>
      <c r="K504" s="6">
        <v>6731</v>
      </c>
      <c r="M504" s="6">
        <v>707719</v>
      </c>
      <c r="O504" s="6">
        <v>0</v>
      </c>
      <c r="Q504" s="7">
        <f t="shared" si="34"/>
        <v>19971422</v>
      </c>
      <c r="S504" s="6">
        <v>740636</v>
      </c>
      <c r="T504" s="6">
        <f>+'St of Net Assets - GA'!M504-'Long Term Liab - GA'!S504</f>
        <v>0</v>
      </c>
    </row>
    <row r="505" spans="1:20">
      <c r="A505" s="11" t="s">
        <v>463</v>
      </c>
      <c r="B505" s="11"/>
      <c r="C505" s="11" t="s">
        <v>56</v>
      </c>
      <c r="E505" s="6">
        <v>4897434</v>
      </c>
      <c r="G505" s="6">
        <v>0</v>
      </c>
      <c r="I505" s="6">
        <v>0</v>
      </c>
      <c r="K505" s="6">
        <v>2690</v>
      </c>
      <c r="M505" s="6">
        <v>1424985</v>
      </c>
      <c r="O505" s="6">
        <v>0</v>
      </c>
      <c r="Q505" s="7">
        <f t="shared" si="34"/>
        <v>6325109</v>
      </c>
      <c r="S505" s="6">
        <v>432105</v>
      </c>
      <c r="T505" s="6">
        <f>+'St of Net Assets - GA'!M505-'Long Term Liab - GA'!S505</f>
        <v>0</v>
      </c>
    </row>
    <row r="506" spans="1:20">
      <c r="A506" s="11" t="s">
        <v>463</v>
      </c>
      <c r="B506" s="11"/>
      <c r="C506" s="11" t="s">
        <v>71</v>
      </c>
      <c r="E506" s="6">
        <v>0</v>
      </c>
      <c r="G506" s="6">
        <v>0</v>
      </c>
      <c r="I506" s="6">
        <v>44810</v>
      </c>
      <c r="K506" s="6">
        <v>0</v>
      </c>
      <c r="M506" s="6">
        <v>686513</v>
      </c>
      <c r="O506" s="6">
        <v>0</v>
      </c>
      <c r="Q506" s="7">
        <f t="shared" si="34"/>
        <v>731323</v>
      </c>
      <c r="S506" s="6">
        <v>230295</v>
      </c>
      <c r="T506" s="6">
        <f>+'St of Net Assets - GA'!M506-'Long Term Liab - GA'!S506</f>
        <v>0</v>
      </c>
    </row>
    <row r="507" spans="1:20">
      <c r="A507" s="11" t="s">
        <v>235</v>
      </c>
      <c r="B507" s="11"/>
      <c r="C507" s="11" t="s">
        <v>17</v>
      </c>
      <c r="E507" s="6">
        <f>246000+19897+709+129000+7236+257+33926+809000</f>
        <v>1246025</v>
      </c>
      <c r="G507" s="6">
        <v>0</v>
      </c>
      <c r="I507" s="6">
        <v>0</v>
      </c>
      <c r="K507" s="6">
        <v>24311</v>
      </c>
      <c r="M507" s="6">
        <v>442382</v>
      </c>
      <c r="O507" s="6">
        <v>0</v>
      </c>
      <c r="Q507" s="7">
        <f t="shared" si="34"/>
        <v>1712718</v>
      </c>
      <c r="S507" s="6">
        <v>215763</v>
      </c>
      <c r="T507" s="6">
        <f>+'St of Net Assets - GA'!M507-'Long Term Liab - GA'!S507</f>
        <v>0</v>
      </c>
    </row>
    <row r="508" spans="1:20">
      <c r="A508" s="11" t="s">
        <v>235</v>
      </c>
      <c r="B508" s="11"/>
      <c r="C508" s="11" t="s">
        <v>58</v>
      </c>
      <c r="E508" s="6">
        <v>3011848</v>
      </c>
      <c r="G508" s="6">
        <v>0</v>
      </c>
      <c r="I508" s="6">
        <v>1276000</v>
      </c>
      <c r="K508" s="6">
        <v>0</v>
      </c>
      <c r="M508" s="6">
        <v>502632</v>
      </c>
      <c r="O508" s="6">
        <v>0</v>
      </c>
      <c r="Q508" s="7">
        <f t="shared" si="34"/>
        <v>4790480</v>
      </c>
      <c r="S508" s="6">
        <v>290041</v>
      </c>
      <c r="T508" s="6">
        <f>+'St of Net Assets - GA'!M508-'Long Term Liab - GA'!S508</f>
        <v>0</v>
      </c>
    </row>
    <row r="509" spans="1:20">
      <c r="A509" s="11" t="s">
        <v>645</v>
      </c>
      <c r="B509" s="11"/>
      <c r="C509" s="11" t="s">
        <v>112</v>
      </c>
      <c r="E509" s="6">
        <f>2298749+134344-83496</f>
        <v>2349597</v>
      </c>
      <c r="G509" s="6">
        <v>0</v>
      </c>
      <c r="I509" s="6">
        <v>0</v>
      </c>
      <c r="K509" s="6">
        <f>21090+80590</f>
        <v>101680</v>
      </c>
      <c r="M509" s="6">
        <v>361134</v>
      </c>
      <c r="O509" s="6">
        <v>0</v>
      </c>
      <c r="Q509" s="7">
        <f>SUM(E509:P509)</f>
        <v>2812411</v>
      </c>
      <c r="S509" s="6">
        <v>299995</v>
      </c>
      <c r="T509" s="6">
        <f>+'St of Net Assets - GA'!M509-'Long Term Liab - GA'!S509</f>
        <v>0</v>
      </c>
    </row>
    <row r="510" spans="1:20">
      <c r="A510" s="11" t="s">
        <v>250</v>
      </c>
      <c r="B510" s="11"/>
      <c r="C510" s="11" t="s">
        <v>420</v>
      </c>
      <c r="E510" s="6">
        <f>6822087-300242</f>
        <v>6521845</v>
      </c>
      <c r="G510" s="6">
        <v>0</v>
      </c>
      <c r="I510" s="6">
        <v>0</v>
      </c>
      <c r="K510" s="6">
        <v>0</v>
      </c>
      <c r="M510" s="6">
        <v>0</v>
      </c>
      <c r="O510" s="6">
        <v>300242</v>
      </c>
      <c r="Q510" s="7">
        <f t="shared" si="34"/>
        <v>6822087</v>
      </c>
      <c r="S510" s="6">
        <v>225907</v>
      </c>
      <c r="T510" s="6">
        <f>+'St of Net Assets - GA'!M510-'Long Term Liab - GA'!S510</f>
        <v>0</v>
      </c>
    </row>
    <row r="511" spans="1:20" hidden="1">
      <c r="A511" s="11" t="s">
        <v>701</v>
      </c>
      <c r="B511" s="11"/>
      <c r="C511" s="11" t="s">
        <v>451</v>
      </c>
      <c r="Q511" s="7">
        <f t="shared" si="34"/>
        <v>0</v>
      </c>
      <c r="T511" s="6">
        <f>+'St of Net Assets - GA'!M511-'Long Term Liab - GA'!S511</f>
        <v>0</v>
      </c>
    </row>
    <row r="512" spans="1:20">
      <c r="A512" s="11" t="s">
        <v>530</v>
      </c>
      <c r="B512" s="11"/>
      <c r="C512" s="11" t="s">
        <v>64</v>
      </c>
      <c r="E512" s="6">
        <v>7674110</v>
      </c>
      <c r="G512" s="6">
        <v>0</v>
      </c>
      <c r="I512" s="6">
        <v>0</v>
      </c>
      <c r="K512" s="6">
        <v>0</v>
      </c>
      <c r="M512" s="6">
        <v>224048</v>
      </c>
      <c r="O512" s="6">
        <v>0</v>
      </c>
      <c r="Q512" s="7">
        <f t="shared" si="34"/>
        <v>7898158</v>
      </c>
      <c r="S512" s="6">
        <v>270104</v>
      </c>
      <c r="T512" s="6">
        <f>+'St of Net Assets - GA'!M512-'Long Term Liab - GA'!S512</f>
        <v>0</v>
      </c>
    </row>
    <row r="513" spans="1:20" hidden="1">
      <c r="A513" s="11" t="s">
        <v>829</v>
      </c>
      <c r="B513" s="11"/>
      <c r="C513" s="11" t="s">
        <v>42</v>
      </c>
      <c r="Q513" s="7">
        <f t="shared" si="34"/>
        <v>0</v>
      </c>
      <c r="T513" s="6">
        <f>+'St of Net Assets - GA'!M513-'Long Term Liab - GA'!S513</f>
        <v>0</v>
      </c>
    </row>
    <row r="514" spans="1:20">
      <c r="A514" s="11" t="s">
        <v>331</v>
      </c>
      <c r="B514" s="11"/>
      <c r="C514" s="11" t="s">
        <v>32</v>
      </c>
      <c r="E514" s="6">
        <v>17317384</v>
      </c>
      <c r="G514" s="6">
        <v>0</v>
      </c>
      <c r="I514" s="6">
        <v>0</v>
      </c>
      <c r="K514" s="6">
        <v>0</v>
      </c>
      <c r="M514" s="6">
        <v>4953094</v>
      </c>
      <c r="O514" s="6">
        <v>0</v>
      </c>
      <c r="Q514" s="7">
        <f t="shared" si="34"/>
        <v>22270478</v>
      </c>
      <c r="S514" s="6">
        <v>1338916</v>
      </c>
      <c r="T514" s="6">
        <f>+'St of Net Assets - GA'!M514-'Long Term Liab - GA'!S514</f>
        <v>0</v>
      </c>
    </row>
    <row r="515" spans="1:20">
      <c r="A515" s="11" t="s">
        <v>307</v>
      </c>
      <c r="B515" s="11"/>
      <c r="C515" s="11" t="s">
        <v>27</v>
      </c>
      <c r="E515" s="6">
        <f>68865329+8020000</f>
        <v>76885329</v>
      </c>
      <c r="G515" s="6">
        <v>0</v>
      </c>
      <c r="I515" s="6">
        <v>333331</v>
      </c>
      <c r="K515" s="6">
        <v>0</v>
      </c>
      <c r="M515" s="6">
        <v>13128576</v>
      </c>
      <c r="O515" s="6">
        <v>0</v>
      </c>
      <c r="Q515" s="7">
        <f t="shared" si="34"/>
        <v>90347236</v>
      </c>
      <c r="S515" s="6">
        <v>14985704</v>
      </c>
      <c r="T515" s="6">
        <f>+'St of Net Assets - GA'!M515-'Long Term Liab - GA'!S515</f>
        <v>0</v>
      </c>
    </row>
    <row r="516" spans="1:20" hidden="1">
      <c r="A516" s="11" t="s">
        <v>702</v>
      </c>
      <c r="B516" s="11"/>
      <c r="C516" s="11" t="s">
        <v>10</v>
      </c>
      <c r="D516" s="9"/>
      <c r="Q516" s="7">
        <f t="shared" si="34"/>
        <v>0</v>
      </c>
      <c r="T516" s="6">
        <f>+'St of Net Assets - GA'!M516-'Long Term Liab - GA'!S516</f>
        <v>0</v>
      </c>
    </row>
    <row r="517" spans="1:20">
      <c r="A517" s="10" t="s">
        <v>847</v>
      </c>
      <c r="B517" s="11"/>
      <c r="C517" s="11" t="s">
        <v>69</v>
      </c>
      <c r="E517" s="6">
        <f>19035000+5390000+129329+45315000+5135245-427431</f>
        <v>74577143</v>
      </c>
      <c r="G517" s="6">
        <v>609000</v>
      </c>
      <c r="I517" s="6">
        <v>0</v>
      </c>
      <c r="K517" s="6">
        <v>14156557</v>
      </c>
      <c r="M517" s="6">
        <v>1907881</v>
      </c>
      <c r="O517" s="6">
        <v>847874</v>
      </c>
      <c r="Q517" s="7">
        <f t="shared" si="34"/>
        <v>92098455</v>
      </c>
      <c r="S517" s="6">
        <v>4655437</v>
      </c>
      <c r="T517" s="6">
        <f>+'St of Net Assets - GA'!M517-'Long Term Liab - GA'!S517</f>
        <v>0</v>
      </c>
    </row>
    <row r="518" spans="1:20">
      <c r="A518" s="11" t="s">
        <v>629</v>
      </c>
      <c r="B518" s="11"/>
      <c r="C518" s="11" t="s">
        <v>17</v>
      </c>
      <c r="E518" s="6">
        <f>33650058-18848-3956434</f>
        <v>29674776</v>
      </c>
      <c r="G518" s="6">
        <v>0</v>
      </c>
      <c r="I518" s="6">
        <v>0</v>
      </c>
      <c r="K518" s="6">
        <v>18848</v>
      </c>
      <c r="M518" s="6">
        <v>3956434</v>
      </c>
      <c r="O518" s="6">
        <v>0</v>
      </c>
      <c r="Q518" s="7">
        <f t="shared" si="34"/>
        <v>33650058</v>
      </c>
      <c r="S518" s="6">
        <v>5415584</v>
      </c>
      <c r="T518" s="6">
        <f>+'St of Net Assets - GA'!M518-'Long Term Liab - GA'!S518</f>
        <v>0</v>
      </c>
    </row>
    <row r="519" spans="1:20">
      <c r="A519" s="11" t="s">
        <v>716</v>
      </c>
      <c r="B519" s="11"/>
      <c r="C519" s="11" t="s">
        <v>115</v>
      </c>
      <c r="E519" s="6">
        <f>12644588-11609</f>
        <v>12632979</v>
      </c>
      <c r="G519" s="6">
        <v>0</v>
      </c>
      <c r="I519" s="6">
        <v>0</v>
      </c>
      <c r="K519" s="6">
        <v>0</v>
      </c>
      <c r="M519" s="6">
        <v>2391481</v>
      </c>
      <c r="O519" s="6">
        <v>0</v>
      </c>
      <c r="Q519" s="7">
        <f t="shared" si="34"/>
        <v>15024460</v>
      </c>
      <c r="S519" s="6">
        <v>1995612</v>
      </c>
      <c r="T519" s="6">
        <f>+'St of Net Assets - GA'!M519-'Long Term Liab - GA'!S519</f>
        <v>0</v>
      </c>
    </row>
    <row r="520" spans="1:20">
      <c r="A520" s="11" t="s">
        <v>393</v>
      </c>
      <c r="B520" s="11"/>
      <c r="C520" s="11" t="s">
        <v>45</v>
      </c>
      <c r="E520" s="6">
        <v>327946</v>
      </c>
      <c r="G520" s="6">
        <v>0</v>
      </c>
      <c r="I520" s="6">
        <v>0</v>
      </c>
      <c r="K520" s="6">
        <v>0</v>
      </c>
      <c r="M520" s="6">
        <v>925515</v>
      </c>
      <c r="O520" s="6">
        <v>3575000</v>
      </c>
      <c r="Q520" s="7">
        <f t="shared" si="34"/>
        <v>4828461</v>
      </c>
      <c r="S520" s="6">
        <v>743336</v>
      </c>
      <c r="T520" s="6">
        <f>+'St of Net Assets - GA'!M520-'Long Term Liab - GA'!S520</f>
        <v>0</v>
      </c>
    </row>
    <row r="521" spans="1:20">
      <c r="A521" s="11" t="s">
        <v>393</v>
      </c>
      <c r="B521" s="11"/>
      <c r="C521" s="11" t="s">
        <v>63</v>
      </c>
      <c r="E521" s="6">
        <v>34416498</v>
      </c>
      <c r="G521" s="6">
        <v>0</v>
      </c>
      <c r="I521" s="6">
        <v>266917</v>
      </c>
      <c r="K521" s="6">
        <v>73075</v>
      </c>
      <c r="M521" s="6">
        <v>1088634</v>
      </c>
      <c r="O521" s="6">
        <v>0</v>
      </c>
      <c r="Q521" s="7">
        <f t="shared" si="34"/>
        <v>35845124</v>
      </c>
      <c r="S521" s="6">
        <v>823244</v>
      </c>
      <c r="T521" s="6">
        <f>+'St of Net Assets - GA'!M521-'Long Term Liab - GA'!S521</f>
        <v>0</v>
      </c>
    </row>
    <row r="522" spans="1:20">
      <c r="A522" s="11" t="s">
        <v>786</v>
      </c>
      <c r="B522" s="11"/>
      <c r="C522" s="11" t="s">
        <v>32</v>
      </c>
      <c r="E522" s="6">
        <v>0</v>
      </c>
      <c r="G522" s="6">
        <v>0</v>
      </c>
      <c r="I522" s="6">
        <v>0</v>
      </c>
      <c r="K522" s="6">
        <v>995000</v>
      </c>
      <c r="M522" s="6">
        <v>1451749</v>
      </c>
      <c r="O522" s="6">
        <v>0</v>
      </c>
      <c r="Q522" s="7">
        <f t="shared" si="34"/>
        <v>2446749</v>
      </c>
      <c r="S522" s="6">
        <v>266576</v>
      </c>
      <c r="T522" s="6">
        <f>+'St of Net Assets - GA'!M522-'Long Term Liab - GA'!S522</f>
        <v>0</v>
      </c>
    </row>
    <row r="523" spans="1:20">
      <c r="A523" s="11" t="s">
        <v>787</v>
      </c>
      <c r="B523" s="11"/>
      <c r="C523" s="11" t="s">
        <v>15</v>
      </c>
      <c r="E523" s="6">
        <v>1791620</v>
      </c>
      <c r="G523" s="6">
        <v>167232</v>
      </c>
      <c r="I523" s="6">
        <v>0</v>
      </c>
      <c r="K523" s="6">
        <v>55884</v>
      </c>
      <c r="M523" s="6">
        <v>683149</v>
      </c>
      <c r="O523" s="6">
        <v>0</v>
      </c>
      <c r="Q523" s="7">
        <f t="shared" si="34"/>
        <v>2697885</v>
      </c>
      <c r="S523" s="6">
        <v>1074639</v>
      </c>
      <c r="T523" s="6">
        <f>+'St of Net Assets - GA'!M523-'Long Term Liab - GA'!S523</f>
        <v>0</v>
      </c>
    </row>
    <row r="524" spans="1:20" ht="12" hidden="1" customHeight="1">
      <c r="A524" s="11" t="s">
        <v>703</v>
      </c>
      <c r="B524" s="11"/>
      <c r="C524" s="11" t="s">
        <v>422</v>
      </c>
      <c r="Q524" s="7">
        <f>SUM(E524:P524)</f>
        <v>0</v>
      </c>
      <c r="T524" s="6">
        <f>+'St of Net Assets - GA'!M524-'Long Term Liab - GA'!S524</f>
        <v>0</v>
      </c>
    </row>
    <row r="525" spans="1:20" hidden="1">
      <c r="A525" s="11" t="s">
        <v>704</v>
      </c>
      <c r="B525" s="11"/>
      <c r="C525" s="11" t="s">
        <v>14</v>
      </c>
      <c r="Q525" s="7">
        <f>SUM(E525:P525)</f>
        <v>0</v>
      </c>
      <c r="T525" s="6">
        <f>+'St of Net Assets - GA'!M525-'Long Term Liab - GA'!S525</f>
        <v>0</v>
      </c>
    </row>
    <row r="526" spans="1:20">
      <c r="A526" s="11" t="s">
        <v>364</v>
      </c>
      <c r="B526" s="11"/>
      <c r="C526" s="11" t="s">
        <v>39</v>
      </c>
      <c r="E526" s="6">
        <v>10457724</v>
      </c>
      <c r="G526" s="6">
        <v>0</v>
      </c>
      <c r="I526" s="6">
        <v>0</v>
      </c>
      <c r="K526" s="6">
        <v>0</v>
      </c>
      <c r="M526" s="6">
        <v>999865</v>
      </c>
      <c r="O526" s="6">
        <v>0</v>
      </c>
      <c r="Q526" s="7">
        <f>SUM(E526:P526)</f>
        <v>11457589</v>
      </c>
      <c r="S526" s="6">
        <v>991736</v>
      </c>
      <c r="T526" s="6">
        <f>+'St of Net Assets - GA'!M526-'Long Term Liab - GA'!S526</f>
        <v>0</v>
      </c>
    </row>
    <row r="527" spans="1:20">
      <c r="A527" s="11" t="s">
        <v>514</v>
      </c>
      <c r="B527" s="11"/>
      <c r="C527" s="11" t="s">
        <v>63</v>
      </c>
      <c r="E527" s="6">
        <f>2635000+61029</f>
        <v>2696029</v>
      </c>
      <c r="G527" s="6">
        <v>0</v>
      </c>
      <c r="I527" s="6">
        <v>0</v>
      </c>
      <c r="K527" s="6">
        <v>0</v>
      </c>
      <c r="M527" s="6">
        <v>4055563</v>
      </c>
      <c r="O527" s="6">
        <v>0</v>
      </c>
      <c r="Q527" s="7">
        <f t="shared" ref="Q527:Q537" si="35">SUM(E527:P527)</f>
        <v>6751592</v>
      </c>
      <c r="S527" s="6">
        <v>729204</v>
      </c>
      <c r="T527" s="6">
        <f>+'St of Net Assets - GA'!M527-'Long Term Liab - GA'!S527</f>
        <v>0</v>
      </c>
    </row>
    <row r="528" spans="1:20" ht="12" hidden="1" customHeight="1">
      <c r="A528" s="11" t="s">
        <v>705</v>
      </c>
      <c r="B528" s="11"/>
      <c r="C528" s="11" t="s">
        <v>65</v>
      </c>
      <c r="Q528" s="7">
        <f t="shared" si="35"/>
        <v>0</v>
      </c>
      <c r="T528" s="6">
        <f>+'St of Net Assets - GA'!M528-'Long Term Liab - GA'!S528</f>
        <v>0</v>
      </c>
    </row>
    <row r="529" spans="1:20">
      <c r="A529" s="11" t="s">
        <v>464</v>
      </c>
      <c r="B529" s="11"/>
      <c r="C529" s="11" t="s">
        <v>56</v>
      </c>
      <c r="E529" s="6">
        <v>11061047</v>
      </c>
      <c r="G529" s="6">
        <v>0</v>
      </c>
      <c r="I529" s="6">
        <v>1011136</v>
      </c>
      <c r="K529" s="6">
        <v>0</v>
      </c>
      <c r="M529" s="6">
        <v>1003094</v>
      </c>
      <c r="O529" s="6">
        <v>214835</v>
      </c>
      <c r="Q529" s="7">
        <f t="shared" si="35"/>
        <v>13290112</v>
      </c>
      <c r="S529" s="6">
        <v>1127563</v>
      </c>
      <c r="T529" s="6">
        <f>+'St of Net Assets - GA'!M529-'Long Term Liab - GA'!S529</f>
        <v>0</v>
      </c>
    </row>
    <row r="530" spans="1:20">
      <c r="A530" s="11" t="s">
        <v>279</v>
      </c>
      <c r="B530" s="11"/>
      <c r="C530" s="11" t="s">
        <v>20</v>
      </c>
      <c r="E530" s="6">
        <v>8280930</v>
      </c>
      <c r="G530" s="6">
        <v>0</v>
      </c>
      <c r="I530" s="6">
        <v>0</v>
      </c>
      <c r="K530" s="6">
        <v>121389</v>
      </c>
      <c r="M530" s="6">
        <v>8941843</v>
      </c>
      <c r="O530" s="6">
        <v>4556667</v>
      </c>
      <c r="Q530" s="7">
        <f t="shared" si="35"/>
        <v>21900829</v>
      </c>
      <c r="S530" s="6">
        <v>6213853</v>
      </c>
      <c r="T530" s="6">
        <f>+'St of Net Assets - GA'!M530-'Long Term Liab - GA'!S530</f>
        <v>0</v>
      </c>
    </row>
    <row r="531" spans="1:20">
      <c r="A531" s="11" t="s">
        <v>407</v>
      </c>
      <c r="B531" s="11"/>
      <c r="C531" s="11" t="s">
        <v>45</v>
      </c>
      <c r="E531" s="6">
        <v>3543267</v>
      </c>
      <c r="G531" s="6">
        <v>0</v>
      </c>
      <c r="I531" s="6">
        <v>69000</v>
      </c>
      <c r="K531" s="6">
        <v>0</v>
      </c>
      <c r="M531" s="6">
        <v>1403578</v>
      </c>
      <c r="O531" s="6">
        <v>0</v>
      </c>
      <c r="Q531" s="7">
        <f t="shared" si="35"/>
        <v>5015845</v>
      </c>
      <c r="S531" s="6">
        <v>675169</v>
      </c>
      <c r="T531" s="6">
        <f>+'St of Net Assets - GA'!M531-'Long Term Liab - GA'!S531</f>
        <v>0</v>
      </c>
    </row>
    <row r="532" spans="1:20" hidden="1">
      <c r="A532" s="11" t="s">
        <v>898</v>
      </c>
      <c r="B532" s="11"/>
      <c r="C532" s="11" t="s">
        <v>552</v>
      </c>
      <c r="E532" s="6">
        <v>0</v>
      </c>
      <c r="G532" s="6">
        <v>0</v>
      </c>
      <c r="I532" s="6">
        <v>0</v>
      </c>
      <c r="K532" s="6">
        <v>0</v>
      </c>
      <c r="M532" s="6">
        <v>0</v>
      </c>
      <c r="O532" s="6">
        <v>0</v>
      </c>
      <c r="Q532" s="7">
        <f t="shared" si="35"/>
        <v>0</v>
      </c>
      <c r="T532" s="6">
        <f>+'St of Net Assets - GA'!M532-'Long Term Liab - GA'!S532</f>
        <v>0</v>
      </c>
    </row>
    <row r="533" spans="1:20" hidden="1">
      <c r="A533" s="11" t="s">
        <v>899</v>
      </c>
      <c r="B533" s="11"/>
      <c r="C533" s="11" t="s">
        <v>28</v>
      </c>
      <c r="E533" s="6">
        <v>0</v>
      </c>
      <c r="G533" s="6">
        <v>0</v>
      </c>
      <c r="I533" s="6">
        <v>0</v>
      </c>
      <c r="K533" s="6">
        <v>0</v>
      </c>
      <c r="M533" s="6">
        <v>0</v>
      </c>
      <c r="O533" s="6">
        <v>0</v>
      </c>
      <c r="Q533" s="7">
        <f t="shared" si="35"/>
        <v>0</v>
      </c>
      <c r="T533" s="6">
        <f>+'St of Net Assets - GA'!M533-'Long Term Liab - GA'!S533</f>
        <v>0</v>
      </c>
    </row>
    <row r="534" spans="1:20">
      <c r="A534" s="11" t="s">
        <v>628</v>
      </c>
      <c r="B534" s="11"/>
      <c r="C534" s="11" t="s">
        <v>49</v>
      </c>
      <c r="E534" s="6">
        <v>35395076</v>
      </c>
      <c r="G534" s="6">
        <v>0</v>
      </c>
      <c r="I534" s="6">
        <v>0</v>
      </c>
      <c r="K534" s="6">
        <v>0</v>
      </c>
      <c r="M534" s="6">
        <v>1206608</v>
      </c>
      <c r="O534" s="6">
        <v>0</v>
      </c>
      <c r="Q534" s="7">
        <f t="shared" si="35"/>
        <v>36601684</v>
      </c>
      <c r="S534" s="6">
        <v>908644</v>
      </c>
      <c r="T534" s="6">
        <f>+'St of Net Assets - GA'!M534-'Long Term Liab - GA'!S534</f>
        <v>0</v>
      </c>
    </row>
    <row r="535" spans="1:20">
      <c r="A535" s="10" t="s">
        <v>834</v>
      </c>
      <c r="B535" s="11"/>
      <c r="C535" s="11" t="s">
        <v>32</v>
      </c>
      <c r="E535" s="6">
        <v>54446408</v>
      </c>
      <c r="G535" s="6">
        <v>0</v>
      </c>
      <c r="I535" s="6">
        <v>0</v>
      </c>
      <c r="K535" s="6">
        <v>10375343</v>
      </c>
      <c r="M535" s="6">
        <v>8820869</v>
      </c>
      <c r="O535" s="6">
        <v>0</v>
      </c>
      <c r="Q535" s="7">
        <f t="shared" si="35"/>
        <v>73642620</v>
      </c>
      <c r="S535" s="6">
        <v>5908199</v>
      </c>
      <c r="T535" s="6">
        <f>+'St of Net Assets - GA'!M535-'Long Term Liab - GA'!S535</f>
        <v>0</v>
      </c>
    </row>
    <row r="536" spans="1:20">
      <c r="A536" s="11" t="s">
        <v>394</v>
      </c>
      <c r="B536" s="11"/>
      <c r="C536" s="11" t="s">
        <v>115</v>
      </c>
      <c r="E536" s="6">
        <f>97012604+2292448-668044</f>
        <v>98637008</v>
      </c>
      <c r="G536" s="6">
        <v>0</v>
      </c>
      <c r="I536" s="6">
        <v>0</v>
      </c>
      <c r="K536" s="6">
        <v>48995</v>
      </c>
      <c r="M536" s="6">
        <v>10967866</v>
      </c>
      <c r="O536" s="6">
        <v>0</v>
      </c>
      <c r="Q536" s="7">
        <f t="shared" si="35"/>
        <v>109653869</v>
      </c>
      <c r="S536" s="6">
        <v>5482761</v>
      </c>
      <c r="T536" s="6">
        <f>+'St of Net Assets - GA'!M536-'Long Term Liab - GA'!S536</f>
        <v>0</v>
      </c>
    </row>
    <row r="537" spans="1:20">
      <c r="A537" s="11" t="s">
        <v>372</v>
      </c>
      <c r="B537" s="11"/>
      <c r="C537" s="11" t="s">
        <v>366</v>
      </c>
      <c r="E537" s="6">
        <v>311619</v>
      </c>
      <c r="G537" s="6">
        <v>0</v>
      </c>
      <c r="I537" s="6">
        <v>0</v>
      </c>
      <c r="K537" s="6">
        <v>0</v>
      </c>
      <c r="M537" s="6">
        <v>491641</v>
      </c>
      <c r="O537" s="6">
        <v>0</v>
      </c>
      <c r="Q537" s="7">
        <f t="shared" si="35"/>
        <v>803260</v>
      </c>
      <c r="S537" s="6">
        <v>236711</v>
      </c>
      <c r="T537" s="6">
        <f>+'St of Net Assets - GA'!M537-'Long Term Liab - GA'!S537</f>
        <v>0</v>
      </c>
    </row>
    <row r="538" spans="1:20">
      <c r="A538" s="11" t="s">
        <v>717</v>
      </c>
      <c r="B538" s="11"/>
      <c r="C538" s="11" t="s">
        <v>221</v>
      </c>
      <c r="E538" s="6">
        <f>2010000+158527+5240000+55000+95376+41365000+844583</f>
        <v>49768486</v>
      </c>
      <c r="G538" s="6">
        <v>0</v>
      </c>
      <c r="I538" s="6">
        <v>0</v>
      </c>
      <c r="K538" s="6">
        <v>2231000</v>
      </c>
      <c r="M538" s="6">
        <v>1939358</v>
      </c>
      <c r="O538" s="6">
        <v>0</v>
      </c>
      <c r="Q538" s="7">
        <f t="shared" ref="Q538:Q575" si="36">SUM(E538:P538)</f>
        <v>53938844</v>
      </c>
      <c r="S538" s="6">
        <v>2022853</v>
      </c>
      <c r="T538" s="6">
        <f>+'St of Net Assets - GA'!M538-'Long Term Liab - GA'!S538</f>
        <v>0</v>
      </c>
    </row>
    <row r="539" spans="1:20">
      <c r="A539" s="11" t="s">
        <v>515</v>
      </c>
      <c r="B539" s="11"/>
      <c r="C539" s="11" t="s">
        <v>63</v>
      </c>
      <c r="E539" s="6">
        <v>26124422</v>
      </c>
      <c r="G539" s="6">
        <v>0</v>
      </c>
      <c r="I539" s="6">
        <v>0</v>
      </c>
      <c r="K539" s="6">
        <v>0</v>
      </c>
      <c r="M539" s="6">
        <v>2675505</v>
      </c>
      <c r="O539" s="6">
        <v>0</v>
      </c>
      <c r="Q539" s="7">
        <f t="shared" si="36"/>
        <v>28799927</v>
      </c>
      <c r="S539" s="6">
        <v>1033793</v>
      </c>
      <c r="T539" s="6">
        <f>+'St of Net Assets - GA'!M539-'Long Term Liab - GA'!S539</f>
        <v>0</v>
      </c>
    </row>
    <row r="540" spans="1:20">
      <c r="A540" s="11" t="s">
        <v>454</v>
      </c>
      <c r="B540" s="11"/>
      <c r="C540" s="11" t="s">
        <v>54</v>
      </c>
      <c r="E540" s="6">
        <f>36505531-997145+1394162</f>
        <v>36902548</v>
      </c>
      <c r="G540" s="6">
        <v>0</v>
      </c>
      <c r="I540" s="6">
        <v>700000</v>
      </c>
      <c r="K540" s="6">
        <v>364586</v>
      </c>
      <c r="M540" s="6">
        <v>2214408</v>
      </c>
      <c r="O540" s="6">
        <v>0</v>
      </c>
      <c r="Q540" s="7">
        <f t="shared" si="36"/>
        <v>40181542</v>
      </c>
      <c r="S540" s="6">
        <v>1868048</v>
      </c>
      <c r="T540" s="6">
        <f>+'St of Net Assets - GA'!M540-'Long Term Liab - GA'!S540</f>
        <v>0</v>
      </c>
    </row>
    <row r="541" spans="1:20">
      <c r="A541" s="11" t="s">
        <v>236</v>
      </c>
      <c r="B541" s="11"/>
      <c r="C541" s="11" t="s">
        <v>17</v>
      </c>
      <c r="E541" s="6">
        <v>17702559</v>
      </c>
      <c r="G541" s="6">
        <v>0</v>
      </c>
      <c r="I541" s="6">
        <v>0</v>
      </c>
      <c r="K541" s="6">
        <v>0</v>
      </c>
      <c r="M541" s="6">
        <v>2223719</v>
      </c>
      <c r="O541" s="6">
        <v>0</v>
      </c>
      <c r="Q541" s="7">
        <f t="shared" si="36"/>
        <v>19926278</v>
      </c>
      <c r="S541" s="6">
        <v>686192</v>
      </c>
      <c r="T541" s="6">
        <f>+'St of Net Assets - GA'!M541-'Long Term Liab - GA'!S541</f>
        <v>0</v>
      </c>
    </row>
    <row r="542" spans="1:20">
      <c r="A542" s="11" t="s">
        <v>725</v>
      </c>
      <c r="B542" s="11"/>
      <c r="C542" s="11" t="s">
        <v>32</v>
      </c>
      <c r="E542" s="6">
        <v>39764054</v>
      </c>
      <c r="G542" s="6">
        <v>0</v>
      </c>
      <c r="I542" s="6">
        <v>0</v>
      </c>
      <c r="K542" s="6">
        <v>0</v>
      </c>
      <c r="M542" s="6">
        <v>2012436</v>
      </c>
      <c r="O542" s="6">
        <v>0</v>
      </c>
      <c r="Q542" s="7">
        <f t="shared" si="36"/>
        <v>41776490</v>
      </c>
      <c r="S542" s="6">
        <v>951327</v>
      </c>
      <c r="T542" s="6">
        <f>+'St of Net Assets - GA'!M542-'Long Term Liab - GA'!S542</f>
        <v>0</v>
      </c>
    </row>
    <row r="543" spans="1:20">
      <c r="A543" s="11" t="s">
        <v>488</v>
      </c>
      <c r="B543" s="11"/>
      <c r="C543" s="11" t="s">
        <v>60</v>
      </c>
      <c r="E543" s="6">
        <f>890000+5919275+407813-324402</f>
        <v>6892686</v>
      </c>
      <c r="G543" s="6">
        <v>0</v>
      </c>
      <c r="I543" s="6">
        <v>0</v>
      </c>
      <c r="K543" s="6">
        <v>324279</v>
      </c>
      <c r="M543" s="6">
        <v>1407116</v>
      </c>
      <c r="O543" s="6">
        <v>0</v>
      </c>
      <c r="Q543" s="7">
        <f t="shared" si="36"/>
        <v>8624081</v>
      </c>
      <c r="S543" s="6">
        <v>972964</v>
      </c>
      <c r="T543" s="6">
        <f>+'St of Net Assets - GA'!M543-'Long Term Liab - GA'!S543</f>
        <v>0</v>
      </c>
    </row>
    <row r="544" spans="1:20">
      <c r="A544" s="11" t="s">
        <v>778</v>
      </c>
      <c r="B544" s="11"/>
      <c r="C544" s="11" t="s">
        <v>48</v>
      </c>
      <c r="E544" s="6">
        <v>16519416</v>
      </c>
      <c r="G544" s="6">
        <v>0</v>
      </c>
      <c r="I544" s="6">
        <v>0</v>
      </c>
      <c r="K544" s="6">
        <v>603754</v>
      </c>
      <c r="M544" s="6">
        <v>1930993</v>
      </c>
      <c r="O544" s="6">
        <v>0</v>
      </c>
      <c r="Q544" s="7">
        <f t="shared" si="36"/>
        <v>19054163</v>
      </c>
      <c r="S544" s="6">
        <v>1349405</v>
      </c>
      <c r="T544" s="6">
        <f>+'St of Net Assets - GA'!M544-'Long Term Liab - GA'!S544</f>
        <v>0</v>
      </c>
    </row>
    <row r="545" spans="1:20">
      <c r="A545" s="11" t="s">
        <v>395</v>
      </c>
      <c r="B545" s="11"/>
      <c r="C545" s="11" t="s">
        <v>115</v>
      </c>
      <c r="E545" s="6">
        <v>164600535</v>
      </c>
      <c r="G545" s="6">
        <v>0</v>
      </c>
      <c r="I545" s="6">
        <v>0</v>
      </c>
      <c r="K545" s="6">
        <v>0</v>
      </c>
      <c r="M545" s="6">
        <v>24366097</v>
      </c>
      <c r="O545" s="6">
        <v>0</v>
      </c>
      <c r="Q545" s="7">
        <f t="shared" si="36"/>
        <v>188966632</v>
      </c>
      <c r="S545" s="6">
        <v>2492035</v>
      </c>
      <c r="T545" s="6">
        <f>+'St of Net Assets - GA'!M545-'Long Term Liab - GA'!S545</f>
        <v>0</v>
      </c>
    </row>
    <row r="546" spans="1:20" hidden="1">
      <c r="A546" s="11" t="s">
        <v>894</v>
      </c>
      <c r="B546" s="11"/>
      <c r="C546" s="11" t="s">
        <v>115</v>
      </c>
      <c r="Q546" s="7">
        <f t="shared" si="36"/>
        <v>0</v>
      </c>
      <c r="T546" s="6">
        <f>+'St of Net Assets - GA'!M546-'Long Term Liab - GA'!S546</f>
        <v>0</v>
      </c>
    </row>
    <row r="547" spans="1:20">
      <c r="A547" s="11" t="s">
        <v>726</v>
      </c>
      <c r="B547" s="11"/>
      <c r="C547" s="11" t="s">
        <v>39</v>
      </c>
      <c r="E547" s="6">
        <v>8709008</v>
      </c>
      <c r="G547" s="6">
        <v>0</v>
      </c>
      <c r="I547" s="6">
        <v>0</v>
      </c>
      <c r="K547" s="6">
        <v>20991</v>
      </c>
      <c r="M547" s="6">
        <v>353732</v>
      </c>
      <c r="O547" s="6">
        <v>0</v>
      </c>
      <c r="Q547" s="7">
        <f t="shared" si="36"/>
        <v>9083731</v>
      </c>
      <c r="S547" s="6">
        <v>182691</v>
      </c>
      <c r="T547" s="6">
        <f>+'St of Net Assets - GA'!M547-'Long Term Liab - GA'!S547</f>
        <v>0</v>
      </c>
    </row>
    <row r="548" spans="1:20">
      <c r="A548" s="11" t="s">
        <v>229</v>
      </c>
      <c r="B548" s="11"/>
      <c r="C548" s="11" t="s">
        <v>228</v>
      </c>
      <c r="E548" s="6">
        <f>2000000+50807+100599+143109-96162-6001</f>
        <v>2192352</v>
      </c>
      <c r="G548" s="6">
        <v>0</v>
      </c>
      <c r="I548" s="6">
        <v>745000</v>
      </c>
      <c r="K548" s="6">
        <f>215049+1939000</f>
        <v>2154049</v>
      </c>
      <c r="M548" s="6">
        <v>348142</v>
      </c>
      <c r="O548" s="6">
        <v>0</v>
      </c>
      <c r="Q548" s="7">
        <f>SUM(E548:P548)</f>
        <v>5439543</v>
      </c>
      <c r="S548" s="6">
        <v>306744</v>
      </c>
      <c r="T548" s="6">
        <f>+'St of Net Assets - GA'!M548-'Long Term Liab - GA'!S548</f>
        <v>0</v>
      </c>
    </row>
    <row r="549" spans="1:20">
      <c r="A549" s="11" t="s">
        <v>466</v>
      </c>
      <c r="B549" s="11"/>
      <c r="C549" s="11" t="s">
        <v>57</v>
      </c>
      <c r="E549" s="6">
        <v>0</v>
      </c>
      <c r="G549" s="6">
        <v>0</v>
      </c>
      <c r="I549" s="6">
        <v>0</v>
      </c>
      <c r="K549" s="6">
        <v>0</v>
      </c>
      <c r="M549" s="6">
        <v>479258</v>
      </c>
      <c r="O549" s="6">
        <v>0</v>
      </c>
      <c r="Q549" s="7">
        <f t="shared" si="36"/>
        <v>479258</v>
      </c>
      <c r="S549" s="6">
        <v>7075</v>
      </c>
      <c r="T549" s="6">
        <f>+'St of Net Assets - GA'!M549-'Long Term Liab - GA'!S549</f>
        <v>0</v>
      </c>
    </row>
    <row r="550" spans="1:20">
      <c r="A550" s="11" t="s">
        <v>212</v>
      </c>
      <c r="B550" s="11"/>
      <c r="C550" s="11" t="s">
        <v>13</v>
      </c>
      <c r="E550" s="6">
        <v>560000</v>
      </c>
      <c r="G550" s="6">
        <v>0</v>
      </c>
      <c r="I550" s="6">
        <v>0</v>
      </c>
      <c r="K550" s="6">
        <v>0</v>
      </c>
      <c r="M550" s="6">
        <v>611274</v>
      </c>
      <c r="O550" s="6">
        <v>0</v>
      </c>
      <c r="Q550" s="7">
        <f t="shared" si="36"/>
        <v>1171274</v>
      </c>
      <c r="S550" s="6">
        <v>60141</v>
      </c>
      <c r="T550" s="6">
        <f>+'St of Net Assets - GA'!M550-'Long Term Liab - GA'!S550</f>
        <v>0</v>
      </c>
    </row>
    <row r="551" spans="1:20">
      <c r="A551" s="11" t="s">
        <v>446</v>
      </c>
      <c r="B551" s="11"/>
      <c r="C551" s="11" t="s">
        <v>51</v>
      </c>
      <c r="E551" s="6">
        <v>15800991</v>
      </c>
      <c r="G551" s="6">
        <v>0</v>
      </c>
      <c r="I551" s="6">
        <v>0</v>
      </c>
      <c r="K551" s="6">
        <v>0</v>
      </c>
      <c r="M551" s="6">
        <v>1397630</v>
      </c>
      <c r="O551" s="6">
        <v>0</v>
      </c>
      <c r="Q551" s="7">
        <f t="shared" si="36"/>
        <v>17198621</v>
      </c>
      <c r="S551" s="6">
        <v>729192</v>
      </c>
      <c r="T551" s="6">
        <f>+'St of Net Assets - GA'!M551-'Long Term Liab - GA'!S551</f>
        <v>0</v>
      </c>
    </row>
    <row r="552" spans="1:20" hidden="1">
      <c r="A552" s="11" t="s">
        <v>690</v>
      </c>
      <c r="B552" s="11"/>
      <c r="C552" s="11" t="s">
        <v>21</v>
      </c>
      <c r="Q552" s="7">
        <f t="shared" si="36"/>
        <v>0</v>
      </c>
      <c r="T552" s="6">
        <f>+'St of Net Assets - GA'!M552-'Long Term Liab - GA'!S552</f>
        <v>0</v>
      </c>
    </row>
    <row r="553" spans="1:20" hidden="1">
      <c r="A553" s="10" t="s">
        <v>835</v>
      </c>
      <c r="B553" s="11"/>
      <c r="C553" s="11" t="s">
        <v>71</v>
      </c>
      <c r="Q553" s="7">
        <f t="shared" si="36"/>
        <v>0</v>
      </c>
      <c r="T553" s="6">
        <f>+'St of Net Assets - GA'!M553-'Long Term Liab - GA'!S553</f>
        <v>0</v>
      </c>
    </row>
    <row r="554" spans="1:20">
      <c r="A554" s="11" t="s">
        <v>436</v>
      </c>
      <c r="B554" s="11"/>
      <c r="C554" s="11" t="s">
        <v>50</v>
      </c>
      <c r="E554" s="6">
        <v>32918033</v>
      </c>
      <c r="G554" s="6">
        <v>0</v>
      </c>
      <c r="I554" s="6">
        <v>0</v>
      </c>
      <c r="K554" s="6">
        <f>8995000+76051+406214</f>
        <v>9477265</v>
      </c>
      <c r="M554" s="6">
        <v>1187927</v>
      </c>
      <c r="O554" s="6">
        <v>0</v>
      </c>
      <c r="Q554" s="7">
        <f t="shared" si="36"/>
        <v>43583225</v>
      </c>
      <c r="S554" s="6">
        <v>1275406</v>
      </c>
      <c r="T554" s="6">
        <f>+'St of Net Assets - GA'!M554-'Long Term Liab - GA'!S554</f>
        <v>0</v>
      </c>
    </row>
    <row r="555" spans="1:20">
      <c r="A555" s="11" t="s">
        <v>426</v>
      </c>
      <c r="B555" s="11"/>
      <c r="C555" s="11" t="s">
        <v>48</v>
      </c>
      <c r="E555" s="6">
        <f>949554+9980000+8170000</f>
        <v>19099554</v>
      </c>
      <c r="G555" s="6">
        <v>0</v>
      </c>
      <c r="I555" s="6">
        <v>0</v>
      </c>
      <c r="K555" s="6">
        <v>0</v>
      </c>
      <c r="M555" s="6">
        <v>3102887</v>
      </c>
      <c r="O555" s="6">
        <v>1918577</v>
      </c>
      <c r="Q555" s="7">
        <f t="shared" si="36"/>
        <v>24121018</v>
      </c>
      <c r="S555" s="6">
        <v>1597743</v>
      </c>
      <c r="T555" s="6">
        <f>+'St of Net Assets - GA'!M555-'Long Term Liab - GA'!S555</f>
        <v>0</v>
      </c>
    </row>
    <row r="556" spans="1:20">
      <c r="A556" s="11" t="s">
        <v>538</v>
      </c>
      <c r="B556" s="11"/>
      <c r="C556" s="11" t="s">
        <v>65</v>
      </c>
      <c r="E556" s="6">
        <f>3859874+420000</f>
        <v>4279874</v>
      </c>
      <c r="G556" s="6">
        <v>0</v>
      </c>
      <c r="I556" s="6">
        <v>0</v>
      </c>
      <c r="K556" s="6">
        <v>625333</v>
      </c>
      <c r="M556" s="6">
        <v>735398</v>
      </c>
      <c r="O556" s="6">
        <v>0</v>
      </c>
      <c r="Q556" s="7">
        <f t="shared" si="36"/>
        <v>5640605</v>
      </c>
      <c r="S556" s="6">
        <v>843797</v>
      </c>
      <c r="T556" s="6">
        <f>+'St of Net Assets - GA'!M556-'Long Term Liab - GA'!S556</f>
        <v>0</v>
      </c>
    </row>
    <row r="557" spans="1:20">
      <c r="A557" s="11" t="s">
        <v>505</v>
      </c>
      <c r="B557" s="11"/>
      <c r="C557" s="11" t="s">
        <v>62</v>
      </c>
      <c r="E557" s="6">
        <f>782077+324945+9580275+2613510</f>
        <v>13300807</v>
      </c>
      <c r="G557" s="6">
        <v>0</v>
      </c>
      <c r="I557" s="6">
        <v>0</v>
      </c>
      <c r="K557" s="6">
        <v>0</v>
      </c>
      <c r="M557" s="6">
        <v>823225</v>
      </c>
      <c r="O557" s="6">
        <v>0</v>
      </c>
      <c r="Q557" s="7">
        <f t="shared" si="36"/>
        <v>14124032</v>
      </c>
      <c r="S557" s="6">
        <v>634700</v>
      </c>
      <c r="T557" s="6">
        <f>+'St of Net Assets - GA'!M557-'Long Term Liab - GA'!S557</f>
        <v>0</v>
      </c>
    </row>
    <row r="558" spans="1:20" hidden="1">
      <c r="A558" s="11" t="s">
        <v>695</v>
      </c>
      <c r="B558" s="11"/>
      <c r="C558" s="11" t="s">
        <v>57</v>
      </c>
      <c r="Q558" s="7">
        <f t="shared" si="36"/>
        <v>0</v>
      </c>
      <c r="T558" s="6">
        <f>+'St of Net Assets - GA'!M558-'Long Term Liab - GA'!S558</f>
        <v>0</v>
      </c>
    </row>
    <row r="559" spans="1:20">
      <c r="A559" s="11" t="s">
        <v>516</v>
      </c>
      <c r="B559" s="11"/>
      <c r="C559" s="11" t="s">
        <v>63</v>
      </c>
      <c r="E559" s="6">
        <v>23185070</v>
      </c>
      <c r="G559" s="6">
        <v>0</v>
      </c>
      <c r="I559" s="6">
        <v>0</v>
      </c>
      <c r="K559" s="6">
        <v>239566</v>
      </c>
      <c r="M559" s="6">
        <v>2491422</v>
      </c>
      <c r="O559" s="6">
        <v>0</v>
      </c>
      <c r="Q559" s="7">
        <f t="shared" si="36"/>
        <v>25916058</v>
      </c>
      <c r="S559" s="6">
        <v>2249809</v>
      </c>
      <c r="T559" s="6">
        <f>+'St of Net Assets - GA'!M559-'Long Term Liab - GA'!S559</f>
        <v>0</v>
      </c>
    </row>
    <row r="560" spans="1:20" hidden="1">
      <c r="A560" s="10" t="s">
        <v>836</v>
      </c>
      <c r="B560" s="11"/>
      <c r="C560" s="11" t="s">
        <v>15</v>
      </c>
      <c r="Q560" s="7">
        <f t="shared" si="36"/>
        <v>0</v>
      </c>
      <c r="T560" s="6">
        <f>+'St of Net Assets - GA'!M560-'Long Term Liab - GA'!S560</f>
        <v>0</v>
      </c>
    </row>
    <row r="561" spans="1:20">
      <c r="A561" s="11" t="s">
        <v>476</v>
      </c>
      <c r="B561" s="11"/>
      <c r="C561" s="11" t="s">
        <v>58</v>
      </c>
      <c r="E561" s="6">
        <v>2762590</v>
      </c>
      <c r="G561" s="6">
        <v>0</v>
      </c>
      <c r="I561" s="6">
        <v>0</v>
      </c>
      <c r="K561" s="6">
        <v>404062</v>
      </c>
      <c r="M561" s="6">
        <v>2364623</v>
      </c>
      <c r="O561" s="6">
        <v>0</v>
      </c>
      <c r="Q561" s="7">
        <f t="shared" si="36"/>
        <v>5531275</v>
      </c>
      <c r="S561" s="6">
        <v>632563</v>
      </c>
      <c r="T561" s="6">
        <f>+'St of Net Assets - GA'!M561-'Long Term Liab - GA'!S561</f>
        <v>0</v>
      </c>
    </row>
    <row r="562" spans="1:20">
      <c r="A562" s="11" t="s">
        <v>251</v>
      </c>
      <c r="B562" s="11"/>
      <c r="C562" s="11" t="s">
        <v>112</v>
      </c>
      <c r="E562" s="6">
        <v>0</v>
      </c>
      <c r="G562" s="6">
        <v>0</v>
      </c>
      <c r="I562" s="6">
        <v>0</v>
      </c>
      <c r="K562" s="6">
        <v>96954</v>
      </c>
      <c r="M562" s="6">
        <v>1101490</v>
      </c>
      <c r="O562" s="6">
        <v>0</v>
      </c>
      <c r="Q562" s="7">
        <f t="shared" si="36"/>
        <v>1198444</v>
      </c>
      <c r="S562" s="6">
        <v>106933</v>
      </c>
      <c r="T562" s="6">
        <f>+'St of Net Assets - GA'!M562-'Long Term Liab - GA'!S562</f>
        <v>0</v>
      </c>
    </row>
    <row r="563" spans="1:20" s="28" customFormat="1">
      <c r="A563" s="27" t="s">
        <v>308</v>
      </c>
      <c r="B563" s="27"/>
      <c r="C563" s="27" t="s">
        <v>27</v>
      </c>
      <c r="E563" s="28">
        <v>27364979</v>
      </c>
      <c r="G563" s="28">
        <v>0</v>
      </c>
      <c r="I563" s="28">
        <v>0</v>
      </c>
      <c r="K563" s="28">
        <v>0</v>
      </c>
      <c r="M563" s="28">
        <v>6575647</v>
      </c>
      <c r="O563" s="28">
        <v>0</v>
      </c>
      <c r="Q563" s="32">
        <f t="shared" si="36"/>
        <v>33940626</v>
      </c>
      <c r="S563" s="28">
        <v>2428492</v>
      </c>
      <c r="T563" s="28">
        <f>+'St of Net Assets - GA'!M563-'Long Term Liab - GA'!S563</f>
        <v>0</v>
      </c>
    </row>
    <row r="564" spans="1:20" hidden="1">
      <c r="A564" s="11" t="s">
        <v>779</v>
      </c>
      <c r="B564" s="11"/>
      <c r="C564" s="11" t="s">
        <v>558</v>
      </c>
      <c r="Q564" s="7">
        <f t="shared" si="36"/>
        <v>0</v>
      </c>
      <c r="T564" s="6">
        <f>+'St of Net Assets - GA'!M564-'Long Term Liab - GA'!S564</f>
        <v>0</v>
      </c>
    </row>
    <row r="565" spans="1:20" hidden="1">
      <c r="A565" s="11" t="s">
        <v>696</v>
      </c>
      <c r="B565" s="11"/>
      <c r="C565" s="11" t="s">
        <v>339</v>
      </c>
      <c r="Q565" s="7">
        <f t="shared" si="36"/>
        <v>0</v>
      </c>
      <c r="T565" s="6">
        <f>+'St of Net Assets - GA'!M565-'Long Term Liab - GA'!S565</f>
        <v>0</v>
      </c>
    </row>
    <row r="566" spans="1:20" hidden="1">
      <c r="A566" s="11" t="s">
        <v>895</v>
      </c>
      <c r="B566" s="11"/>
      <c r="C566" s="11" t="s">
        <v>228</v>
      </c>
      <c r="E566" s="6">
        <v>0</v>
      </c>
      <c r="G566" s="6">
        <v>0</v>
      </c>
      <c r="I566" s="6">
        <v>0</v>
      </c>
      <c r="K566" s="6">
        <v>0</v>
      </c>
      <c r="M566" s="6">
        <v>0</v>
      </c>
      <c r="O566" s="6">
        <v>0</v>
      </c>
      <c r="Q566" s="7">
        <f t="shared" si="36"/>
        <v>0</v>
      </c>
      <c r="T566" s="6">
        <f>+'St of Net Assets - GA'!M566-'Long Term Liab - GA'!S566</f>
        <v>0</v>
      </c>
    </row>
    <row r="567" spans="1:20" hidden="1">
      <c r="A567" s="11" t="s">
        <v>697</v>
      </c>
      <c r="B567" s="11"/>
      <c r="C567" s="11" t="s">
        <v>59</v>
      </c>
      <c r="Q567" s="7">
        <f t="shared" si="36"/>
        <v>0</v>
      </c>
      <c r="T567" s="6">
        <f>+'St of Net Assets - GA'!M567-'Long Term Liab - GA'!S567</f>
        <v>0</v>
      </c>
    </row>
    <row r="568" spans="1:20">
      <c r="A568" s="11" t="s">
        <v>437</v>
      </c>
      <c r="B568" s="11"/>
      <c r="C568" s="11" t="s">
        <v>50</v>
      </c>
      <c r="E568" s="6">
        <v>46356</v>
      </c>
      <c r="G568" s="6">
        <v>0</v>
      </c>
      <c r="I568" s="6">
        <v>0</v>
      </c>
      <c r="K568" s="6">
        <v>486470</v>
      </c>
      <c r="M568" s="6">
        <v>1048662</v>
      </c>
      <c r="O568" s="6">
        <v>0</v>
      </c>
      <c r="Q568" s="7">
        <f t="shared" si="36"/>
        <v>1581488</v>
      </c>
      <c r="S568" s="6">
        <v>153525</v>
      </c>
      <c r="T568" s="6">
        <f>+'St of Net Assets - GA'!M568-'Long Term Liab - GA'!S568</f>
        <v>0</v>
      </c>
    </row>
    <row r="569" spans="1:20">
      <c r="A569" s="11" t="s">
        <v>338</v>
      </c>
      <c r="B569" s="11"/>
      <c r="C569" s="11" t="s">
        <v>33</v>
      </c>
      <c r="E569" s="6">
        <v>6622472</v>
      </c>
      <c r="G569" s="6">
        <v>0</v>
      </c>
      <c r="I569" s="6">
        <v>0</v>
      </c>
      <c r="K569" s="6">
        <v>0</v>
      </c>
      <c r="M569" s="6">
        <v>594826</v>
      </c>
      <c r="O569" s="6">
        <v>0</v>
      </c>
      <c r="Q569" s="7">
        <f t="shared" si="36"/>
        <v>7217298</v>
      </c>
      <c r="S569" s="6">
        <v>900743</v>
      </c>
      <c r="T569" s="6">
        <f>+'St of Net Assets - GA'!M569-'Long Term Liab - GA'!S569</f>
        <v>0</v>
      </c>
    </row>
    <row r="570" spans="1:20" hidden="1">
      <c r="A570" s="11" t="s">
        <v>830</v>
      </c>
      <c r="B570" s="11"/>
      <c r="C570" s="11" t="s">
        <v>67</v>
      </c>
      <c r="Q570" s="7">
        <f t="shared" si="36"/>
        <v>0</v>
      </c>
      <c r="T570" s="6">
        <f>+'St of Net Assets - GA'!M570-'Long Term Liab - GA'!S570</f>
        <v>0</v>
      </c>
    </row>
    <row r="571" spans="1:20">
      <c r="A571" s="11" t="s">
        <v>438</v>
      </c>
      <c r="B571" s="11"/>
      <c r="C571" s="11" t="s">
        <v>50</v>
      </c>
      <c r="E571" s="6">
        <f>25105000+668283+189991+217975+23730000+521368+114318+62607+885000+19237+19878+5780+2815000+58240+13120+5508+970000+36773+29833+1953</f>
        <v>55469864</v>
      </c>
      <c r="G571" s="6">
        <v>0</v>
      </c>
      <c r="I571" s="6">
        <v>0</v>
      </c>
      <c r="K571" s="6">
        <v>524222</v>
      </c>
      <c r="M571" s="6">
        <v>2615893</v>
      </c>
      <c r="O571" s="6">
        <v>1164688</v>
      </c>
      <c r="Q571" s="7">
        <f t="shared" si="36"/>
        <v>59774667</v>
      </c>
      <c r="S571" s="6">
        <v>2487813</v>
      </c>
      <c r="T571" s="6">
        <f>+'St of Net Assets - GA'!M571-'Long Term Liab - GA'!S571</f>
        <v>0</v>
      </c>
    </row>
    <row r="572" spans="1:20" hidden="1">
      <c r="A572" s="11" t="s">
        <v>698</v>
      </c>
      <c r="B572" s="11"/>
      <c r="C572" s="11" t="s">
        <v>33</v>
      </c>
      <c r="Q572" s="7">
        <f t="shared" si="36"/>
        <v>0</v>
      </c>
      <c r="T572" s="6">
        <f>+'St of Net Assets - GA'!M572-'Long Term Liab - GA'!S572</f>
        <v>0</v>
      </c>
    </row>
    <row r="573" spans="1:20">
      <c r="A573" s="11" t="s">
        <v>291</v>
      </c>
      <c r="B573" s="11"/>
      <c r="C573" s="11" t="s">
        <v>24</v>
      </c>
      <c r="E573" s="6">
        <f>410000+300000+1309090+64999+88972+3290000+44998+7483+188356-85773</f>
        <v>5618125</v>
      </c>
      <c r="G573" s="6">
        <v>0</v>
      </c>
      <c r="I573" s="6">
        <v>0</v>
      </c>
      <c r="K573" s="6">
        <v>81097</v>
      </c>
      <c r="M573" s="6">
        <v>1742619</v>
      </c>
      <c r="O573" s="6">
        <v>0</v>
      </c>
      <c r="Q573" s="7">
        <f t="shared" si="36"/>
        <v>7441841</v>
      </c>
      <c r="S573" s="6">
        <v>908211</v>
      </c>
      <c r="T573" s="6">
        <f>+'St of Net Assets - GA'!M573-'Long Term Liab - GA'!S573</f>
        <v>0</v>
      </c>
    </row>
    <row r="574" spans="1:20" hidden="1">
      <c r="A574" s="11" t="s">
        <v>699</v>
      </c>
      <c r="B574" s="11"/>
      <c r="C574" s="11" t="s">
        <v>21</v>
      </c>
      <c r="Q574" s="7">
        <f t="shared" si="36"/>
        <v>0</v>
      </c>
      <c r="T574" s="6">
        <f>+'St of Net Assets - GA'!M574-'Long Term Liab - GA'!S574</f>
        <v>0</v>
      </c>
    </row>
    <row r="575" spans="1:20">
      <c r="A575" s="11" t="s">
        <v>542</v>
      </c>
      <c r="B575" s="11"/>
      <c r="C575" s="11" t="s">
        <v>68</v>
      </c>
      <c r="E575" s="6">
        <v>5935832</v>
      </c>
      <c r="G575" s="6">
        <v>0</v>
      </c>
      <c r="I575" s="6">
        <v>0</v>
      </c>
      <c r="K575" s="6">
        <v>331072</v>
      </c>
      <c r="M575" s="6">
        <v>657380</v>
      </c>
      <c r="O575" s="6">
        <v>170000</v>
      </c>
      <c r="Q575" s="7">
        <f t="shared" si="36"/>
        <v>7094284</v>
      </c>
      <c r="S575" s="6">
        <v>539681</v>
      </c>
      <c r="T575" s="6">
        <f>+'St of Net Assets - GA'!M575-'Long Term Liab - GA'!S575</f>
        <v>0</v>
      </c>
    </row>
    <row r="576" spans="1:20">
      <c r="A576" s="11" t="s">
        <v>419</v>
      </c>
      <c r="B576" s="11"/>
      <c r="C576" s="11" t="s">
        <v>47</v>
      </c>
      <c r="E576" s="6">
        <v>90534923</v>
      </c>
      <c r="G576" s="6">
        <v>0</v>
      </c>
      <c r="I576" s="6">
        <v>0</v>
      </c>
      <c r="K576" s="6">
        <v>13540000</v>
      </c>
      <c r="M576" s="6">
        <v>4304334</v>
      </c>
      <c r="O576" s="6">
        <v>47468</v>
      </c>
      <c r="Q576" s="7">
        <f t="shared" ref="Q576:Q600" si="37">SUM(E576:P576)</f>
        <v>108426725</v>
      </c>
      <c r="S576" s="6">
        <v>4399346</v>
      </c>
      <c r="T576" s="6">
        <f>+'St of Net Assets - GA'!M576-'Long Term Liab - GA'!S576</f>
        <v>0</v>
      </c>
    </row>
    <row r="577" spans="1:20" hidden="1">
      <c r="A577" s="11" t="s">
        <v>875</v>
      </c>
      <c r="B577" s="11"/>
      <c r="C577" s="11" t="s">
        <v>25</v>
      </c>
      <c r="E577" s="6">
        <v>0</v>
      </c>
      <c r="G577" s="6">
        <v>0</v>
      </c>
      <c r="I577" s="6">
        <v>0</v>
      </c>
      <c r="K577" s="6">
        <v>0</v>
      </c>
      <c r="M577" s="6">
        <v>0</v>
      </c>
      <c r="O577" s="6">
        <v>0</v>
      </c>
      <c r="Q577" s="7">
        <f t="shared" ref="Q577:Q579" si="38">SUM(E577:P577)</f>
        <v>0</v>
      </c>
      <c r="T577" s="6">
        <f>+'St of Net Assets - GA'!M577-'Long Term Liab - GA'!S577</f>
        <v>0</v>
      </c>
    </row>
    <row r="578" spans="1:20" hidden="1">
      <c r="A578" s="11" t="s">
        <v>876</v>
      </c>
      <c r="B578" s="11"/>
      <c r="C578" s="11" t="s">
        <v>14</v>
      </c>
      <c r="E578" s="6">
        <v>0</v>
      </c>
      <c r="G578" s="6">
        <v>0</v>
      </c>
      <c r="I578" s="6">
        <v>0</v>
      </c>
      <c r="K578" s="6">
        <v>0</v>
      </c>
      <c r="M578" s="6">
        <v>0</v>
      </c>
      <c r="O578" s="6">
        <v>0</v>
      </c>
      <c r="Q578" s="7">
        <f t="shared" si="38"/>
        <v>0</v>
      </c>
      <c r="T578" s="6">
        <f>+'St of Net Assets - GA'!M578-'Long Term Liab - GA'!S578</f>
        <v>0</v>
      </c>
    </row>
    <row r="579" spans="1:20" hidden="1">
      <c r="A579" s="10" t="s">
        <v>877</v>
      </c>
      <c r="B579" s="10"/>
      <c r="C579" s="10" t="s">
        <v>63</v>
      </c>
      <c r="E579" s="6">
        <v>0</v>
      </c>
      <c r="G579" s="6">
        <v>0</v>
      </c>
      <c r="I579" s="6">
        <v>0</v>
      </c>
      <c r="K579" s="6">
        <v>0</v>
      </c>
      <c r="M579" s="6">
        <v>0</v>
      </c>
      <c r="O579" s="6">
        <v>0</v>
      </c>
      <c r="Q579" s="7">
        <f t="shared" si="38"/>
        <v>0</v>
      </c>
      <c r="T579" s="6">
        <f>+'St of Net Assets - GA'!M579-'Long Term Liab - GA'!S579</f>
        <v>0</v>
      </c>
    </row>
    <row r="580" spans="1:20">
      <c r="A580" s="11" t="s">
        <v>531</v>
      </c>
      <c r="B580" s="11"/>
      <c r="C580" s="11" t="s">
        <v>64</v>
      </c>
      <c r="E580" s="6">
        <f>32970000+2518119-2580635</f>
        <v>32907484</v>
      </c>
      <c r="G580" s="6">
        <v>0</v>
      </c>
      <c r="I580" s="6">
        <v>656250</v>
      </c>
      <c r="K580" s="6">
        <v>161293</v>
      </c>
      <c r="M580" s="6">
        <v>3570903</v>
      </c>
      <c r="O580" s="6">
        <v>0</v>
      </c>
      <c r="Q580" s="7">
        <f t="shared" si="37"/>
        <v>37295930</v>
      </c>
      <c r="S580" s="6">
        <v>2094253</v>
      </c>
      <c r="T580" s="6">
        <f>+'St of Net Assets - GA'!M580-'Long Term Liab - GA'!S580</f>
        <v>0</v>
      </c>
    </row>
    <row r="581" spans="1:20">
      <c r="A581" s="11" t="s">
        <v>549</v>
      </c>
      <c r="B581" s="11"/>
      <c r="C581" s="11" t="s">
        <v>70</v>
      </c>
      <c r="E581" s="6">
        <v>0</v>
      </c>
      <c r="G581" s="6">
        <v>0</v>
      </c>
      <c r="I581" s="6">
        <v>0</v>
      </c>
      <c r="K581" s="6">
        <v>0</v>
      </c>
      <c r="M581" s="6">
        <v>2022969</v>
      </c>
      <c r="O581" s="6">
        <v>0</v>
      </c>
      <c r="Q581" s="7">
        <f t="shared" si="37"/>
        <v>2022969</v>
      </c>
      <c r="S581" s="6">
        <v>29453</v>
      </c>
      <c r="T581" s="6">
        <f>+'St of Net Assets - GA'!M581-'Long Term Liab - GA'!S581</f>
        <v>0</v>
      </c>
    </row>
    <row r="582" spans="1:20">
      <c r="A582" s="11" t="s">
        <v>280</v>
      </c>
      <c r="B582" s="11"/>
      <c r="C582" s="11" t="s">
        <v>20</v>
      </c>
      <c r="E582" s="6">
        <v>18827805</v>
      </c>
      <c r="G582" s="6">
        <v>0</v>
      </c>
      <c r="I582" s="6">
        <v>0</v>
      </c>
      <c r="K582" s="6">
        <v>0</v>
      </c>
      <c r="M582" s="6">
        <v>2748836</v>
      </c>
      <c r="O582" s="6">
        <v>0</v>
      </c>
      <c r="Q582" s="7">
        <f t="shared" si="37"/>
        <v>21576641</v>
      </c>
      <c r="S582" s="6">
        <v>1528327</v>
      </c>
      <c r="T582" s="6">
        <f>+'St of Net Assets - GA'!M582-'Long Term Liab - GA'!S582</f>
        <v>0</v>
      </c>
    </row>
    <row r="583" spans="1:20">
      <c r="A583" s="11" t="s">
        <v>298</v>
      </c>
      <c r="B583" s="11"/>
      <c r="C583" s="11" t="s">
        <v>26</v>
      </c>
      <c r="E583" s="6">
        <f>15755000+2100000+1020000+977092+219085</f>
        <v>20071177</v>
      </c>
      <c r="G583" s="6">
        <v>0</v>
      </c>
      <c r="I583" s="6">
        <v>0</v>
      </c>
      <c r="K583" s="6">
        <v>166462</v>
      </c>
      <c r="M583" s="6">
        <v>1645339</v>
      </c>
      <c r="O583" s="6">
        <v>0</v>
      </c>
      <c r="Q583" s="7">
        <f t="shared" si="37"/>
        <v>21882978</v>
      </c>
      <c r="S583" s="6">
        <v>656562</v>
      </c>
      <c r="T583" s="6">
        <f>+'St of Net Assets - GA'!M583-'Long Term Liab - GA'!S583</f>
        <v>0</v>
      </c>
    </row>
    <row r="584" spans="1:20">
      <c r="A584" s="11" t="s">
        <v>396</v>
      </c>
      <c r="B584" s="11"/>
      <c r="C584" s="11" t="s">
        <v>115</v>
      </c>
      <c r="E584" s="6">
        <v>0</v>
      </c>
      <c r="G584" s="6">
        <v>0</v>
      </c>
      <c r="I584" s="6">
        <v>614000</v>
      </c>
      <c r="K584" s="6">
        <v>0</v>
      </c>
      <c r="M584" s="6">
        <v>4111914</v>
      </c>
      <c r="O584" s="6">
        <v>0</v>
      </c>
      <c r="Q584" s="7">
        <f t="shared" si="37"/>
        <v>4725914</v>
      </c>
      <c r="S584" s="6">
        <v>1026980</v>
      </c>
      <c r="T584" s="6">
        <f>+'St of Net Assets - GA'!M584-'Long Term Liab - GA'!S584</f>
        <v>0</v>
      </c>
    </row>
    <row r="585" spans="1:20">
      <c r="A585" s="11" t="s">
        <v>485</v>
      </c>
      <c r="B585" s="11"/>
      <c r="C585" s="11" t="s">
        <v>59</v>
      </c>
      <c r="E585" s="6">
        <f>500000+31552+132622-8591</f>
        <v>655583</v>
      </c>
      <c r="G585" s="6">
        <v>0</v>
      </c>
      <c r="I585" s="6">
        <v>0</v>
      </c>
      <c r="K585" s="6">
        <v>0</v>
      </c>
      <c r="M585" s="6">
        <v>343747</v>
      </c>
      <c r="O585" s="6">
        <v>0</v>
      </c>
      <c r="Q585" s="7">
        <f t="shared" si="37"/>
        <v>999330</v>
      </c>
      <c r="S585" s="6">
        <v>135737</v>
      </c>
      <c r="T585" s="6">
        <f>+'St of Net Assets - GA'!M585-'Long Term Liab - GA'!S585</f>
        <v>0</v>
      </c>
    </row>
    <row r="586" spans="1:20">
      <c r="A586" s="11" t="s">
        <v>465</v>
      </c>
      <c r="B586" s="11"/>
      <c r="C586" s="11" t="s">
        <v>56</v>
      </c>
      <c r="E586" s="6">
        <f>6835000+164999+766034-420713+512293-16338</f>
        <v>7841275</v>
      </c>
      <c r="G586" s="6">
        <v>0</v>
      </c>
      <c r="I586" s="6">
        <v>1166000</v>
      </c>
      <c r="K586" s="6">
        <v>0</v>
      </c>
      <c r="M586" s="6">
        <v>596498</v>
      </c>
      <c r="O586" s="6">
        <v>0</v>
      </c>
      <c r="Q586" s="7">
        <f t="shared" si="37"/>
        <v>9603773</v>
      </c>
      <c r="S586" s="6">
        <v>646456</v>
      </c>
      <c r="T586" s="6">
        <f>+'St of Net Assets - GA'!M586-'Long Term Liab - GA'!S586</f>
        <v>0</v>
      </c>
    </row>
    <row r="587" spans="1:20">
      <c r="A587" s="11" t="s">
        <v>780</v>
      </c>
      <c r="B587" s="11"/>
      <c r="C587" s="11" t="s">
        <v>28</v>
      </c>
      <c r="E587" s="6">
        <f>24102220+567884-262278</f>
        <v>24407826</v>
      </c>
      <c r="G587" s="6">
        <v>0</v>
      </c>
      <c r="I587" s="6">
        <v>0</v>
      </c>
      <c r="K587" s="6">
        <v>0</v>
      </c>
      <c r="M587" s="6">
        <v>1395614</v>
      </c>
      <c r="O587" s="6">
        <v>0</v>
      </c>
      <c r="Q587" s="7">
        <f t="shared" si="37"/>
        <v>25803440</v>
      </c>
      <c r="S587" s="6">
        <v>1134089</v>
      </c>
      <c r="T587" s="6">
        <f>+'St of Net Assets - GA'!M587-'Long Term Liab - GA'!S587</f>
        <v>0</v>
      </c>
    </row>
    <row r="588" spans="1:20">
      <c r="A588" s="11" t="s">
        <v>457</v>
      </c>
      <c r="B588" s="11"/>
      <c r="C588" s="11" t="s">
        <v>55</v>
      </c>
      <c r="E588" s="6">
        <f>5100000+359992+381393+264913-192811</f>
        <v>5913487</v>
      </c>
      <c r="G588" s="6">
        <v>0</v>
      </c>
      <c r="I588" s="6">
        <v>0</v>
      </c>
      <c r="K588" s="6">
        <v>1368612</v>
      </c>
      <c r="M588" s="6">
        <v>876038</v>
      </c>
      <c r="O588" s="6">
        <v>0</v>
      </c>
      <c r="Q588" s="7">
        <f t="shared" si="37"/>
        <v>8158137</v>
      </c>
      <c r="S588" s="6">
        <v>683281</v>
      </c>
      <c r="T588" s="6">
        <f>+'St of Net Assets - GA'!M588-'Long Term Liab - GA'!S588</f>
        <v>0</v>
      </c>
    </row>
    <row r="589" spans="1:20" hidden="1">
      <c r="A589" s="11" t="s">
        <v>708</v>
      </c>
      <c r="B589" s="11"/>
      <c r="C589" s="11" t="s">
        <v>69</v>
      </c>
      <c r="Q589" s="7">
        <f t="shared" si="37"/>
        <v>0</v>
      </c>
      <c r="T589" s="6">
        <f>+'St of Net Assets - GA'!M589-'Long Term Liab - GA'!S589</f>
        <v>0</v>
      </c>
    </row>
    <row r="590" spans="1:20" hidden="1">
      <c r="A590" s="11" t="s">
        <v>803</v>
      </c>
      <c r="B590" s="11"/>
      <c r="C590" s="11" t="s">
        <v>450</v>
      </c>
      <c r="Q590" s="7">
        <f t="shared" si="37"/>
        <v>0</v>
      </c>
      <c r="T590" s="6">
        <f>+'St of Net Assets - GA'!M590-'Long Term Liab - GA'!S590</f>
        <v>0</v>
      </c>
    </row>
    <row r="591" spans="1:20" hidden="1">
      <c r="A591" s="11" t="s">
        <v>646</v>
      </c>
      <c r="B591" s="11"/>
      <c r="C591" s="11" t="s">
        <v>14</v>
      </c>
      <c r="Q591" s="7">
        <f t="shared" si="37"/>
        <v>0</v>
      </c>
      <c r="T591" s="6">
        <f>+'St of Net Assets - GA'!M591-'Long Term Liab - GA'!S591</f>
        <v>0</v>
      </c>
    </row>
    <row r="592" spans="1:20">
      <c r="A592" s="11" t="s">
        <v>532</v>
      </c>
      <c r="B592" s="11"/>
      <c r="C592" s="11" t="s">
        <v>64</v>
      </c>
      <c r="E592" s="6">
        <v>1045000</v>
      </c>
      <c r="G592" s="6">
        <v>0</v>
      </c>
      <c r="I592" s="6">
        <v>0</v>
      </c>
      <c r="K592" s="6">
        <v>720399</v>
      </c>
      <c r="M592" s="6">
        <v>520658</v>
      </c>
      <c r="O592" s="6">
        <v>0</v>
      </c>
      <c r="Q592" s="7">
        <f t="shared" si="37"/>
        <v>2286057</v>
      </c>
      <c r="S592" s="6">
        <v>249263</v>
      </c>
      <c r="T592" s="6">
        <f>+'St of Net Assets - GA'!M592-'Long Term Liab - GA'!S592</f>
        <v>0</v>
      </c>
    </row>
    <row r="593" spans="1:20">
      <c r="A593" s="11" t="s">
        <v>781</v>
      </c>
      <c r="B593" s="11"/>
      <c r="C593" s="11" t="s">
        <v>44</v>
      </c>
      <c r="E593" s="6">
        <v>980000</v>
      </c>
      <c r="G593" s="6">
        <v>0</v>
      </c>
      <c r="I593" s="6">
        <v>0</v>
      </c>
      <c r="K593" s="6">
        <v>0</v>
      </c>
      <c r="M593" s="6">
        <v>831102</v>
      </c>
      <c r="O593" s="6">
        <v>0</v>
      </c>
      <c r="Q593" s="7">
        <f t="shared" si="37"/>
        <v>1811102</v>
      </c>
      <c r="S593" s="6">
        <v>267471</v>
      </c>
      <c r="T593" s="6">
        <f>+'St of Net Assets - GA'!M593-'Long Term Liab - GA'!S593</f>
        <v>0</v>
      </c>
    </row>
    <row r="594" spans="1:20">
      <c r="A594" s="11" t="s">
        <v>361</v>
      </c>
      <c r="B594" s="11"/>
      <c r="C594" s="11" t="s">
        <v>38</v>
      </c>
      <c r="E594" s="6">
        <f>935000+1155000+70000+18815+95220-31750+2080000</f>
        <v>4322285</v>
      </c>
      <c r="G594" s="6">
        <v>0</v>
      </c>
      <c r="I594" s="6">
        <v>0</v>
      </c>
      <c r="K594" s="6">
        <v>0</v>
      </c>
      <c r="M594" s="6">
        <v>620824</v>
      </c>
      <c r="O594" s="6">
        <v>0</v>
      </c>
      <c r="Q594" s="7">
        <f t="shared" si="37"/>
        <v>4943109</v>
      </c>
      <c r="S594" s="6">
        <v>402070</v>
      </c>
      <c r="T594" s="6">
        <f>+'St of Net Assets - GA'!M594-'Long Term Liab - GA'!S594</f>
        <v>0</v>
      </c>
    </row>
    <row r="595" spans="1:20">
      <c r="A595" s="11" t="s">
        <v>252</v>
      </c>
      <c r="B595" s="11"/>
      <c r="C595" s="11" t="s">
        <v>112</v>
      </c>
      <c r="E595" s="6">
        <f>916488-41126+52328</f>
        <v>927690</v>
      </c>
      <c r="G595" s="6">
        <v>180000</v>
      </c>
      <c r="I595" s="6">
        <v>0</v>
      </c>
      <c r="K595" s="6">
        <v>0</v>
      </c>
      <c r="M595" s="6">
        <v>520004</v>
      </c>
      <c r="O595" s="6">
        <v>0</v>
      </c>
      <c r="Q595" s="7">
        <f t="shared" si="37"/>
        <v>1627694</v>
      </c>
      <c r="S595" s="6">
        <v>214968</v>
      </c>
      <c r="T595" s="6">
        <f>+'St of Net Assets - GA'!M595-'Long Term Liab - GA'!S595</f>
        <v>0</v>
      </c>
    </row>
    <row r="596" spans="1:20">
      <c r="A596" s="11" t="s">
        <v>408</v>
      </c>
      <c r="B596" s="11"/>
      <c r="C596" s="11" t="s">
        <v>45</v>
      </c>
      <c r="E596" s="6">
        <f>5910293+1426378+340450-259891</f>
        <v>7417230</v>
      </c>
      <c r="G596" s="6">
        <v>0</v>
      </c>
      <c r="I596" s="6">
        <v>0</v>
      </c>
      <c r="K596" s="6">
        <v>0</v>
      </c>
      <c r="M596" s="6">
        <v>999292</v>
      </c>
      <c r="O596" s="6">
        <v>0</v>
      </c>
      <c r="Q596" s="7">
        <f t="shared" si="37"/>
        <v>8416522</v>
      </c>
      <c r="S596" s="6">
        <v>711000</v>
      </c>
      <c r="T596" s="6">
        <f>+'St of Net Assets - GA'!M596-'Long Term Liab - GA'!S596</f>
        <v>0</v>
      </c>
    </row>
    <row r="597" spans="1:20">
      <c r="A597" s="11" t="s">
        <v>707</v>
      </c>
      <c r="B597" s="11"/>
      <c r="C597" s="11" t="s">
        <v>50</v>
      </c>
      <c r="E597" s="6">
        <v>1820000</v>
      </c>
      <c r="G597" s="6">
        <v>0</v>
      </c>
      <c r="I597" s="6">
        <v>0</v>
      </c>
      <c r="K597" s="6">
        <v>0</v>
      </c>
      <c r="M597" s="6">
        <v>1777771</v>
      </c>
      <c r="O597" s="6">
        <v>0</v>
      </c>
      <c r="Q597" s="7">
        <f t="shared" si="37"/>
        <v>3597771</v>
      </c>
      <c r="S597" s="6">
        <v>641120</v>
      </c>
      <c r="T597" s="6">
        <f>+'St of Net Assets - GA'!M597-'Long Term Liab - GA'!S597</f>
        <v>0</v>
      </c>
    </row>
    <row r="598" spans="1:20">
      <c r="A598" s="11" t="s">
        <v>241</v>
      </c>
      <c r="B598" s="11"/>
      <c r="C598" s="11" t="s">
        <v>113</v>
      </c>
      <c r="E598" s="6">
        <v>33998542</v>
      </c>
      <c r="G598" s="6">
        <v>0</v>
      </c>
      <c r="I598" s="6">
        <v>0</v>
      </c>
      <c r="K598" s="6">
        <v>4169058</v>
      </c>
      <c r="M598" s="6">
        <v>2958842</v>
      </c>
      <c r="O598" s="6">
        <v>0</v>
      </c>
      <c r="Q598" s="7">
        <f>SUM(E598:P598)</f>
        <v>41126442</v>
      </c>
      <c r="S598" s="6">
        <v>4119023</v>
      </c>
      <c r="T598" s="6">
        <f>+'St of Net Assets - GA'!M598-'Long Term Liab - GA'!S598</f>
        <v>0</v>
      </c>
    </row>
    <row r="599" spans="1:20">
      <c r="A599" s="11" t="s">
        <v>316</v>
      </c>
      <c r="B599" s="11"/>
      <c r="C599" s="11" t="s">
        <v>30</v>
      </c>
      <c r="E599" s="6">
        <v>2870000</v>
      </c>
      <c r="G599" s="6">
        <v>0</v>
      </c>
      <c r="I599" s="6">
        <v>0</v>
      </c>
      <c r="K599" s="6">
        <v>225077</v>
      </c>
      <c r="M599" s="6">
        <v>1782714</v>
      </c>
      <c r="O599" s="6">
        <v>0</v>
      </c>
      <c r="Q599" s="7">
        <f t="shared" si="37"/>
        <v>4877791</v>
      </c>
      <c r="S599" s="6">
        <v>2160843</v>
      </c>
      <c r="T599" s="6">
        <f>+'St of Net Assets - GA'!M599-'Long Term Liab - GA'!S599</f>
        <v>0</v>
      </c>
    </row>
    <row r="600" spans="1:20">
      <c r="A600" s="11" t="s">
        <v>354</v>
      </c>
      <c r="B600" s="11"/>
      <c r="C600" s="11" t="s">
        <v>36</v>
      </c>
      <c r="E600" s="6">
        <f>10605000+627368-499417</f>
        <v>10732951</v>
      </c>
      <c r="G600" s="6">
        <v>0</v>
      </c>
      <c r="I600" s="6">
        <v>0</v>
      </c>
      <c r="K600" s="6">
        <v>0</v>
      </c>
      <c r="M600" s="6">
        <v>1797477</v>
      </c>
      <c r="O600" s="6">
        <v>0</v>
      </c>
      <c r="Q600" s="7">
        <f t="shared" si="37"/>
        <v>12530428</v>
      </c>
      <c r="S600" s="6">
        <v>769215</v>
      </c>
      <c r="T600" s="6">
        <f>+'St of Net Assets - GA'!M600-'Long Term Liab - GA'!S600</f>
        <v>0</v>
      </c>
    </row>
    <row r="601" spans="1:20">
      <c r="A601" s="11" t="s">
        <v>230</v>
      </c>
      <c r="B601" s="11"/>
      <c r="C601" s="11" t="s">
        <v>228</v>
      </c>
      <c r="E601" s="6">
        <v>0</v>
      </c>
      <c r="G601" s="6">
        <v>0</v>
      </c>
      <c r="I601" s="6">
        <v>0</v>
      </c>
      <c r="K601" s="6">
        <v>12014</v>
      </c>
      <c r="M601" s="6">
        <v>752992</v>
      </c>
      <c r="O601" s="6">
        <v>0</v>
      </c>
      <c r="Q601" s="7">
        <f>SUM(E601:P601)</f>
        <v>765006</v>
      </c>
      <c r="S601" s="6">
        <v>216027</v>
      </c>
      <c r="T601" s="6">
        <f>+'St of Net Assets - GA'!M601-'Long Term Liab - GA'!S601</f>
        <v>0</v>
      </c>
    </row>
    <row r="602" spans="1:20">
      <c r="A602" s="11" t="s">
        <v>447</v>
      </c>
      <c r="B602" s="11"/>
      <c r="C602" s="11" t="s">
        <v>51</v>
      </c>
      <c r="E602" s="6">
        <v>20353880</v>
      </c>
      <c r="G602" s="6">
        <v>0</v>
      </c>
      <c r="I602" s="6">
        <v>0</v>
      </c>
      <c r="K602" s="6">
        <v>1546684</v>
      </c>
      <c r="M602" s="6">
        <v>698170</v>
      </c>
      <c r="O602" s="6">
        <v>0</v>
      </c>
      <c r="Q602" s="7">
        <f t="shared" ref="Q602:Q630" si="39">SUM(E602:P602)</f>
        <v>22598734</v>
      </c>
      <c r="S602" s="6">
        <v>697997</v>
      </c>
      <c r="T602" s="6">
        <f>+'St of Net Assets - GA'!M602-'Long Term Liab - GA'!S602</f>
        <v>0</v>
      </c>
    </row>
    <row r="603" spans="1:20">
      <c r="A603" s="11" t="s">
        <v>220</v>
      </c>
      <c r="B603" s="11"/>
      <c r="C603" s="11" t="s">
        <v>77</v>
      </c>
      <c r="E603" s="6">
        <f>1105000+2715000+275000+114516-57204+24391</f>
        <v>4176703</v>
      </c>
      <c r="G603" s="6">
        <v>0</v>
      </c>
      <c r="I603" s="6">
        <v>0</v>
      </c>
      <c r="K603" s="6">
        <v>762000</v>
      </c>
      <c r="M603" s="6">
        <v>1670219</v>
      </c>
      <c r="O603" s="6">
        <v>0</v>
      </c>
      <c r="Q603" s="7">
        <f t="shared" si="39"/>
        <v>6608922</v>
      </c>
      <c r="S603" s="6">
        <v>693740</v>
      </c>
      <c r="T603" s="6">
        <f>+'St of Net Assets - GA'!M603-'Long Term Liab - GA'!S603</f>
        <v>0</v>
      </c>
    </row>
    <row r="604" spans="1:20">
      <c r="A604" s="11" t="s">
        <v>458</v>
      </c>
      <c r="B604" s="11"/>
      <c r="C604" s="11" t="s">
        <v>55</v>
      </c>
      <c r="E604" s="6">
        <f>470000+500000</f>
        <v>970000</v>
      </c>
      <c r="G604" s="6">
        <v>0</v>
      </c>
      <c r="I604" s="6">
        <v>0</v>
      </c>
      <c r="K604" s="6">
        <v>0</v>
      </c>
      <c r="M604" s="6">
        <v>184368</v>
      </c>
      <c r="O604" s="6">
        <v>0</v>
      </c>
      <c r="Q604" s="7">
        <f t="shared" si="39"/>
        <v>1154368</v>
      </c>
      <c r="S604" s="6">
        <v>92294</v>
      </c>
      <c r="T604" s="6">
        <f>+'St of Net Assets - GA'!M604-'Long Term Liab - GA'!S604</f>
        <v>0</v>
      </c>
    </row>
    <row r="605" spans="1:20" ht="12" customHeight="1">
      <c r="A605" s="11" t="s">
        <v>359</v>
      </c>
      <c r="B605" s="11"/>
      <c r="C605" s="11" t="s">
        <v>37</v>
      </c>
      <c r="E605" s="6">
        <f>2376337+176764-107749</f>
        <v>2445352</v>
      </c>
      <c r="G605" s="6">
        <v>0</v>
      </c>
      <c r="I605" s="6">
        <v>0</v>
      </c>
      <c r="K605" s="6">
        <v>59894</v>
      </c>
      <c r="M605" s="6">
        <v>670889</v>
      </c>
      <c r="O605" s="6">
        <v>0</v>
      </c>
      <c r="Q605" s="7">
        <f t="shared" si="39"/>
        <v>3176135</v>
      </c>
      <c r="S605" s="6">
        <v>214232</v>
      </c>
      <c r="T605" s="6">
        <f>+'St of Net Assets - GA'!M605-'Long Term Liab - GA'!S605</f>
        <v>0</v>
      </c>
    </row>
    <row r="606" spans="1:20" ht="12" customHeight="1">
      <c r="A606" s="11" t="s">
        <v>359</v>
      </c>
      <c r="B606" s="11"/>
      <c r="C606" s="11" t="s">
        <v>45</v>
      </c>
      <c r="E606" s="6">
        <v>10776558</v>
      </c>
      <c r="G606" s="6">
        <v>88594</v>
      </c>
      <c r="I606" s="6">
        <v>0</v>
      </c>
      <c r="K606" s="6">
        <v>0</v>
      </c>
      <c r="M606" s="6">
        <v>589428</v>
      </c>
      <c r="O606" s="6">
        <v>0</v>
      </c>
      <c r="Q606" s="7">
        <f t="shared" si="39"/>
        <v>11454580</v>
      </c>
      <c r="S606" s="6">
        <v>279189</v>
      </c>
      <c r="T606" s="6">
        <f>+'St of Net Assets - GA'!M606-'Long Term Liab - GA'!S606</f>
        <v>0</v>
      </c>
    </row>
    <row r="607" spans="1:20" ht="12" customHeight="1">
      <c r="A607" s="11" t="s">
        <v>309</v>
      </c>
      <c r="B607" s="11"/>
      <c r="C607" s="11" t="s">
        <v>27</v>
      </c>
      <c r="E607" s="6">
        <v>110688248</v>
      </c>
      <c r="G607" s="6">
        <v>0</v>
      </c>
      <c r="I607" s="6">
        <v>0</v>
      </c>
      <c r="K607" s="6">
        <v>0</v>
      </c>
      <c r="M607" s="6">
        <v>12442495</v>
      </c>
      <c r="O607" s="6">
        <v>0</v>
      </c>
      <c r="Q607" s="7">
        <f t="shared" si="39"/>
        <v>123130743</v>
      </c>
      <c r="S607" s="6">
        <v>9297775</v>
      </c>
      <c r="T607" s="6">
        <f>+'St of Net Assets - GA'!M607-'Long Term Liab - GA'!S607</f>
        <v>0</v>
      </c>
    </row>
    <row r="608" spans="1:20" ht="12" customHeight="1">
      <c r="A608" s="11" t="s">
        <v>455</v>
      </c>
      <c r="B608" s="11"/>
      <c r="C608" s="11" t="s">
        <v>54</v>
      </c>
      <c r="E608" s="6">
        <f>4492698+403235</f>
        <v>4895933</v>
      </c>
      <c r="G608" s="6">
        <v>0</v>
      </c>
      <c r="I608" s="6">
        <v>0</v>
      </c>
      <c r="K608" s="6">
        <v>396001</v>
      </c>
      <c r="M608" s="6">
        <v>746479</v>
      </c>
      <c r="O608" s="6">
        <v>0</v>
      </c>
      <c r="Q608" s="7">
        <f t="shared" si="39"/>
        <v>6038413</v>
      </c>
      <c r="S608" s="6">
        <v>439667</v>
      </c>
      <c r="T608" s="6">
        <f>+'St of Net Assets - GA'!M608-'Long Term Liab - GA'!S608</f>
        <v>0</v>
      </c>
    </row>
    <row r="609" spans="1:20" ht="12" customHeight="1">
      <c r="A609" s="11" t="s">
        <v>281</v>
      </c>
      <c r="B609" s="11"/>
      <c r="C609" s="11" t="s">
        <v>20</v>
      </c>
      <c r="E609" s="6">
        <v>101140688</v>
      </c>
      <c r="G609" s="6">
        <v>0</v>
      </c>
      <c r="I609" s="6">
        <v>0</v>
      </c>
      <c r="K609" s="6">
        <v>156025</v>
      </c>
      <c r="M609" s="6">
        <v>4132915</v>
      </c>
      <c r="O609" s="6">
        <v>393750</v>
      </c>
      <c r="Q609" s="7">
        <f t="shared" si="39"/>
        <v>105823378</v>
      </c>
      <c r="S609" s="6">
        <v>5121533</v>
      </c>
      <c r="T609" s="6">
        <f>+'St of Net Assets - GA'!M609-'Long Term Liab - GA'!S609</f>
        <v>0</v>
      </c>
    </row>
    <row r="610" spans="1:20" ht="12" customHeight="1">
      <c r="A610" s="11" t="s">
        <v>486</v>
      </c>
      <c r="B610" s="11"/>
      <c r="C610" s="11" t="s">
        <v>59</v>
      </c>
      <c r="E610" s="6">
        <f>2805000+5620000+225260</f>
        <v>8650260</v>
      </c>
      <c r="G610" s="6">
        <v>0</v>
      </c>
      <c r="I610" s="6">
        <v>0</v>
      </c>
      <c r="K610" s="6">
        <f>375000+1151951+25250</f>
        <v>1552201</v>
      </c>
      <c r="M610" s="6">
        <v>700394</v>
      </c>
      <c r="O610" s="6">
        <v>0</v>
      </c>
      <c r="Q610" s="7">
        <f t="shared" si="39"/>
        <v>10902855</v>
      </c>
      <c r="S610" s="6">
        <v>435511</v>
      </c>
      <c r="T610" s="6">
        <f>+'St of Net Assets - GA'!M610-'Long Term Liab - GA'!S610</f>
        <v>0</v>
      </c>
    </row>
    <row r="611" spans="1:20">
      <c r="A611" s="11" t="s">
        <v>310</v>
      </c>
      <c r="B611" s="11"/>
      <c r="C611" s="11" t="s">
        <v>27</v>
      </c>
      <c r="E611" s="6">
        <f>29325102+49052+816404-110700</f>
        <v>30079858</v>
      </c>
      <c r="G611" s="6">
        <v>0</v>
      </c>
      <c r="I611" s="6">
        <v>0</v>
      </c>
      <c r="K611" s="6">
        <v>11085</v>
      </c>
      <c r="M611" s="6">
        <v>1218442</v>
      </c>
      <c r="O611" s="6">
        <v>0</v>
      </c>
      <c r="Q611" s="7">
        <f t="shared" si="39"/>
        <v>31309385</v>
      </c>
      <c r="S611" s="6">
        <v>1842512</v>
      </c>
      <c r="T611" s="6">
        <f>+'St of Net Assets - GA'!M611-'Long Term Liab - GA'!S611</f>
        <v>0</v>
      </c>
    </row>
    <row r="612" spans="1:20" hidden="1">
      <c r="A612" s="11" t="s">
        <v>622</v>
      </c>
      <c r="B612" s="11"/>
      <c r="C612" s="11" t="s">
        <v>41</v>
      </c>
      <c r="Q612" s="7">
        <f t="shared" si="39"/>
        <v>0</v>
      </c>
      <c r="T612" s="6">
        <f>+'St of Net Assets - GA'!M612-'Long Term Liab - GA'!S612</f>
        <v>0</v>
      </c>
    </row>
    <row r="613" spans="1:20">
      <c r="A613" s="11" t="s">
        <v>360</v>
      </c>
      <c r="B613" s="11"/>
      <c r="C613" s="11" t="s">
        <v>37</v>
      </c>
      <c r="E613" s="6">
        <f>22847343-93705+1072006</f>
        <v>23825644</v>
      </c>
      <c r="G613" s="6">
        <v>251195</v>
      </c>
      <c r="I613" s="6">
        <v>0</v>
      </c>
      <c r="K613" s="6">
        <v>133763</v>
      </c>
      <c r="M613" s="6">
        <v>1110415</v>
      </c>
      <c r="O613" s="6">
        <v>0</v>
      </c>
      <c r="Q613" s="7">
        <f t="shared" si="39"/>
        <v>25321017</v>
      </c>
      <c r="S613" s="6">
        <v>361783</v>
      </c>
      <c r="T613" s="6">
        <f>+'St of Net Assets - GA'!M613-'Long Term Liab - GA'!S613</f>
        <v>0</v>
      </c>
    </row>
    <row r="614" spans="1:20" hidden="1">
      <c r="A614" s="11" t="s">
        <v>893</v>
      </c>
      <c r="B614" s="11"/>
      <c r="C614" s="11" t="s">
        <v>113</v>
      </c>
      <c r="E614" s="6">
        <v>0</v>
      </c>
      <c r="G614" s="6">
        <v>0</v>
      </c>
      <c r="I614" s="6">
        <v>0</v>
      </c>
      <c r="K614" s="6">
        <v>0</v>
      </c>
      <c r="M614" s="6">
        <v>0</v>
      </c>
      <c r="O614" s="6">
        <v>0</v>
      </c>
      <c r="Q614" s="7">
        <f t="shared" si="39"/>
        <v>0</v>
      </c>
      <c r="T614" s="6">
        <f>+'St of Net Assets - GA'!M614-'Long Term Liab - GA'!S614</f>
        <v>0</v>
      </c>
    </row>
    <row r="615" spans="1:20">
      <c r="A615" s="11" t="s">
        <v>365</v>
      </c>
      <c r="B615" s="11"/>
      <c r="C615" s="11" t="s">
        <v>41</v>
      </c>
      <c r="E615" s="6">
        <f>4320000+9785000+8589000</f>
        <v>22694000</v>
      </c>
      <c r="G615" s="6">
        <v>0</v>
      </c>
      <c r="I615" s="6">
        <v>8625000</v>
      </c>
      <c r="K615" s="6">
        <v>0</v>
      </c>
      <c r="M615" s="6">
        <v>8938397</v>
      </c>
      <c r="O615" s="6">
        <f>4147823+2115689</f>
        <v>6263512</v>
      </c>
      <c r="Q615" s="7">
        <f t="shared" si="39"/>
        <v>46520909</v>
      </c>
      <c r="S615" s="6">
        <v>2283914</v>
      </c>
      <c r="T615" s="6">
        <f>+'St of Net Assets - GA'!M615-'Long Term Liab - GA'!S615</f>
        <v>0</v>
      </c>
    </row>
    <row r="616" spans="1:20">
      <c r="A616" s="11" t="s">
        <v>245</v>
      </c>
      <c r="B616" s="11"/>
      <c r="C616" s="11" t="s">
        <v>18</v>
      </c>
      <c r="E616" s="6">
        <v>5634150</v>
      </c>
      <c r="G616" s="6">
        <v>0</v>
      </c>
      <c r="I616" s="6">
        <v>0</v>
      </c>
      <c r="K616" s="6">
        <v>1397000</v>
      </c>
      <c r="M616" s="6">
        <v>920701</v>
      </c>
      <c r="O616" s="6">
        <v>0</v>
      </c>
      <c r="Q616" s="7">
        <f t="shared" si="39"/>
        <v>7951851</v>
      </c>
      <c r="S616" s="6">
        <v>1513951</v>
      </c>
      <c r="T616" s="6">
        <f>+'St of Net Assets - GA'!M616-'Long Term Liab - GA'!S616</f>
        <v>0</v>
      </c>
    </row>
    <row r="617" spans="1:20">
      <c r="A617" s="11" t="s">
        <v>782</v>
      </c>
      <c r="B617" s="11"/>
      <c r="C617" s="11" t="s">
        <v>56</v>
      </c>
      <c r="E617" s="6">
        <v>511226</v>
      </c>
      <c r="G617" s="6">
        <v>0</v>
      </c>
      <c r="I617" s="6">
        <v>0</v>
      </c>
      <c r="K617" s="6">
        <v>54602</v>
      </c>
      <c r="M617" s="6">
        <v>508296</v>
      </c>
      <c r="O617" s="6">
        <v>0</v>
      </c>
      <c r="Q617" s="7">
        <f t="shared" si="39"/>
        <v>1074124</v>
      </c>
      <c r="S617" s="6">
        <v>75444</v>
      </c>
      <c r="T617" s="6">
        <f>+'St of Net Assets - GA'!M617-'Long Term Liab - GA'!S617</f>
        <v>0</v>
      </c>
    </row>
    <row r="618" spans="1:20">
      <c r="A618" s="11" t="s">
        <v>332</v>
      </c>
      <c r="B618" s="11"/>
      <c r="C618" s="11" t="s">
        <v>32</v>
      </c>
      <c r="E618" s="6">
        <v>0</v>
      </c>
      <c r="G618" s="6">
        <v>0</v>
      </c>
      <c r="I618" s="6">
        <v>0</v>
      </c>
      <c r="K618" s="6">
        <v>3329732</v>
      </c>
      <c r="M618" s="6">
        <v>2706539</v>
      </c>
      <c r="O618" s="6">
        <v>0</v>
      </c>
      <c r="Q618" s="7">
        <f t="shared" si="39"/>
        <v>6036271</v>
      </c>
      <c r="S618" s="6">
        <v>1000279</v>
      </c>
      <c r="T618" s="6">
        <f>+'St of Net Assets - GA'!M618-'Long Term Liab - GA'!S618</f>
        <v>0</v>
      </c>
    </row>
    <row r="619" spans="1:20">
      <c r="A619" s="11" t="s">
        <v>550</v>
      </c>
      <c r="B619" s="11"/>
      <c r="C619" s="11" t="s">
        <v>70</v>
      </c>
      <c r="E619" s="6">
        <f>1177071+4548794</f>
        <v>5725865</v>
      </c>
      <c r="G619" s="6">
        <v>0</v>
      </c>
      <c r="I619" s="6">
        <v>0</v>
      </c>
      <c r="K619" s="6">
        <v>0</v>
      </c>
      <c r="M619" s="6">
        <v>300268</v>
      </c>
      <c r="O619" s="6">
        <v>0</v>
      </c>
      <c r="Q619" s="7">
        <f t="shared" si="39"/>
        <v>6026133</v>
      </c>
      <c r="S619" s="6">
        <v>235000</v>
      </c>
      <c r="T619" s="6">
        <f>+'St of Net Assets - GA'!M619-'Long Term Liab - GA'!S619</f>
        <v>0</v>
      </c>
    </row>
    <row r="620" spans="1:20">
      <c r="A620" s="11" t="s">
        <v>478</v>
      </c>
      <c r="B620" s="11"/>
      <c r="C620" s="11" t="s">
        <v>79</v>
      </c>
      <c r="E620" s="6">
        <v>0</v>
      </c>
      <c r="G620" s="6">
        <v>0</v>
      </c>
      <c r="I620" s="6">
        <v>0</v>
      </c>
      <c r="K620" s="6">
        <v>43910</v>
      </c>
      <c r="M620" s="6">
        <v>673644</v>
      </c>
      <c r="O620" s="6">
        <v>0</v>
      </c>
      <c r="Q620" s="7">
        <f t="shared" si="39"/>
        <v>717554</v>
      </c>
      <c r="S620" s="6">
        <v>103741</v>
      </c>
      <c r="T620" s="6">
        <f>+'St of Net Assets - GA'!M620-'Long Term Liab - GA'!S620</f>
        <v>0</v>
      </c>
    </row>
    <row r="621" spans="1:20">
      <c r="A621" s="11" t="s">
        <v>517</v>
      </c>
      <c r="B621" s="11"/>
      <c r="C621" s="11" t="s">
        <v>63</v>
      </c>
      <c r="E621" s="6">
        <v>10377612</v>
      </c>
      <c r="G621" s="6">
        <v>0</v>
      </c>
      <c r="I621" s="6">
        <v>0</v>
      </c>
      <c r="K621" s="6">
        <v>78799</v>
      </c>
      <c r="M621" s="6">
        <v>880578</v>
      </c>
      <c r="O621" s="6">
        <v>0</v>
      </c>
      <c r="Q621" s="7">
        <f t="shared" si="39"/>
        <v>11336989</v>
      </c>
      <c r="S621" s="6">
        <v>1497466</v>
      </c>
      <c r="T621" s="6">
        <f>+'St of Net Assets - GA'!M621-'Long Term Liab - GA'!S621</f>
        <v>0</v>
      </c>
    </row>
    <row r="622" spans="1:20">
      <c r="A622" s="11" t="s">
        <v>623</v>
      </c>
      <c r="B622" s="11"/>
      <c r="C622" s="11" t="s">
        <v>71</v>
      </c>
      <c r="E622" s="6">
        <f>18033121-1289000</f>
        <v>16744121</v>
      </c>
      <c r="G622" s="6">
        <v>0</v>
      </c>
      <c r="I622" s="6">
        <v>1289000</v>
      </c>
      <c r="K622" s="6">
        <v>0</v>
      </c>
      <c r="M622" s="6">
        <v>4728162</v>
      </c>
      <c r="O622" s="6">
        <v>0</v>
      </c>
      <c r="Q622" s="7">
        <f t="shared" si="39"/>
        <v>22761283</v>
      </c>
      <c r="S622" s="6">
        <v>3324559</v>
      </c>
      <c r="T622" s="6">
        <f>+'St of Net Assets - GA'!M622-'Long Term Liab - GA'!S622</f>
        <v>0</v>
      </c>
    </row>
    <row r="623" spans="1:20">
      <c r="A623" s="11" t="s">
        <v>311</v>
      </c>
      <c r="B623" s="11"/>
      <c r="C623" s="11" t="s">
        <v>27</v>
      </c>
      <c r="E623" s="6">
        <f>4725823+45471381</f>
        <v>50197204</v>
      </c>
      <c r="G623" s="6">
        <v>0</v>
      </c>
      <c r="I623" s="6">
        <v>2058000</v>
      </c>
      <c r="K623" s="6">
        <v>0</v>
      </c>
      <c r="M623" s="6">
        <v>9357058</v>
      </c>
      <c r="O623" s="6">
        <v>255200</v>
      </c>
      <c r="Q623" s="7">
        <f t="shared" si="39"/>
        <v>61867462</v>
      </c>
      <c r="S623" s="6">
        <v>5529994</v>
      </c>
      <c r="T623" s="6">
        <f>+'St of Net Assets - GA'!M623-'Long Term Liab - GA'!S623</f>
        <v>0</v>
      </c>
    </row>
    <row r="624" spans="1:20">
      <c r="A624" s="11" t="s">
        <v>260</v>
      </c>
      <c r="B624" s="11"/>
      <c r="C624" s="11" t="s">
        <v>111</v>
      </c>
      <c r="E624" s="6">
        <f>5229748+199411-114798</f>
        <v>5314361</v>
      </c>
      <c r="G624" s="6">
        <v>0</v>
      </c>
      <c r="I624" s="6">
        <v>0</v>
      </c>
      <c r="K624" s="6">
        <v>20238</v>
      </c>
      <c r="M624" s="6">
        <v>556434</v>
      </c>
      <c r="O624" s="6">
        <v>0</v>
      </c>
      <c r="Q624" s="7">
        <f t="shared" si="39"/>
        <v>5891033</v>
      </c>
      <c r="S624" s="6">
        <v>395397</v>
      </c>
      <c r="T624" s="6">
        <f>+'St of Net Assets - GA'!M624-'Long Term Liab - GA'!S624</f>
        <v>0</v>
      </c>
    </row>
    <row r="625" spans="1:20">
      <c r="A625" s="11" t="s">
        <v>333</v>
      </c>
      <c r="B625" s="11"/>
      <c r="C625" s="11" t="s">
        <v>32</v>
      </c>
      <c r="E625" s="6">
        <v>43551349</v>
      </c>
      <c r="G625" s="6">
        <v>0</v>
      </c>
      <c r="I625" s="6">
        <v>0</v>
      </c>
      <c r="K625" s="6">
        <v>2415100</v>
      </c>
      <c r="M625" s="6">
        <v>1117340</v>
      </c>
      <c r="O625" s="6">
        <v>0</v>
      </c>
      <c r="Q625" s="7">
        <f t="shared" si="39"/>
        <v>47083789</v>
      </c>
      <c r="S625" s="6">
        <v>1191204</v>
      </c>
      <c r="T625" s="6">
        <f>+'St of Net Assets - GA'!M625-'Long Term Liab - GA'!S625</f>
        <v>0</v>
      </c>
    </row>
    <row r="626" spans="1:20">
      <c r="A626" s="10" t="s">
        <v>884</v>
      </c>
      <c r="B626" s="10"/>
      <c r="C626" s="10" t="s">
        <v>114</v>
      </c>
      <c r="E626" s="6">
        <f>390183+5000+20305000+14160000+3262799</f>
        <v>38122982</v>
      </c>
      <c r="G626" s="6">
        <v>0</v>
      </c>
      <c r="I626" s="6">
        <f>209344+340000+5062+1810000+24176+650000+947</f>
        <v>3039529</v>
      </c>
      <c r="K626" s="6">
        <v>638486</v>
      </c>
      <c r="M626" s="6">
        <v>2234559</v>
      </c>
      <c r="O626" s="6">
        <v>0</v>
      </c>
      <c r="Q626" s="7">
        <f t="shared" ref="Q626" si="40">SUM(E626:P626)</f>
        <v>44035556</v>
      </c>
      <c r="S626" s="6">
        <v>756282</v>
      </c>
      <c r="T626" s="6">
        <f>+'St of Net Assets - GA'!M626-'Long Term Liab - GA'!S626</f>
        <v>0</v>
      </c>
    </row>
    <row r="627" spans="1:20">
      <c r="A627" s="11" t="s">
        <v>783</v>
      </c>
      <c r="B627" s="11"/>
      <c r="C627" s="11" t="s">
        <v>114</v>
      </c>
      <c r="E627" s="6">
        <f>250000+203489+2934999+18068+285320</f>
        <v>3691876</v>
      </c>
      <c r="G627" s="6">
        <v>0</v>
      </c>
      <c r="I627" s="6">
        <v>683200</v>
      </c>
      <c r="K627" s="6">
        <v>36262</v>
      </c>
      <c r="M627" s="6">
        <v>588106</v>
      </c>
      <c r="O627" s="6">
        <v>0</v>
      </c>
      <c r="Q627" s="7">
        <f t="shared" si="39"/>
        <v>4999444</v>
      </c>
      <c r="S627" s="6">
        <v>349993</v>
      </c>
      <c r="T627" s="6">
        <f>+'St of Net Assets - GA'!M627-'Long Term Liab - GA'!S627</f>
        <v>0</v>
      </c>
    </row>
    <row r="628" spans="1:20">
      <c r="A628" s="11" t="s">
        <v>409</v>
      </c>
      <c r="B628" s="11"/>
      <c r="C628" s="11" t="s">
        <v>45</v>
      </c>
      <c r="E628" s="6">
        <v>28117932</v>
      </c>
      <c r="G628" s="6">
        <v>0</v>
      </c>
      <c r="I628" s="6">
        <v>0</v>
      </c>
      <c r="K628" s="6">
        <v>5050000</v>
      </c>
      <c r="M628" s="6">
        <v>8696233</v>
      </c>
      <c r="O628" s="6">
        <v>264336</v>
      </c>
      <c r="Q628" s="7">
        <f t="shared" si="39"/>
        <v>42128501</v>
      </c>
      <c r="S628" s="6">
        <v>2209138</v>
      </c>
      <c r="T628" s="6">
        <f>+'St of Net Assets - GA'!M628-'Long Term Liab - GA'!S628</f>
        <v>0</v>
      </c>
    </row>
    <row r="629" spans="1:20">
      <c r="A629" s="11" t="s">
        <v>477</v>
      </c>
      <c r="B629" s="11"/>
      <c r="C629" s="11" t="s">
        <v>58</v>
      </c>
      <c r="E629" s="6">
        <v>2425000</v>
      </c>
      <c r="G629" s="6">
        <v>0</v>
      </c>
      <c r="I629" s="6">
        <v>0</v>
      </c>
      <c r="K629" s="6">
        <f>3421+2540000</f>
        <v>2543421</v>
      </c>
      <c r="M629" s="6">
        <v>738595</v>
      </c>
      <c r="O629" s="6">
        <v>0</v>
      </c>
      <c r="Q629" s="7">
        <f t="shared" si="39"/>
        <v>5707016</v>
      </c>
      <c r="S629" s="6">
        <v>501821</v>
      </c>
      <c r="T629" s="6">
        <f>+'St of Net Assets - GA'!M629-'Long Term Liab - GA'!S629</f>
        <v>0</v>
      </c>
    </row>
    <row r="630" spans="1:20">
      <c r="A630" s="11" t="s">
        <v>448</v>
      </c>
      <c r="B630" s="11"/>
      <c r="C630" s="11" t="s">
        <v>51</v>
      </c>
      <c r="E630" s="6">
        <v>31021495</v>
      </c>
      <c r="G630" s="6">
        <v>0</v>
      </c>
      <c r="I630" s="6">
        <v>0</v>
      </c>
      <c r="K630" s="6">
        <v>105419</v>
      </c>
      <c r="M630" s="6">
        <v>1660563</v>
      </c>
      <c r="O630" s="6">
        <v>0</v>
      </c>
      <c r="Q630" s="7">
        <f t="shared" si="39"/>
        <v>32787477</v>
      </c>
      <c r="S630" s="6">
        <v>604288</v>
      </c>
      <c r="T630" s="6">
        <f>+'St of Net Assets - GA'!M630-'Long Term Liab - GA'!S630</f>
        <v>0</v>
      </c>
    </row>
    <row r="631" spans="1:20">
      <c r="A631" s="11"/>
      <c r="B631" s="11"/>
      <c r="C631" s="11"/>
    </row>
  </sheetData>
  <phoneticPr fontId="3" type="noConversion"/>
  <pageMargins left="0.9" right="0.75" top="0.5" bottom="0.5" header="0.25" footer="0.25"/>
  <pageSetup scale="77" firstPageNumber="210" pageOrder="overThenDown" orientation="portrait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45"/>
  <sheetViews>
    <sheetView view="pageBreakPreview" zoomScaleNormal="100" zoomScaleSheetLayoutView="100" workbookViewId="0">
      <pane xSplit="2" ySplit="9" topLeftCell="C10" activePane="bottomRight" state="frozen"/>
      <selection activeCell="I605" sqref="I605"/>
      <selection pane="topRight" activeCell="I605" sqref="I605"/>
      <selection pane="bottomLeft" activeCell="I605" sqref="I605"/>
      <selection pane="bottomRight" activeCell="C10" sqref="C10"/>
    </sheetView>
  </sheetViews>
  <sheetFormatPr defaultColWidth="9.140625" defaultRowHeight="12"/>
  <cols>
    <col min="1" max="1" width="32" style="8" customWidth="1"/>
    <col min="2" max="2" width="1.7109375" style="8" customWidth="1"/>
    <col min="3" max="3" width="10.140625" style="8" bestFit="1" customWidth="1"/>
    <col min="4" max="4" width="1.7109375" style="8" customWidth="1"/>
    <col min="5" max="5" width="9.28515625" style="6" bestFit="1" customWidth="1"/>
    <col min="6" max="6" width="1.7109375" style="6" customWidth="1"/>
    <col min="7" max="7" width="10.5703125" style="6" bestFit="1" customWidth="1"/>
    <col min="8" max="8" width="1.7109375" style="6" customWidth="1"/>
    <col min="9" max="9" width="9.28515625" style="6" bestFit="1" customWidth="1"/>
    <col min="10" max="10" width="1.7109375" style="6" customWidth="1"/>
    <col min="11" max="11" width="10.140625" style="6" bestFit="1" customWidth="1"/>
    <col min="12" max="12" width="1.7109375" style="6" customWidth="1"/>
    <col min="13" max="13" width="10.140625" style="6" bestFit="1" customWidth="1"/>
    <col min="14" max="14" width="1.7109375" style="6" customWidth="1"/>
    <col min="15" max="15" width="9.28515625" style="6" bestFit="1" customWidth="1"/>
    <col min="16" max="16" width="1.7109375" style="6" customWidth="1"/>
    <col min="17" max="17" width="11.7109375" style="6" customWidth="1"/>
    <col min="18" max="18" width="2.140625" style="6" customWidth="1"/>
    <col min="19" max="19" width="11.7109375" style="6" customWidth="1"/>
    <col min="20" max="20" width="1.7109375" style="6" customWidth="1"/>
    <col min="21" max="21" width="9.5703125" style="6" bestFit="1" customWidth="1"/>
    <col min="22" max="22" width="1.7109375" style="6" customWidth="1"/>
    <col min="23" max="23" width="10.5703125" style="6" bestFit="1" customWidth="1"/>
    <col min="24" max="24" width="1.7109375" style="6" customWidth="1"/>
    <col min="25" max="25" width="10.85546875" style="6" bestFit="1" customWidth="1"/>
    <col min="26" max="26" width="1.7109375" style="43" customWidth="1"/>
    <col min="27" max="27" width="7.5703125" style="6" bestFit="1" customWidth="1"/>
    <col min="28" max="28" width="1.7109375" style="6" customWidth="1"/>
    <col min="29" max="29" width="11.7109375" style="6" customWidth="1"/>
    <col min="30" max="30" width="1.7109375" style="6" customWidth="1"/>
    <col min="31" max="31" width="10.42578125" style="6" customWidth="1"/>
    <col min="32" max="32" width="1.85546875" style="8" customWidth="1"/>
    <col min="33" max="33" width="11.7109375" style="6" customWidth="1"/>
    <col min="34" max="34" width="1.7109375" style="8" customWidth="1"/>
    <col min="35" max="35" width="9.140625" style="8"/>
    <col min="36" max="36" width="11.7109375" style="8" customWidth="1"/>
    <col min="37" max="37" width="9.140625" style="8"/>
    <col min="38" max="38" width="11.7109375" style="8" customWidth="1"/>
    <col min="39" max="16384" width="9.140625" style="8"/>
  </cols>
  <sheetData>
    <row r="1" spans="1:33" ht="12" customHeight="1">
      <c r="A1" s="29" t="s">
        <v>130</v>
      </c>
      <c r="B1" s="29"/>
      <c r="C1" s="29"/>
    </row>
    <row r="2" spans="1:33" ht="12" customHeight="1">
      <c r="A2" s="29" t="s">
        <v>852</v>
      </c>
      <c r="B2" s="29"/>
      <c r="C2" s="29"/>
    </row>
    <row r="3" spans="1:33" ht="12" customHeight="1">
      <c r="A3" s="29"/>
      <c r="AG3" s="14" t="s">
        <v>3</v>
      </c>
    </row>
    <row r="4" spans="1:33" ht="12" customHeight="1">
      <c r="A4" s="29" t="s">
        <v>169</v>
      </c>
      <c r="B4" s="29"/>
      <c r="C4" s="29"/>
      <c r="M4" s="67" t="s">
        <v>838</v>
      </c>
      <c r="N4" s="67"/>
      <c r="O4" s="67"/>
      <c r="Q4" s="67" t="s">
        <v>838</v>
      </c>
      <c r="R4" s="67"/>
      <c r="S4" s="67"/>
      <c r="T4" s="67"/>
      <c r="U4" s="67"/>
      <c r="V4" s="67"/>
      <c r="W4" s="67"/>
      <c r="X4" s="67"/>
      <c r="Y4" s="67"/>
      <c r="AG4" s="14" t="s">
        <v>141</v>
      </c>
    </row>
    <row r="5" spans="1:33" ht="12" customHeight="1">
      <c r="A5" s="29"/>
      <c r="E5" s="16" t="s">
        <v>104</v>
      </c>
      <c r="F5" s="16"/>
      <c r="G5" s="16"/>
      <c r="H5" s="16"/>
      <c r="I5" s="16"/>
      <c r="J5" s="21" t="s">
        <v>129</v>
      </c>
      <c r="K5" s="21"/>
      <c r="M5" s="66" t="s">
        <v>839</v>
      </c>
      <c r="N5" s="66"/>
      <c r="O5" s="66"/>
      <c r="P5" s="9"/>
      <c r="Q5" s="66" t="s">
        <v>840</v>
      </c>
      <c r="R5" s="66"/>
      <c r="S5" s="66"/>
      <c r="T5" s="66"/>
      <c r="U5" s="66"/>
      <c r="V5" s="66"/>
      <c r="W5" s="66"/>
      <c r="X5" s="66"/>
      <c r="Y5" s="66"/>
      <c r="AE5" s="14" t="s">
        <v>3</v>
      </c>
      <c r="AG5" s="54" t="s">
        <v>81</v>
      </c>
    </row>
    <row r="6" spans="1:33" ht="12" customHeight="1">
      <c r="A6" s="45" t="s">
        <v>727</v>
      </c>
      <c r="B6" s="6"/>
      <c r="C6" s="6"/>
      <c r="D6" s="6"/>
      <c r="M6" s="9"/>
      <c r="N6" s="9"/>
      <c r="AA6" s="9"/>
      <c r="AE6" s="14" t="s">
        <v>81</v>
      </c>
      <c r="AG6" s="54" t="s">
        <v>600</v>
      </c>
    </row>
    <row r="7" spans="1:33" ht="12" customHeight="1">
      <c r="A7" s="17"/>
      <c r="G7" s="14" t="s">
        <v>123</v>
      </c>
      <c r="K7" s="14" t="s">
        <v>3</v>
      </c>
      <c r="M7" s="17"/>
      <c r="N7" s="17"/>
      <c r="O7" s="17"/>
      <c r="P7" s="17"/>
      <c r="Q7" s="17" t="s">
        <v>103</v>
      </c>
      <c r="R7" s="17"/>
      <c r="S7" s="17"/>
      <c r="T7" s="17"/>
      <c r="U7" s="17" t="s">
        <v>139</v>
      </c>
      <c r="V7" s="17"/>
      <c r="W7" s="3" t="s">
        <v>109</v>
      </c>
      <c r="X7" s="17"/>
      <c r="Y7" s="17"/>
      <c r="AA7" s="8"/>
      <c r="AB7" s="21"/>
      <c r="AD7" s="21"/>
      <c r="AE7" s="54" t="s">
        <v>9</v>
      </c>
      <c r="AG7" s="14" t="s">
        <v>624</v>
      </c>
    </row>
    <row r="8" spans="1:33" ht="12" customHeight="1">
      <c r="A8" s="3"/>
      <c r="B8" s="3"/>
      <c r="C8" s="3"/>
      <c r="D8" s="3"/>
      <c r="E8" s="14" t="s">
        <v>0</v>
      </c>
      <c r="F8" s="14"/>
      <c r="G8" s="14" t="s">
        <v>109</v>
      </c>
      <c r="H8" s="14"/>
      <c r="I8" s="14" t="s">
        <v>73</v>
      </c>
      <c r="J8" s="14"/>
      <c r="K8" s="14" t="s">
        <v>136</v>
      </c>
      <c r="M8" s="54" t="s">
        <v>105</v>
      </c>
      <c r="N8" s="54"/>
      <c r="O8" s="54" t="s">
        <v>573</v>
      </c>
      <c r="P8" s="54"/>
      <c r="Q8" s="54" t="s">
        <v>137</v>
      </c>
      <c r="R8" s="54"/>
      <c r="S8" s="14" t="s">
        <v>106</v>
      </c>
      <c r="T8" s="14"/>
      <c r="U8" s="54" t="s">
        <v>140</v>
      </c>
      <c r="V8" s="54"/>
      <c r="W8" s="3" t="s">
        <v>177</v>
      </c>
      <c r="X8" s="54"/>
      <c r="Y8" s="14"/>
      <c r="AA8" s="54" t="s">
        <v>162</v>
      </c>
      <c r="AB8" s="14"/>
      <c r="AC8" s="54" t="s">
        <v>861</v>
      </c>
      <c r="AD8" s="14"/>
      <c r="AE8" s="54" t="s">
        <v>575</v>
      </c>
      <c r="AG8" s="54" t="s">
        <v>861</v>
      </c>
    </row>
    <row r="9" spans="1:33" ht="12" customHeight="1">
      <c r="A9" s="39" t="s">
        <v>199</v>
      </c>
      <c r="B9" s="17"/>
      <c r="C9" s="39" t="s">
        <v>4</v>
      </c>
      <c r="D9" s="3"/>
      <c r="E9" s="53" t="s">
        <v>6</v>
      </c>
      <c r="G9" s="53" t="s">
        <v>120</v>
      </c>
      <c r="I9" s="53" t="s">
        <v>107</v>
      </c>
      <c r="J9" s="54"/>
      <c r="K9" s="53" t="s">
        <v>9</v>
      </c>
      <c r="M9" s="53" t="s">
        <v>5</v>
      </c>
      <c r="N9" s="14"/>
      <c r="O9" s="53" t="s">
        <v>5</v>
      </c>
      <c r="P9" s="14"/>
      <c r="Q9" s="53" t="s">
        <v>138</v>
      </c>
      <c r="R9" s="53"/>
      <c r="S9" s="53" t="s">
        <v>108</v>
      </c>
      <c r="T9" s="54"/>
      <c r="U9" s="53" t="s">
        <v>5</v>
      </c>
      <c r="V9" s="54"/>
      <c r="W9" s="4" t="s">
        <v>178</v>
      </c>
      <c r="X9" s="14"/>
      <c r="Y9" s="53" t="s">
        <v>577</v>
      </c>
      <c r="AA9" s="53" t="s">
        <v>592</v>
      </c>
      <c r="AC9" s="53" t="s">
        <v>590</v>
      </c>
      <c r="AE9" s="53" t="s">
        <v>576</v>
      </c>
      <c r="AG9" s="53" t="s">
        <v>590</v>
      </c>
    </row>
    <row r="10" spans="1:33" ht="12" customHeight="1">
      <c r="A10" s="10"/>
      <c r="B10" s="10"/>
      <c r="C10" s="10"/>
      <c r="D10" s="3"/>
      <c r="E10" s="54"/>
      <c r="G10" s="54"/>
      <c r="I10" s="54"/>
      <c r="J10" s="54"/>
      <c r="K10" s="54"/>
      <c r="M10" s="54"/>
      <c r="Q10" s="54"/>
      <c r="R10" s="54"/>
      <c r="S10" s="54"/>
      <c r="T10" s="54"/>
      <c r="U10" s="54"/>
      <c r="V10" s="54"/>
      <c r="W10" s="54"/>
      <c r="Y10" s="54"/>
      <c r="AA10" s="54"/>
      <c r="AE10" s="54"/>
    </row>
    <row r="11" spans="1:33" ht="12" hidden="1" customHeight="1">
      <c r="A11" s="11" t="s">
        <v>862</v>
      </c>
      <c r="B11" s="11"/>
      <c r="C11" s="11" t="s">
        <v>339</v>
      </c>
      <c r="K11" s="6">
        <f t="shared" ref="K11" si="0">SUM(E11:J11)</f>
        <v>0</v>
      </c>
      <c r="Z11" s="44"/>
      <c r="AA11" s="6">
        <v>0</v>
      </c>
      <c r="AC11" s="6">
        <v>0</v>
      </c>
      <c r="AE11" s="6">
        <f t="shared" ref="AE11" si="1">SUM(M11:AC11)</f>
        <v>0</v>
      </c>
      <c r="AF11" s="6"/>
      <c r="AG11" s="6">
        <f t="shared" ref="AG11" si="2">+AE11+K11</f>
        <v>0</v>
      </c>
    </row>
    <row r="12" spans="1:33" s="28" customFormat="1" ht="12" customHeight="1">
      <c r="A12" s="27" t="s">
        <v>788</v>
      </c>
      <c r="B12" s="27"/>
      <c r="C12" s="27" t="s">
        <v>200</v>
      </c>
      <c r="D12" s="55"/>
      <c r="E12" s="28">
        <v>2272232</v>
      </c>
      <c r="G12" s="28">
        <v>11342359</v>
      </c>
      <c r="I12" s="28">
        <v>257793</v>
      </c>
      <c r="K12" s="28">
        <f>SUM(E12:J12)</f>
        <v>13872384</v>
      </c>
      <c r="M12" s="28">
        <f>5709749+122634+2212517+134058</f>
        <v>8178958</v>
      </c>
      <c r="O12" s="28">
        <v>0</v>
      </c>
      <c r="Q12" s="28">
        <v>23824976</v>
      </c>
      <c r="S12" s="28">
        <v>17900</v>
      </c>
      <c r="U12" s="28">
        <v>0</v>
      </c>
      <c r="W12" s="28">
        <v>24589</v>
      </c>
      <c r="Y12" s="28">
        <v>752880</v>
      </c>
      <c r="Z12" s="56"/>
      <c r="AA12" s="28">
        <v>0</v>
      </c>
      <c r="AC12" s="28">
        <v>0</v>
      </c>
      <c r="AE12" s="28">
        <f>SUM(M12:AC12)</f>
        <v>32799303</v>
      </c>
      <c r="AG12" s="28">
        <f>+AE12+K12</f>
        <v>46671687</v>
      </c>
    </row>
    <row r="13" spans="1:33" ht="12" customHeight="1">
      <c r="A13" s="11" t="s">
        <v>587</v>
      </c>
      <c r="B13" s="10"/>
      <c r="C13" s="10" t="s">
        <v>58</v>
      </c>
      <c r="E13" s="6">
        <v>1144508</v>
      </c>
      <c r="G13" s="6">
        <v>1318948</v>
      </c>
      <c r="I13" s="6">
        <v>0</v>
      </c>
      <c r="K13" s="6">
        <f t="shared" ref="K13:K82" si="3">SUM(E13:J13)</f>
        <v>2463456</v>
      </c>
      <c r="M13" s="6">
        <f>1780902+31132+189632</f>
        <v>2001666</v>
      </c>
      <c r="O13" s="6">
        <v>815336</v>
      </c>
      <c r="Q13" s="6">
        <v>6961873</v>
      </c>
      <c r="S13" s="6">
        <v>15367</v>
      </c>
      <c r="U13" s="6" t="s">
        <v>863</v>
      </c>
      <c r="W13" s="6">
        <v>1697</v>
      </c>
      <c r="Y13" s="6">
        <v>48877</v>
      </c>
      <c r="Z13" s="44"/>
      <c r="AA13" s="6">
        <v>0</v>
      </c>
      <c r="AC13" s="6">
        <v>0</v>
      </c>
      <c r="AE13" s="6">
        <f t="shared" ref="AE13:AE82" si="4">SUM(M13:AC13)</f>
        <v>9844816</v>
      </c>
      <c r="AF13" s="6"/>
      <c r="AG13" s="6">
        <f t="shared" ref="AG13:AG83" si="5">+AE13+K13</f>
        <v>12308272</v>
      </c>
    </row>
    <row r="14" spans="1:33" ht="12" customHeight="1">
      <c r="A14" s="10" t="s">
        <v>506</v>
      </c>
      <c r="B14" s="10"/>
      <c r="C14" s="10" t="s">
        <v>63</v>
      </c>
      <c r="E14" s="6">
        <v>11315241</v>
      </c>
      <c r="G14" s="6">
        <v>54253434</v>
      </c>
      <c r="I14" s="6">
        <v>38705763</v>
      </c>
      <c r="K14" s="6">
        <f t="shared" si="3"/>
        <v>104274438</v>
      </c>
      <c r="M14" s="6">
        <f>95356375+3343055</f>
        <v>98699430</v>
      </c>
      <c r="O14" s="6">
        <v>0</v>
      </c>
      <c r="Q14" s="6">
        <v>177731094</v>
      </c>
      <c r="S14" s="6">
        <v>202497</v>
      </c>
      <c r="U14" s="6">
        <v>0</v>
      </c>
      <c r="W14" s="6">
        <v>0</v>
      </c>
      <c r="Y14" s="6">
        <v>2788347</v>
      </c>
      <c r="Z14" s="44"/>
      <c r="AA14" s="6">
        <v>0</v>
      </c>
      <c r="AC14" s="6">
        <v>0</v>
      </c>
      <c r="AE14" s="6">
        <f t="shared" si="4"/>
        <v>279421368</v>
      </c>
      <c r="AF14" s="6"/>
      <c r="AG14" s="6">
        <f t="shared" si="5"/>
        <v>383695806</v>
      </c>
    </row>
    <row r="15" spans="1:33" ht="12" hidden="1" customHeight="1">
      <c r="A15" s="11" t="s">
        <v>617</v>
      </c>
      <c r="B15" s="10"/>
      <c r="C15" s="10" t="s">
        <v>13</v>
      </c>
      <c r="D15" s="5"/>
      <c r="K15" s="6">
        <f t="shared" si="3"/>
        <v>0</v>
      </c>
      <c r="Z15" s="44"/>
      <c r="AA15" s="6">
        <v>0</v>
      </c>
      <c r="AE15" s="6">
        <f t="shared" si="4"/>
        <v>0</v>
      </c>
      <c r="AF15" s="6"/>
      <c r="AG15" s="6">
        <f t="shared" si="5"/>
        <v>0</v>
      </c>
    </row>
    <row r="16" spans="1:33" ht="12" hidden="1" customHeight="1">
      <c r="A16" s="11" t="s">
        <v>864</v>
      </c>
      <c r="B16" s="11"/>
      <c r="C16" s="11" t="s">
        <v>10</v>
      </c>
      <c r="K16" s="6">
        <f t="shared" ref="K16" si="6">SUM(E16:J16)</f>
        <v>0</v>
      </c>
      <c r="Z16" s="44"/>
      <c r="AA16" s="6">
        <v>0</v>
      </c>
      <c r="AC16" s="6">
        <v>0</v>
      </c>
      <c r="AE16" s="6">
        <f t="shared" ref="AE16" si="7">SUM(M16:AC16)</f>
        <v>0</v>
      </c>
      <c r="AF16" s="6"/>
      <c r="AG16" s="6">
        <f t="shared" ref="AG16" si="8">+AE16+K16</f>
        <v>0</v>
      </c>
    </row>
    <row r="17" spans="1:33" ht="12" customHeight="1">
      <c r="A17" s="10" t="s">
        <v>493</v>
      </c>
      <c r="B17" s="10"/>
      <c r="C17" s="10" t="s">
        <v>62</v>
      </c>
      <c r="E17" s="6">
        <v>2063222</v>
      </c>
      <c r="G17" s="6">
        <v>5690565</v>
      </c>
      <c r="I17" s="6">
        <v>2507</v>
      </c>
      <c r="K17" s="6">
        <f t="shared" si="3"/>
        <v>7756294</v>
      </c>
      <c r="M17" s="6">
        <f>5751606+637079+183803+79611</f>
        <v>6652099</v>
      </c>
      <c r="O17" s="6">
        <v>0</v>
      </c>
      <c r="Q17" s="6">
        <v>19561708</v>
      </c>
      <c r="S17" s="6">
        <v>78956</v>
      </c>
      <c r="U17" s="6">
        <v>0</v>
      </c>
      <c r="W17" s="6">
        <v>0</v>
      </c>
      <c r="Y17" s="6">
        <v>82322</v>
      </c>
      <c r="Z17" s="44"/>
      <c r="AA17" s="6">
        <v>0</v>
      </c>
      <c r="AC17" s="6">
        <v>0</v>
      </c>
      <c r="AE17" s="6">
        <f t="shared" si="4"/>
        <v>26375085</v>
      </c>
      <c r="AF17" s="6"/>
      <c r="AG17" s="6">
        <f t="shared" si="5"/>
        <v>34131379</v>
      </c>
    </row>
    <row r="18" spans="1:33" ht="12" customHeight="1">
      <c r="A18" s="10" t="s">
        <v>292</v>
      </c>
      <c r="B18" s="10"/>
      <c r="C18" s="10" t="s">
        <v>25</v>
      </c>
      <c r="E18" s="6">
        <v>1286266</v>
      </c>
      <c r="G18" s="6">
        <v>2256653</v>
      </c>
      <c r="I18" s="6">
        <v>12000</v>
      </c>
      <c r="K18" s="6">
        <f t="shared" si="3"/>
        <v>3554919</v>
      </c>
      <c r="M18" s="6">
        <f>2494670+281284+42066</f>
        <v>2818020</v>
      </c>
      <c r="O18" s="6">
        <v>441231</v>
      </c>
      <c r="Q18" s="6">
        <v>9016092</v>
      </c>
      <c r="S18" s="6">
        <v>13743</v>
      </c>
      <c r="U18" s="6">
        <v>0</v>
      </c>
      <c r="W18" s="6">
        <v>0</v>
      </c>
      <c r="Y18" s="6">
        <v>102295</v>
      </c>
      <c r="Z18" s="44"/>
      <c r="AA18" s="6">
        <v>0</v>
      </c>
      <c r="AC18" s="6">
        <v>0</v>
      </c>
      <c r="AE18" s="6">
        <f t="shared" si="4"/>
        <v>12391381</v>
      </c>
      <c r="AF18" s="6"/>
      <c r="AG18" s="6">
        <f t="shared" si="5"/>
        <v>15946300</v>
      </c>
    </row>
    <row r="19" spans="1:33" s="6" customFormat="1" ht="12" customHeight="1">
      <c r="A19" s="11" t="s">
        <v>749</v>
      </c>
      <c r="B19" s="11"/>
      <c r="C19" s="11" t="s">
        <v>44</v>
      </c>
      <c r="D19" s="54"/>
      <c r="E19" s="6">
        <v>2178505</v>
      </c>
      <c r="G19" s="6">
        <v>2935076</v>
      </c>
      <c r="I19" s="6">
        <v>0</v>
      </c>
      <c r="K19" s="6">
        <f>SUM(E19:J19)</f>
        <v>5113581</v>
      </c>
      <c r="M19" s="6">
        <f>14162853+1836160+548400+43638</f>
        <v>16591051</v>
      </c>
      <c r="O19" s="6">
        <v>0</v>
      </c>
      <c r="Q19" s="6">
        <v>18073374</v>
      </c>
      <c r="S19" s="6">
        <v>14094</v>
      </c>
      <c r="U19" s="6">
        <v>49072</v>
      </c>
      <c r="W19" s="6">
        <v>59869</v>
      </c>
      <c r="Y19" s="6">
        <v>199712</v>
      </c>
      <c r="Z19" s="44"/>
      <c r="AA19" s="6">
        <v>0</v>
      </c>
      <c r="AC19" s="6">
        <v>0</v>
      </c>
      <c r="AE19" s="6">
        <f>SUM(M19:AC19)</f>
        <v>34987172</v>
      </c>
      <c r="AG19" s="6">
        <f>+AE19+K19</f>
        <v>40100753</v>
      </c>
    </row>
    <row r="20" spans="1:33" ht="12" customHeight="1">
      <c r="A20" s="11" t="s">
        <v>804</v>
      </c>
      <c r="B20" s="10"/>
      <c r="C20" s="10" t="s">
        <v>61</v>
      </c>
      <c r="E20" s="6">
        <v>1399120</v>
      </c>
      <c r="G20" s="6">
        <v>456837</v>
      </c>
      <c r="I20" s="6">
        <v>35891</v>
      </c>
      <c r="K20" s="6">
        <f t="shared" si="3"/>
        <v>1891848</v>
      </c>
      <c r="M20" s="6">
        <f>2571391+153157+60423</f>
        <v>2784971</v>
      </c>
      <c r="O20" s="6">
        <v>1757496</v>
      </c>
      <c r="Q20" s="6">
        <v>5624256</v>
      </c>
      <c r="S20" s="6">
        <v>58059</v>
      </c>
      <c r="U20" s="6">
        <v>1750</v>
      </c>
      <c r="W20" s="6">
        <v>5311</v>
      </c>
      <c r="Y20" s="6">
        <f>46314+4515-479</f>
        <v>50350</v>
      </c>
      <c r="Z20" s="44"/>
      <c r="AA20" s="6">
        <v>0</v>
      </c>
      <c r="AC20" s="6">
        <v>0</v>
      </c>
      <c r="AE20" s="6">
        <f t="shared" si="4"/>
        <v>10282193</v>
      </c>
      <c r="AF20" s="6"/>
      <c r="AG20" s="6">
        <f t="shared" si="5"/>
        <v>12174041</v>
      </c>
    </row>
    <row r="21" spans="1:33" ht="12" hidden="1" customHeight="1">
      <c r="A21" s="11" t="s">
        <v>691</v>
      </c>
      <c r="B21" s="11"/>
      <c r="C21" s="11" t="s">
        <v>603</v>
      </c>
      <c r="K21" s="6">
        <f t="shared" si="3"/>
        <v>0</v>
      </c>
      <c r="Z21" s="44"/>
      <c r="AA21" s="6">
        <v>0</v>
      </c>
      <c r="AE21" s="6">
        <f t="shared" si="4"/>
        <v>0</v>
      </c>
      <c r="AF21" s="6"/>
      <c r="AG21" s="6">
        <f t="shared" si="5"/>
        <v>0</v>
      </c>
    </row>
    <row r="22" spans="1:33" ht="12" customHeight="1">
      <c r="A22" s="10" t="s">
        <v>390</v>
      </c>
      <c r="B22" s="10"/>
      <c r="C22" s="10" t="s">
        <v>115</v>
      </c>
      <c r="E22" s="6">
        <v>2170520</v>
      </c>
      <c r="G22" s="6">
        <v>1769681</v>
      </c>
      <c r="I22" s="6">
        <v>0</v>
      </c>
      <c r="K22" s="6">
        <f t="shared" si="3"/>
        <v>3940201</v>
      </c>
      <c r="M22" s="6">
        <f>19518302+1873427+1648767</f>
        <v>23040496</v>
      </c>
      <c r="O22" s="6">
        <v>0</v>
      </c>
      <c r="Q22" s="6">
        <v>11456400</v>
      </c>
      <c r="S22" s="6">
        <v>22445</v>
      </c>
      <c r="U22" s="6">
        <v>726826</v>
      </c>
      <c r="W22" s="6">
        <v>0</v>
      </c>
      <c r="Y22" s="6">
        <v>131594</v>
      </c>
      <c r="Z22" s="44"/>
      <c r="AA22" s="6">
        <v>0</v>
      </c>
      <c r="AC22" s="6">
        <v>0</v>
      </c>
      <c r="AE22" s="6">
        <f t="shared" si="4"/>
        <v>35377761</v>
      </c>
      <c r="AF22" s="6"/>
      <c r="AG22" s="6">
        <f t="shared" si="5"/>
        <v>39317962</v>
      </c>
    </row>
    <row r="23" spans="1:33" ht="12" hidden="1" customHeight="1">
      <c r="A23" s="11" t="s">
        <v>865</v>
      </c>
      <c r="B23" s="11"/>
      <c r="C23" s="11" t="s">
        <v>450</v>
      </c>
      <c r="K23" s="6">
        <f t="shared" ref="K23" si="9">SUM(E23:J23)</f>
        <v>0</v>
      </c>
      <c r="Z23" s="44"/>
      <c r="AA23" s="6">
        <v>0</v>
      </c>
      <c r="AC23" s="6">
        <v>0</v>
      </c>
      <c r="AE23" s="6">
        <f t="shared" ref="AE23" si="10">SUM(M23:AC23)</f>
        <v>0</v>
      </c>
      <c r="AF23" s="6"/>
      <c r="AG23" s="6">
        <f t="shared" ref="AG23" si="11">+AE23+K23</f>
        <v>0</v>
      </c>
    </row>
    <row r="24" spans="1:33" ht="12" customHeight="1">
      <c r="A24" s="10" t="s">
        <v>334</v>
      </c>
      <c r="B24" s="10"/>
      <c r="C24" s="10" t="s">
        <v>33</v>
      </c>
      <c r="E24" s="6">
        <v>1101805</v>
      </c>
      <c r="G24" s="6">
        <v>561360</v>
      </c>
      <c r="I24" s="6">
        <v>0</v>
      </c>
      <c r="K24" s="6">
        <f t="shared" si="3"/>
        <v>1663165</v>
      </c>
      <c r="M24" s="6">
        <v>2200712</v>
      </c>
      <c r="O24" s="6">
        <v>768322</v>
      </c>
      <c r="Q24" s="6">
        <v>1989209</v>
      </c>
      <c r="S24" s="6">
        <v>9810</v>
      </c>
      <c r="U24" s="6">
        <v>0</v>
      </c>
      <c r="W24" s="6">
        <v>13683</v>
      </c>
      <c r="Y24" s="6">
        <v>31144</v>
      </c>
      <c r="Z24" s="44"/>
      <c r="AA24" s="6">
        <v>0</v>
      </c>
      <c r="AC24" s="6">
        <v>0</v>
      </c>
      <c r="AE24" s="6">
        <f t="shared" si="4"/>
        <v>5012880</v>
      </c>
      <c r="AF24" s="6"/>
      <c r="AG24" s="6">
        <f t="shared" si="5"/>
        <v>6676045</v>
      </c>
    </row>
    <row r="25" spans="1:33" ht="12" hidden="1" customHeight="1">
      <c r="A25" s="11" t="s">
        <v>670</v>
      </c>
      <c r="B25" s="10"/>
      <c r="C25" s="10" t="s">
        <v>21</v>
      </c>
      <c r="K25" s="6">
        <f t="shared" si="3"/>
        <v>0</v>
      </c>
      <c r="Z25" s="44"/>
      <c r="AA25" s="6">
        <v>0</v>
      </c>
      <c r="AE25" s="6">
        <f t="shared" si="4"/>
        <v>0</v>
      </c>
      <c r="AF25" s="6"/>
      <c r="AG25" s="6">
        <f t="shared" si="5"/>
        <v>0</v>
      </c>
    </row>
    <row r="26" spans="1:33" ht="12" customHeight="1">
      <c r="A26" s="11" t="s">
        <v>866</v>
      </c>
      <c r="B26" s="10"/>
      <c r="C26" s="10" t="s">
        <v>28</v>
      </c>
      <c r="E26" s="6">
        <v>818523</v>
      </c>
      <c r="G26" s="6">
        <v>714471</v>
      </c>
      <c r="I26" s="6">
        <v>732938</v>
      </c>
      <c r="K26" s="6">
        <f t="shared" si="3"/>
        <v>2265932</v>
      </c>
      <c r="M26" s="6">
        <f>5444568+337905+513797</f>
        <v>6296270</v>
      </c>
      <c r="O26" s="6">
        <v>0</v>
      </c>
      <c r="Q26" s="6">
        <v>5889952</v>
      </c>
      <c r="S26" s="6">
        <v>35973</v>
      </c>
      <c r="U26" s="6">
        <v>0</v>
      </c>
      <c r="W26" s="6">
        <v>3000</v>
      </c>
      <c r="Y26" s="6">
        <f>175341+75</f>
        <v>175416</v>
      </c>
      <c r="Z26" s="44"/>
      <c r="AA26" s="6">
        <v>0</v>
      </c>
      <c r="AC26" s="6">
        <v>0</v>
      </c>
      <c r="AE26" s="6">
        <f t="shared" si="4"/>
        <v>12400611</v>
      </c>
      <c r="AF26" s="6"/>
      <c r="AG26" s="6">
        <f t="shared" si="5"/>
        <v>14666543</v>
      </c>
    </row>
    <row r="27" spans="1:33" ht="12" customHeight="1">
      <c r="A27" s="10" t="s">
        <v>335</v>
      </c>
      <c r="B27" s="10"/>
      <c r="C27" s="10" t="s">
        <v>33</v>
      </c>
      <c r="E27" s="6">
        <v>537685</v>
      </c>
      <c r="G27" s="6">
        <v>827444</v>
      </c>
      <c r="I27" s="6">
        <v>7322</v>
      </c>
      <c r="K27" s="6">
        <f t="shared" si="3"/>
        <v>1372451</v>
      </c>
      <c r="M27" s="6">
        <f>1361870+96391+1010406</f>
        <v>2468667</v>
      </c>
      <c r="O27" s="6">
        <v>0</v>
      </c>
      <c r="Q27" s="6">
        <v>2799005</v>
      </c>
      <c r="S27" s="6">
        <v>5799</v>
      </c>
      <c r="U27" s="6">
        <v>0</v>
      </c>
      <c r="W27" s="6">
        <v>1710</v>
      </c>
      <c r="Y27" s="6">
        <v>47335</v>
      </c>
      <c r="Z27" s="44"/>
      <c r="AA27" s="6">
        <v>0</v>
      </c>
      <c r="AC27" s="6">
        <v>0</v>
      </c>
      <c r="AE27" s="6">
        <f t="shared" si="4"/>
        <v>5322516</v>
      </c>
      <c r="AF27" s="6"/>
      <c r="AG27" s="6">
        <f t="shared" si="5"/>
        <v>6694967</v>
      </c>
    </row>
    <row r="28" spans="1:33" ht="12" customHeight="1">
      <c r="A28" s="10" t="s">
        <v>203</v>
      </c>
      <c r="B28" s="10"/>
      <c r="C28" s="10" t="s">
        <v>11</v>
      </c>
      <c r="D28" s="5"/>
      <c r="E28" s="6">
        <v>1839482</v>
      </c>
      <c r="G28" s="6">
        <v>3831457</v>
      </c>
      <c r="I28" s="6">
        <v>0</v>
      </c>
      <c r="K28" s="6">
        <f t="shared" si="3"/>
        <v>5670939</v>
      </c>
      <c r="M28" s="6">
        <f>12862975+380533</f>
        <v>13243508</v>
      </c>
      <c r="O28" s="6">
        <v>0</v>
      </c>
      <c r="Q28" s="6">
        <v>14278319</v>
      </c>
      <c r="S28" s="6">
        <v>129513</v>
      </c>
      <c r="U28" s="6">
        <v>219287</v>
      </c>
      <c r="W28" s="6">
        <v>0</v>
      </c>
      <c r="Y28" s="6">
        <v>137688</v>
      </c>
      <c r="Z28" s="44"/>
      <c r="AA28" s="6">
        <v>0</v>
      </c>
      <c r="AC28" s="6">
        <v>0</v>
      </c>
      <c r="AE28" s="6">
        <f t="shared" si="4"/>
        <v>28008315</v>
      </c>
      <c r="AF28" s="6"/>
      <c r="AG28" s="6">
        <f t="shared" si="5"/>
        <v>33679254</v>
      </c>
    </row>
    <row r="29" spans="1:33" ht="12" customHeight="1">
      <c r="A29" s="11" t="s">
        <v>669</v>
      </c>
      <c r="B29" s="11"/>
      <c r="C29" s="11" t="s">
        <v>12</v>
      </c>
      <c r="D29" s="5"/>
      <c r="E29" s="6">
        <v>959952</v>
      </c>
      <c r="G29" s="6">
        <v>4584680</v>
      </c>
      <c r="I29" s="6">
        <v>0</v>
      </c>
      <c r="K29" s="6">
        <f t="shared" si="3"/>
        <v>5544632</v>
      </c>
      <c r="M29" s="6">
        <f>9469115+2835869+1269601+152938</f>
        <v>13727523</v>
      </c>
      <c r="O29" s="6">
        <v>0</v>
      </c>
      <c r="Q29" s="6">
        <f>26798814+10858101</f>
        <v>37656915</v>
      </c>
      <c r="S29" s="6">
        <v>11141</v>
      </c>
      <c r="U29" s="6">
        <v>0</v>
      </c>
      <c r="W29" s="6">
        <v>0</v>
      </c>
      <c r="Y29" s="6">
        <f>309688+4299</f>
        <v>313987</v>
      </c>
      <c r="Z29" s="44"/>
      <c r="AA29" s="6">
        <v>0</v>
      </c>
      <c r="AC29" s="6">
        <v>0</v>
      </c>
      <c r="AE29" s="6">
        <f t="shared" si="4"/>
        <v>51709566</v>
      </c>
      <c r="AF29" s="6"/>
      <c r="AG29" s="6">
        <f t="shared" si="5"/>
        <v>57254198</v>
      </c>
    </row>
    <row r="30" spans="1:33" ht="12" customHeight="1">
      <c r="A30" s="10" t="s">
        <v>210</v>
      </c>
      <c r="B30" s="10"/>
      <c r="C30" s="10" t="s">
        <v>13</v>
      </c>
      <c r="D30" s="5"/>
      <c r="E30" s="6">
        <v>2820653</v>
      </c>
      <c r="G30" s="6">
        <v>3698469</v>
      </c>
      <c r="I30" s="6">
        <v>0</v>
      </c>
      <c r="K30" s="6">
        <f t="shared" si="3"/>
        <v>6519122</v>
      </c>
      <c r="M30" s="6">
        <f>13064362+1243495+1258171</f>
        <v>15566028</v>
      </c>
      <c r="O30" s="6">
        <v>3463108</v>
      </c>
      <c r="Q30" s="6">
        <v>9256584</v>
      </c>
      <c r="S30" s="6">
        <v>81616</v>
      </c>
      <c r="U30" s="6">
        <v>215968</v>
      </c>
      <c r="W30" s="6">
        <v>0</v>
      </c>
      <c r="Y30" s="6">
        <v>96522</v>
      </c>
      <c r="Z30" s="44"/>
      <c r="AA30" s="6">
        <v>0</v>
      </c>
      <c r="AC30" s="6">
        <v>611436</v>
      </c>
      <c r="AE30" s="6">
        <f t="shared" si="4"/>
        <v>29291262</v>
      </c>
      <c r="AF30" s="6"/>
      <c r="AG30" s="6">
        <f t="shared" si="5"/>
        <v>35810384</v>
      </c>
    </row>
    <row r="31" spans="1:33" ht="12" customHeight="1">
      <c r="A31" s="10" t="s">
        <v>459</v>
      </c>
      <c r="B31" s="10"/>
      <c r="C31" s="10" t="s">
        <v>56</v>
      </c>
      <c r="E31" s="6">
        <v>1561656</v>
      </c>
      <c r="G31" s="6">
        <v>1465594</v>
      </c>
      <c r="I31" s="6">
        <v>0</v>
      </c>
      <c r="K31" s="6">
        <f t="shared" si="3"/>
        <v>3027250</v>
      </c>
      <c r="M31" s="6">
        <f>20492598+2040367+625590</f>
        <v>23158555</v>
      </c>
      <c r="O31" s="6">
        <v>0</v>
      </c>
      <c r="Q31" s="6">
        <v>8390907</v>
      </c>
      <c r="S31" s="6">
        <v>9328</v>
      </c>
      <c r="U31" s="6">
        <v>0</v>
      </c>
      <c r="W31" s="6">
        <v>0</v>
      </c>
      <c r="Y31" s="6">
        <v>48565</v>
      </c>
      <c r="Z31" s="44"/>
      <c r="AA31" s="6">
        <v>0</v>
      </c>
      <c r="AC31" s="6">
        <v>0</v>
      </c>
      <c r="AE31" s="6">
        <f t="shared" si="4"/>
        <v>31607355</v>
      </c>
      <c r="AF31" s="6"/>
      <c r="AG31" s="6">
        <f t="shared" si="5"/>
        <v>34634605</v>
      </c>
    </row>
    <row r="32" spans="1:33" ht="12" customHeight="1">
      <c r="A32" s="10" t="s">
        <v>401</v>
      </c>
      <c r="B32" s="10"/>
      <c r="C32" s="10" t="s">
        <v>45</v>
      </c>
      <c r="E32" s="6">
        <v>4629076</v>
      </c>
      <c r="G32" s="6">
        <v>5891844</v>
      </c>
      <c r="I32" s="6">
        <v>92776</v>
      </c>
      <c r="K32" s="6">
        <f t="shared" si="3"/>
        <v>10613696</v>
      </c>
      <c r="M32" s="6">
        <f>15764653+2780185+249048</f>
        <v>18793886</v>
      </c>
      <c r="O32" s="6">
        <v>0</v>
      </c>
      <c r="Q32" s="6">
        <v>20556806</v>
      </c>
      <c r="S32" s="6">
        <v>124079</v>
      </c>
      <c r="U32" s="6">
        <v>0</v>
      </c>
      <c r="W32" s="6">
        <v>0</v>
      </c>
      <c r="Y32" s="6">
        <v>18140</v>
      </c>
      <c r="Z32" s="44"/>
      <c r="AA32" s="6">
        <v>-24300</v>
      </c>
      <c r="AC32" s="6">
        <v>0</v>
      </c>
      <c r="AE32" s="6">
        <f t="shared" si="4"/>
        <v>39468611</v>
      </c>
      <c r="AF32" s="6"/>
      <c r="AG32" s="6">
        <f t="shared" si="5"/>
        <v>50082307</v>
      </c>
    </row>
    <row r="33" spans="1:33" ht="12" customHeight="1">
      <c r="A33" s="10" t="s">
        <v>380</v>
      </c>
      <c r="B33" s="10"/>
      <c r="C33" s="10" t="s">
        <v>44</v>
      </c>
      <c r="E33" s="6">
        <v>2145200</v>
      </c>
      <c r="G33" s="6">
        <v>1815456</v>
      </c>
      <c r="I33" s="6">
        <v>0</v>
      </c>
      <c r="K33" s="6">
        <f t="shared" si="3"/>
        <v>3960656</v>
      </c>
      <c r="M33" s="6">
        <f>25420556+4058496+571993</f>
        <v>30051045</v>
      </c>
      <c r="O33" s="6">
        <v>0</v>
      </c>
      <c r="Q33" s="6">
        <v>10707023</v>
      </c>
      <c r="S33" s="6">
        <v>94718</v>
      </c>
      <c r="U33" s="6">
        <v>0</v>
      </c>
      <c r="W33" s="6">
        <v>0</v>
      </c>
      <c r="Y33" s="6">
        <v>563411</v>
      </c>
      <c r="Z33" s="44"/>
      <c r="AA33" s="6">
        <v>0</v>
      </c>
      <c r="AC33" s="6">
        <v>0</v>
      </c>
      <c r="AE33" s="6">
        <f t="shared" si="4"/>
        <v>41416197</v>
      </c>
      <c r="AF33" s="6"/>
      <c r="AG33" s="6">
        <f t="shared" si="5"/>
        <v>45376853</v>
      </c>
    </row>
    <row r="34" spans="1:33" ht="12" customHeight="1">
      <c r="A34" s="10" t="s">
        <v>381</v>
      </c>
      <c r="B34" s="10"/>
      <c r="C34" s="10" t="s">
        <v>44</v>
      </c>
      <c r="E34" s="6">
        <v>1650295</v>
      </c>
      <c r="G34" s="6">
        <v>1853196</v>
      </c>
      <c r="I34" s="6">
        <v>224358</v>
      </c>
      <c r="K34" s="6">
        <f t="shared" si="3"/>
        <v>3727849</v>
      </c>
      <c r="M34" s="6">
        <f>23617403+3822102+722813</f>
        <v>28162318</v>
      </c>
      <c r="O34" s="6">
        <v>0</v>
      </c>
      <c r="Q34" s="6">
        <v>7498529</v>
      </c>
      <c r="S34" s="6">
        <v>104101</v>
      </c>
      <c r="U34" s="6">
        <v>0</v>
      </c>
      <c r="W34" s="6">
        <v>0</v>
      </c>
      <c r="Y34" s="6">
        <v>1808398</v>
      </c>
      <c r="Z34" s="44"/>
      <c r="AA34" s="6">
        <v>0</v>
      </c>
      <c r="AC34" s="6">
        <v>0</v>
      </c>
      <c r="AE34" s="6">
        <f t="shared" si="4"/>
        <v>37573346</v>
      </c>
      <c r="AF34" s="6"/>
      <c r="AG34" s="6">
        <f t="shared" si="5"/>
        <v>41301195</v>
      </c>
    </row>
    <row r="35" spans="1:33" ht="12" customHeight="1">
      <c r="A35" s="10" t="s">
        <v>283</v>
      </c>
      <c r="B35" s="10"/>
      <c r="C35" s="10" t="s">
        <v>22</v>
      </c>
      <c r="E35" s="6">
        <v>1794939</v>
      </c>
      <c r="G35" s="6">
        <v>452984</v>
      </c>
      <c r="I35" s="6">
        <v>0</v>
      </c>
      <c r="K35" s="6">
        <f t="shared" si="3"/>
        <v>2247923</v>
      </c>
      <c r="M35" s="6">
        <f>2406535+85245+104288</f>
        <v>2596068</v>
      </c>
      <c r="O35" s="6">
        <v>869361</v>
      </c>
      <c r="Q35" s="6">
        <v>3232191</v>
      </c>
      <c r="S35" s="6">
        <v>2746</v>
      </c>
      <c r="U35" s="6">
        <v>25363</v>
      </c>
      <c r="W35" s="6">
        <v>0</v>
      </c>
      <c r="Y35" s="6">
        <v>1717</v>
      </c>
      <c r="Z35" s="44"/>
      <c r="AA35" s="6">
        <v>0</v>
      </c>
      <c r="AC35" s="6">
        <v>0</v>
      </c>
      <c r="AE35" s="6">
        <f t="shared" si="4"/>
        <v>6727446</v>
      </c>
      <c r="AF35" s="6"/>
      <c r="AG35" s="6">
        <f t="shared" si="5"/>
        <v>8975369</v>
      </c>
    </row>
    <row r="36" spans="1:33" ht="12" customHeight="1">
      <c r="A36" s="10" t="s">
        <v>507</v>
      </c>
      <c r="B36" s="10"/>
      <c r="C36" s="10" t="s">
        <v>63</v>
      </c>
      <c r="E36" s="6">
        <v>3226779</v>
      </c>
      <c r="G36" s="6">
        <v>12294634</v>
      </c>
      <c r="I36" s="6">
        <v>0</v>
      </c>
      <c r="K36" s="6">
        <f t="shared" si="3"/>
        <v>15521413</v>
      </c>
      <c r="M36" s="6">
        <f>9809575+1814983+259393</f>
        <v>11883951</v>
      </c>
      <c r="O36" s="6">
        <v>0</v>
      </c>
      <c r="Q36" s="6">
        <v>22172653</v>
      </c>
      <c r="S36" s="6">
        <v>76334</v>
      </c>
      <c r="U36" s="6">
        <v>0</v>
      </c>
      <c r="W36" s="6">
        <v>0</v>
      </c>
      <c r="Y36" s="6">
        <v>315061</v>
      </c>
      <c r="Z36" s="44"/>
      <c r="AA36" s="6">
        <v>0</v>
      </c>
      <c r="AC36" s="6">
        <v>0</v>
      </c>
      <c r="AE36" s="6">
        <f t="shared" si="4"/>
        <v>34447999</v>
      </c>
      <c r="AF36" s="6"/>
      <c r="AG36" s="6">
        <f t="shared" si="5"/>
        <v>49969412</v>
      </c>
    </row>
    <row r="37" spans="1:33" ht="12" customHeight="1">
      <c r="A37" s="11" t="s">
        <v>750</v>
      </c>
      <c r="B37" s="10"/>
      <c r="C37" s="10" t="s">
        <v>15</v>
      </c>
      <c r="E37" s="6">
        <v>910873</v>
      </c>
      <c r="G37" s="6">
        <v>1667345</v>
      </c>
      <c r="I37" s="6">
        <v>0</v>
      </c>
      <c r="K37" s="6">
        <f t="shared" si="3"/>
        <v>2578218</v>
      </c>
      <c r="M37" s="6">
        <f>3262288+305499+52960</f>
        <v>3620747</v>
      </c>
      <c r="O37" s="6">
        <v>0</v>
      </c>
      <c r="Q37" s="6">
        <v>6246838</v>
      </c>
      <c r="S37" s="6">
        <v>22972</v>
      </c>
      <c r="U37" s="6">
        <v>0</v>
      </c>
      <c r="W37" s="6">
        <v>25702</v>
      </c>
      <c r="Y37" s="6">
        <v>96712</v>
      </c>
      <c r="Z37" s="44"/>
      <c r="AA37" s="6">
        <v>0</v>
      </c>
      <c r="AC37" s="6">
        <v>0</v>
      </c>
      <c r="AE37" s="6">
        <f t="shared" si="4"/>
        <v>10012971</v>
      </c>
      <c r="AF37" s="6"/>
      <c r="AG37" s="6">
        <f t="shared" si="5"/>
        <v>12591189</v>
      </c>
    </row>
    <row r="38" spans="1:33" ht="12" customHeight="1">
      <c r="A38" s="10" t="s">
        <v>237</v>
      </c>
      <c r="B38" s="10"/>
      <c r="C38" s="10" t="s">
        <v>113</v>
      </c>
      <c r="D38" s="5"/>
      <c r="E38" s="6">
        <v>1123538</v>
      </c>
      <c r="G38" s="6">
        <v>1372011</v>
      </c>
      <c r="I38" s="6">
        <v>0</v>
      </c>
      <c r="K38" s="6">
        <f t="shared" si="3"/>
        <v>2495549</v>
      </c>
      <c r="M38" s="6">
        <f>4949417+321176</f>
        <v>5270593</v>
      </c>
      <c r="O38" s="6">
        <v>0</v>
      </c>
      <c r="Q38" s="6">
        <v>9318907</v>
      </c>
      <c r="S38" s="6">
        <v>858</v>
      </c>
      <c r="U38" s="6">
        <v>783700</v>
      </c>
      <c r="W38" s="6">
        <v>0</v>
      </c>
      <c r="Y38" s="6">
        <v>258812</v>
      </c>
      <c r="Z38" s="44"/>
      <c r="AA38" s="6">
        <v>0</v>
      </c>
      <c r="AC38" s="6">
        <v>0</v>
      </c>
      <c r="AE38" s="6">
        <f t="shared" si="4"/>
        <v>15632870</v>
      </c>
      <c r="AF38" s="6"/>
      <c r="AG38" s="6">
        <f t="shared" si="5"/>
        <v>18128419</v>
      </c>
    </row>
    <row r="39" spans="1:33" ht="12" hidden="1" customHeight="1">
      <c r="A39" s="11" t="s">
        <v>671</v>
      </c>
      <c r="B39" s="10"/>
      <c r="C39" s="10" t="s">
        <v>10</v>
      </c>
      <c r="D39" s="5"/>
      <c r="K39" s="6">
        <f t="shared" si="3"/>
        <v>0</v>
      </c>
      <c r="Z39" s="44"/>
      <c r="AA39" s="6">
        <v>0</v>
      </c>
      <c r="AE39" s="6">
        <f t="shared" si="4"/>
        <v>0</v>
      </c>
      <c r="AF39" s="6"/>
      <c r="AG39" s="6">
        <f t="shared" si="5"/>
        <v>0</v>
      </c>
    </row>
    <row r="40" spans="1:33">
      <c r="A40" s="11" t="s">
        <v>634</v>
      </c>
      <c r="B40" s="10"/>
      <c r="C40" s="10" t="s">
        <v>20</v>
      </c>
      <c r="E40" s="6">
        <v>2407850</v>
      </c>
      <c r="G40" s="6">
        <v>1535546</v>
      </c>
      <c r="I40" s="6">
        <v>31713</v>
      </c>
      <c r="K40" s="6">
        <f t="shared" si="3"/>
        <v>3975109</v>
      </c>
      <c r="M40" s="6">
        <f>21240259+1235697</f>
        <v>22475956</v>
      </c>
      <c r="O40" s="6">
        <v>0</v>
      </c>
      <c r="Q40" s="6">
        <v>7619093</v>
      </c>
      <c r="S40" s="6">
        <v>188484</v>
      </c>
      <c r="U40" s="6">
        <v>0</v>
      </c>
      <c r="W40" s="6">
        <v>0</v>
      </c>
      <c r="Y40" s="6">
        <v>215845</v>
      </c>
      <c r="Z40" s="44"/>
      <c r="AA40" s="6">
        <v>0</v>
      </c>
      <c r="AC40" s="6">
        <v>0</v>
      </c>
      <c r="AE40" s="6">
        <f t="shared" si="4"/>
        <v>30499378</v>
      </c>
      <c r="AF40" s="6"/>
      <c r="AG40" s="6">
        <f t="shared" si="5"/>
        <v>34474487</v>
      </c>
    </row>
    <row r="41" spans="1:33" ht="12" customHeight="1">
      <c r="A41" s="10" t="s">
        <v>261</v>
      </c>
      <c r="B41" s="10"/>
      <c r="C41" s="10" t="s">
        <v>20</v>
      </c>
      <c r="E41" s="6">
        <v>3920001</v>
      </c>
      <c r="G41" s="6">
        <v>3190174</v>
      </c>
      <c r="I41" s="6">
        <v>0</v>
      </c>
      <c r="K41" s="6">
        <f t="shared" si="3"/>
        <v>7110175</v>
      </c>
      <c r="M41" s="6">
        <v>28034000</v>
      </c>
      <c r="O41" s="6">
        <v>0</v>
      </c>
      <c r="Q41" s="6">
        <v>6385851</v>
      </c>
      <c r="S41" s="6">
        <v>221860</v>
      </c>
      <c r="U41" s="6">
        <v>0</v>
      </c>
      <c r="W41" s="6">
        <v>0</v>
      </c>
      <c r="Y41" s="6">
        <v>298808</v>
      </c>
      <c r="Z41" s="44"/>
      <c r="AA41" s="6">
        <v>0</v>
      </c>
      <c r="AC41" s="6">
        <v>0</v>
      </c>
      <c r="AE41" s="6">
        <f t="shared" si="4"/>
        <v>34940519</v>
      </c>
      <c r="AF41" s="6"/>
      <c r="AG41" s="6">
        <f>+AE41+K41</f>
        <v>42050694</v>
      </c>
    </row>
    <row r="42" spans="1:33" ht="12" customHeight="1">
      <c r="A42" s="10" t="s">
        <v>246</v>
      </c>
      <c r="B42" s="10"/>
      <c r="C42" s="10" t="s">
        <v>112</v>
      </c>
      <c r="D42" s="5"/>
      <c r="E42" s="6">
        <v>2251111</v>
      </c>
      <c r="G42" s="6">
        <v>1873928</v>
      </c>
      <c r="I42" s="6">
        <v>0</v>
      </c>
      <c r="K42" s="6">
        <f t="shared" si="3"/>
        <v>4125039</v>
      </c>
      <c r="M42" s="6">
        <f>5588371+16484</f>
        <v>5604855</v>
      </c>
      <c r="O42" s="6">
        <v>0</v>
      </c>
      <c r="Q42" s="6">
        <v>10599867</v>
      </c>
      <c r="S42" s="6">
        <v>905</v>
      </c>
      <c r="U42" s="6">
        <v>0</v>
      </c>
      <c r="W42" s="6">
        <v>0</v>
      </c>
      <c r="Y42" s="6">
        <f>11640+2651</f>
        <v>14291</v>
      </c>
      <c r="Z42" s="44"/>
      <c r="AA42" s="6">
        <v>0</v>
      </c>
      <c r="AC42" s="6">
        <v>0</v>
      </c>
      <c r="AE42" s="6">
        <f t="shared" si="4"/>
        <v>16219918</v>
      </c>
      <c r="AF42" s="6"/>
      <c r="AG42" s="6">
        <f>+AE42+K42</f>
        <v>20344957</v>
      </c>
    </row>
    <row r="43" spans="1:33" ht="12" customHeight="1">
      <c r="A43" s="10" t="s">
        <v>317</v>
      </c>
      <c r="B43" s="10"/>
      <c r="C43" s="10" t="s">
        <v>114</v>
      </c>
      <c r="E43" s="6">
        <v>4486416</v>
      </c>
      <c r="G43" s="6">
        <v>6775677</v>
      </c>
      <c r="I43" s="6">
        <v>0</v>
      </c>
      <c r="K43" s="6">
        <f t="shared" si="3"/>
        <v>11262093</v>
      </c>
      <c r="M43" s="6">
        <f>48658339+7171090+2285442</f>
        <v>58114871</v>
      </c>
      <c r="O43" s="6">
        <v>0</v>
      </c>
      <c r="Q43" s="6">
        <v>18938388</v>
      </c>
      <c r="S43" s="6">
        <v>811773</v>
      </c>
      <c r="U43" s="6">
        <v>0</v>
      </c>
      <c r="W43" s="6">
        <v>108698</v>
      </c>
      <c r="Y43" s="6">
        <v>481196</v>
      </c>
      <c r="Z43" s="44"/>
      <c r="AA43" s="6">
        <v>0</v>
      </c>
      <c r="AC43" s="6">
        <v>0</v>
      </c>
      <c r="AE43" s="6">
        <f t="shared" si="4"/>
        <v>78454926</v>
      </c>
      <c r="AF43" s="6"/>
      <c r="AG43" s="6">
        <f t="shared" si="5"/>
        <v>89717019</v>
      </c>
    </row>
    <row r="44" spans="1:33" ht="12" customHeight="1">
      <c r="A44" s="10" t="s">
        <v>262</v>
      </c>
      <c r="B44" s="10"/>
      <c r="C44" s="10" t="s">
        <v>20</v>
      </c>
      <c r="E44" s="6">
        <v>2600639</v>
      </c>
      <c r="G44" s="6">
        <v>4900280</v>
      </c>
      <c r="I44" s="6">
        <v>164911</v>
      </c>
      <c r="K44" s="6">
        <f t="shared" si="3"/>
        <v>7665830</v>
      </c>
      <c r="M44" s="6">
        <f>28614838+415891+443720</f>
        <v>29474449</v>
      </c>
      <c r="O44" s="6">
        <v>0</v>
      </c>
      <c r="Q44" s="6">
        <v>15758170</v>
      </c>
      <c r="S44" s="6">
        <v>11040</v>
      </c>
      <c r="U44" s="6">
        <v>0</v>
      </c>
      <c r="W44" s="6">
        <v>0</v>
      </c>
      <c r="Y44" s="6">
        <v>394204</v>
      </c>
      <c r="Z44" s="44"/>
      <c r="AA44" s="6">
        <v>0</v>
      </c>
      <c r="AC44" s="6">
        <v>0</v>
      </c>
      <c r="AE44" s="6">
        <f t="shared" si="4"/>
        <v>45637863</v>
      </c>
      <c r="AF44" s="6"/>
      <c r="AG44" s="6">
        <f t="shared" si="5"/>
        <v>53303693</v>
      </c>
    </row>
    <row r="45" spans="1:33" ht="12" customHeight="1">
      <c r="A45" s="10" t="s">
        <v>215</v>
      </c>
      <c r="B45" s="10"/>
      <c r="C45" s="10" t="s">
        <v>15</v>
      </c>
      <c r="D45" s="5"/>
      <c r="E45" s="6">
        <v>1307837</v>
      </c>
      <c r="G45" s="6">
        <v>2642023</v>
      </c>
      <c r="I45" s="6">
        <v>0</v>
      </c>
      <c r="K45" s="6">
        <f t="shared" si="3"/>
        <v>3949860</v>
      </c>
      <c r="M45" s="6">
        <f>1953422+188143+325025+39813</f>
        <v>2506403</v>
      </c>
      <c r="O45" s="6">
        <v>0</v>
      </c>
      <c r="Q45" s="6">
        <v>9279118</v>
      </c>
      <c r="S45" s="6">
        <v>22822</v>
      </c>
      <c r="U45" s="6">
        <v>0</v>
      </c>
      <c r="W45" s="6">
        <v>2120</v>
      </c>
      <c r="Y45" s="6">
        <f>88096+1958</f>
        <v>90054</v>
      </c>
      <c r="Z45" s="44"/>
      <c r="AA45" s="6">
        <v>0</v>
      </c>
      <c r="AC45" s="6">
        <v>0</v>
      </c>
      <c r="AE45" s="6">
        <f t="shared" si="4"/>
        <v>11900517</v>
      </c>
      <c r="AF45" s="6"/>
      <c r="AG45" s="6">
        <f t="shared" si="5"/>
        <v>15850377</v>
      </c>
    </row>
    <row r="46" spans="1:33" ht="12" customHeight="1">
      <c r="A46" s="10" t="s">
        <v>735</v>
      </c>
      <c r="B46" s="10"/>
      <c r="C46" s="10" t="s">
        <v>114</v>
      </c>
      <c r="D46" s="5"/>
      <c r="E46" s="6">
        <v>1772640</v>
      </c>
      <c r="G46" s="6">
        <v>1024270</v>
      </c>
      <c r="I46" s="6">
        <v>144573</v>
      </c>
      <c r="K46" s="6">
        <f t="shared" si="3"/>
        <v>2941483</v>
      </c>
      <c r="M46" s="6">
        <f>15174365+2799138+671007</f>
        <v>18644510</v>
      </c>
      <c r="O46" s="6">
        <v>0</v>
      </c>
      <c r="Q46" s="6">
        <v>8295076</v>
      </c>
      <c r="S46" s="6">
        <v>413</v>
      </c>
      <c r="U46" s="6">
        <v>0</v>
      </c>
      <c r="W46" s="6">
        <v>0</v>
      </c>
      <c r="Y46" s="6">
        <v>241539</v>
      </c>
      <c r="Z46" s="44"/>
      <c r="AA46" s="6">
        <v>0</v>
      </c>
      <c r="AC46" s="6">
        <v>0</v>
      </c>
      <c r="AE46" s="6">
        <f t="shared" si="4"/>
        <v>27181538</v>
      </c>
      <c r="AF46" s="6"/>
      <c r="AG46" s="6">
        <f t="shared" si="5"/>
        <v>30123021</v>
      </c>
    </row>
    <row r="47" spans="1:33" ht="12" hidden="1" customHeight="1">
      <c r="A47" s="11" t="s">
        <v>885</v>
      </c>
      <c r="B47" s="11"/>
      <c r="C47" s="11" t="s">
        <v>43</v>
      </c>
      <c r="D47" s="5"/>
      <c r="K47" s="6">
        <f t="shared" ref="K47" si="12">SUM(E47:J47)</f>
        <v>0</v>
      </c>
      <c r="Z47" s="44"/>
      <c r="AA47" s="6">
        <v>0</v>
      </c>
      <c r="AE47" s="6">
        <f t="shared" ref="AE47" si="13">SUM(M47:AC47)</f>
        <v>0</v>
      </c>
      <c r="AF47" s="6"/>
      <c r="AG47" s="6">
        <f t="shared" ref="AG47" si="14">+AE47+K47</f>
        <v>0</v>
      </c>
    </row>
    <row r="48" spans="1:33" ht="12" customHeight="1">
      <c r="A48" s="10" t="s">
        <v>355</v>
      </c>
      <c r="B48" s="10"/>
      <c r="C48" s="10" t="s">
        <v>37</v>
      </c>
      <c r="E48" s="6">
        <v>1154478</v>
      </c>
      <c r="G48" s="6">
        <v>2898050</v>
      </c>
      <c r="I48" s="6">
        <v>0</v>
      </c>
      <c r="K48" s="6">
        <f t="shared" si="3"/>
        <v>4052528</v>
      </c>
      <c r="M48" s="6">
        <f>5797989+127304+987014+268682</f>
        <v>7180989</v>
      </c>
      <c r="O48" s="6">
        <v>1372892</v>
      </c>
      <c r="Q48" s="6">
        <v>9923088</v>
      </c>
      <c r="S48" s="6">
        <v>55301</v>
      </c>
      <c r="U48" s="6">
        <v>0</v>
      </c>
      <c r="W48" s="6">
        <v>0</v>
      </c>
      <c r="Y48" s="6">
        <v>133757</v>
      </c>
      <c r="Z48" s="44"/>
      <c r="AA48" s="6">
        <v>0</v>
      </c>
      <c r="AC48" s="6">
        <v>0</v>
      </c>
      <c r="AE48" s="6">
        <f t="shared" si="4"/>
        <v>18666027</v>
      </c>
      <c r="AF48" s="6"/>
      <c r="AG48" s="6">
        <f t="shared" si="5"/>
        <v>22718555</v>
      </c>
    </row>
    <row r="49" spans="1:33" ht="12" customHeight="1">
      <c r="A49" s="10" t="s">
        <v>547</v>
      </c>
      <c r="B49" s="10"/>
      <c r="C49" s="10" t="s">
        <v>70</v>
      </c>
      <c r="E49" s="6">
        <v>695826</v>
      </c>
      <c r="G49" s="6">
        <v>1564080</v>
      </c>
      <c r="I49" s="6">
        <v>0</v>
      </c>
      <c r="K49" s="6">
        <f t="shared" si="3"/>
        <v>2259906</v>
      </c>
      <c r="M49" s="6">
        <v>3425930</v>
      </c>
      <c r="O49" s="6">
        <v>0</v>
      </c>
      <c r="Q49" s="6">
        <v>5196732</v>
      </c>
      <c r="S49" s="6">
        <v>32036</v>
      </c>
      <c r="U49" s="6">
        <v>0</v>
      </c>
      <c r="W49" s="6">
        <v>0</v>
      </c>
      <c r="Y49" s="6">
        <v>26641</v>
      </c>
      <c r="Z49" s="44"/>
      <c r="AA49" s="6">
        <v>0</v>
      </c>
      <c r="AC49" s="6">
        <v>0</v>
      </c>
      <c r="AE49" s="6">
        <f t="shared" si="4"/>
        <v>8681339</v>
      </c>
      <c r="AF49" s="6"/>
      <c r="AG49" s="6">
        <f t="shared" si="5"/>
        <v>10941245</v>
      </c>
    </row>
    <row r="50" spans="1:33" ht="12" hidden="1" customHeight="1">
      <c r="A50" s="11" t="s">
        <v>886</v>
      </c>
      <c r="B50" s="11"/>
      <c r="C50" s="11" t="s">
        <v>43</v>
      </c>
      <c r="K50" s="6">
        <f t="shared" ref="K50" si="15">SUM(E50:J50)</f>
        <v>0</v>
      </c>
      <c r="Z50" s="44"/>
      <c r="AA50" s="6">
        <v>0</v>
      </c>
      <c r="AC50" s="6">
        <v>0</v>
      </c>
      <c r="AE50" s="6">
        <f t="shared" ref="AE50" si="16">SUM(M50:AC50)</f>
        <v>0</v>
      </c>
      <c r="AF50" s="6"/>
      <c r="AG50" s="6">
        <f t="shared" ref="AG50" si="17">+AE50+K50</f>
        <v>0</v>
      </c>
    </row>
    <row r="51" spans="1:33" ht="12" hidden="1" customHeight="1">
      <c r="A51" s="11" t="s">
        <v>869</v>
      </c>
      <c r="B51" s="10"/>
      <c r="C51" s="10" t="s">
        <v>53</v>
      </c>
      <c r="K51" s="6">
        <f t="shared" si="3"/>
        <v>0</v>
      </c>
      <c r="Z51" s="44"/>
      <c r="AA51" s="6">
        <v>0</v>
      </c>
      <c r="AC51" s="6">
        <v>0</v>
      </c>
      <c r="AE51" s="6">
        <f t="shared" si="4"/>
        <v>0</v>
      </c>
      <c r="AF51" s="6"/>
      <c r="AG51" s="6">
        <f t="shared" si="5"/>
        <v>0</v>
      </c>
    </row>
    <row r="52" spans="1:33" ht="12" customHeight="1">
      <c r="A52" s="10" t="s">
        <v>263</v>
      </c>
      <c r="B52" s="10"/>
      <c r="C52" s="10" t="s">
        <v>20</v>
      </c>
      <c r="E52" s="6">
        <v>5348517</v>
      </c>
      <c r="G52" s="6">
        <v>5467881</v>
      </c>
      <c r="I52" s="6">
        <v>592776</v>
      </c>
      <c r="K52" s="6">
        <f t="shared" si="3"/>
        <v>11409174</v>
      </c>
      <c r="M52" s="6">
        <f>50612454+1033395+1303640</f>
        <v>52949489</v>
      </c>
      <c r="O52" s="6">
        <v>0</v>
      </c>
      <c r="Q52" s="6">
        <v>23706710</v>
      </c>
      <c r="S52" s="6">
        <v>34505</v>
      </c>
      <c r="U52" s="6">
        <v>0</v>
      </c>
      <c r="W52" s="6">
        <v>0</v>
      </c>
      <c r="Y52" s="6">
        <v>954018</v>
      </c>
      <c r="Z52" s="44"/>
      <c r="AA52" s="6">
        <v>0</v>
      </c>
      <c r="AC52" s="6">
        <v>243452</v>
      </c>
      <c r="AE52" s="6">
        <f t="shared" si="4"/>
        <v>77888174</v>
      </c>
      <c r="AF52" s="6"/>
      <c r="AG52" s="6">
        <f t="shared" si="5"/>
        <v>89297348</v>
      </c>
    </row>
    <row r="53" spans="1:33" ht="12" customHeight="1">
      <c r="A53" s="11" t="s">
        <v>639</v>
      </c>
      <c r="B53" s="10"/>
      <c r="C53" s="10" t="s">
        <v>30</v>
      </c>
      <c r="E53" s="6">
        <v>694215</v>
      </c>
      <c r="G53" s="6">
        <v>719791</v>
      </c>
      <c r="I53" s="6">
        <v>0</v>
      </c>
      <c r="K53" s="6">
        <f t="shared" si="3"/>
        <v>1414006</v>
      </c>
      <c r="M53" s="6">
        <f>4131819+217922</f>
        <v>4349741</v>
      </c>
      <c r="O53" s="6">
        <v>1548753</v>
      </c>
      <c r="Q53" s="6">
        <v>4325044</v>
      </c>
      <c r="S53" s="6">
        <v>6285</v>
      </c>
      <c r="U53" s="6">
        <v>0</v>
      </c>
      <c r="W53" s="6">
        <v>0</v>
      </c>
      <c r="Y53" s="6">
        <v>23633</v>
      </c>
      <c r="Z53" s="44"/>
      <c r="AA53" s="6">
        <v>0</v>
      </c>
      <c r="AC53" s="6">
        <v>0</v>
      </c>
      <c r="AE53" s="6">
        <f t="shared" si="4"/>
        <v>10253456</v>
      </c>
      <c r="AF53" s="6"/>
      <c r="AG53" s="6">
        <f t="shared" si="5"/>
        <v>11667462</v>
      </c>
    </row>
    <row r="54" spans="1:33" ht="12" hidden="1" customHeight="1">
      <c r="A54" s="10" t="s">
        <v>285</v>
      </c>
      <c r="B54" s="10"/>
      <c r="C54" s="10" t="s">
        <v>24</v>
      </c>
      <c r="K54" s="6">
        <f t="shared" si="3"/>
        <v>0</v>
      </c>
      <c r="Z54" s="44"/>
      <c r="AA54" s="6">
        <v>0</v>
      </c>
      <c r="AC54" s="6">
        <v>0</v>
      </c>
      <c r="AE54" s="6">
        <f t="shared" si="4"/>
        <v>0</v>
      </c>
      <c r="AF54" s="6"/>
      <c r="AG54" s="6">
        <f t="shared" si="5"/>
        <v>0</v>
      </c>
    </row>
    <row r="55" spans="1:33" ht="12" hidden="1" customHeight="1">
      <c r="A55" s="11" t="s">
        <v>792</v>
      </c>
      <c r="B55" s="10"/>
      <c r="C55" s="10" t="s">
        <v>25</v>
      </c>
      <c r="K55" s="6">
        <f t="shared" si="3"/>
        <v>0</v>
      </c>
      <c r="Z55" s="44"/>
      <c r="AA55" s="6">
        <v>0</v>
      </c>
      <c r="AE55" s="6">
        <f t="shared" si="4"/>
        <v>0</v>
      </c>
      <c r="AF55" s="6"/>
      <c r="AG55" s="6">
        <f t="shared" si="5"/>
        <v>0</v>
      </c>
    </row>
    <row r="56" spans="1:33" ht="12" customHeight="1">
      <c r="A56" s="10" t="s">
        <v>423</v>
      </c>
      <c r="B56" s="10"/>
      <c r="C56" s="10" t="s">
        <v>48</v>
      </c>
      <c r="E56" s="6">
        <v>1216075</v>
      </c>
      <c r="G56" s="6">
        <v>482660</v>
      </c>
      <c r="I56" s="6">
        <v>0</v>
      </c>
      <c r="K56" s="6">
        <f t="shared" si="3"/>
        <v>1698735</v>
      </c>
      <c r="M56" s="6">
        <f>3320951+451252+820380</f>
        <v>4592583</v>
      </c>
      <c r="O56" s="6">
        <v>0</v>
      </c>
      <c r="Q56" s="6">
        <v>3252279</v>
      </c>
      <c r="S56" s="6">
        <v>2430</v>
      </c>
      <c r="U56" s="6">
        <v>0</v>
      </c>
      <c r="W56" s="6">
        <v>0</v>
      </c>
      <c r="Y56" s="6">
        <v>100380</v>
      </c>
      <c r="Z56" s="44"/>
      <c r="AA56" s="6">
        <v>0</v>
      </c>
      <c r="AC56" s="6">
        <v>0</v>
      </c>
      <c r="AE56" s="6">
        <f t="shared" si="4"/>
        <v>7947672</v>
      </c>
      <c r="AF56" s="6"/>
      <c r="AG56" s="6">
        <f t="shared" si="5"/>
        <v>9646407</v>
      </c>
    </row>
    <row r="57" spans="1:33" ht="12" customHeight="1">
      <c r="A57" s="10" t="s">
        <v>238</v>
      </c>
      <c r="B57" s="10"/>
      <c r="C57" s="10" t="s">
        <v>113</v>
      </c>
      <c r="D57" s="5"/>
      <c r="E57" s="6">
        <v>1937487</v>
      </c>
      <c r="G57" s="6">
        <v>1938001</v>
      </c>
      <c r="I57" s="6">
        <v>0</v>
      </c>
      <c r="K57" s="6">
        <f t="shared" si="3"/>
        <v>3875488</v>
      </c>
      <c r="M57" s="6">
        <f>2445608+45997+340874</f>
        <v>2832479</v>
      </c>
      <c r="O57" s="6">
        <v>0</v>
      </c>
      <c r="Q57" s="6">
        <v>9744372</v>
      </c>
      <c r="S57" s="6">
        <v>9908</v>
      </c>
      <c r="U57" s="6">
        <v>0</v>
      </c>
      <c r="W57" s="6">
        <v>11581</v>
      </c>
      <c r="Y57" s="6">
        <v>44848</v>
      </c>
      <c r="Z57" s="44"/>
      <c r="AA57" s="6">
        <v>0</v>
      </c>
      <c r="AC57" s="6">
        <v>0</v>
      </c>
      <c r="AE57" s="6">
        <f t="shared" si="4"/>
        <v>12643188</v>
      </c>
      <c r="AF57" s="6"/>
      <c r="AG57" s="6">
        <f t="shared" si="5"/>
        <v>16518676</v>
      </c>
    </row>
    <row r="58" spans="1:33" ht="12" hidden="1" customHeight="1">
      <c r="A58" s="11" t="s">
        <v>672</v>
      </c>
      <c r="B58" s="10"/>
      <c r="C58" s="10" t="s">
        <v>60</v>
      </c>
      <c r="K58" s="6">
        <f>SUM(E58:J58)</f>
        <v>0</v>
      </c>
      <c r="Z58" s="44"/>
      <c r="AA58" s="6">
        <v>0</v>
      </c>
      <c r="AE58" s="6">
        <f>SUM(M58:AC58)</f>
        <v>0</v>
      </c>
      <c r="AF58" s="6"/>
      <c r="AG58" s="6">
        <f>+AE58+K58</f>
        <v>0</v>
      </c>
    </row>
    <row r="59" spans="1:33" ht="12" customHeight="1">
      <c r="A59" s="10" t="s">
        <v>299</v>
      </c>
      <c r="B59" s="10"/>
      <c r="C59" s="10" t="s">
        <v>27</v>
      </c>
      <c r="E59" s="6">
        <v>658542</v>
      </c>
      <c r="G59" s="6">
        <v>1976292</v>
      </c>
      <c r="I59" s="6">
        <v>0</v>
      </c>
      <c r="K59" s="6">
        <f>SUM(E59:J59)</f>
        <v>2634834</v>
      </c>
      <c r="M59" s="6">
        <v>21958207</v>
      </c>
      <c r="O59" s="6">
        <v>5923617</v>
      </c>
      <c r="Q59" s="6">
        <v>6964622</v>
      </c>
      <c r="S59" s="6">
        <v>86060</v>
      </c>
      <c r="U59" s="6">
        <v>0</v>
      </c>
      <c r="W59" s="6">
        <v>0</v>
      </c>
      <c r="Y59" s="6">
        <v>308413</v>
      </c>
      <c r="Z59" s="44"/>
      <c r="AA59" s="6">
        <v>0</v>
      </c>
      <c r="AC59" s="6">
        <v>0</v>
      </c>
      <c r="AE59" s="6">
        <f>SUM(M59:AC59)</f>
        <v>35240919</v>
      </c>
      <c r="AF59" s="6"/>
      <c r="AG59" s="6">
        <f>+AE59+K59</f>
        <v>37875753</v>
      </c>
    </row>
    <row r="60" spans="1:33" ht="12" customHeight="1">
      <c r="A60" s="11" t="s">
        <v>635</v>
      </c>
      <c r="B60" s="10"/>
      <c r="C60" s="10" t="s">
        <v>23</v>
      </c>
      <c r="E60" s="6">
        <v>1411746</v>
      </c>
      <c r="G60" s="6">
        <v>1634702</v>
      </c>
      <c r="I60" s="6">
        <v>0</v>
      </c>
      <c r="K60" s="6">
        <f>SUM(E60:J60)</f>
        <v>3046448</v>
      </c>
      <c r="M60" s="6">
        <f>16571288+2844723</f>
        <v>19416011</v>
      </c>
      <c r="O60" s="6">
        <v>4803177</v>
      </c>
      <c r="Q60" s="6">
        <v>7523619</v>
      </c>
      <c r="S60" s="6">
        <v>41568</v>
      </c>
      <c r="U60" s="6">
        <v>0</v>
      </c>
      <c r="W60" s="6">
        <v>145522</v>
      </c>
      <c r="Y60" s="6">
        <v>378947</v>
      </c>
      <c r="Z60" s="44"/>
      <c r="AA60" s="6">
        <v>0</v>
      </c>
      <c r="AC60" s="6">
        <v>0</v>
      </c>
      <c r="AE60" s="6">
        <f t="shared" si="4"/>
        <v>32308844</v>
      </c>
      <c r="AF60" s="6"/>
      <c r="AG60" s="6">
        <f>+AE60+K60</f>
        <v>35355292</v>
      </c>
    </row>
    <row r="61" spans="1:33" ht="12" customHeight="1">
      <c r="A61" s="10" t="s">
        <v>414</v>
      </c>
      <c r="B61" s="10"/>
      <c r="C61" s="10" t="s">
        <v>47</v>
      </c>
      <c r="E61" s="6">
        <v>922146</v>
      </c>
      <c r="G61" s="6">
        <v>1981734</v>
      </c>
      <c r="I61" s="6">
        <v>0</v>
      </c>
      <c r="K61" s="6">
        <f>SUM(E61:J61)</f>
        <v>2903880</v>
      </c>
      <c r="M61" s="6">
        <f>3845651+413386</f>
        <v>4259037</v>
      </c>
      <c r="O61" s="6">
        <v>0</v>
      </c>
      <c r="Q61" s="6">
        <v>7262607</v>
      </c>
      <c r="S61" s="6">
        <v>13447</v>
      </c>
      <c r="U61" s="6">
        <v>0</v>
      </c>
      <c r="W61" s="6">
        <v>0</v>
      </c>
      <c r="Y61" s="6">
        <f>280212+15054</f>
        <v>295266</v>
      </c>
      <c r="Z61" s="44"/>
      <c r="AA61" s="6">
        <v>0</v>
      </c>
      <c r="AC61" s="6">
        <v>0</v>
      </c>
      <c r="AE61" s="6">
        <f t="shared" si="4"/>
        <v>11830357</v>
      </c>
      <c r="AF61" s="6"/>
      <c r="AG61" s="6">
        <f>+AE61+K61</f>
        <v>14734237</v>
      </c>
    </row>
    <row r="62" spans="1:33" ht="12" customHeight="1">
      <c r="A62" s="10" t="s">
        <v>242</v>
      </c>
      <c r="B62" s="10"/>
      <c r="C62" s="10" t="s">
        <v>18</v>
      </c>
      <c r="D62" s="5"/>
      <c r="E62" s="6">
        <v>1910582</v>
      </c>
      <c r="G62" s="6">
        <v>2831443</v>
      </c>
      <c r="I62" s="6">
        <v>0</v>
      </c>
      <c r="K62" s="6">
        <f t="shared" si="3"/>
        <v>4742025</v>
      </c>
      <c r="M62" s="6">
        <f>2639828+53510+243713+121703</f>
        <v>3058754</v>
      </c>
      <c r="O62" s="6">
        <v>0</v>
      </c>
      <c r="Q62" s="6">
        <v>8421655</v>
      </c>
      <c r="S62" s="6">
        <v>22043</v>
      </c>
      <c r="U62" s="6">
        <v>0</v>
      </c>
      <c r="W62" s="6">
        <v>22447</v>
      </c>
      <c r="Y62" s="6">
        <v>107847</v>
      </c>
      <c r="Z62" s="44"/>
      <c r="AA62" s="6">
        <v>0</v>
      </c>
      <c r="AC62" s="6">
        <v>0</v>
      </c>
      <c r="AE62" s="6">
        <f t="shared" si="4"/>
        <v>11632746</v>
      </c>
      <c r="AF62" s="6"/>
      <c r="AG62" s="6">
        <f t="shared" si="5"/>
        <v>16374771</v>
      </c>
    </row>
    <row r="63" spans="1:33" ht="12" customHeight="1">
      <c r="A63" s="10" t="s">
        <v>293</v>
      </c>
      <c r="B63" s="10"/>
      <c r="C63" s="10" t="s">
        <v>25</v>
      </c>
      <c r="E63" s="6">
        <v>1611052</v>
      </c>
      <c r="G63" s="6">
        <v>888119</v>
      </c>
      <c r="I63" s="6">
        <v>254713</v>
      </c>
      <c r="K63" s="6">
        <f t="shared" si="3"/>
        <v>2753884</v>
      </c>
      <c r="M63" s="6">
        <f>6298234+1488613</f>
        <v>7786847</v>
      </c>
      <c r="O63" s="6">
        <v>3713440</v>
      </c>
      <c r="Q63" s="6">
        <v>4677808</v>
      </c>
      <c r="S63" s="6">
        <v>41098</v>
      </c>
      <c r="U63" s="6">
        <v>0</v>
      </c>
      <c r="W63" s="6">
        <v>0</v>
      </c>
      <c r="Y63" s="6">
        <v>89863</v>
      </c>
      <c r="Z63" s="44"/>
      <c r="AA63" s="6">
        <v>0</v>
      </c>
      <c r="AC63" s="6">
        <v>0</v>
      </c>
      <c r="AE63" s="6">
        <f t="shared" si="4"/>
        <v>16309056</v>
      </c>
      <c r="AF63" s="6"/>
      <c r="AG63" s="6">
        <f t="shared" si="5"/>
        <v>19062940</v>
      </c>
    </row>
    <row r="64" spans="1:33" ht="12" customHeight="1">
      <c r="A64" s="10" t="s">
        <v>518</v>
      </c>
      <c r="B64" s="10"/>
      <c r="C64" s="10" t="s">
        <v>64</v>
      </c>
      <c r="E64" s="6">
        <v>249843</v>
      </c>
      <c r="G64" s="6">
        <v>957607</v>
      </c>
      <c r="I64" s="6">
        <v>0</v>
      </c>
      <c r="K64" s="6">
        <f t="shared" si="3"/>
        <v>1207450</v>
      </c>
      <c r="M64" s="6">
        <f>1147278+31857+96968</f>
        <v>1276103</v>
      </c>
      <c r="O64" s="6">
        <v>0</v>
      </c>
      <c r="Q64" s="6">
        <v>1477878</v>
      </c>
      <c r="S64" s="6">
        <v>441</v>
      </c>
      <c r="U64" s="6">
        <v>0</v>
      </c>
      <c r="W64" s="6">
        <v>0</v>
      </c>
      <c r="Y64" s="6">
        <v>5803</v>
      </c>
      <c r="Z64" s="44"/>
      <c r="AA64" s="6">
        <v>0</v>
      </c>
      <c r="AC64" s="6">
        <v>0</v>
      </c>
      <c r="AE64" s="6">
        <f t="shared" si="4"/>
        <v>2760225</v>
      </c>
      <c r="AF64" s="6"/>
      <c r="AG64" s="6">
        <f t="shared" si="5"/>
        <v>3967675</v>
      </c>
    </row>
    <row r="65" spans="1:33" ht="12" customHeight="1">
      <c r="A65" s="10" t="s">
        <v>479</v>
      </c>
      <c r="B65" s="10"/>
      <c r="C65" s="10" t="s">
        <v>59</v>
      </c>
      <c r="E65" s="6">
        <v>1168685</v>
      </c>
      <c r="G65" s="6">
        <v>1800088</v>
      </c>
      <c r="I65" s="6">
        <v>0</v>
      </c>
      <c r="K65" s="6">
        <f>SUM(E65:J65)</f>
        <v>2968773</v>
      </c>
      <c r="M65" s="6">
        <f>1140728+56690+56690+21675</f>
        <v>1275783</v>
      </c>
      <c r="O65" s="6">
        <v>0</v>
      </c>
      <c r="Q65" s="6">
        <v>5831633</v>
      </c>
      <c r="S65" s="6">
        <v>5736</v>
      </c>
      <c r="U65" s="6">
        <v>0</v>
      </c>
      <c r="W65" s="6">
        <v>0</v>
      </c>
      <c r="Y65" s="6">
        <v>224537</v>
      </c>
      <c r="Z65" s="44"/>
      <c r="AA65" s="6">
        <v>0</v>
      </c>
      <c r="AC65" s="6">
        <v>0</v>
      </c>
      <c r="AE65" s="6">
        <f>SUM(M65:AC65)</f>
        <v>7337689</v>
      </c>
      <c r="AF65" s="6"/>
      <c r="AG65" s="6">
        <f>+AE65+K65</f>
        <v>10306462</v>
      </c>
    </row>
    <row r="66" spans="1:33" ht="12" hidden="1" customHeight="1">
      <c r="A66" s="11" t="s">
        <v>887</v>
      </c>
      <c r="B66" s="11"/>
      <c r="C66" s="11" t="s">
        <v>10</v>
      </c>
      <c r="K66" s="6">
        <f t="shared" si="3"/>
        <v>0</v>
      </c>
      <c r="Z66" s="44"/>
      <c r="AA66" s="6">
        <v>0</v>
      </c>
      <c r="AE66" s="6">
        <f t="shared" si="4"/>
        <v>0</v>
      </c>
      <c r="AF66" s="6"/>
      <c r="AG66" s="6">
        <f t="shared" si="5"/>
        <v>0</v>
      </c>
    </row>
    <row r="67" spans="1:33" ht="12" customHeight="1">
      <c r="A67" s="10" t="s">
        <v>402</v>
      </c>
      <c r="B67" s="10"/>
      <c r="C67" s="10" t="s">
        <v>45</v>
      </c>
      <c r="E67" s="6">
        <v>1877239</v>
      </c>
      <c r="G67" s="6">
        <v>4122184</v>
      </c>
      <c r="I67" s="6">
        <v>0</v>
      </c>
      <c r="K67" s="6">
        <f t="shared" si="3"/>
        <v>5999423</v>
      </c>
      <c r="M67" s="6">
        <f>26585126+772344</f>
        <v>27357470</v>
      </c>
      <c r="O67" s="6">
        <v>0</v>
      </c>
      <c r="Q67" s="6">
        <v>14093889</v>
      </c>
      <c r="S67" s="6">
        <v>32689</v>
      </c>
      <c r="U67" s="6">
        <v>0</v>
      </c>
      <c r="W67" s="6">
        <v>0</v>
      </c>
      <c r="Y67" s="6">
        <v>322770</v>
      </c>
      <c r="Z67" s="44"/>
      <c r="AA67" s="6">
        <v>0</v>
      </c>
      <c r="AC67" s="6">
        <v>0</v>
      </c>
      <c r="AE67" s="6">
        <f t="shared" si="4"/>
        <v>41806818</v>
      </c>
      <c r="AF67" s="6"/>
      <c r="AG67" s="6">
        <f t="shared" si="5"/>
        <v>47806241</v>
      </c>
    </row>
    <row r="68" spans="1:33" ht="12" customHeight="1">
      <c r="A68" s="10" t="s">
        <v>489</v>
      </c>
      <c r="B68" s="10"/>
      <c r="C68" s="10" t="s">
        <v>61</v>
      </c>
      <c r="E68" s="6">
        <v>1403317</v>
      </c>
      <c r="G68" s="6">
        <v>374245</v>
      </c>
      <c r="I68" s="6">
        <v>0</v>
      </c>
      <c r="K68" s="6">
        <f t="shared" si="3"/>
        <v>1777562</v>
      </c>
      <c r="M68" s="6">
        <f>875343+241778+20309+82684</f>
        <v>1220114</v>
      </c>
      <c r="O68" s="6">
        <v>581195</v>
      </c>
      <c r="Q68" s="6">
        <v>2429683</v>
      </c>
      <c r="S68" s="6">
        <v>8066</v>
      </c>
      <c r="U68" s="6">
        <v>0</v>
      </c>
      <c r="W68" s="6">
        <v>3540</v>
      </c>
      <c r="Y68" s="6">
        <f>12871+17503917</f>
        <v>17516788</v>
      </c>
      <c r="Z68" s="44"/>
      <c r="AA68" s="6">
        <v>0</v>
      </c>
      <c r="AC68" s="6">
        <v>0</v>
      </c>
      <c r="AE68" s="6">
        <f t="shared" si="4"/>
        <v>21759386</v>
      </c>
      <c r="AF68" s="6"/>
      <c r="AG68" s="6">
        <f t="shared" si="5"/>
        <v>23536948</v>
      </c>
    </row>
    <row r="69" spans="1:33" ht="12" customHeight="1">
      <c r="A69" s="10" t="s">
        <v>554</v>
      </c>
      <c r="B69" s="10"/>
      <c r="C69" s="10" t="s">
        <v>72</v>
      </c>
      <c r="E69" s="6">
        <v>782822</v>
      </c>
      <c r="G69" s="6">
        <v>2422744</v>
      </c>
      <c r="I69" s="6">
        <v>0</v>
      </c>
      <c r="K69" s="6">
        <f t="shared" si="3"/>
        <v>3205566</v>
      </c>
      <c r="M69" s="6">
        <f>13819024+1033566+403767</f>
        <v>15256357</v>
      </c>
      <c r="O69" s="6">
        <v>2838873</v>
      </c>
      <c r="Q69" s="6">
        <v>10351706</v>
      </c>
      <c r="S69" s="6">
        <v>55374</v>
      </c>
      <c r="U69" s="6">
        <v>25865</v>
      </c>
      <c r="W69" s="6">
        <v>0</v>
      </c>
      <c r="Y69" s="6">
        <v>272035</v>
      </c>
      <c r="Z69" s="44"/>
      <c r="AA69" s="6">
        <v>0</v>
      </c>
      <c r="AC69" s="6">
        <v>0</v>
      </c>
      <c r="AE69" s="6">
        <f t="shared" si="4"/>
        <v>28800210</v>
      </c>
      <c r="AF69" s="6"/>
      <c r="AG69" s="6">
        <f t="shared" si="5"/>
        <v>32005776</v>
      </c>
    </row>
    <row r="70" spans="1:33" ht="12" hidden="1" customHeight="1">
      <c r="A70" s="11" t="s">
        <v>888</v>
      </c>
      <c r="B70" s="11"/>
      <c r="C70" s="11" t="s">
        <v>48</v>
      </c>
      <c r="K70" s="6">
        <f>SUM(E70:J70)</f>
        <v>0</v>
      </c>
      <c r="Z70" s="44"/>
      <c r="AA70" s="6">
        <v>0</v>
      </c>
      <c r="AE70" s="6">
        <f>SUM(M70:AC70)</f>
        <v>0</v>
      </c>
      <c r="AF70" s="6"/>
      <c r="AG70" s="6">
        <f>+AE70+K70</f>
        <v>0</v>
      </c>
    </row>
    <row r="71" spans="1:33" ht="12" customHeight="1">
      <c r="A71" s="11" t="s">
        <v>785</v>
      </c>
      <c r="B71" s="10"/>
      <c r="C71" s="10" t="s">
        <v>20</v>
      </c>
      <c r="E71" s="6">
        <v>3704894</v>
      </c>
      <c r="G71" s="6">
        <v>2346360</v>
      </c>
      <c r="I71" s="6">
        <v>287042</v>
      </c>
      <c r="K71" s="6">
        <f t="shared" si="3"/>
        <v>6338296</v>
      </c>
      <c r="M71" s="6">
        <f>32863211+2493064+1555035</f>
        <v>36911310</v>
      </c>
      <c r="O71" s="6">
        <v>0</v>
      </c>
      <c r="Q71" s="6">
        <v>12061388</v>
      </c>
      <c r="S71" s="6">
        <v>56709</v>
      </c>
      <c r="U71" s="6">
        <v>376359</v>
      </c>
      <c r="W71" s="6">
        <v>145107</v>
      </c>
      <c r="Y71" s="6">
        <v>293244</v>
      </c>
      <c r="Z71" s="44"/>
      <c r="AA71" s="6">
        <v>0</v>
      </c>
      <c r="AC71" s="6">
        <v>0</v>
      </c>
      <c r="AE71" s="6">
        <f t="shared" si="4"/>
        <v>49844117</v>
      </c>
      <c r="AF71" s="6"/>
      <c r="AG71" s="6">
        <f t="shared" si="5"/>
        <v>56182413</v>
      </c>
    </row>
    <row r="72" spans="1:33" ht="12" customHeight="1">
      <c r="A72" s="10" t="s">
        <v>751</v>
      </c>
      <c r="B72" s="10"/>
      <c r="C72" s="10" t="s">
        <v>15</v>
      </c>
      <c r="D72" s="5"/>
      <c r="E72" s="6">
        <v>746224</v>
      </c>
      <c r="G72" s="6">
        <v>1636802</v>
      </c>
      <c r="I72" s="6">
        <v>0</v>
      </c>
      <c r="K72" s="6">
        <f t="shared" si="3"/>
        <v>2383026</v>
      </c>
      <c r="M72" s="6">
        <f>1542847+28000+293970+50103</f>
        <v>1914920</v>
      </c>
      <c r="O72" s="6">
        <v>0</v>
      </c>
      <c r="Q72" s="6">
        <v>4175191</v>
      </c>
      <c r="S72" s="6">
        <v>1570</v>
      </c>
      <c r="U72" s="6">
        <v>0</v>
      </c>
      <c r="W72" s="6">
        <v>0</v>
      </c>
      <c r="Y72" s="6">
        <f>69914+21690</f>
        <v>91604</v>
      </c>
      <c r="Z72" s="44"/>
      <c r="AA72" s="6">
        <v>0</v>
      </c>
      <c r="AC72" s="6">
        <v>0</v>
      </c>
      <c r="AE72" s="6">
        <f t="shared" si="4"/>
        <v>6183285</v>
      </c>
      <c r="AF72" s="6"/>
      <c r="AG72" s="6">
        <f t="shared" si="5"/>
        <v>8566311</v>
      </c>
    </row>
    <row r="73" spans="1:33" ht="12" hidden="1" customHeight="1">
      <c r="A73" s="11" t="s">
        <v>793</v>
      </c>
      <c r="B73" s="10"/>
      <c r="C73" s="10" t="s">
        <v>348</v>
      </c>
      <c r="K73" s="6">
        <f t="shared" si="3"/>
        <v>0</v>
      </c>
      <c r="Z73" s="44"/>
      <c r="AA73" s="6">
        <v>0</v>
      </c>
      <c r="AE73" s="6">
        <f t="shared" si="4"/>
        <v>0</v>
      </c>
      <c r="AF73" s="6"/>
      <c r="AG73" s="6">
        <f t="shared" si="5"/>
        <v>0</v>
      </c>
    </row>
    <row r="74" spans="1:33" ht="12" customHeight="1">
      <c r="A74" s="10" t="s">
        <v>519</v>
      </c>
      <c r="B74" s="10"/>
      <c r="C74" s="10" t="s">
        <v>64</v>
      </c>
      <c r="E74" s="6">
        <v>542490</v>
      </c>
      <c r="G74" s="6">
        <v>892872</v>
      </c>
      <c r="I74" s="6">
        <v>0</v>
      </c>
      <c r="K74" s="6">
        <f t="shared" si="3"/>
        <v>1435362</v>
      </c>
      <c r="M74" s="6">
        <f>2334486+31631+163525+100274</f>
        <v>2629916</v>
      </c>
      <c r="O74" s="6">
        <v>0</v>
      </c>
      <c r="Q74" s="6">
        <v>3660495</v>
      </c>
      <c r="S74" s="6">
        <v>2885</v>
      </c>
      <c r="U74" s="6">
        <v>0</v>
      </c>
      <c r="W74" s="6">
        <v>0</v>
      </c>
      <c r="Y74" s="6">
        <v>11117</v>
      </c>
      <c r="Z74" s="44"/>
      <c r="AA74" s="6">
        <v>0</v>
      </c>
      <c r="AC74" s="6">
        <v>0</v>
      </c>
      <c r="AE74" s="6">
        <f t="shared" si="4"/>
        <v>6304413</v>
      </c>
      <c r="AF74" s="6"/>
      <c r="AG74" s="6">
        <f t="shared" si="5"/>
        <v>7739775</v>
      </c>
    </row>
    <row r="75" spans="1:33" ht="12" customHeight="1">
      <c r="A75" s="11" t="s">
        <v>673</v>
      </c>
      <c r="B75" s="10"/>
      <c r="C75" s="10" t="s">
        <v>64</v>
      </c>
      <c r="E75" s="6">
        <v>724691</v>
      </c>
      <c r="G75" s="6">
        <v>1533325</v>
      </c>
      <c r="I75" s="6">
        <v>4754</v>
      </c>
      <c r="K75" s="6">
        <f t="shared" si="3"/>
        <v>2262770</v>
      </c>
      <c r="M75" s="6">
        <f>2644804+54679+787821</f>
        <v>3487304</v>
      </c>
      <c r="O75" s="6">
        <v>0</v>
      </c>
      <c r="Q75" s="6">
        <v>5968738</v>
      </c>
      <c r="S75" s="6">
        <v>87648</v>
      </c>
      <c r="U75" s="6">
        <v>0</v>
      </c>
      <c r="W75" s="6">
        <v>0</v>
      </c>
      <c r="Y75" s="6">
        <v>168547</v>
      </c>
      <c r="Z75" s="44"/>
      <c r="AA75" s="6">
        <v>0</v>
      </c>
      <c r="AC75" s="6">
        <v>0</v>
      </c>
      <c r="AE75" s="6">
        <f t="shared" si="4"/>
        <v>9712237</v>
      </c>
      <c r="AF75" s="6"/>
      <c r="AG75" s="6">
        <f t="shared" si="5"/>
        <v>11975007</v>
      </c>
    </row>
    <row r="76" spans="1:33" ht="12" customHeight="1">
      <c r="A76" s="10" t="s">
        <v>264</v>
      </c>
      <c r="B76" s="10"/>
      <c r="C76" s="10" t="s">
        <v>20</v>
      </c>
      <c r="E76" s="6">
        <v>637463</v>
      </c>
      <c r="G76" s="6">
        <v>1286857</v>
      </c>
      <c r="I76" s="6">
        <v>0</v>
      </c>
      <c r="K76" s="6">
        <f t="shared" si="3"/>
        <v>1924320</v>
      </c>
      <c r="M76" s="6">
        <f>10548754+112185</f>
        <v>10660939</v>
      </c>
      <c r="O76" s="6">
        <v>0</v>
      </c>
      <c r="Q76" s="6">
        <v>3988113</v>
      </c>
      <c r="S76" s="6">
        <v>0</v>
      </c>
      <c r="U76" s="6">
        <v>0</v>
      </c>
      <c r="W76" s="6">
        <v>0</v>
      </c>
      <c r="Y76" s="6">
        <v>457345</v>
      </c>
      <c r="Z76" s="44"/>
      <c r="AA76" s="6">
        <v>0</v>
      </c>
      <c r="AC76" s="6">
        <v>0</v>
      </c>
      <c r="AE76" s="6">
        <f t="shared" si="4"/>
        <v>15106397</v>
      </c>
      <c r="AF76" s="6"/>
      <c r="AG76" s="6">
        <f t="shared" si="5"/>
        <v>17030717</v>
      </c>
    </row>
    <row r="77" spans="1:33" ht="12" customHeight="1">
      <c r="A77" s="11" t="s">
        <v>428</v>
      </c>
      <c r="B77" s="10"/>
      <c r="C77" s="10" t="s">
        <v>50</v>
      </c>
      <c r="E77" s="6">
        <v>1097812</v>
      </c>
      <c r="G77" s="6">
        <v>1505782</v>
      </c>
      <c r="I77" s="6">
        <v>10000</v>
      </c>
      <c r="K77" s="6">
        <f t="shared" si="3"/>
        <v>2613594</v>
      </c>
      <c r="M77" s="6">
        <f>5302919+1352919+33956</f>
        <v>6689794</v>
      </c>
      <c r="O77" s="6">
        <v>0</v>
      </c>
      <c r="Q77" s="6">
        <v>5967285</v>
      </c>
      <c r="S77" s="6">
        <v>24547</v>
      </c>
      <c r="U77" s="6">
        <v>65763</v>
      </c>
      <c r="W77" s="6">
        <v>30211</v>
      </c>
      <c r="Y77" s="6">
        <f>193154+45789</f>
        <v>238943</v>
      </c>
      <c r="Z77" s="44"/>
      <c r="AA77" s="6">
        <v>0</v>
      </c>
      <c r="AC77" s="6">
        <v>0</v>
      </c>
      <c r="AE77" s="6">
        <f t="shared" si="4"/>
        <v>13016543</v>
      </c>
      <c r="AF77" s="6"/>
      <c r="AG77" s="6">
        <f t="shared" si="5"/>
        <v>15630137</v>
      </c>
    </row>
    <row r="78" spans="1:33" ht="12" customHeight="1">
      <c r="A78" s="10" t="s">
        <v>227</v>
      </c>
      <c r="B78" s="10"/>
      <c r="C78" s="10" t="s">
        <v>16</v>
      </c>
      <c r="D78" s="5"/>
      <c r="E78" s="6">
        <v>565846</v>
      </c>
      <c r="G78" s="6">
        <v>966474</v>
      </c>
      <c r="I78" s="6">
        <v>0</v>
      </c>
      <c r="K78" s="6">
        <f t="shared" si="3"/>
        <v>1532320</v>
      </c>
      <c r="M78" s="6">
        <f>3376372+54214</f>
        <v>3430586</v>
      </c>
      <c r="O78" s="6">
        <v>0</v>
      </c>
      <c r="Q78" s="6">
        <v>2880999</v>
      </c>
      <c r="S78" s="6">
        <v>36369</v>
      </c>
      <c r="U78" s="6">
        <v>0</v>
      </c>
      <c r="W78" s="6">
        <v>0</v>
      </c>
      <c r="Y78" s="6">
        <v>5397</v>
      </c>
      <c r="Z78" s="44"/>
      <c r="AA78" s="6">
        <v>0</v>
      </c>
      <c r="AC78" s="6">
        <v>0</v>
      </c>
      <c r="AE78" s="6">
        <f t="shared" si="4"/>
        <v>6353351</v>
      </c>
      <c r="AF78" s="6"/>
      <c r="AG78" s="6">
        <f t="shared" si="5"/>
        <v>7885671</v>
      </c>
    </row>
    <row r="79" spans="1:33" ht="12" customHeight="1">
      <c r="A79" s="10" t="s">
        <v>415</v>
      </c>
      <c r="B79" s="10"/>
      <c r="C79" s="10" t="s">
        <v>47</v>
      </c>
      <c r="E79" s="6">
        <v>3200869</v>
      </c>
      <c r="G79" s="6">
        <v>4294679</v>
      </c>
      <c r="I79" s="6">
        <v>859</v>
      </c>
      <c r="K79" s="6">
        <f t="shared" si="3"/>
        <v>7496407</v>
      </c>
      <c r="M79" s="6">
        <f>33639164+1643173+1142147</f>
        <v>36424484</v>
      </c>
      <c r="O79" s="6">
        <v>0</v>
      </c>
      <c r="Q79" s="6">
        <v>29874002</v>
      </c>
      <c r="S79" s="6">
        <v>81640</v>
      </c>
      <c r="U79" s="6">
        <v>0</v>
      </c>
      <c r="W79" s="6">
        <v>0</v>
      </c>
      <c r="Y79" s="6">
        <v>592013</v>
      </c>
      <c r="Z79" s="44"/>
      <c r="AA79" s="6">
        <v>0</v>
      </c>
      <c r="AC79" s="6">
        <v>0</v>
      </c>
      <c r="AE79" s="6">
        <f t="shared" si="4"/>
        <v>66972139</v>
      </c>
      <c r="AF79" s="6"/>
      <c r="AG79" s="6">
        <f t="shared" si="5"/>
        <v>74468546</v>
      </c>
    </row>
    <row r="80" spans="1:33" ht="12" hidden="1" customHeight="1">
      <c r="A80" s="11" t="s">
        <v>674</v>
      </c>
      <c r="B80" s="10"/>
      <c r="C80" s="10" t="s">
        <v>552</v>
      </c>
      <c r="K80" s="6">
        <f t="shared" si="3"/>
        <v>0</v>
      </c>
      <c r="Z80" s="44"/>
      <c r="AA80" s="6">
        <v>0</v>
      </c>
      <c r="AE80" s="6">
        <f t="shared" si="4"/>
        <v>0</v>
      </c>
      <c r="AF80" s="6"/>
      <c r="AG80" s="6">
        <f t="shared" si="5"/>
        <v>0</v>
      </c>
    </row>
    <row r="81" spans="1:33" ht="12" customHeight="1">
      <c r="A81" s="10" t="s">
        <v>256</v>
      </c>
      <c r="B81" s="10"/>
      <c r="C81" s="10" t="s">
        <v>111</v>
      </c>
      <c r="E81" s="6">
        <v>584856</v>
      </c>
      <c r="G81" s="6">
        <v>918561</v>
      </c>
      <c r="I81" s="6">
        <v>0</v>
      </c>
      <c r="K81" s="6">
        <f t="shared" si="3"/>
        <v>1503417</v>
      </c>
      <c r="M81" s="6">
        <f>1446953+505518+31014</f>
        <v>1983485</v>
      </c>
      <c r="O81" s="6">
        <v>1554978</v>
      </c>
      <c r="Q81" s="6">
        <v>4187233</v>
      </c>
      <c r="S81" s="6">
        <v>6080</v>
      </c>
      <c r="U81" s="6">
        <v>0</v>
      </c>
      <c r="W81" s="6">
        <v>0</v>
      </c>
      <c r="Y81" s="6">
        <v>62000</v>
      </c>
      <c r="Z81" s="44"/>
      <c r="AA81" s="6">
        <v>0</v>
      </c>
      <c r="AC81" s="6">
        <v>0</v>
      </c>
      <c r="AE81" s="6">
        <f t="shared" si="4"/>
        <v>7793776</v>
      </c>
      <c r="AF81" s="6"/>
      <c r="AG81" s="6">
        <f t="shared" si="5"/>
        <v>9297193</v>
      </c>
    </row>
    <row r="82" spans="1:33" ht="12" customHeight="1">
      <c r="A82" s="10" t="s">
        <v>206</v>
      </c>
      <c r="B82" s="10"/>
      <c r="C82" s="10" t="s">
        <v>12</v>
      </c>
      <c r="D82" s="5"/>
      <c r="E82" s="6">
        <v>1724018</v>
      </c>
      <c r="G82" s="6">
        <v>1332183</v>
      </c>
      <c r="I82" s="6">
        <v>0</v>
      </c>
      <c r="K82" s="6">
        <f t="shared" si="3"/>
        <v>3056201</v>
      </c>
      <c r="M82" s="6">
        <f>5757479+56272+397277</f>
        <v>6211028</v>
      </c>
      <c r="O82" s="6">
        <v>0</v>
      </c>
      <c r="Q82" s="6">
        <v>9292635</v>
      </c>
      <c r="S82" s="6">
        <v>24887</v>
      </c>
      <c r="U82" s="6">
        <v>0</v>
      </c>
      <c r="W82" s="6">
        <v>0</v>
      </c>
      <c r="Y82" s="6">
        <v>29175</v>
      </c>
      <c r="Z82" s="44"/>
      <c r="AA82" s="6">
        <v>0</v>
      </c>
      <c r="AC82" s="6">
        <v>0</v>
      </c>
      <c r="AE82" s="6">
        <f t="shared" si="4"/>
        <v>15557725</v>
      </c>
      <c r="AF82" s="6"/>
      <c r="AG82" s="6">
        <f t="shared" si="5"/>
        <v>18613926</v>
      </c>
    </row>
    <row r="83" spans="1:33" s="6" customFormat="1" ht="12" customHeight="1">
      <c r="A83" s="11" t="s">
        <v>206</v>
      </c>
      <c r="B83" s="11"/>
      <c r="C83" s="11" t="s">
        <v>39</v>
      </c>
      <c r="E83" s="6">
        <v>599846</v>
      </c>
      <c r="G83" s="6">
        <v>3498768</v>
      </c>
      <c r="I83" s="6">
        <v>0</v>
      </c>
      <c r="K83" s="6">
        <f t="shared" ref="K83:K87" si="18">SUM(E83:J83)</f>
        <v>4098614</v>
      </c>
      <c r="M83" s="6">
        <f>6428106+34569</f>
        <v>6462675</v>
      </c>
      <c r="O83" s="6">
        <v>0</v>
      </c>
      <c r="Q83" s="6">
        <v>10273297</v>
      </c>
      <c r="S83" s="6">
        <v>2445</v>
      </c>
      <c r="U83" s="6">
        <v>0</v>
      </c>
      <c r="W83" s="6">
        <v>44020</v>
      </c>
      <c r="Y83" s="6">
        <f>11348+19670</f>
        <v>31018</v>
      </c>
      <c r="Z83" s="44"/>
      <c r="AA83" s="6">
        <v>0</v>
      </c>
      <c r="AC83" s="6">
        <v>0</v>
      </c>
      <c r="AE83" s="6">
        <f t="shared" ref="AE83:AE87" si="19">SUM(M83:AC83)</f>
        <v>16813455</v>
      </c>
      <c r="AG83" s="6">
        <f t="shared" si="5"/>
        <v>20912069</v>
      </c>
    </row>
    <row r="84" spans="1:33" s="6" customFormat="1" ht="12" customHeight="1">
      <c r="A84" s="11" t="s">
        <v>675</v>
      </c>
      <c r="B84" s="11"/>
      <c r="C84" s="11" t="s">
        <v>47</v>
      </c>
      <c r="E84" s="6">
        <v>1163774</v>
      </c>
      <c r="G84" s="6">
        <v>996729</v>
      </c>
      <c r="I84" s="6">
        <v>0</v>
      </c>
      <c r="K84" s="6">
        <f t="shared" si="18"/>
        <v>2160503</v>
      </c>
      <c r="M84" s="6">
        <f>8177680+1321087+357096</f>
        <v>9855863</v>
      </c>
      <c r="O84" s="6">
        <v>0</v>
      </c>
      <c r="Q84" s="6">
        <v>8925987</v>
      </c>
      <c r="S84" s="6">
        <v>2743</v>
      </c>
      <c r="U84" s="6">
        <v>0</v>
      </c>
      <c r="W84" s="6">
        <v>0</v>
      </c>
      <c r="Y84" s="6">
        <f>859666+18803</f>
        <v>878469</v>
      </c>
      <c r="Z84" s="44"/>
      <c r="AA84" s="6">
        <v>0</v>
      </c>
      <c r="AC84" s="6">
        <v>0</v>
      </c>
      <c r="AE84" s="6">
        <f t="shared" si="19"/>
        <v>19663062</v>
      </c>
      <c r="AG84" s="6">
        <f>+AE84+K84</f>
        <v>21823565</v>
      </c>
    </row>
    <row r="85" spans="1:33" ht="12" hidden="1" customHeight="1">
      <c r="A85" s="42" t="s">
        <v>794</v>
      </c>
      <c r="B85" s="10"/>
      <c r="C85" s="10" t="s">
        <v>112</v>
      </c>
      <c r="K85" s="6">
        <f t="shared" si="18"/>
        <v>0</v>
      </c>
      <c r="Z85" s="44"/>
      <c r="AA85" s="6">
        <v>0</v>
      </c>
      <c r="AE85" s="6">
        <f t="shared" si="19"/>
        <v>0</v>
      </c>
      <c r="AF85" s="6"/>
      <c r="AG85" s="6">
        <f>+AE85+K85</f>
        <v>0</v>
      </c>
    </row>
    <row r="86" spans="1:33" ht="12" customHeight="1">
      <c r="A86" s="11" t="s">
        <v>636</v>
      </c>
      <c r="B86" s="10"/>
      <c r="C86" s="10" t="s">
        <v>23</v>
      </c>
      <c r="E86" s="6">
        <v>2131726</v>
      </c>
      <c r="G86" s="6">
        <v>1408913</v>
      </c>
      <c r="I86" s="6">
        <v>136000</v>
      </c>
      <c r="K86" s="6">
        <f t="shared" si="18"/>
        <v>3676639</v>
      </c>
      <c r="M86" s="6">
        <f>9321478+1909924+677294</f>
        <v>11908696</v>
      </c>
      <c r="O86" s="6">
        <v>5300391</v>
      </c>
      <c r="Q86" s="6">
        <v>6385213</v>
      </c>
      <c r="S86" s="6">
        <v>12777</v>
      </c>
      <c r="U86" s="6">
        <v>0</v>
      </c>
      <c r="W86" s="6">
        <v>0</v>
      </c>
      <c r="Y86" s="6">
        <v>181733</v>
      </c>
      <c r="Z86" s="44"/>
      <c r="AA86" s="6">
        <v>0</v>
      </c>
      <c r="AC86" s="6">
        <v>0</v>
      </c>
      <c r="AE86" s="6">
        <f t="shared" si="19"/>
        <v>23788810</v>
      </c>
      <c r="AF86" s="6"/>
      <c r="AG86" s="6">
        <f>+AE86+K86</f>
        <v>27465449</v>
      </c>
    </row>
    <row r="87" spans="1:33" ht="12" customHeight="1">
      <c r="A87" s="10" t="s">
        <v>257</v>
      </c>
      <c r="B87" s="10"/>
      <c r="C87" s="10" t="s">
        <v>111</v>
      </c>
      <c r="E87" s="6">
        <v>1001977</v>
      </c>
      <c r="G87" s="6">
        <v>3590977</v>
      </c>
      <c r="I87" s="6">
        <v>0</v>
      </c>
      <c r="K87" s="6">
        <f t="shared" si="18"/>
        <v>4592954</v>
      </c>
      <c r="M87" s="6">
        <f>4115731+59899+688338+59899</f>
        <v>4923867</v>
      </c>
      <c r="O87" s="6">
        <v>0</v>
      </c>
      <c r="Q87" s="6">
        <v>8379333</v>
      </c>
      <c r="S87" s="6">
        <v>27656</v>
      </c>
      <c r="U87" s="6">
        <v>45917</v>
      </c>
      <c r="W87" s="6">
        <v>2600</v>
      </c>
      <c r="Y87" s="6">
        <v>121624</v>
      </c>
      <c r="Z87" s="44"/>
      <c r="AA87" s="6">
        <v>0</v>
      </c>
      <c r="AC87" s="6">
        <v>0</v>
      </c>
      <c r="AE87" s="6">
        <f t="shared" si="19"/>
        <v>13500997</v>
      </c>
      <c r="AF87" s="6"/>
      <c r="AG87" s="6">
        <f>+AE87+K87</f>
        <v>18093951</v>
      </c>
    </row>
    <row r="88" spans="1:33" ht="12" customHeight="1">
      <c r="A88" s="11" t="s">
        <v>752</v>
      </c>
      <c r="B88" s="10"/>
      <c r="C88" s="10" t="s">
        <v>52</v>
      </c>
      <c r="E88" s="6">
        <v>630905</v>
      </c>
      <c r="G88" s="6">
        <v>1043190</v>
      </c>
      <c r="I88" s="6">
        <v>0</v>
      </c>
      <c r="K88" s="6">
        <f t="shared" ref="K88:K154" si="20">SUM(E88:J88)</f>
        <v>1674095</v>
      </c>
      <c r="M88" s="6">
        <v>2270274</v>
      </c>
      <c r="O88" s="6">
        <v>0</v>
      </c>
      <c r="Q88" s="6">
        <v>4284613</v>
      </c>
      <c r="S88" s="6">
        <v>39218</v>
      </c>
      <c r="U88" s="6">
        <v>0</v>
      </c>
      <c r="W88" s="6">
        <v>0</v>
      </c>
      <c r="Y88" s="6">
        <v>41774</v>
      </c>
      <c r="Z88" s="44"/>
      <c r="AA88" s="6">
        <v>0</v>
      </c>
      <c r="AC88" s="6">
        <v>0</v>
      </c>
      <c r="AE88" s="6">
        <f t="shared" ref="AE88" si="21">SUM(M88:AC88)</f>
        <v>6635879</v>
      </c>
      <c r="AF88" s="6"/>
      <c r="AG88" s="6">
        <f t="shared" ref="AG88" si="22">+AE88+K88</f>
        <v>8309974</v>
      </c>
    </row>
    <row r="89" spans="1:33" ht="12" customHeight="1">
      <c r="A89" s="10" t="s">
        <v>319</v>
      </c>
      <c r="B89" s="10"/>
      <c r="C89" s="10" t="s">
        <v>31</v>
      </c>
      <c r="E89" s="6">
        <v>1146347</v>
      </c>
      <c r="G89" s="6">
        <v>3822182</v>
      </c>
      <c r="I89" s="6">
        <v>1725</v>
      </c>
      <c r="K89" s="6">
        <f t="shared" si="20"/>
        <v>4970254</v>
      </c>
      <c r="M89" s="6">
        <f>5309825+577010+78049</f>
        <v>5964884</v>
      </c>
      <c r="O89" s="6">
        <v>0</v>
      </c>
      <c r="Q89" s="6">
        <v>13410991</v>
      </c>
      <c r="S89" s="6">
        <v>13935</v>
      </c>
      <c r="U89" s="6">
        <v>0</v>
      </c>
      <c r="W89" s="6">
        <v>0</v>
      </c>
      <c r="Y89" s="6">
        <f>1700+225351</f>
        <v>227051</v>
      </c>
      <c r="Z89" s="44"/>
      <c r="AA89" s="6">
        <v>0</v>
      </c>
      <c r="AC89" s="6">
        <v>0</v>
      </c>
      <c r="AE89" s="6">
        <f t="shared" ref="AE89:AE151" si="23">SUM(M89:AC89)</f>
        <v>19616861</v>
      </c>
      <c r="AF89" s="6"/>
      <c r="AG89" s="6">
        <f t="shared" ref="AG89:AG150" si="24">+AE89+K89</f>
        <v>24587115</v>
      </c>
    </row>
    <row r="90" spans="1:33" ht="12" customHeight="1">
      <c r="A90" s="11" t="s">
        <v>647</v>
      </c>
      <c r="B90" s="10"/>
      <c r="C90" s="10" t="s">
        <v>45</v>
      </c>
      <c r="E90" s="6">
        <v>256649</v>
      </c>
      <c r="G90" s="6">
        <v>1881194</v>
      </c>
      <c r="I90" s="6">
        <v>0</v>
      </c>
      <c r="K90" s="6">
        <f t="shared" si="20"/>
        <v>2137843</v>
      </c>
      <c r="M90" s="6">
        <f>2023122+171674+27060</f>
        <v>2221856</v>
      </c>
      <c r="O90" s="6">
        <v>0</v>
      </c>
      <c r="Q90" s="6">
        <v>10884747</v>
      </c>
      <c r="S90" s="6">
        <v>376</v>
      </c>
      <c r="U90" s="6">
        <v>0</v>
      </c>
      <c r="W90" s="6">
        <v>0</v>
      </c>
      <c r="Y90" s="6">
        <v>86550</v>
      </c>
      <c r="Z90" s="44"/>
      <c r="AA90" s="6">
        <v>0</v>
      </c>
      <c r="AC90" s="6">
        <v>0</v>
      </c>
      <c r="AE90" s="6">
        <f t="shared" si="23"/>
        <v>13193529</v>
      </c>
      <c r="AF90" s="6"/>
      <c r="AG90" s="6">
        <f t="shared" si="24"/>
        <v>15331372</v>
      </c>
    </row>
    <row r="91" spans="1:33" ht="12" customHeight="1">
      <c r="A91" s="10" t="s">
        <v>300</v>
      </c>
      <c r="B91" s="10"/>
      <c r="C91" s="10" t="s">
        <v>27</v>
      </c>
      <c r="E91" s="6">
        <v>1810741</v>
      </c>
      <c r="G91" s="6">
        <v>3338814</v>
      </c>
      <c r="I91" s="6">
        <v>0</v>
      </c>
      <c r="K91" s="6">
        <f t="shared" si="20"/>
        <v>5149555</v>
      </c>
      <c r="M91" s="6">
        <f>14635011+147824+3608044</f>
        <v>18390879</v>
      </c>
      <c r="O91" s="6">
        <f>3179827+244242</f>
        <v>3424069</v>
      </c>
      <c r="Q91" s="6">
        <v>14332282</v>
      </c>
      <c r="S91" s="6">
        <v>34728</v>
      </c>
      <c r="U91" s="6">
        <v>0</v>
      </c>
      <c r="W91" s="6">
        <v>0</v>
      </c>
      <c r="Y91" s="6">
        <v>103394</v>
      </c>
      <c r="Z91" s="44"/>
      <c r="AA91" s="6">
        <v>0</v>
      </c>
      <c r="AC91" s="6">
        <v>0</v>
      </c>
      <c r="AE91" s="6">
        <f t="shared" si="23"/>
        <v>36285352</v>
      </c>
      <c r="AF91" s="6"/>
      <c r="AG91" s="6">
        <f t="shared" si="24"/>
        <v>41434907</v>
      </c>
    </row>
    <row r="92" spans="1:33" ht="12" customHeight="1">
      <c r="A92" s="10" t="s">
        <v>403</v>
      </c>
      <c r="B92" s="10"/>
      <c r="C92" s="10" t="s">
        <v>45</v>
      </c>
      <c r="E92" s="6">
        <v>1338275</v>
      </c>
      <c r="G92" s="6">
        <v>1645858</v>
      </c>
      <c r="I92" s="6">
        <v>13271</v>
      </c>
      <c r="K92" s="6">
        <f t="shared" si="20"/>
        <v>2997404</v>
      </c>
      <c r="M92" s="6">
        <f>14482604+867007+479442</f>
        <v>15829053</v>
      </c>
      <c r="O92" s="6">
        <v>0</v>
      </c>
      <c r="Q92" s="6">
        <v>8766171</v>
      </c>
      <c r="S92" s="6">
        <v>17134</v>
      </c>
      <c r="U92" s="6">
        <v>0</v>
      </c>
      <c r="W92" s="6">
        <v>0</v>
      </c>
      <c r="Y92" s="6">
        <f>39738+4400</f>
        <v>44138</v>
      </c>
      <c r="Z92" s="44"/>
      <c r="AA92" s="6">
        <v>0</v>
      </c>
      <c r="AC92" s="6">
        <v>106774</v>
      </c>
      <c r="AE92" s="6">
        <f t="shared" si="23"/>
        <v>24763270</v>
      </c>
      <c r="AF92" s="6"/>
      <c r="AG92" s="6">
        <f t="shared" si="24"/>
        <v>27760674</v>
      </c>
    </row>
    <row r="93" spans="1:33" ht="12" customHeight="1">
      <c r="A93" s="10" t="s">
        <v>494</v>
      </c>
      <c r="B93" s="10"/>
      <c r="C93" s="10" t="s">
        <v>62</v>
      </c>
      <c r="E93" s="6">
        <v>3147000</v>
      </c>
      <c r="G93" s="6">
        <v>27358000</v>
      </c>
      <c r="I93" s="6">
        <v>20000</v>
      </c>
      <c r="K93" s="6">
        <f>SUM(E93:J93)</f>
        <v>30525000</v>
      </c>
      <c r="M93" s="6">
        <f>22744000+2417000+451000+424000</f>
        <v>26036000</v>
      </c>
      <c r="O93" s="6">
        <v>0</v>
      </c>
      <c r="Q93" s="6">
        <v>71390000</v>
      </c>
      <c r="S93" s="6">
        <v>415000</v>
      </c>
      <c r="U93" s="6">
        <v>0</v>
      </c>
      <c r="W93" s="6">
        <v>0</v>
      </c>
      <c r="Y93" s="6">
        <f>780000-286000</f>
        <v>494000</v>
      </c>
      <c r="Z93" s="44"/>
      <c r="AA93" s="6">
        <v>0</v>
      </c>
      <c r="AC93" s="6">
        <v>0</v>
      </c>
      <c r="AE93" s="6">
        <f>SUM(M93:AC93)</f>
        <v>98335000</v>
      </c>
      <c r="AF93" s="6"/>
      <c r="AG93" s="6">
        <f>+AE93+K93</f>
        <v>128860000</v>
      </c>
    </row>
    <row r="94" spans="1:33" ht="12" customHeight="1">
      <c r="A94" s="10" t="s">
        <v>495</v>
      </c>
      <c r="B94" s="10"/>
      <c r="C94" s="10" t="s">
        <v>62</v>
      </c>
      <c r="E94" s="6">
        <v>3212261</v>
      </c>
      <c r="G94" s="6">
        <v>3368382</v>
      </c>
      <c r="I94" s="6">
        <v>7500</v>
      </c>
      <c r="K94" s="6">
        <f>SUM(E94:J94)</f>
        <v>6588143</v>
      </c>
      <c r="M94" s="6">
        <f>7263105+81851+424089</f>
        <v>7769045</v>
      </c>
      <c r="O94" s="6">
        <v>0</v>
      </c>
      <c r="Q94" s="6">
        <v>11099220</v>
      </c>
      <c r="S94" s="6">
        <v>680</v>
      </c>
      <c r="U94" s="6">
        <v>40406</v>
      </c>
      <c r="W94" s="6">
        <v>0</v>
      </c>
      <c r="Y94" s="6">
        <v>62825</v>
      </c>
      <c r="Z94" s="44"/>
      <c r="AA94" s="6">
        <v>0</v>
      </c>
      <c r="AC94" s="6">
        <v>0</v>
      </c>
      <c r="AE94" s="6">
        <f>SUM(M94:AC94)</f>
        <v>18972176</v>
      </c>
      <c r="AF94" s="6"/>
      <c r="AG94" s="6">
        <f>+AE94+K94</f>
        <v>25560319</v>
      </c>
    </row>
    <row r="95" spans="1:33" ht="12" customHeight="1">
      <c r="A95" s="11" t="s">
        <v>648</v>
      </c>
      <c r="B95" s="10"/>
      <c r="C95" s="10" t="s">
        <v>30</v>
      </c>
      <c r="E95" s="6">
        <v>1279350</v>
      </c>
      <c r="G95" s="6">
        <v>1968388</v>
      </c>
      <c r="I95" s="6">
        <v>0</v>
      </c>
      <c r="K95" s="6">
        <f>SUM(E95:J95)</f>
        <v>3247738</v>
      </c>
      <c r="M95" s="6">
        <f>5991420+805731+249101</f>
        <v>7046252</v>
      </c>
      <c r="O95" s="6">
        <v>0</v>
      </c>
      <c r="Q95" s="6">
        <v>6011841</v>
      </c>
      <c r="S95" s="6">
        <v>12597</v>
      </c>
      <c r="U95" s="6">
        <v>0</v>
      </c>
      <c r="W95" s="6">
        <v>0</v>
      </c>
      <c r="Y95" s="6">
        <v>92354</v>
      </c>
      <c r="Z95" s="44"/>
      <c r="AA95" s="6">
        <v>0</v>
      </c>
      <c r="AC95" s="6">
        <v>0</v>
      </c>
      <c r="AE95" s="6">
        <f>SUM(M95:AC95)</f>
        <v>13163044</v>
      </c>
      <c r="AF95" s="6"/>
      <c r="AG95" s="6">
        <f>+AE95+K95</f>
        <v>16410782</v>
      </c>
    </row>
    <row r="96" spans="1:33" ht="12" customHeight="1">
      <c r="A96" s="10" t="s">
        <v>441</v>
      </c>
      <c r="B96" s="10"/>
      <c r="C96" s="10" t="s">
        <v>78</v>
      </c>
      <c r="E96" s="6">
        <v>886440</v>
      </c>
      <c r="G96" s="6">
        <v>2267366</v>
      </c>
      <c r="I96" s="6">
        <v>0</v>
      </c>
      <c r="K96" s="6">
        <f>SUM(E96:J96)</f>
        <v>3153806</v>
      </c>
      <c r="M96" s="6">
        <f>2129085+40428+373553</f>
        <v>2543066</v>
      </c>
      <c r="O96" s="6">
        <v>0</v>
      </c>
      <c r="Q96" s="6">
        <v>6454638</v>
      </c>
      <c r="S96" s="6">
        <v>1131</v>
      </c>
      <c r="U96" s="6">
        <v>122906</v>
      </c>
      <c r="W96" s="6">
        <v>0</v>
      </c>
      <c r="Y96" s="6">
        <v>97897</v>
      </c>
      <c r="Z96" s="44"/>
      <c r="AA96" s="6">
        <v>0</v>
      </c>
      <c r="AC96" s="6">
        <v>0</v>
      </c>
      <c r="AE96" s="6">
        <f>SUM(M96:AC96)</f>
        <v>9219638</v>
      </c>
      <c r="AF96" s="6"/>
      <c r="AG96" s="6">
        <f>+AE96+K96</f>
        <v>12373444</v>
      </c>
    </row>
    <row r="97" spans="1:33" ht="12" hidden="1" customHeight="1">
      <c r="A97" s="11" t="s">
        <v>867</v>
      </c>
      <c r="B97" s="10"/>
      <c r="C97" s="10" t="s">
        <v>558</v>
      </c>
      <c r="E97" s="6">
        <v>0</v>
      </c>
      <c r="G97" s="6">
        <v>0</v>
      </c>
      <c r="I97" s="6">
        <v>0</v>
      </c>
      <c r="K97" s="6">
        <f t="shared" si="20"/>
        <v>0</v>
      </c>
      <c r="M97" s="6">
        <v>0</v>
      </c>
      <c r="O97" s="6">
        <v>0</v>
      </c>
      <c r="Q97" s="6">
        <v>0</v>
      </c>
      <c r="S97" s="6">
        <v>0</v>
      </c>
      <c r="U97" s="6">
        <v>0</v>
      </c>
      <c r="W97" s="6">
        <v>0</v>
      </c>
      <c r="Y97" s="6">
        <v>0</v>
      </c>
      <c r="Z97" s="44"/>
      <c r="AA97" s="6">
        <v>0</v>
      </c>
      <c r="AE97" s="6">
        <f t="shared" si="23"/>
        <v>0</v>
      </c>
      <c r="AF97" s="6"/>
      <c r="AG97" s="6">
        <f t="shared" si="24"/>
        <v>0</v>
      </c>
    </row>
    <row r="98" spans="1:33" s="28" customFormat="1" ht="12" customHeight="1">
      <c r="A98" s="27" t="s">
        <v>543</v>
      </c>
      <c r="B98" s="27"/>
      <c r="C98" s="27" t="s">
        <v>69</v>
      </c>
      <c r="E98" s="6">
        <v>658463</v>
      </c>
      <c r="F98" s="6"/>
      <c r="G98" s="6">
        <v>2092317</v>
      </c>
      <c r="H98" s="6"/>
      <c r="I98" s="6">
        <v>0</v>
      </c>
      <c r="J98" s="6"/>
      <c r="K98" s="6">
        <f t="shared" si="20"/>
        <v>2750780</v>
      </c>
      <c r="L98" s="6"/>
      <c r="M98" s="6">
        <f>3974371+269379</f>
        <v>4243750</v>
      </c>
      <c r="N98" s="6"/>
      <c r="O98" s="6">
        <v>1842340</v>
      </c>
      <c r="P98" s="6"/>
      <c r="Q98" s="6">
        <v>7527123</v>
      </c>
      <c r="R98" s="6"/>
      <c r="S98" s="6">
        <v>2371</v>
      </c>
      <c r="T98" s="6"/>
      <c r="U98" s="6">
        <v>198690</v>
      </c>
      <c r="V98" s="6"/>
      <c r="W98" s="6">
        <v>0</v>
      </c>
      <c r="X98" s="6"/>
      <c r="Y98" s="6">
        <f>511+101670</f>
        <v>102181</v>
      </c>
      <c r="Z98" s="44"/>
      <c r="AA98" s="6">
        <v>0</v>
      </c>
      <c r="AB98" s="6"/>
      <c r="AC98" s="6">
        <v>0</v>
      </c>
      <c r="AD98" s="6"/>
      <c r="AE98" s="6">
        <f t="shared" si="23"/>
        <v>13916455</v>
      </c>
      <c r="AF98" s="6"/>
      <c r="AG98" s="6">
        <f t="shared" si="24"/>
        <v>16667235</v>
      </c>
    </row>
    <row r="99" spans="1:33" ht="12" customHeight="1">
      <c r="A99" s="11" t="s">
        <v>753</v>
      </c>
      <c r="B99" s="10"/>
      <c r="C99" s="10" t="s">
        <v>16</v>
      </c>
      <c r="D99" s="5"/>
      <c r="E99" s="28">
        <v>934303</v>
      </c>
      <c r="F99" s="28"/>
      <c r="G99" s="28">
        <v>1973308</v>
      </c>
      <c r="H99" s="28"/>
      <c r="I99" s="28">
        <v>0</v>
      </c>
      <c r="J99" s="28"/>
      <c r="K99" s="28">
        <f t="shared" si="20"/>
        <v>2907611</v>
      </c>
      <c r="L99" s="28"/>
      <c r="M99" s="28">
        <v>5839918</v>
      </c>
      <c r="N99" s="28"/>
      <c r="O99" s="28">
        <v>0</v>
      </c>
      <c r="P99" s="28"/>
      <c r="Q99" s="28">
        <v>11940113</v>
      </c>
      <c r="R99" s="28"/>
      <c r="S99" s="28">
        <v>47674</v>
      </c>
      <c r="T99" s="28"/>
      <c r="U99" s="28">
        <v>0</v>
      </c>
      <c r="V99" s="28"/>
      <c r="W99" s="28">
        <v>0</v>
      </c>
      <c r="X99" s="28"/>
      <c r="Y99" s="28">
        <v>72372</v>
      </c>
      <c r="Z99" s="56"/>
      <c r="AA99" s="28">
        <v>0</v>
      </c>
      <c r="AB99" s="28"/>
      <c r="AC99" s="28">
        <v>0</v>
      </c>
      <c r="AD99" s="28"/>
      <c r="AE99" s="28">
        <f t="shared" si="23"/>
        <v>17900077</v>
      </c>
      <c r="AF99" s="28"/>
      <c r="AG99" s="28">
        <f t="shared" si="24"/>
        <v>20807688</v>
      </c>
    </row>
    <row r="100" spans="1:33" ht="12" customHeight="1">
      <c r="A100" s="11" t="s">
        <v>649</v>
      </c>
      <c r="B100" s="10"/>
      <c r="C100" s="10" t="s">
        <v>114</v>
      </c>
      <c r="E100" s="6">
        <v>643843</v>
      </c>
      <c r="G100" s="6">
        <v>447153</v>
      </c>
      <c r="I100" s="6">
        <v>0</v>
      </c>
      <c r="K100" s="6">
        <f t="shared" si="20"/>
        <v>1090996</v>
      </c>
      <c r="M100" s="6">
        <f>1862644+195272+535804</f>
        <v>2593720</v>
      </c>
      <c r="O100" s="6">
        <v>1046999</v>
      </c>
      <c r="Q100" s="6">
        <v>3414939</v>
      </c>
      <c r="S100" s="6">
        <v>41367</v>
      </c>
      <c r="U100" s="6">
        <v>0</v>
      </c>
      <c r="W100" s="6">
        <v>17647</v>
      </c>
      <c r="Y100" s="6">
        <v>136253</v>
      </c>
      <c r="Z100" s="44"/>
      <c r="AA100" s="6">
        <v>0</v>
      </c>
      <c r="AC100" s="6">
        <v>0</v>
      </c>
      <c r="AE100" s="6">
        <f t="shared" si="23"/>
        <v>7250925</v>
      </c>
      <c r="AF100" s="6"/>
      <c r="AG100" s="6">
        <f t="shared" si="24"/>
        <v>8341921</v>
      </c>
    </row>
    <row r="101" spans="1:33" ht="12" hidden="1" customHeight="1">
      <c r="A101" s="11" t="s">
        <v>618</v>
      </c>
      <c r="B101" s="10"/>
      <c r="C101" s="10" t="s">
        <v>422</v>
      </c>
      <c r="E101" s="6">
        <v>0</v>
      </c>
      <c r="G101" s="6">
        <v>0</v>
      </c>
      <c r="I101" s="6">
        <v>0</v>
      </c>
      <c r="K101" s="6">
        <f t="shared" si="20"/>
        <v>0</v>
      </c>
      <c r="M101" s="6">
        <v>0</v>
      </c>
      <c r="O101" s="6">
        <v>0</v>
      </c>
      <c r="Q101" s="6">
        <v>0</v>
      </c>
      <c r="S101" s="6">
        <v>0</v>
      </c>
      <c r="U101" s="6">
        <v>0</v>
      </c>
      <c r="W101" s="6">
        <v>0</v>
      </c>
      <c r="Y101" s="6">
        <v>0</v>
      </c>
      <c r="Z101" s="44"/>
      <c r="AA101" s="6">
        <v>0</v>
      </c>
      <c r="AC101" s="6">
        <v>0</v>
      </c>
      <c r="AE101" s="6">
        <f t="shared" si="23"/>
        <v>0</v>
      </c>
      <c r="AF101" s="6"/>
      <c r="AG101" s="6">
        <f t="shared" si="24"/>
        <v>0</v>
      </c>
    </row>
    <row r="102" spans="1:33" ht="12" hidden="1" customHeight="1">
      <c r="A102" s="11" t="s">
        <v>868</v>
      </c>
      <c r="B102" s="10"/>
      <c r="C102" s="10" t="s">
        <v>40</v>
      </c>
      <c r="E102" s="6">
        <v>0</v>
      </c>
      <c r="G102" s="6">
        <v>0</v>
      </c>
      <c r="I102" s="6">
        <v>0</v>
      </c>
      <c r="K102" s="6">
        <f t="shared" si="20"/>
        <v>0</v>
      </c>
      <c r="M102" s="6">
        <v>0</v>
      </c>
      <c r="O102" s="6">
        <v>0</v>
      </c>
      <c r="Q102" s="6">
        <v>0</v>
      </c>
      <c r="S102" s="6">
        <v>0</v>
      </c>
      <c r="U102" s="6">
        <v>0</v>
      </c>
      <c r="W102" s="6">
        <v>0</v>
      </c>
      <c r="Y102" s="6">
        <v>0</v>
      </c>
      <c r="Z102" s="44"/>
      <c r="AA102" s="6">
        <v>0</v>
      </c>
      <c r="AC102" s="6">
        <v>0</v>
      </c>
      <c r="AE102" s="6">
        <f t="shared" si="23"/>
        <v>0</v>
      </c>
      <c r="AF102" s="6"/>
      <c r="AG102" s="6">
        <f t="shared" si="24"/>
        <v>0</v>
      </c>
    </row>
    <row r="103" spans="1:33" ht="12" customHeight="1">
      <c r="A103" s="27" t="s">
        <v>650</v>
      </c>
      <c r="B103" s="10"/>
      <c r="C103" s="10" t="s">
        <v>50</v>
      </c>
      <c r="E103" s="6">
        <v>5008947</v>
      </c>
      <c r="G103" s="6">
        <v>5404293</v>
      </c>
      <c r="I103" s="6">
        <v>0</v>
      </c>
      <c r="K103" s="6">
        <f t="shared" si="20"/>
        <v>10413240</v>
      </c>
      <c r="M103" s="6">
        <f>58517376+5581898+2144634</f>
        <v>66243908</v>
      </c>
      <c r="O103" s="6">
        <v>0</v>
      </c>
      <c r="Q103" s="6">
        <v>21835387</v>
      </c>
      <c r="S103" s="6">
        <v>183443</v>
      </c>
      <c r="U103" s="6">
        <v>0</v>
      </c>
      <c r="W103" s="6">
        <v>121693</v>
      </c>
      <c r="Y103" s="6">
        <f>4246081+231626</f>
        <v>4477707</v>
      </c>
      <c r="Z103" s="44"/>
      <c r="AA103" s="6">
        <v>0</v>
      </c>
      <c r="AC103" s="6">
        <v>0</v>
      </c>
      <c r="AE103" s="6">
        <f t="shared" si="23"/>
        <v>92862138</v>
      </c>
      <c r="AF103" s="6"/>
      <c r="AG103" s="6">
        <f t="shared" si="24"/>
        <v>103275378</v>
      </c>
    </row>
    <row r="104" spans="1:33" ht="12" hidden="1" customHeight="1">
      <c r="A104" s="11" t="s">
        <v>736</v>
      </c>
      <c r="B104" s="10"/>
      <c r="C104" s="10" t="s">
        <v>22</v>
      </c>
      <c r="E104" s="6">
        <v>0</v>
      </c>
      <c r="G104" s="6">
        <v>0</v>
      </c>
      <c r="I104" s="6">
        <v>0</v>
      </c>
      <c r="K104" s="6">
        <f t="shared" si="20"/>
        <v>0</v>
      </c>
      <c r="M104" s="6">
        <v>0</v>
      </c>
      <c r="O104" s="6">
        <v>0</v>
      </c>
      <c r="Q104" s="6">
        <v>0</v>
      </c>
      <c r="S104" s="6">
        <v>0</v>
      </c>
      <c r="U104" s="6">
        <v>0</v>
      </c>
      <c r="W104" s="6">
        <v>0</v>
      </c>
      <c r="Y104" s="6">
        <v>0</v>
      </c>
      <c r="Z104" s="44"/>
      <c r="AA104" s="6">
        <v>0</v>
      </c>
      <c r="AC104" s="6">
        <v>0</v>
      </c>
      <c r="AE104" s="6">
        <f t="shared" si="23"/>
        <v>0</v>
      </c>
      <c r="AF104" s="6"/>
      <c r="AG104" s="6">
        <f t="shared" si="24"/>
        <v>0</v>
      </c>
    </row>
    <row r="105" spans="1:33" ht="12" customHeight="1">
      <c r="A105" s="11" t="s">
        <v>754</v>
      </c>
      <c r="B105" s="10"/>
      <c r="C105" s="10" t="s">
        <v>20</v>
      </c>
      <c r="E105" s="6">
        <v>2220142</v>
      </c>
      <c r="G105" s="6">
        <v>896912</v>
      </c>
      <c r="I105" s="6">
        <v>0</v>
      </c>
      <c r="K105" s="6">
        <f t="shared" si="20"/>
        <v>3117054</v>
      </c>
      <c r="M105" s="6">
        <f>18742949+2185659</f>
        <v>20928608</v>
      </c>
      <c r="O105" s="6">
        <v>0</v>
      </c>
      <c r="Q105" s="6">
        <v>4839380</v>
      </c>
      <c r="S105" s="6">
        <v>67385</v>
      </c>
      <c r="U105" s="6">
        <v>0</v>
      </c>
      <c r="W105" s="6">
        <v>0</v>
      </c>
      <c r="Y105" s="6">
        <v>176668</v>
      </c>
      <c r="Z105" s="44"/>
      <c r="AA105" s="6">
        <v>0</v>
      </c>
      <c r="AC105" s="6">
        <v>0</v>
      </c>
      <c r="AE105" s="6">
        <f t="shared" si="23"/>
        <v>26012041</v>
      </c>
      <c r="AF105" s="6"/>
      <c r="AG105" s="6">
        <f t="shared" si="24"/>
        <v>29129095</v>
      </c>
    </row>
    <row r="106" spans="1:33" ht="12" customHeight="1">
      <c r="A106" s="11" t="s">
        <v>520</v>
      </c>
      <c r="B106" s="10"/>
      <c r="C106" s="10" t="s">
        <v>64</v>
      </c>
      <c r="E106" s="6">
        <v>1149292</v>
      </c>
      <c r="G106" s="6">
        <v>1119901</v>
      </c>
      <c r="I106" s="6">
        <v>78</v>
      </c>
      <c r="K106" s="6">
        <f t="shared" si="20"/>
        <v>2269271</v>
      </c>
      <c r="M106" s="6">
        <f>4520663+168703+56377</f>
        <v>4745743</v>
      </c>
      <c r="O106" s="6">
        <v>0</v>
      </c>
      <c r="Q106" s="6">
        <v>6959770</v>
      </c>
      <c r="S106" s="6">
        <v>2869</v>
      </c>
      <c r="U106" s="6">
        <v>0</v>
      </c>
      <c r="W106" s="6">
        <v>0</v>
      </c>
      <c r="Y106" s="6">
        <v>49714</v>
      </c>
      <c r="Z106" s="44"/>
      <c r="AA106" s="6">
        <v>0</v>
      </c>
      <c r="AC106" s="6">
        <v>0</v>
      </c>
      <c r="AE106" s="6">
        <f t="shared" si="23"/>
        <v>11758096</v>
      </c>
      <c r="AF106" s="6"/>
      <c r="AG106" s="6">
        <f t="shared" si="24"/>
        <v>14027367</v>
      </c>
    </row>
    <row r="107" spans="1:33" s="28" customFormat="1" ht="12" hidden="1" customHeight="1">
      <c r="A107" s="11" t="s">
        <v>737</v>
      </c>
      <c r="B107" s="27"/>
      <c r="C107" s="27" t="s">
        <v>30</v>
      </c>
      <c r="E107" s="6">
        <v>0</v>
      </c>
      <c r="F107" s="6"/>
      <c r="G107" s="6">
        <v>0</v>
      </c>
      <c r="H107" s="6"/>
      <c r="I107" s="6">
        <v>0</v>
      </c>
      <c r="J107" s="6"/>
      <c r="K107" s="6">
        <f t="shared" si="20"/>
        <v>0</v>
      </c>
      <c r="L107" s="6"/>
      <c r="M107" s="6">
        <v>0</v>
      </c>
      <c r="N107" s="6"/>
      <c r="O107" s="6">
        <v>0</v>
      </c>
      <c r="P107" s="6"/>
      <c r="Q107" s="6">
        <v>0</v>
      </c>
      <c r="R107" s="6"/>
      <c r="S107" s="6">
        <v>0</v>
      </c>
      <c r="T107" s="6"/>
      <c r="U107" s="6">
        <v>0</v>
      </c>
      <c r="V107" s="6"/>
      <c r="W107" s="6">
        <v>0</v>
      </c>
      <c r="X107" s="6"/>
      <c r="Y107" s="6">
        <v>0</v>
      </c>
      <c r="Z107" s="44"/>
      <c r="AA107" s="6">
        <v>0</v>
      </c>
      <c r="AB107" s="6"/>
      <c r="AC107" s="6"/>
      <c r="AD107" s="6"/>
      <c r="AE107" s="6">
        <f t="shared" si="23"/>
        <v>0</v>
      </c>
      <c r="AF107" s="6"/>
      <c r="AG107" s="6">
        <f t="shared" si="24"/>
        <v>0</v>
      </c>
    </row>
    <row r="108" spans="1:33" ht="12" customHeight="1">
      <c r="A108" s="11" t="s">
        <v>755</v>
      </c>
      <c r="B108" s="10"/>
      <c r="C108" s="10" t="s">
        <v>366</v>
      </c>
      <c r="E108" s="6">
        <v>1240980</v>
      </c>
      <c r="G108" s="6">
        <v>1883571</v>
      </c>
      <c r="I108" s="6">
        <v>0</v>
      </c>
      <c r="K108" s="6">
        <f t="shared" si="20"/>
        <v>3124551</v>
      </c>
      <c r="M108" s="6">
        <f>2075641+108286+38252+189579</f>
        <v>2411758</v>
      </c>
      <c r="O108" s="6">
        <v>0</v>
      </c>
      <c r="Q108" s="6">
        <v>8736133</v>
      </c>
      <c r="S108" s="6">
        <v>3209</v>
      </c>
      <c r="U108" s="6">
        <v>0</v>
      </c>
      <c r="W108" s="6">
        <v>35022</v>
      </c>
      <c r="Y108" s="6">
        <v>25997</v>
      </c>
      <c r="Z108" s="44"/>
      <c r="AA108" s="6">
        <v>0</v>
      </c>
      <c r="AC108" s="6">
        <v>0</v>
      </c>
      <c r="AE108" s="6">
        <f t="shared" si="23"/>
        <v>11212119</v>
      </c>
      <c r="AF108" s="6"/>
      <c r="AG108" s="6">
        <f t="shared" si="24"/>
        <v>14336670</v>
      </c>
    </row>
    <row r="109" spans="1:33" ht="12" customHeight="1">
      <c r="A109" s="10" t="s">
        <v>473</v>
      </c>
      <c r="B109" s="10"/>
      <c r="C109" s="10" t="s">
        <v>58</v>
      </c>
      <c r="E109" s="6">
        <v>2068417</v>
      </c>
      <c r="G109" s="6">
        <v>3607731</v>
      </c>
      <c r="I109" s="6">
        <v>0</v>
      </c>
      <c r="K109" s="6">
        <f t="shared" si="20"/>
        <v>5676148</v>
      </c>
      <c r="M109" s="6">
        <f>7882956+1443412+628544</f>
        <v>9954912</v>
      </c>
      <c r="O109" s="6">
        <v>0</v>
      </c>
      <c r="Q109" s="6">
        <v>15348196</v>
      </c>
      <c r="S109" s="6">
        <v>19183</v>
      </c>
      <c r="U109" s="6">
        <v>0</v>
      </c>
      <c r="W109" s="6">
        <v>4830</v>
      </c>
      <c r="Y109" s="6">
        <f>75+128636</f>
        <v>128711</v>
      </c>
      <c r="Z109" s="44"/>
      <c r="AA109" s="6">
        <v>0</v>
      </c>
      <c r="AC109" s="6">
        <v>0</v>
      </c>
      <c r="AE109" s="6">
        <f t="shared" si="23"/>
        <v>25455832</v>
      </c>
      <c r="AF109" s="6"/>
      <c r="AG109" s="6">
        <f t="shared" si="24"/>
        <v>31131980</v>
      </c>
    </row>
    <row r="110" spans="1:33" ht="12" customHeight="1">
      <c r="A110" s="11" t="s">
        <v>551</v>
      </c>
      <c r="B110" s="10"/>
      <c r="C110" s="10" t="s">
        <v>71</v>
      </c>
      <c r="E110" s="6">
        <v>615494</v>
      </c>
      <c r="G110" s="6">
        <v>1124266</v>
      </c>
      <c r="I110" s="6">
        <v>0</v>
      </c>
      <c r="K110" s="6">
        <f t="shared" si="20"/>
        <v>1739760</v>
      </c>
      <c r="M110" s="6">
        <f>3963185+269259</f>
        <v>4232444</v>
      </c>
      <c r="O110" s="6">
        <v>1888141</v>
      </c>
      <c r="Q110" s="6">
        <v>5117745</v>
      </c>
      <c r="S110" s="6">
        <v>43235</v>
      </c>
      <c r="U110" s="6">
        <v>0</v>
      </c>
      <c r="W110" s="6">
        <v>0</v>
      </c>
      <c r="Y110" s="6">
        <v>25285</v>
      </c>
      <c r="Z110" s="44"/>
      <c r="AA110" s="6">
        <v>0</v>
      </c>
      <c r="AC110" s="6">
        <v>0</v>
      </c>
      <c r="AE110" s="6">
        <f t="shared" si="23"/>
        <v>11306850</v>
      </c>
      <c r="AF110" s="6"/>
      <c r="AG110" s="6">
        <f t="shared" si="24"/>
        <v>13046610</v>
      </c>
    </row>
    <row r="111" spans="1:33" ht="12" customHeight="1">
      <c r="A111" s="11" t="s">
        <v>652</v>
      </c>
      <c r="B111" s="10"/>
      <c r="C111" s="10" t="s">
        <v>32</v>
      </c>
      <c r="E111" s="6">
        <v>15929681</v>
      </c>
      <c r="G111" s="6">
        <v>86060381</v>
      </c>
      <c r="I111" s="6">
        <v>5908555</v>
      </c>
      <c r="K111" s="6">
        <f t="shared" si="20"/>
        <v>107898617</v>
      </c>
      <c r="M111" s="6">
        <f>225246490+47063326</f>
        <v>272309816</v>
      </c>
      <c r="O111" s="6">
        <v>21431724</v>
      </c>
      <c r="Q111" s="6">
        <v>185176443</v>
      </c>
      <c r="S111" s="6">
        <v>608212</v>
      </c>
      <c r="U111" s="6">
        <v>0</v>
      </c>
      <c r="W111" s="6">
        <v>0</v>
      </c>
      <c r="Y111" s="6">
        <v>6424176</v>
      </c>
      <c r="Z111" s="44"/>
      <c r="AA111" s="6">
        <v>0</v>
      </c>
      <c r="AC111" s="6">
        <v>0</v>
      </c>
      <c r="AE111" s="6">
        <f t="shared" si="23"/>
        <v>485950371</v>
      </c>
      <c r="AF111" s="6"/>
      <c r="AG111" s="6">
        <f t="shared" si="24"/>
        <v>593848988</v>
      </c>
    </row>
    <row r="112" spans="1:33" ht="12" customHeight="1">
      <c r="A112" s="10" t="s">
        <v>452</v>
      </c>
      <c r="B112" s="10"/>
      <c r="C112" s="10" t="s">
        <v>54</v>
      </c>
      <c r="E112" s="6">
        <v>1174027</v>
      </c>
      <c r="G112" s="6">
        <v>3871041</v>
      </c>
      <c r="I112" s="6">
        <v>157991</v>
      </c>
      <c r="K112" s="6">
        <f t="shared" si="20"/>
        <v>5203059</v>
      </c>
      <c r="M112" s="6">
        <f>5930461+1281840+383798</f>
        <v>7596099</v>
      </c>
      <c r="O112" s="6">
        <v>1530263</v>
      </c>
      <c r="Q112" s="6">
        <v>12518808</v>
      </c>
      <c r="S112" s="6">
        <v>91443</v>
      </c>
      <c r="U112" s="6">
        <v>113573</v>
      </c>
      <c r="W112" s="6">
        <v>0</v>
      </c>
      <c r="Y112" s="6">
        <v>170228</v>
      </c>
      <c r="Z112" s="44"/>
      <c r="AA112" s="6">
        <v>0</v>
      </c>
      <c r="AC112" s="6">
        <v>0</v>
      </c>
      <c r="AE112" s="6">
        <f t="shared" si="23"/>
        <v>22020414</v>
      </c>
      <c r="AF112" s="6"/>
      <c r="AG112" s="6">
        <f t="shared" si="24"/>
        <v>27223473</v>
      </c>
    </row>
    <row r="113" spans="1:33" ht="12" customHeight="1">
      <c r="A113" s="10" t="s">
        <v>231</v>
      </c>
      <c r="B113" s="10"/>
      <c r="C113" s="10" t="s">
        <v>17</v>
      </c>
      <c r="D113" s="5"/>
      <c r="E113" s="6">
        <v>3382301</v>
      </c>
      <c r="G113" s="6">
        <v>1689134</v>
      </c>
      <c r="I113" s="6">
        <v>0</v>
      </c>
      <c r="K113" s="6">
        <f t="shared" si="20"/>
        <v>5071435</v>
      </c>
      <c r="M113" s="6">
        <f>6573228+327799</f>
        <v>6901027</v>
      </c>
      <c r="O113" s="6">
        <v>0</v>
      </c>
      <c r="Q113" s="6">
        <v>6982733</v>
      </c>
      <c r="S113" s="6">
        <v>148</v>
      </c>
      <c r="U113" s="6">
        <v>0</v>
      </c>
      <c r="W113" s="6">
        <v>5512</v>
      </c>
      <c r="Y113" s="6">
        <v>36494</v>
      </c>
      <c r="Z113" s="44"/>
      <c r="AA113" s="6">
        <v>0</v>
      </c>
      <c r="AC113" s="6">
        <v>0</v>
      </c>
      <c r="AE113" s="6">
        <f t="shared" si="23"/>
        <v>13925914</v>
      </c>
      <c r="AF113" s="6"/>
      <c r="AG113" s="6">
        <f t="shared" si="24"/>
        <v>18997349</v>
      </c>
    </row>
    <row r="114" spans="1:33" ht="12" customHeight="1">
      <c r="A114" s="10" t="s">
        <v>480</v>
      </c>
      <c r="B114" s="10"/>
      <c r="C114" s="10" t="s">
        <v>59</v>
      </c>
      <c r="E114" s="6">
        <v>890780</v>
      </c>
      <c r="G114" s="6">
        <v>1163071</v>
      </c>
      <c r="I114" s="6">
        <v>0</v>
      </c>
      <c r="K114" s="6">
        <f t="shared" si="20"/>
        <v>2053851</v>
      </c>
      <c r="M114" s="6">
        <f>955716+292470+22647</f>
        <v>1270833</v>
      </c>
      <c r="O114" s="6">
        <v>0</v>
      </c>
      <c r="Q114" s="6">
        <v>3286948</v>
      </c>
      <c r="S114" s="6">
        <v>5803</v>
      </c>
      <c r="U114" s="6">
        <v>0</v>
      </c>
      <c r="W114" s="6">
        <v>33775</v>
      </c>
      <c r="Y114" s="6">
        <v>196960</v>
      </c>
      <c r="Z114" s="44"/>
      <c r="AA114" s="6">
        <v>0</v>
      </c>
      <c r="AC114" s="6">
        <v>0</v>
      </c>
      <c r="AE114" s="6">
        <f t="shared" si="23"/>
        <v>4794319</v>
      </c>
      <c r="AF114" s="6"/>
      <c r="AG114" s="6">
        <f t="shared" si="24"/>
        <v>6848170</v>
      </c>
    </row>
    <row r="115" spans="1:33" ht="12" customHeight="1">
      <c r="A115" s="10" t="s">
        <v>533</v>
      </c>
      <c r="B115" s="10"/>
      <c r="C115" s="10" t="s">
        <v>65</v>
      </c>
      <c r="E115" s="6">
        <v>1548612</v>
      </c>
      <c r="G115" s="6">
        <v>4168819</v>
      </c>
      <c r="I115" s="6">
        <v>0</v>
      </c>
      <c r="K115" s="6">
        <f t="shared" si="20"/>
        <v>5717431</v>
      </c>
      <c r="M115" s="6">
        <f>3171715+65133+364003</f>
        <v>3600851</v>
      </c>
      <c r="O115" s="6">
        <v>0</v>
      </c>
      <c r="Q115" s="6">
        <v>11801587</v>
      </c>
      <c r="S115" s="6">
        <v>3085</v>
      </c>
      <c r="U115" s="6">
        <v>10000</v>
      </c>
      <c r="W115" s="6">
        <v>0</v>
      </c>
      <c r="Y115" s="6">
        <v>7589</v>
      </c>
      <c r="Z115" s="44"/>
      <c r="AA115" s="6">
        <v>0</v>
      </c>
      <c r="AC115" s="6">
        <v>0</v>
      </c>
      <c r="AE115" s="6">
        <f t="shared" si="23"/>
        <v>15423112</v>
      </c>
      <c r="AF115" s="6"/>
      <c r="AG115" s="6">
        <f t="shared" si="24"/>
        <v>21140543</v>
      </c>
    </row>
    <row r="116" spans="1:33" ht="12" customHeight="1">
      <c r="A116" s="10" t="s">
        <v>468</v>
      </c>
      <c r="B116" s="10"/>
      <c r="C116" s="10" t="s">
        <v>110</v>
      </c>
      <c r="E116" s="6">
        <v>1766856</v>
      </c>
      <c r="G116" s="6">
        <v>2136107</v>
      </c>
      <c r="I116" s="6">
        <v>0</v>
      </c>
      <c r="K116" s="6">
        <f t="shared" si="20"/>
        <v>3902963</v>
      </c>
      <c r="M116" s="6">
        <f>3580286+612506+256434</f>
        <v>4449226</v>
      </c>
      <c r="O116" s="6">
        <v>0</v>
      </c>
      <c r="Q116" s="6">
        <v>7818268</v>
      </c>
      <c r="S116" s="6">
        <v>83482</v>
      </c>
      <c r="U116" s="6">
        <v>0</v>
      </c>
      <c r="W116" s="6">
        <v>0</v>
      </c>
      <c r="Y116" s="6">
        <v>30745</v>
      </c>
      <c r="Z116" s="44"/>
      <c r="AA116" s="6">
        <v>0</v>
      </c>
      <c r="AC116" s="6">
        <v>0</v>
      </c>
      <c r="AE116" s="6">
        <f t="shared" si="23"/>
        <v>12381721</v>
      </c>
      <c r="AF116" s="6"/>
      <c r="AG116" s="6">
        <f t="shared" si="24"/>
        <v>16284684</v>
      </c>
    </row>
    <row r="117" spans="1:33" ht="12" customHeight="1">
      <c r="A117" s="10" t="s">
        <v>382</v>
      </c>
      <c r="B117" s="10"/>
      <c r="C117" s="10" t="s">
        <v>44</v>
      </c>
      <c r="E117" s="6">
        <v>3531458</v>
      </c>
      <c r="G117" s="6">
        <v>1853164</v>
      </c>
      <c r="I117" s="6">
        <v>0</v>
      </c>
      <c r="K117" s="6">
        <f t="shared" si="20"/>
        <v>5384622</v>
      </c>
      <c r="M117" s="6">
        <f>2362018+392656+113515</f>
        <v>2868189</v>
      </c>
      <c r="O117" s="6">
        <v>0</v>
      </c>
      <c r="Q117" s="6">
        <v>7298226</v>
      </c>
      <c r="S117" s="6">
        <v>11839</v>
      </c>
      <c r="U117" s="6">
        <v>0</v>
      </c>
      <c r="W117" s="6">
        <v>0</v>
      </c>
      <c r="Y117" s="6">
        <v>66165</v>
      </c>
      <c r="Z117" s="44"/>
      <c r="AA117" s="6">
        <v>0</v>
      </c>
      <c r="AC117" s="6">
        <v>0</v>
      </c>
      <c r="AE117" s="6">
        <f t="shared" si="23"/>
        <v>10244419</v>
      </c>
      <c r="AF117" s="6"/>
      <c r="AG117" s="6">
        <f t="shared" si="24"/>
        <v>15629041</v>
      </c>
    </row>
    <row r="118" spans="1:33" ht="12" customHeight="1">
      <c r="A118" s="10" t="s">
        <v>653</v>
      </c>
      <c r="B118" s="10"/>
      <c r="C118" s="10" t="s">
        <v>113</v>
      </c>
      <c r="E118" s="6">
        <v>1202614</v>
      </c>
      <c r="G118" s="6">
        <v>1366655</v>
      </c>
      <c r="I118" s="6">
        <v>0</v>
      </c>
      <c r="K118" s="6">
        <f t="shared" si="20"/>
        <v>2569269</v>
      </c>
      <c r="M118" s="6">
        <f>4704394+351884+652117</f>
        <v>5708395</v>
      </c>
      <c r="O118" s="6">
        <v>2517964</v>
      </c>
      <c r="Q118" s="6">
        <v>6145026</v>
      </c>
      <c r="S118" s="6">
        <v>11554</v>
      </c>
      <c r="U118" s="6">
        <v>0</v>
      </c>
      <c r="W118" s="6">
        <v>0</v>
      </c>
      <c r="Y118" s="6">
        <v>398540</v>
      </c>
      <c r="Z118" s="44"/>
      <c r="AA118" s="6">
        <v>0</v>
      </c>
      <c r="AC118" s="6">
        <v>0</v>
      </c>
      <c r="AE118" s="6">
        <f t="shared" si="23"/>
        <v>14781479</v>
      </c>
      <c r="AF118" s="6"/>
      <c r="AG118" s="6">
        <f t="shared" si="24"/>
        <v>17350748</v>
      </c>
    </row>
    <row r="119" spans="1:33" ht="12" customHeight="1">
      <c r="A119" s="11" t="s">
        <v>651</v>
      </c>
      <c r="B119" s="10"/>
      <c r="C119" s="10" t="s">
        <v>20</v>
      </c>
      <c r="E119" s="6">
        <v>3444869</v>
      </c>
      <c r="G119" s="6">
        <v>8510490</v>
      </c>
      <c r="I119" s="6">
        <v>0</v>
      </c>
      <c r="K119" s="6">
        <f t="shared" si="20"/>
        <v>11955359</v>
      </c>
      <c r="M119" s="6">
        <f>65982589+671452+3087683</f>
        <v>69741724</v>
      </c>
      <c r="O119" s="6">
        <v>0</v>
      </c>
      <c r="Q119" s="6">
        <v>31837748</v>
      </c>
      <c r="S119" s="6">
        <v>273286</v>
      </c>
      <c r="U119" s="6">
        <v>0</v>
      </c>
      <c r="W119" s="6">
        <v>0</v>
      </c>
      <c r="Y119" s="6">
        <v>476243</v>
      </c>
      <c r="Z119" s="44"/>
      <c r="AA119" s="6">
        <v>0</v>
      </c>
      <c r="AC119" s="6">
        <v>0</v>
      </c>
      <c r="AE119" s="6">
        <f t="shared" si="23"/>
        <v>102329001</v>
      </c>
      <c r="AF119" s="6"/>
      <c r="AG119" s="6">
        <f t="shared" si="24"/>
        <v>114284360</v>
      </c>
    </row>
    <row r="120" spans="1:33" ht="12" customHeight="1">
      <c r="A120" s="10" t="s">
        <v>265</v>
      </c>
      <c r="B120" s="10"/>
      <c r="C120" s="10" t="s">
        <v>20</v>
      </c>
      <c r="E120" s="6">
        <v>4550412</v>
      </c>
      <c r="G120" s="6">
        <v>126890682</v>
      </c>
      <c r="I120" s="6">
        <v>43033556</v>
      </c>
      <c r="K120" s="6">
        <f t="shared" si="20"/>
        <v>174474650</v>
      </c>
      <c r="M120" s="6">
        <f>155316742+28235142+2083420</f>
        <v>185635304</v>
      </c>
      <c r="O120" s="6">
        <v>0</v>
      </c>
      <c r="Q120" s="6">
        <v>465318126</v>
      </c>
      <c r="S120" s="6">
        <v>1910966</v>
      </c>
      <c r="U120" s="6">
        <v>0</v>
      </c>
      <c r="W120" s="6">
        <v>0</v>
      </c>
      <c r="Y120" s="6">
        <v>18445756</v>
      </c>
      <c r="Z120" s="44"/>
      <c r="AA120" s="6">
        <v>0</v>
      </c>
      <c r="AC120" s="6">
        <v>0</v>
      </c>
      <c r="AE120" s="6">
        <f t="shared" si="23"/>
        <v>671310152</v>
      </c>
      <c r="AF120" s="6"/>
      <c r="AG120" s="6">
        <f t="shared" si="24"/>
        <v>845784802</v>
      </c>
    </row>
    <row r="121" spans="1:33" ht="12" customHeight="1">
      <c r="A121" s="10" t="s">
        <v>243</v>
      </c>
      <c r="B121" s="10"/>
      <c r="C121" s="10" t="s">
        <v>18</v>
      </c>
      <c r="D121" s="5"/>
      <c r="E121" s="6">
        <v>1881367</v>
      </c>
      <c r="G121" s="6">
        <v>1843882</v>
      </c>
      <c r="I121" s="6">
        <v>0</v>
      </c>
      <c r="K121" s="6">
        <f t="shared" si="20"/>
        <v>3725249</v>
      </c>
      <c r="M121" s="6">
        <f>4402174+83823+587870</f>
        <v>5073867</v>
      </c>
      <c r="O121" s="6">
        <v>0</v>
      </c>
      <c r="Q121" s="6">
        <v>8773316</v>
      </c>
      <c r="S121" s="6">
        <v>1198</v>
      </c>
      <c r="U121" s="6">
        <v>10291</v>
      </c>
      <c r="W121" s="6">
        <v>82046</v>
      </c>
      <c r="Y121" s="6">
        <v>179130</v>
      </c>
      <c r="Z121" s="44"/>
      <c r="AA121" s="6">
        <v>0</v>
      </c>
      <c r="AC121" s="6">
        <v>0</v>
      </c>
      <c r="AE121" s="6">
        <f t="shared" si="23"/>
        <v>14119848</v>
      </c>
      <c r="AF121" s="6"/>
      <c r="AG121" s="6">
        <f t="shared" si="24"/>
        <v>17845097</v>
      </c>
    </row>
    <row r="122" spans="1:33" ht="12" customHeight="1">
      <c r="A122" s="10" t="s">
        <v>416</v>
      </c>
      <c r="B122" s="10"/>
      <c r="C122" s="10" t="s">
        <v>47</v>
      </c>
      <c r="E122" s="6">
        <v>1678178</v>
      </c>
      <c r="G122" s="6">
        <v>2455549</v>
      </c>
      <c r="I122" s="6">
        <v>576251</v>
      </c>
      <c r="K122" s="6">
        <f t="shared" si="20"/>
        <v>4709978</v>
      </c>
      <c r="M122" s="6">
        <f>11766863+826903</f>
        <v>12593766</v>
      </c>
      <c r="O122" s="6">
        <v>1993600</v>
      </c>
      <c r="Q122" s="6">
        <v>10957774</v>
      </c>
      <c r="S122" s="6">
        <v>23559</v>
      </c>
      <c r="U122" s="6">
        <f>1005195+40606</f>
        <v>1045801</v>
      </c>
      <c r="W122" s="6">
        <v>0</v>
      </c>
      <c r="Y122" s="6">
        <v>43248</v>
      </c>
      <c r="Z122" s="44"/>
      <c r="AA122" s="6">
        <v>0</v>
      </c>
      <c r="AC122" s="6">
        <v>0</v>
      </c>
      <c r="AE122" s="6">
        <f t="shared" si="23"/>
        <v>26657748</v>
      </c>
      <c r="AF122" s="6"/>
      <c r="AG122" s="6">
        <f t="shared" si="24"/>
        <v>31367726</v>
      </c>
    </row>
    <row r="123" spans="1:33" ht="12" customHeight="1">
      <c r="A123" s="11" t="s">
        <v>756</v>
      </c>
      <c r="B123" s="10"/>
      <c r="C123" s="10" t="s">
        <v>79</v>
      </c>
      <c r="E123" s="6">
        <v>1719213</v>
      </c>
      <c r="G123" s="6">
        <v>2529148</v>
      </c>
      <c r="I123" s="6">
        <v>0</v>
      </c>
      <c r="K123" s="6">
        <f t="shared" si="20"/>
        <v>4248361</v>
      </c>
      <c r="M123" s="6">
        <f>5464300+354137+160574</f>
        <v>5979011</v>
      </c>
      <c r="O123" s="6">
        <v>2033461</v>
      </c>
      <c r="Q123" s="6">
        <v>10458598</v>
      </c>
      <c r="S123" s="6">
        <v>8682</v>
      </c>
      <c r="U123" s="6">
        <v>118331</v>
      </c>
      <c r="W123" s="6">
        <v>0</v>
      </c>
      <c r="Y123" s="6">
        <v>68406</v>
      </c>
      <c r="Z123" s="44"/>
      <c r="AA123" s="6">
        <v>0</v>
      </c>
      <c r="AC123" s="6">
        <v>0</v>
      </c>
      <c r="AE123" s="6">
        <f t="shared" si="23"/>
        <v>18666489</v>
      </c>
      <c r="AF123" s="6"/>
      <c r="AG123" s="6">
        <f t="shared" si="24"/>
        <v>22914850</v>
      </c>
    </row>
    <row r="124" spans="1:33" ht="12" hidden="1" customHeight="1">
      <c r="A124" s="11" t="s">
        <v>654</v>
      </c>
      <c r="B124" s="10"/>
      <c r="C124" s="10" t="s">
        <v>422</v>
      </c>
      <c r="E124" s="6">
        <v>0</v>
      </c>
      <c r="G124" s="6">
        <v>0</v>
      </c>
      <c r="I124" s="6">
        <v>0</v>
      </c>
      <c r="K124" s="6">
        <f t="shared" si="20"/>
        <v>0</v>
      </c>
      <c r="M124" s="6">
        <v>0</v>
      </c>
      <c r="O124" s="6">
        <v>0</v>
      </c>
      <c r="Q124" s="6">
        <v>0</v>
      </c>
      <c r="S124" s="6">
        <v>0</v>
      </c>
      <c r="U124" s="6">
        <v>0</v>
      </c>
      <c r="W124" s="6">
        <v>0</v>
      </c>
      <c r="Y124" s="6">
        <v>0</v>
      </c>
      <c r="Z124" s="44"/>
      <c r="AA124" s="6">
        <v>0</v>
      </c>
      <c r="AC124" s="6">
        <v>0</v>
      </c>
      <c r="AE124" s="6">
        <f t="shared" si="23"/>
        <v>0</v>
      </c>
      <c r="AF124" s="6"/>
      <c r="AG124" s="6">
        <f t="shared" si="24"/>
        <v>0</v>
      </c>
    </row>
    <row r="125" spans="1:33" ht="12" hidden="1" customHeight="1">
      <c r="A125" s="10" t="s">
        <v>610</v>
      </c>
      <c r="B125" s="10"/>
      <c r="C125" s="10" t="s">
        <v>57</v>
      </c>
      <c r="E125" s="6">
        <v>0</v>
      </c>
      <c r="G125" s="6">
        <v>0</v>
      </c>
      <c r="I125" s="6">
        <v>0</v>
      </c>
      <c r="K125" s="6">
        <f t="shared" si="20"/>
        <v>0</v>
      </c>
      <c r="M125" s="6">
        <v>0</v>
      </c>
      <c r="O125" s="6">
        <v>0</v>
      </c>
      <c r="Q125" s="6">
        <v>0</v>
      </c>
      <c r="S125" s="6">
        <v>0</v>
      </c>
      <c r="U125" s="6">
        <v>0</v>
      </c>
      <c r="W125" s="6">
        <v>0</v>
      </c>
      <c r="Y125" s="6">
        <v>0</v>
      </c>
      <c r="Z125" s="44"/>
      <c r="AA125" s="6">
        <v>0</v>
      </c>
      <c r="AC125" s="6">
        <v>0</v>
      </c>
      <c r="AE125" s="6">
        <f t="shared" si="23"/>
        <v>0</v>
      </c>
      <c r="AF125" s="6"/>
      <c r="AG125" s="6">
        <f t="shared" si="24"/>
        <v>0</v>
      </c>
    </row>
    <row r="126" spans="1:33" ht="12" customHeight="1">
      <c r="A126" s="10" t="s">
        <v>258</v>
      </c>
      <c r="B126" s="10"/>
      <c r="C126" s="10" t="s">
        <v>111</v>
      </c>
      <c r="E126" s="6">
        <v>1473661</v>
      </c>
      <c r="G126" s="6">
        <v>741408</v>
      </c>
      <c r="I126" s="6">
        <v>0</v>
      </c>
      <c r="K126" s="6">
        <f t="shared" si="20"/>
        <v>2215069</v>
      </c>
      <c r="M126" s="6">
        <f>2422510+674119</f>
        <v>3096629</v>
      </c>
      <c r="O126" s="6">
        <v>1594402</v>
      </c>
      <c r="Q126" s="6">
        <v>3793457</v>
      </c>
      <c r="S126" s="6">
        <v>8849</v>
      </c>
      <c r="U126" s="6">
        <v>0</v>
      </c>
      <c r="W126" s="6">
        <v>0</v>
      </c>
      <c r="Y126" s="6">
        <v>20579</v>
      </c>
      <c r="Z126" s="44"/>
      <c r="AA126" s="6">
        <v>0</v>
      </c>
      <c r="AC126" s="6">
        <v>0</v>
      </c>
      <c r="AE126" s="6">
        <f t="shared" si="23"/>
        <v>8513916</v>
      </c>
      <c r="AF126" s="6"/>
      <c r="AG126" s="6">
        <f t="shared" si="24"/>
        <v>10728985</v>
      </c>
    </row>
    <row r="127" spans="1:33" ht="12" customHeight="1">
      <c r="A127" s="10" t="s">
        <v>383</v>
      </c>
      <c r="B127" s="10"/>
      <c r="C127" s="10" t="s">
        <v>44</v>
      </c>
      <c r="E127" s="6">
        <v>895485</v>
      </c>
      <c r="G127" s="6">
        <v>547174</v>
      </c>
      <c r="I127" s="6">
        <v>0</v>
      </c>
      <c r="K127" s="6">
        <f t="shared" si="20"/>
        <v>1442659</v>
      </c>
      <c r="M127" s="6">
        <f>5711304+169104+344834</f>
        <v>6225242</v>
      </c>
      <c r="O127" s="6">
        <v>0</v>
      </c>
      <c r="Q127" s="6">
        <v>3098745</v>
      </c>
      <c r="S127" s="6">
        <v>8192</v>
      </c>
      <c r="U127" s="6">
        <v>0</v>
      </c>
      <c r="W127" s="6">
        <v>0</v>
      </c>
      <c r="Y127" s="6">
        <v>72393</v>
      </c>
      <c r="Z127" s="44"/>
      <c r="AA127" s="6">
        <v>0</v>
      </c>
      <c r="AC127" s="6">
        <v>0</v>
      </c>
      <c r="AE127" s="6">
        <f t="shared" si="23"/>
        <v>9404572</v>
      </c>
      <c r="AF127" s="6"/>
      <c r="AG127" s="6">
        <f t="shared" si="24"/>
        <v>10847231</v>
      </c>
    </row>
    <row r="128" spans="1:33" ht="12" customHeight="1">
      <c r="A128" s="11" t="s">
        <v>757</v>
      </c>
      <c r="B128" s="10"/>
      <c r="C128" s="10" t="s">
        <v>112</v>
      </c>
      <c r="D128" s="5"/>
      <c r="E128" s="6">
        <v>1857371</v>
      </c>
      <c r="G128" s="6">
        <v>817062</v>
      </c>
      <c r="I128" s="6">
        <v>235554</v>
      </c>
      <c r="K128" s="6">
        <f t="shared" si="20"/>
        <v>2909987</v>
      </c>
      <c r="M128" s="6">
        <f>3248339+43214+732143</f>
        <v>4023696</v>
      </c>
      <c r="O128" s="6">
        <v>1619673</v>
      </c>
      <c r="Q128" s="6">
        <v>2888577</v>
      </c>
      <c r="S128" s="6">
        <v>53407</v>
      </c>
      <c r="U128" s="6">
        <v>0</v>
      </c>
      <c r="W128" s="6">
        <v>0</v>
      </c>
      <c r="Y128" s="6">
        <v>13395</v>
      </c>
      <c r="Z128" s="44"/>
      <c r="AA128" s="6">
        <v>0</v>
      </c>
      <c r="AC128" s="6">
        <v>0</v>
      </c>
      <c r="AE128" s="6">
        <f t="shared" si="23"/>
        <v>8598748</v>
      </c>
      <c r="AF128" s="6"/>
      <c r="AG128" s="6">
        <f t="shared" si="24"/>
        <v>11508735</v>
      </c>
    </row>
    <row r="129" spans="1:33" ht="12" customHeight="1">
      <c r="A129" s="10" t="s">
        <v>301</v>
      </c>
      <c r="B129" s="10"/>
      <c r="C129" s="10" t="s">
        <v>27</v>
      </c>
      <c r="E129" s="6">
        <v>13289050</v>
      </c>
      <c r="G129" s="6">
        <v>152887766</v>
      </c>
      <c r="I129" s="6">
        <v>0</v>
      </c>
      <c r="K129" s="6">
        <f t="shared" si="20"/>
        <v>166176816</v>
      </c>
      <c r="M129" s="6">
        <f>366605230+35180550+3561528</f>
        <v>405347308</v>
      </c>
      <c r="O129" s="6">
        <v>0</v>
      </c>
      <c r="Q129" s="6">
        <v>287697522</v>
      </c>
      <c r="S129" s="6">
        <v>1373542</v>
      </c>
      <c r="U129" s="6">
        <v>38803888</v>
      </c>
      <c r="W129" s="6">
        <v>754</v>
      </c>
      <c r="Y129" s="6">
        <v>4104221</v>
      </c>
      <c r="Z129" s="44"/>
      <c r="AA129" s="6">
        <v>0</v>
      </c>
      <c r="AC129" s="6">
        <v>0</v>
      </c>
      <c r="AE129" s="6">
        <f t="shared" si="23"/>
        <v>737327235</v>
      </c>
      <c r="AF129" s="6"/>
      <c r="AG129" s="6">
        <f t="shared" si="24"/>
        <v>903504051</v>
      </c>
    </row>
    <row r="130" spans="1:33" ht="12" hidden="1" customHeight="1">
      <c r="A130" s="10" t="s">
        <v>611</v>
      </c>
      <c r="B130" s="10"/>
      <c r="C130" s="10" t="s">
        <v>467</v>
      </c>
      <c r="E130" s="6">
        <v>0</v>
      </c>
      <c r="G130" s="6">
        <v>0</v>
      </c>
      <c r="I130" s="6">
        <v>0</v>
      </c>
      <c r="K130" s="6">
        <f t="shared" si="20"/>
        <v>0</v>
      </c>
      <c r="M130" s="6">
        <v>0</v>
      </c>
      <c r="O130" s="6">
        <v>0</v>
      </c>
      <c r="Q130" s="6">
        <v>0</v>
      </c>
      <c r="S130" s="6">
        <v>0</v>
      </c>
      <c r="U130" s="6">
        <v>0</v>
      </c>
      <c r="W130" s="6">
        <v>0</v>
      </c>
      <c r="Y130" s="6">
        <v>0</v>
      </c>
      <c r="Z130" s="44"/>
      <c r="AA130" s="6">
        <v>0</v>
      </c>
      <c r="AC130" s="6">
        <v>0</v>
      </c>
      <c r="AE130" s="6">
        <f t="shared" si="23"/>
        <v>0</v>
      </c>
      <c r="AF130" s="6"/>
      <c r="AG130" s="6">
        <f t="shared" si="24"/>
        <v>0</v>
      </c>
    </row>
    <row r="131" spans="1:33" ht="12" customHeight="1">
      <c r="A131" s="10" t="s">
        <v>207</v>
      </c>
      <c r="B131" s="10"/>
      <c r="C131" s="10" t="s">
        <v>12</v>
      </c>
      <c r="D131" s="5"/>
      <c r="E131" s="6">
        <v>464253</v>
      </c>
      <c r="G131" s="6">
        <v>2337418</v>
      </c>
      <c r="I131" s="6">
        <v>0</v>
      </c>
      <c r="K131" s="6">
        <f t="shared" si="20"/>
        <v>2801671</v>
      </c>
      <c r="M131" s="6">
        <f>3528264+492560+190154+63925</f>
        <v>4274903</v>
      </c>
      <c r="O131" s="6">
        <v>0</v>
      </c>
      <c r="Q131" s="6">
        <v>12339577</v>
      </c>
      <c r="S131" s="6">
        <v>4533</v>
      </c>
      <c r="U131" s="6">
        <v>0</v>
      </c>
      <c r="W131" s="6">
        <v>0</v>
      </c>
      <c r="Y131" s="6">
        <v>178097</v>
      </c>
      <c r="Z131" s="44"/>
      <c r="AA131" s="6">
        <v>0</v>
      </c>
      <c r="AC131" s="6">
        <v>0</v>
      </c>
      <c r="AE131" s="6">
        <f t="shared" si="23"/>
        <v>16797110</v>
      </c>
      <c r="AF131" s="6"/>
      <c r="AG131" s="6">
        <f t="shared" si="24"/>
        <v>19598781</v>
      </c>
    </row>
    <row r="132" spans="1:33" ht="12" customHeight="1">
      <c r="A132" s="10" t="s">
        <v>342</v>
      </c>
      <c r="B132" s="10"/>
      <c r="C132" s="10" t="s">
        <v>343</v>
      </c>
      <c r="E132" s="6">
        <v>496501</v>
      </c>
      <c r="G132" s="6">
        <v>717154</v>
      </c>
      <c r="I132" s="6">
        <v>0</v>
      </c>
      <c r="K132" s="6">
        <f t="shared" si="20"/>
        <v>1213655</v>
      </c>
      <c r="M132" s="6">
        <f>1919633+124619</f>
        <v>2044252</v>
      </c>
      <c r="O132" s="6">
        <v>0</v>
      </c>
      <c r="Q132" s="6">
        <v>2354470</v>
      </c>
      <c r="S132" s="6">
        <v>883</v>
      </c>
      <c r="U132" s="6">
        <v>0</v>
      </c>
      <c r="W132" s="6">
        <v>0</v>
      </c>
      <c r="Y132" s="6">
        <v>17100</v>
      </c>
      <c r="Z132" s="44"/>
      <c r="AA132" s="6">
        <v>0</v>
      </c>
      <c r="AC132" s="6">
        <v>0</v>
      </c>
      <c r="AE132" s="6">
        <f t="shared" si="23"/>
        <v>4416705</v>
      </c>
      <c r="AF132" s="6"/>
      <c r="AG132" s="6">
        <f t="shared" si="24"/>
        <v>5630360</v>
      </c>
    </row>
    <row r="133" spans="1:33" ht="12" hidden="1" customHeight="1">
      <c r="A133" s="11" t="s">
        <v>676</v>
      </c>
      <c r="B133" s="10"/>
      <c r="C133" s="10" t="s">
        <v>467</v>
      </c>
      <c r="E133" s="6">
        <v>0</v>
      </c>
      <c r="G133" s="6">
        <v>0</v>
      </c>
      <c r="I133" s="6">
        <v>0</v>
      </c>
      <c r="K133" s="6">
        <f t="shared" si="20"/>
        <v>0</v>
      </c>
      <c r="M133" s="6">
        <v>0</v>
      </c>
      <c r="O133" s="6">
        <v>0</v>
      </c>
      <c r="Q133" s="6">
        <v>0</v>
      </c>
      <c r="S133" s="6">
        <v>0</v>
      </c>
      <c r="U133" s="6">
        <v>0</v>
      </c>
      <c r="W133" s="6">
        <v>0</v>
      </c>
      <c r="Y133" s="6">
        <v>0</v>
      </c>
      <c r="Z133" s="44"/>
      <c r="AA133" s="6">
        <v>0</v>
      </c>
      <c r="AC133" s="6">
        <v>0</v>
      </c>
      <c r="AE133" s="6">
        <f t="shared" si="23"/>
        <v>0</v>
      </c>
      <c r="AF133" s="6"/>
      <c r="AG133" s="6">
        <f t="shared" si="24"/>
        <v>0</v>
      </c>
    </row>
    <row r="134" spans="1:33" ht="12" customHeight="1">
      <c r="A134" s="10" t="s">
        <v>508</v>
      </c>
      <c r="B134" s="10"/>
      <c r="C134" s="10" t="s">
        <v>63</v>
      </c>
      <c r="E134" s="6">
        <v>1366142</v>
      </c>
      <c r="G134" s="6">
        <v>1953587</v>
      </c>
      <c r="I134" s="6">
        <v>73720</v>
      </c>
      <c r="K134" s="6">
        <f t="shared" si="20"/>
        <v>3393449</v>
      </c>
      <c r="M134" s="6">
        <f>25836014+1197715+936246</f>
        <v>27969975</v>
      </c>
      <c r="O134" s="6">
        <v>0</v>
      </c>
      <c r="Q134" s="6">
        <v>6970540</v>
      </c>
      <c r="S134" s="6">
        <v>28990</v>
      </c>
      <c r="U134" s="6">
        <v>0</v>
      </c>
      <c r="W134" s="6">
        <v>0</v>
      </c>
      <c r="Y134" s="6">
        <v>156284</v>
      </c>
      <c r="Z134" s="44"/>
      <c r="AA134" s="6">
        <v>0</v>
      </c>
      <c r="AC134" s="6">
        <v>0</v>
      </c>
      <c r="AE134" s="6">
        <f t="shared" si="23"/>
        <v>35125789</v>
      </c>
      <c r="AF134" s="6"/>
      <c r="AG134" s="6">
        <f t="shared" si="24"/>
        <v>38519238</v>
      </c>
    </row>
    <row r="135" spans="1:33" ht="12" customHeight="1">
      <c r="A135" s="10" t="s">
        <v>336</v>
      </c>
      <c r="B135" s="10"/>
      <c r="C135" s="10" t="s">
        <v>33</v>
      </c>
      <c r="E135" s="6">
        <v>692346</v>
      </c>
      <c r="G135" s="6">
        <v>709953</v>
      </c>
      <c r="I135" s="6">
        <v>0</v>
      </c>
      <c r="K135" s="6">
        <f t="shared" si="20"/>
        <v>1402299</v>
      </c>
      <c r="M135" s="6">
        <f>1707764+36524+344645+80294</f>
        <v>2169227</v>
      </c>
      <c r="O135" s="6">
        <v>1450943</v>
      </c>
      <c r="Q135" s="6">
        <v>3059998</v>
      </c>
      <c r="S135" s="6">
        <v>30346</v>
      </c>
      <c r="U135" s="6">
        <v>0</v>
      </c>
      <c r="W135" s="6">
        <v>47029</v>
      </c>
      <c r="Y135" s="6">
        <v>51175</v>
      </c>
      <c r="Z135" s="44"/>
      <c r="AA135" s="6">
        <v>0</v>
      </c>
      <c r="AC135" s="6">
        <v>0</v>
      </c>
      <c r="AE135" s="6">
        <f t="shared" si="23"/>
        <v>6808718</v>
      </c>
      <c r="AF135" s="6"/>
      <c r="AG135" s="6">
        <f t="shared" si="24"/>
        <v>8211017</v>
      </c>
    </row>
    <row r="136" spans="1:33" ht="12" customHeight="1">
      <c r="A136" s="10" t="s">
        <v>253</v>
      </c>
      <c r="B136" s="10"/>
      <c r="C136" s="10" t="s">
        <v>19</v>
      </c>
      <c r="E136" s="6">
        <v>1416445</v>
      </c>
      <c r="G136" s="6">
        <v>3025607</v>
      </c>
      <c r="I136" s="6">
        <v>0</v>
      </c>
      <c r="K136" s="6">
        <f t="shared" si="20"/>
        <v>4442052</v>
      </c>
      <c r="M136" s="6">
        <f>5326913+117234+481811+67364</f>
        <v>5993322</v>
      </c>
      <c r="O136" s="6">
        <v>0</v>
      </c>
      <c r="Q136" s="6">
        <v>9813214</v>
      </c>
      <c r="S136" s="6">
        <v>27348</v>
      </c>
      <c r="U136" s="6">
        <v>0</v>
      </c>
      <c r="W136" s="6">
        <v>0</v>
      </c>
      <c r="Y136" s="6">
        <v>180171</v>
      </c>
      <c r="Z136" s="44"/>
      <c r="AA136" s="6">
        <v>0</v>
      </c>
      <c r="AC136" s="6">
        <v>0</v>
      </c>
      <c r="AE136" s="6">
        <f t="shared" si="23"/>
        <v>16014055</v>
      </c>
      <c r="AF136" s="6"/>
      <c r="AG136" s="6">
        <f t="shared" si="24"/>
        <v>20456107</v>
      </c>
    </row>
    <row r="137" spans="1:33" ht="12" customHeight="1">
      <c r="A137" s="10" t="s">
        <v>604</v>
      </c>
      <c r="B137" s="10"/>
      <c r="C137" s="10" t="s">
        <v>63</v>
      </c>
      <c r="E137" s="6">
        <v>5718718</v>
      </c>
      <c r="G137" s="6">
        <v>1930079</v>
      </c>
      <c r="I137" s="6">
        <v>0</v>
      </c>
      <c r="K137" s="6">
        <f t="shared" si="20"/>
        <v>7648797</v>
      </c>
      <c r="M137" s="6">
        <f>10311945+438276</f>
        <v>10750221</v>
      </c>
      <c r="O137" s="6">
        <v>0</v>
      </c>
      <c r="Q137" s="6">
        <v>5183832</v>
      </c>
      <c r="S137" s="6">
        <v>5972</v>
      </c>
      <c r="U137" s="6">
        <v>0</v>
      </c>
      <c r="W137" s="6">
        <v>0</v>
      </c>
      <c r="Y137" s="6">
        <v>258989</v>
      </c>
      <c r="Z137" s="44"/>
      <c r="AA137" s="6">
        <v>0</v>
      </c>
      <c r="AC137" s="6">
        <v>0</v>
      </c>
      <c r="AE137" s="6">
        <f t="shared" si="23"/>
        <v>16199014</v>
      </c>
      <c r="AF137" s="6"/>
      <c r="AG137" s="6">
        <f t="shared" si="24"/>
        <v>23847811</v>
      </c>
    </row>
    <row r="138" spans="1:33" ht="12" customHeight="1">
      <c r="A138" s="11" t="s">
        <v>758</v>
      </c>
      <c r="B138" s="10"/>
      <c r="C138" s="10" t="s">
        <v>48</v>
      </c>
      <c r="E138" s="6">
        <v>878995</v>
      </c>
      <c r="G138" s="6">
        <v>860565</v>
      </c>
      <c r="I138" s="6">
        <v>1740</v>
      </c>
      <c r="K138" s="6">
        <f t="shared" si="20"/>
        <v>1741300</v>
      </c>
      <c r="M138" s="6">
        <v>1720593</v>
      </c>
      <c r="O138" s="6">
        <v>1726294</v>
      </c>
      <c r="Q138" s="6">
        <v>3063985</v>
      </c>
      <c r="S138" s="6">
        <v>2671</v>
      </c>
      <c r="U138" s="6">
        <v>0</v>
      </c>
      <c r="W138" s="6">
        <v>0</v>
      </c>
      <c r="Y138" s="6">
        <v>179868</v>
      </c>
      <c r="Z138" s="44"/>
      <c r="AA138" s="6">
        <v>0</v>
      </c>
      <c r="AC138" s="6">
        <v>0</v>
      </c>
      <c r="AE138" s="6">
        <f t="shared" si="23"/>
        <v>6693411</v>
      </c>
      <c r="AF138" s="6"/>
      <c r="AG138" s="6">
        <f t="shared" si="24"/>
        <v>8434711</v>
      </c>
    </row>
    <row r="139" spans="1:33" ht="12" hidden="1" customHeight="1">
      <c r="A139" s="11" t="s">
        <v>831</v>
      </c>
      <c r="B139" s="10"/>
      <c r="C139" s="10" t="s">
        <v>111</v>
      </c>
      <c r="E139" s="6">
        <v>0</v>
      </c>
      <c r="G139" s="6">
        <v>0</v>
      </c>
      <c r="I139" s="6">
        <v>0</v>
      </c>
      <c r="K139" s="6">
        <f t="shared" si="20"/>
        <v>0</v>
      </c>
      <c r="M139" s="6">
        <v>0</v>
      </c>
      <c r="O139" s="6">
        <v>0</v>
      </c>
      <c r="Q139" s="6">
        <v>0</v>
      </c>
      <c r="S139" s="6">
        <v>0</v>
      </c>
      <c r="U139" s="6">
        <v>0</v>
      </c>
      <c r="W139" s="6">
        <v>0</v>
      </c>
      <c r="Y139" s="6">
        <v>0</v>
      </c>
      <c r="Z139" s="44"/>
      <c r="AA139" s="6">
        <v>0</v>
      </c>
      <c r="AC139" s="6">
        <v>0</v>
      </c>
      <c r="AE139" s="6">
        <f t="shared" si="23"/>
        <v>0</v>
      </c>
      <c r="AF139" s="6"/>
      <c r="AG139" s="6">
        <f t="shared" si="24"/>
        <v>0</v>
      </c>
    </row>
    <row r="140" spans="1:33" ht="12" customHeight="1">
      <c r="A140" s="10" t="s">
        <v>247</v>
      </c>
      <c r="B140" s="10"/>
      <c r="C140" s="10" t="s">
        <v>112</v>
      </c>
      <c r="D140" s="5"/>
      <c r="E140" s="6">
        <v>3076892</v>
      </c>
      <c r="G140" s="6">
        <v>852342</v>
      </c>
      <c r="I140" s="6">
        <v>0</v>
      </c>
      <c r="K140" s="6">
        <f t="shared" si="20"/>
        <v>3929234</v>
      </c>
      <c r="M140" s="6">
        <f>1926591+273053+374046+37145</f>
        <v>2610835</v>
      </c>
      <c r="O140" s="6">
        <v>1296323</v>
      </c>
      <c r="Q140" s="6">
        <v>5050055</v>
      </c>
      <c r="S140" s="6">
        <v>21099</v>
      </c>
      <c r="U140" s="6">
        <v>0</v>
      </c>
      <c r="W140" s="6">
        <v>0</v>
      </c>
      <c r="Y140" s="6">
        <v>52164</v>
      </c>
      <c r="Z140" s="44"/>
      <c r="AA140" s="6">
        <v>0</v>
      </c>
      <c r="AC140" s="6">
        <v>137673</v>
      </c>
      <c r="AE140" s="6">
        <f t="shared" si="23"/>
        <v>9168149</v>
      </c>
      <c r="AF140" s="6"/>
      <c r="AG140" s="6">
        <f t="shared" si="24"/>
        <v>13097383</v>
      </c>
    </row>
    <row r="141" spans="1:33" ht="12" customHeight="1">
      <c r="A141" s="10" t="s">
        <v>247</v>
      </c>
      <c r="B141" s="10"/>
      <c r="C141" s="10" t="s">
        <v>110</v>
      </c>
      <c r="E141" s="6">
        <v>589821</v>
      </c>
      <c r="G141" s="6">
        <v>2229059</v>
      </c>
      <c r="I141" s="6">
        <v>0</v>
      </c>
      <c r="K141" s="6">
        <f t="shared" si="20"/>
        <v>2818880</v>
      </c>
      <c r="M141" s="6">
        <f>2269241+40376+318852+246596</f>
        <v>2875065</v>
      </c>
      <c r="O141" s="6">
        <v>0</v>
      </c>
      <c r="Q141" s="6">
        <v>6843213</v>
      </c>
      <c r="S141" s="6">
        <v>14077</v>
      </c>
      <c r="U141" s="6">
        <v>0</v>
      </c>
      <c r="W141" s="6">
        <v>0</v>
      </c>
      <c r="Y141" s="6">
        <v>36402</v>
      </c>
      <c r="Z141" s="44"/>
      <c r="AA141" s="6">
        <v>0</v>
      </c>
      <c r="AC141" s="6">
        <v>0</v>
      </c>
      <c r="AE141" s="6">
        <f t="shared" si="23"/>
        <v>9768757</v>
      </c>
      <c r="AF141" s="6"/>
      <c r="AG141" s="6">
        <f t="shared" si="24"/>
        <v>12587637</v>
      </c>
    </row>
    <row r="142" spans="1:33" ht="12" hidden="1" customHeight="1">
      <c r="A142" s="11" t="s">
        <v>655</v>
      </c>
      <c r="B142" s="11"/>
      <c r="C142" s="11" t="s">
        <v>67</v>
      </c>
      <c r="E142" s="6">
        <v>0</v>
      </c>
      <c r="G142" s="6">
        <v>0</v>
      </c>
      <c r="I142" s="6">
        <v>0</v>
      </c>
      <c r="K142" s="6">
        <f t="shared" si="20"/>
        <v>0</v>
      </c>
      <c r="M142" s="6">
        <v>0</v>
      </c>
      <c r="O142" s="6">
        <v>0</v>
      </c>
      <c r="Q142" s="6">
        <v>0</v>
      </c>
      <c r="S142" s="6">
        <v>0</v>
      </c>
      <c r="U142" s="6">
        <v>0</v>
      </c>
      <c r="W142" s="6">
        <v>0</v>
      </c>
      <c r="Y142" s="6">
        <v>0</v>
      </c>
      <c r="Z142" s="44"/>
      <c r="AA142" s="6">
        <v>0</v>
      </c>
      <c r="AC142" s="6">
        <v>0</v>
      </c>
      <c r="AE142" s="6">
        <f t="shared" si="23"/>
        <v>0</v>
      </c>
      <c r="AF142" s="6"/>
      <c r="AG142" s="6">
        <f t="shared" si="24"/>
        <v>0</v>
      </c>
    </row>
    <row r="143" spans="1:33" ht="12" customHeight="1">
      <c r="A143" s="11" t="s">
        <v>718</v>
      </c>
      <c r="B143" s="10"/>
      <c r="C143" s="10" t="s">
        <v>56</v>
      </c>
      <c r="E143" s="6">
        <v>1882164</v>
      </c>
      <c r="G143" s="6">
        <v>1270819</v>
      </c>
      <c r="I143" s="6">
        <v>0</v>
      </c>
      <c r="K143" s="6">
        <f t="shared" si="20"/>
        <v>3152983</v>
      </c>
      <c r="M143" s="6">
        <f>5602181+568331+279838+212855</f>
        <v>6663205</v>
      </c>
      <c r="O143" s="6">
        <v>0</v>
      </c>
      <c r="Q143" s="6">
        <v>11964839</v>
      </c>
      <c r="S143" s="6">
        <v>10112</v>
      </c>
      <c r="U143" s="6">
        <v>0</v>
      </c>
      <c r="W143" s="6">
        <v>0</v>
      </c>
      <c r="Y143" s="6">
        <v>148597</v>
      </c>
      <c r="Z143" s="44"/>
      <c r="AA143" s="6">
        <v>0</v>
      </c>
      <c r="AC143" s="6">
        <v>0</v>
      </c>
      <c r="AE143" s="6">
        <f t="shared" si="23"/>
        <v>18786753</v>
      </c>
      <c r="AF143" s="6"/>
      <c r="AG143" s="6">
        <f t="shared" si="24"/>
        <v>21939736</v>
      </c>
    </row>
    <row r="144" spans="1:33" ht="12" customHeight="1">
      <c r="A144" s="11" t="s">
        <v>759</v>
      </c>
      <c r="B144" s="10"/>
      <c r="C144" s="10" t="s">
        <v>451</v>
      </c>
      <c r="E144" s="6">
        <v>1034456</v>
      </c>
      <c r="G144" s="6">
        <v>1615413</v>
      </c>
      <c r="I144" s="6">
        <v>0</v>
      </c>
      <c r="K144" s="6">
        <f t="shared" si="20"/>
        <v>2649869</v>
      </c>
      <c r="M144" s="6">
        <f>2162257+228774+40147</f>
        <v>2431178</v>
      </c>
      <c r="O144" s="6">
        <v>0</v>
      </c>
      <c r="Q144" s="6">
        <v>7308747</v>
      </c>
      <c r="S144" s="6">
        <v>13510</v>
      </c>
      <c r="U144" s="6">
        <v>0</v>
      </c>
      <c r="W144" s="6">
        <v>0</v>
      </c>
      <c r="Y144" s="6">
        <v>115850</v>
      </c>
      <c r="Z144" s="44"/>
      <c r="AA144" s="6">
        <v>0</v>
      </c>
      <c r="AC144" s="6">
        <v>0</v>
      </c>
      <c r="AE144" s="6">
        <f t="shared" si="23"/>
        <v>9869285</v>
      </c>
      <c r="AF144" s="6"/>
      <c r="AG144" s="6">
        <f t="shared" si="24"/>
        <v>12519154</v>
      </c>
    </row>
    <row r="145" spans="1:34" ht="12" customHeight="1">
      <c r="A145" s="11" t="s">
        <v>656</v>
      </c>
      <c r="B145" s="10"/>
      <c r="C145" s="10" t="s">
        <v>63</v>
      </c>
      <c r="E145" s="6">
        <v>4240110</v>
      </c>
      <c r="G145" s="6">
        <v>6098360</v>
      </c>
      <c r="I145" s="6">
        <v>0</v>
      </c>
      <c r="K145" s="6">
        <f t="shared" si="20"/>
        <v>10338470</v>
      </c>
      <c r="M145" s="6">
        <f>25267170+509808</f>
        <v>25776978</v>
      </c>
      <c r="O145" s="6">
        <v>0</v>
      </c>
      <c r="Q145" s="6">
        <v>14872226</v>
      </c>
      <c r="S145" s="6">
        <v>4360</v>
      </c>
      <c r="U145" s="6">
        <v>42243</v>
      </c>
      <c r="W145" s="6">
        <v>0</v>
      </c>
      <c r="Y145" s="6">
        <v>35245</v>
      </c>
      <c r="Z145" s="44"/>
      <c r="AA145" s="6">
        <v>0</v>
      </c>
      <c r="AC145" s="6">
        <v>0</v>
      </c>
      <c r="AE145" s="6">
        <f t="shared" si="23"/>
        <v>40731052</v>
      </c>
      <c r="AF145" s="6"/>
      <c r="AG145" s="6">
        <f t="shared" si="24"/>
        <v>51069522</v>
      </c>
    </row>
    <row r="146" spans="1:34" ht="12" customHeight="1">
      <c r="A146" s="11" t="s">
        <v>719</v>
      </c>
      <c r="B146" s="10"/>
      <c r="C146" s="10" t="s">
        <v>20</v>
      </c>
      <c r="E146" s="6">
        <v>1147057</v>
      </c>
      <c r="G146" s="6">
        <v>238244</v>
      </c>
      <c r="I146" s="6">
        <v>17300</v>
      </c>
      <c r="K146" s="6">
        <f t="shared" si="20"/>
        <v>1402601</v>
      </c>
      <c r="M146" s="6">
        <f>7647144+58269</f>
        <v>7705413</v>
      </c>
      <c r="O146" s="6">
        <v>0</v>
      </c>
      <c r="Q146" s="6">
        <v>4616838</v>
      </c>
      <c r="S146" s="6">
        <v>4301</v>
      </c>
      <c r="U146" s="6">
        <v>841973</v>
      </c>
      <c r="W146" s="6">
        <v>0</v>
      </c>
      <c r="Y146" s="6">
        <v>23479</v>
      </c>
      <c r="Z146" s="44"/>
      <c r="AA146" s="6">
        <v>0</v>
      </c>
      <c r="AC146" s="6">
        <v>0</v>
      </c>
      <c r="AE146" s="6">
        <f t="shared" si="23"/>
        <v>13192004</v>
      </c>
      <c r="AF146" s="6"/>
      <c r="AG146" s="6">
        <f t="shared" si="24"/>
        <v>14594605</v>
      </c>
    </row>
    <row r="147" spans="1:34" ht="12" customHeight="1">
      <c r="A147" s="10" t="s">
        <v>609</v>
      </c>
      <c r="B147" s="10"/>
      <c r="C147" s="10" t="s">
        <v>71</v>
      </c>
      <c r="E147" s="6">
        <v>721831</v>
      </c>
      <c r="G147" s="6">
        <v>1115515</v>
      </c>
      <c r="I147" s="6">
        <v>1625994</v>
      </c>
      <c r="K147" s="6">
        <f t="shared" si="20"/>
        <v>3463340</v>
      </c>
      <c r="M147" s="6">
        <f>2556825+452472+215469</f>
        <v>3224766</v>
      </c>
      <c r="O147" s="6">
        <v>1059859</v>
      </c>
      <c r="Q147" s="6">
        <v>3446281</v>
      </c>
      <c r="S147" s="6">
        <v>38194</v>
      </c>
      <c r="U147" s="6">
        <v>0</v>
      </c>
      <c r="W147" s="6">
        <v>0</v>
      </c>
      <c r="Y147" s="6">
        <v>54078</v>
      </c>
      <c r="Z147" s="44"/>
      <c r="AA147" s="6">
        <v>0</v>
      </c>
      <c r="AC147" s="6">
        <v>0</v>
      </c>
      <c r="AE147" s="6">
        <f t="shared" si="23"/>
        <v>7823178</v>
      </c>
      <c r="AF147" s="6"/>
      <c r="AG147" s="6">
        <f t="shared" si="24"/>
        <v>11286518</v>
      </c>
    </row>
    <row r="148" spans="1:34" ht="12" hidden="1" customHeight="1">
      <c r="A148" s="10" t="s">
        <v>741</v>
      </c>
      <c r="B148" s="10"/>
      <c r="C148" s="10" t="s">
        <v>53</v>
      </c>
      <c r="K148" s="6">
        <f t="shared" si="20"/>
        <v>0</v>
      </c>
      <c r="Z148" s="44"/>
      <c r="AE148" s="6">
        <f t="shared" si="23"/>
        <v>0</v>
      </c>
      <c r="AF148" s="6"/>
      <c r="AG148" s="6">
        <f t="shared" si="24"/>
        <v>0</v>
      </c>
    </row>
    <row r="149" spans="1:34" ht="12" hidden="1" customHeight="1">
      <c r="A149" s="11" t="s">
        <v>657</v>
      </c>
      <c r="B149" s="10"/>
      <c r="C149" s="10" t="s">
        <v>40</v>
      </c>
      <c r="K149" s="6">
        <f t="shared" si="20"/>
        <v>0</v>
      </c>
      <c r="Z149" s="44"/>
      <c r="AE149" s="6">
        <f t="shared" si="23"/>
        <v>0</v>
      </c>
      <c r="AF149" s="6"/>
      <c r="AG149" s="6">
        <f t="shared" si="24"/>
        <v>0</v>
      </c>
    </row>
    <row r="150" spans="1:34" ht="12" customHeight="1">
      <c r="A150" s="10" t="s">
        <v>367</v>
      </c>
      <c r="B150" s="10"/>
      <c r="C150" s="10" t="s">
        <v>366</v>
      </c>
      <c r="E150" s="6">
        <v>1418552</v>
      </c>
      <c r="G150" s="6">
        <v>2170361</v>
      </c>
      <c r="I150" s="6">
        <v>0</v>
      </c>
      <c r="K150" s="6">
        <f t="shared" si="20"/>
        <v>3588913</v>
      </c>
      <c r="M150" s="6">
        <f>1361615+94399+22403</f>
        <v>1478417</v>
      </c>
      <c r="O150" s="6">
        <v>0</v>
      </c>
      <c r="Q150" s="6">
        <v>8467625</v>
      </c>
      <c r="S150" s="6">
        <v>12959</v>
      </c>
      <c r="U150" s="6">
        <v>0</v>
      </c>
      <c r="W150" s="6">
        <v>180843</v>
      </c>
      <c r="Y150" s="6">
        <v>7561</v>
      </c>
      <c r="Z150" s="44"/>
      <c r="AA150" s="6">
        <v>0</v>
      </c>
      <c r="AC150" s="6">
        <v>0</v>
      </c>
      <c r="AE150" s="6">
        <f t="shared" si="23"/>
        <v>10147405</v>
      </c>
      <c r="AF150" s="6"/>
      <c r="AG150" s="6">
        <f t="shared" si="24"/>
        <v>13736318</v>
      </c>
    </row>
    <row r="151" spans="1:34" ht="12" customHeight="1">
      <c r="A151" s="10" t="s">
        <v>429</v>
      </c>
      <c r="B151" s="10"/>
      <c r="C151" s="10" t="s">
        <v>50</v>
      </c>
      <c r="E151" s="6">
        <v>4721567</v>
      </c>
      <c r="G151" s="6">
        <v>55397307</v>
      </c>
      <c r="I151" s="6">
        <v>0</v>
      </c>
      <c r="K151" s="6">
        <f t="shared" si="20"/>
        <v>60118874</v>
      </c>
      <c r="M151" s="6">
        <f>49195475+9936314+522806+522806</f>
        <v>60177401</v>
      </c>
      <c r="O151" s="6">
        <v>0</v>
      </c>
      <c r="Q151" s="6">
        <v>142564676</v>
      </c>
      <c r="S151" s="6">
        <v>-21491596</v>
      </c>
      <c r="U151" s="6">
        <v>0</v>
      </c>
      <c r="W151" s="6">
        <v>0</v>
      </c>
      <c r="Y151" s="6">
        <f>130000+6485271</f>
        <v>6615271</v>
      </c>
      <c r="Z151" s="44"/>
      <c r="AA151" s="6">
        <v>0</v>
      </c>
      <c r="AC151" s="6">
        <v>0</v>
      </c>
      <c r="AE151" s="6">
        <f t="shared" si="23"/>
        <v>187865752</v>
      </c>
      <c r="AF151" s="6"/>
      <c r="AG151" s="6">
        <f>+AE151+K151</f>
        <v>247984626</v>
      </c>
    </row>
    <row r="152" spans="1:34" ht="12" customHeight="1">
      <c r="A152" s="11" t="s">
        <v>889</v>
      </c>
      <c r="B152" s="10"/>
      <c r="C152" s="10" t="s">
        <v>32</v>
      </c>
      <c r="E152" s="6">
        <v>478717</v>
      </c>
      <c r="G152" s="6">
        <v>1220920</v>
      </c>
      <c r="I152" s="6">
        <v>0</v>
      </c>
      <c r="K152" s="6">
        <f t="shared" si="20"/>
        <v>1699637</v>
      </c>
      <c r="M152" s="6">
        <f>8160529+397563</f>
        <v>8558092</v>
      </c>
      <c r="O152" s="6">
        <v>0</v>
      </c>
      <c r="Q152" s="6">
        <v>4310540</v>
      </c>
      <c r="S152" s="6">
        <v>14375</v>
      </c>
      <c r="U152" s="6">
        <v>434265</v>
      </c>
      <c r="W152" s="6">
        <v>19268</v>
      </c>
      <c r="Y152" s="6">
        <v>79509</v>
      </c>
      <c r="Z152" s="44"/>
      <c r="AA152" s="6">
        <v>0</v>
      </c>
      <c r="AC152" s="6">
        <v>0</v>
      </c>
      <c r="AE152" s="6">
        <f>SUM(M152:AC152)</f>
        <v>13416049</v>
      </c>
      <c r="AF152" s="6"/>
      <c r="AG152" s="6">
        <f>+AE152+K152</f>
        <v>15115686</v>
      </c>
    </row>
    <row r="153" spans="1:34" ht="12" hidden="1" customHeight="1">
      <c r="A153" s="11" t="s">
        <v>658</v>
      </c>
      <c r="B153" s="10"/>
      <c r="C153" s="10" t="s">
        <v>22</v>
      </c>
      <c r="K153" s="6">
        <f t="shared" si="20"/>
        <v>0</v>
      </c>
      <c r="Z153" s="44"/>
      <c r="AE153" s="6">
        <f>SUM(M153:AC153)</f>
        <v>0</v>
      </c>
      <c r="AF153" s="6"/>
      <c r="AG153" s="6">
        <f>+AE153+K153</f>
        <v>0</v>
      </c>
    </row>
    <row r="154" spans="1:34" ht="12" customHeight="1">
      <c r="A154" s="11" t="s">
        <v>742</v>
      </c>
      <c r="B154" s="11"/>
      <c r="C154" s="11" t="s">
        <v>23</v>
      </c>
      <c r="E154" s="6">
        <v>3105875</v>
      </c>
      <c r="G154" s="6">
        <v>4705079</v>
      </c>
      <c r="I154" s="6">
        <v>0</v>
      </c>
      <c r="K154" s="6">
        <f t="shared" si="20"/>
        <v>7810954</v>
      </c>
      <c r="M154" s="6">
        <f>27391062+3120099+1822135</f>
        <v>32333296</v>
      </c>
      <c r="O154" s="6">
        <v>0</v>
      </c>
      <c r="Q154" s="6">
        <v>17179605</v>
      </c>
      <c r="S154" s="6">
        <v>4576</v>
      </c>
      <c r="U154" s="6">
        <v>0</v>
      </c>
      <c r="W154" s="6">
        <v>0</v>
      </c>
      <c r="Y154" s="6">
        <v>724782</v>
      </c>
      <c r="Z154" s="44"/>
      <c r="AA154" s="6">
        <v>0</v>
      </c>
      <c r="AC154" s="6">
        <v>0</v>
      </c>
      <c r="AE154" s="6">
        <f t="shared" ref="AE154:AE155" si="25">SUM(M154:AC154)</f>
        <v>50242259</v>
      </c>
      <c r="AF154" s="6"/>
      <c r="AG154" s="6">
        <f t="shared" ref="AG154:AG156" si="26">+AE154+K154</f>
        <v>58053213</v>
      </c>
    </row>
    <row r="155" spans="1:34" s="6" customFormat="1" ht="12" customHeight="1">
      <c r="A155" s="11" t="s">
        <v>201</v>
      </c>
      <c r="B155" s="11"/>
      <c r="C155" s="11" t="s">
        <v>10</v>
      </c>
      <c r="D155" s="9"/>
      <c r="E155" s="6">
        <v>1227739</v>
      </c>
      <c r="G155" s="6">
        <v>1864848</v>
      </c>
      <c r="I155" s="6">
        <v>0</v>
      </c>
      <c r="K155" s="6">
        <f t="shared" ref="K155:K226" si="27">SUM(E155:J155)</f>
        <v>3092587</v>
      </c>
      <c r="M155" s="6">
        <f>3719215+218552</f>
        <v>3937767</v>
      </c>
      <c r="O155" s="6">
        <v>38562</v>
      </c>
      <c r="Q155" s="6">
        <v>3769418</v>
      </c>
      <c r="S155" s="6">
        <v>15251</v>
      </c>
      <c r="U155" s="6">
        <v>0</v>
      </c>
      <c r="W155" s="6">
        <v>0</v>
      </c>
      <c r="Y155" s="6">
        <v>48063</v>
      </c>
      <c r="Z155" s="44"/>
      <c r="AA155" s="6">
        <v>0</v>
      </c>
      <c r="AC155" s="6">
        <v>0</v>
      </c>
      <c r="AE155" s="6">
        <f t="shared" si="25"/>
        <v>7809061</v>
      </c>
      <c r="AG155" s="6">
        <f t="shared" si="26"/>
        <v>10901648</v>
      </c>
    </row>
    <row r="156" spans="1:34" ht="12" customHeight="1">
      <c r="A156" s="10" t="s">
        <v>534</v>
      </c>
      <c r="B156" s="10"/>
      <c r="C156" s="10" t="s">
        <v>65</v>
      </c>
      <c r="E156" s="6">
        <v>1148747</v>
      </c>
      <c r="G156" s="6">
        <v>1649753</v>
      </c>
      <c r="I156" s="6">
        <v>0</v>
      </c>
      <c r="K156" s="6">
        <f t="shared" si="27"/>
        <v>2798500</v>
      </c>
      <c r="M156" s="6">
        <f>11194715+564194+118777</f>
        <v>11877686</v>
      </c>
      <c r="O156" s="6">
        <v>0</v>
      </c>
      <c r="Q156" s="6">
        <v>9493676</v>
      </c>
      <c r="S156" s="6">
        <v>19175</v>
      </c>
      <c r="U156" s="6">
        <v>0</v>
      </c>
      <c r="W156" s="6">
        <v>0</v>
      </c>
      <c r="Y156" s="6">
        <v>98926</v>
      </c>
      <c r="Z156" s="44"/>
      <c r="AA156" s="6">
        <v>0</v>
      </c>
      <c r="AC156" s="6">
        <v>0</v>
      </c>
      <c r="AE156" s="6">
        <f t="shared" ref="AE156:AE226" si="28">SUM(M156:AC156)</f>
        <v>21489463</v>
      </c>
      <c r="AF156" s="6"/>
      <c r="AG156" s="6">
        <f t="shared" si="26"/>
        <v>24287963</v>
      </c>
      <c r="AH156" s="8" t="s">
        <v>129</v>
      </c>
    </row>
    <row r="157" spans="1:34" s="6" customFormat="1" ht="12" customHeight="1">
      <c r="A157" s="11" t="s">
        <v>302</v>
      </c>
      <c r="B157" s="11"/>
      <c r="C157" s="11" t="s">
        <v>27</v>
      </c>
      <c r="E157" s="6">
        <v>3277523</v>
      </c>
      <c r="G157" s="6">
        <v>5234475</v>
      </c>
      <c r="I157" s="6">
        <v>0</v>
      </c>
      <c r="K157" s="6">
        <f t="shared" si="27"/>
        <v>8511998</v>
      </c>
      <c r="M157" s="6">
        <f>128597760+18930881</f>
        <v>147528641</v>
      </c>
      <c r="O157" s="6">
        <v>0</v>
      </c>
      <c r="Q157" s="6">
        <v>33841013</v>
      </c>
      <c r="S157" s="6">
        <v>183027</v>
      </c>
      <c r="U157" s="6">
        <v>0</v>
      </c>
      <c r="W157" s="6">
        <v>0</v>
      </c>
      <c r="Y157" s="6">
        <v>295343</v>
      </c>
      <c r="Z157" s="44"/>
      <c r="AA157" s="6">
        <v>-108560</v>
      </c>
      <c r="AC157" s="6">
        <v>0</v>
      </c>
      <c r="AE157" s="6">
        <f t="shared" si="28"/>
        <v>181739464</v>
      </c>
      <c r="AG157" s="6">
        <f t="shared" ref="AG157:AG226" si="29">+AE157+K157</f>
        <v>190251462</v>
      </c>
    </row>
    <row r="158" spans="1:34" ht="12" customHeight="1">
      <c r="A158" s="11" t="s">
        <v>266</v>
      </c>
      <c r="B158" s="10"/>
      <c r="C158" s="10" t="s">
        <v>20</v>
      </c>
      <c r="E158" s="6">
        <v>3798872</v>
      </c>
      <c r="G158" s="6">
        <v>11090287</v>
      </c>
      <c r="I158" s="6">
        <v>0</v>
      </c>
      <c r="K158" s="6">
        <f t="shared" si="27"/>
        <v>14889159</v>
      </c>
      <c r="M158" s="6">
        <f>8848913+855317+96532</f>
        <v>9800762</v>
      </c>
      <c r="O158" s="6">
        <v>0</v>
      </c>
      <c r="Q158" s="6">
        <v>36069614</v>
      </c>
      <c r="S158" s="6">
        <v>206817</v>
      </c>
      <c r="U158" s="6">
        <v>0</v>
      </c>
      <c r="W158" s="6">
        <v>10369</v>
      </c>
      <c r="Y158" s="6">
        <v>1437546</v>
      </c>
      <c r="Z158" s="44"/>
      <c r="AA158" s="6">
        <v>0</v>
      </c>
      <c r="AC158" s="6">
        <v>0</v>
      </c>
      <c r="AE158" s="6">
        <f t="shared" si="28"/>
        <v>47525108</v>
      </c>
      <c r="AF158" s="6"/>
      <c r="AG158" s="6">
        <f t="shared" si="29"/>
        <v>62414267</v>
      </c>
    </row>
    <row r="159" spans="1:34" ht="12" customHeight="1">
      <c r="A159" s="10" t="s">
        <v>244</v>
      </c>
      <c r="B159" s="10"/>
      <c r="C159" s="10" t="s">
        <v>18</v>
      </c>
      <c r="D159" s="5"/>
      <c r="E159" s="6">
        <v>1064112</v>
      </c>
      <c r="G159" s="6">
        <v>2545958</v>
      </c>
      <c r="I159" s="6">
        <v>97938</v>
      </c>
      <c r="K159" s="6">
        <f t="shared" si="27"/>
        <v>3708008</v>
      </c>
      <c r="M159" s="6">
        <f>2506019+277767+298936+48672</f>
        <v>3131394</v>
      </c>
      <c r="O159" s="6">
        <v>0</v>
      </c>
      <c r="Q159" s="6">
        <v>7550789</v>
      </c>
      <c r="S159" s="6">
        <v>41942</v>
      </c>
      <c r="U159" s="6">
        <v>0</v>
      </c>
      <c r="W159" s="6">
        <v>0</v>
      </c>
      <c r="Y159" s="6">
        <f>1330+81767</f>
        <v>83097</v>
      </c>
      <c r="Z159" s="44"/>
      <c r="AA159" s="6">
        <v>0</v>
      </c>
      <c r="AC159" s="6">
        <v>0</v>
      </c>
      <c r="AE159" s="6">
        <f t="shared" si="28"/>
        <v>10807222</v>
      </c>
      <c r="AF159" s="6"/>
      <c r="AG159" s="6">
        <f t="shared" si="29"/>
        <v>14515230</v>
      </c>
    </row>
    <row r="160" spans="1:34" ht="12.75" customHeight="1">
      <c r="A160" s="10" t="s">
        <v>320</v>
      </c>
      <c r="B160" s="10"/>
      <c r="C160" s="10" t="s">
        <v>31</v>
      </c>
      <c r="E160" s="6">
        <v>1725831</v>
      </c>
      <c r="G160" s="6">
        <v>1900789</v>
      </c>
      <c r="I160" s="6">
        <v>0</v>
      </c>
      <c r="K160" s="6">
        <f t="shared" si="27"/>
        <v>3626620</v>
      </c>
      <c r="M160" s="6">
        <f>2173302+667033+38666</f>
        <v>2879001</v>
      </c>
      <c r="O160" s="6">
        <v>0</v>
      </c>
      <c r="Q160" s="6">
        <v>6512070</v>
      </c>
      <c r="S160" s="6">
        <v>19896</v>
      </c>
      <c r="U160" s="6">
        <v>0</v>
      </c>
      <c r="W160" s="6">
        <v>75314</v>
      </c>
      <c r="Y160" s="6">
        <v>577934</v>
      </c>
      <c r="Z160" s="44"/>
      <c r="AA160" s="6">
        <v>0</v>
      </c>
      <c r="AC160" s="6">
        <v>0</v>
      </c>
      <c r="AE160" s="6">
        <f t="shared" si="28"/>
        <v>10064215</v>
      </c>
      <c r="AF160" s="6"/>
      <c r="AG160" s="6">
        <f t="shared" si="29"/>
        <v>13690835</v>
      </c>
    </row>
    <row r="161" spans="1:33" ht="12" customHeight="1">
      <c r="A161" s="10" t="s">
        <v>353</v>
      </c>
      <c r="B161" s="10"/>
      <c r="C161" s="10" t="s">
        <v>36</v>
      </c>
      <c r="E161" s="6">
        <v>1559049</v>
      </c>
      <c r="G161" s="6">
        <v>2381381</v>
      </c>
      <c r="I161" s="6">
        <v>0</v>
      </c>
      <c r="K161" s="6">
        <f t="shared" si="27"/>
        <v>3940430</v>
      </c>
      <c r="M161" s="6">
        <f>7670546+274347+291294</f>
        <v>8236187</v>
      </c>
      <c r="O161" s="6">
        <v>0</v>
      </c>
      <c r="Q161" s="6">
        <v>6059601</v>
      </c>
      <c r="S161" s="6">
        <v>42494</v>
      </c>
      <c r="U161" s="6">
        <v>0</v>
      </c>
      <c r="W161" s="6">
        <v>0</v>
      </c>
      <c r="Y161" s="6">
        <v>77480</v>
      </c>
      <c r="Z161" s="44"/>
      <c r="AA161" s="6">
        <v>0</v>
      </c>
      <c r="AC161" s="6">
        <v>0</v>
      </c>
      <c r="AE161" s="6">
        <f t="shared" si="28"/>
        <v>14415762</v>
      </c>
      <c r="AF161" s="6"/>
      <c r="AG161" s="6">
        <f t="shared" si="29"/>
        <v>18356192</v>
      </c>
    </row>
    <row r="162" spans="1:33" ht="12" hidden="1" customHeight="1">
      <c r="A162" s="11" t="s">
        <v>659</v>
      </c>
      <c r="B162" s="11"/>
      <c r="C162" s="11" t="s">
        <v>40</v>
      </c>
      <c r="K162" s="6">
        <f t="shared" si="27"/>
        <v>0</v>
      </c>
      <c r="Z162" s="44"/>
      <c r="AE162" s="6">
        <f t="shared" si="28"/>
        <v>0</v>
      </c>
      <c r="AF162" s="6"/>
      <c r="AG162" s="6">
        <f t="shared" si="29"/>
        <v>0</v>
      </c>
    </row>
    <row r="163" spans="1:33" ht="12" customHeight="1">
      <c r="A163" s="10" t="s">
        <v>248</v>
      </c>
      <c r="B163" s="10"/>
      <c r="C163" s="10" t="s">
        <v>112</v>
      </c>
      <c r="D163" s="5"/>
      <c r="E163" s="6">
        <v>1224303</v>
      </c>
      <c r="G163" s="6">
        <v>4037955</v>
      </c>
      <c r="I163" s="6">
        <v>4428</v>
      </c>
      <c r="K163" s="6">
        <f t="shared" si="27"/>
        <v>5266686</v>
      </c>
      <c r="M163" s="6">
        <f>3735355+239276+61371</f>
        <v>4036002</v>
      </c>
      <c r="O163" s="6">
        <v>0</v>
      </c>
      <c r="Q163" s="6">
        <v>18295765</v>
      </c>
      <c r="S163" s="6">
        <v>39262</v>
      </c>
      <c r="U163" s="6">
        <v>0</v>
      </c>
      <c r="W163" s="6">
        <v>0</v>
      </c>
      <c r="Y163" s="6">
        <v>166210</v>
      </c>
      <c r="Z163" s="44"/>
      <c r="AA163" s="6">
        <v>0</v>
      </c>
      <c r="AC163" s="6">
        <v>0</v>
      </c>
      <c r="AE163" s="6">
        <f t="shared" si="28"/>
        <v>22537239</v>
      </c>
      <c r="AF163" s="6"/>
      <c r="AG163" s="6">
        <f t="shared" si="29"/>
        <v>27803925</v>
      </c>
    </row>
    <row r="164" spans="1:33" ht="12" customHeight="1">
      <c r="A164" s="10" t="s">
        <v>443</v>
      </c>
      <c r="B164" s="10"/>
      <c r="C164" s="10" t="s">
        <v>51</v>
      </c>
      <c r="E164" s="6">
        <v>2180322</v>
      </c>
      <c r="G164" s="6">
        <v>2108266</v>
      </c>
      <c r="I164" s="6">
        <v>108010</v>
      </c>
      <c r="K164" s="6">
        <f t="shared" si="27"/>
        <v>4396598</v>
      </c>
      <c r="M164" s="6">
        <f>7309781+753231+700042+132470</f>
        <v>8895524</v>
      </c>
      <c r="O164" s="6">
        <v>0</v>
      </c>
      <c r="Q164" s="6">
        <v>9566055</v>
      </c>
      <c r="S164" s="6">
        <v>60480</v>
      </c>
      <c r="U164" s="6">
        <v>70353</v>
      </c>
      <c r="W164" s="6">
        <v>0</v>
      </c>
      <c r="Y164" s="6">
        <v>144466</v>
      </c>
      <c r="Z164" s="44"/>
      <c r="AA164" s="6">
        <v>0</v>
      </c>
      <c r="AC164" s="6">
        <v>0</v>
      </c>
      <c r="AE164" s="6">
        <f t="shared" si="28"/>
        <v>18736878</v>
      </c>
      <c r="AF164" s="6"/>
      <c r="AG164" s="6">
        <f t="shared" si="29"/>
        <v>23133476</v>
      </c>
    </row>
    <row r="165" spans="1:33" ht="12" customHeight="1">
      <c r="A165" s="10" t="s">
        <v>249</v>
      </c>
      <c r="B165" s="10"/>
      <c r="C165" s="10" t="s">
        <v>112</v>
      </c>
      <c r="D165" s="5"/>
      <c r="E165" s="6">
        <v>764420</v>
      </c>
      <c r="G165" s="6">
        <v>1070071</v>
      </c>
      <c r="I165" s="6">
        <v>6856</v>
      </c>
      <c r="K165" s="6">
        <f t="shared" si="27"/>
        <v>1841347</v>
      </c>
      <c r="M165" s="6">
        <f>2210421+550604+43123</f>
        <v>2804148</v>
      </c>
      <c r="O165" s="6">
        <v>0</v>
      </c>
      <c r="Q165" s="6">
        <v>7234159</v>
      </c>
      <c r="S165" s="6">
        <v>7910</v>
      </c>
      <c r="U165" s="6">
        <v>0</v>
      </c>
      <c r="W165" s="6">
        <v>0</v>
      </c>
      <c r="Y165" s="6">
        <v>58390</v>
      </c>
      <c r="Z165" s="44"/>
      <c r="AA165" s="6">
        <v>0</v>
      </c>
      <c r="AC165" s="6">
        <v>0</v>
      </c>
      <c r="AE165" s="6">
        <f t="shared" si="28"/>
        <v>10104607</v>
      </c>
      <c r="AF165" s="6"/>
      <c r="AG165" s="6">
        <f t="shared" si="29"/>
        <v>11945954</v>
      </c>
    </row>
    <row r="166" spans="1:33" ht="12" customHeight="1">
      <c r="A166" s="10" t="s">
        <v>218</v>
      </c>
      <c r="B166" s="10"/>
      <c r="C166" s="10" t="s">
        <v>77</v>
      </c>
      <c r="D166" s="5"/>
      <c r="E166" s="6">
        <v>1094678</v>
      </c>
      <c r="G166" s="6">
        <v>1876670</v>
      </c>
      <c r="I166" s="6">
        <v>0</v>
      </c>
      <c r="K166" s="6">
        <f t="shared" si="27"/>
        <v>2971348</v>
      </c>
      <c r="M166" s="6">
        <f>2804668+50954+645351+140818</f>
        <v>3641791</v>
      </c>
      <c r="O166" s="6">
        <v>0</v>
      </c>
      <c r="Q166" s="6">
        <f>7620206+25697</f>
        <v>7645903</v>
      </c>
      <c r="S166" s="6">
        <v>17508</v>
      </c>
      <c r="U166" s="6">
        <v>51360</v>
      </c>
      <c r="W166" s="6">
        <v>21018</v>
      </c>
      <c r="Y166" s="6">
        <v>78748</v>
      </c>
      <c r="Z166" s="44"/>
      <c r="AA166" s="6">
        <v>0</v>
      </c>
      <c r="AC166" s="6">
        <v>-3609908</v>
      </c>
      <c r="AE166" s="6">
        <f t="shared" si="28"/>
        <v>7846420</v>
      </c>
      <c r="AF166" s="6"/>
      <c r="AG166" s="6">
        <f t="shared" si="29"/>
        <v>10817768</v>
      </c>
    </row>
    <row r="167" spans="1:33" ht="12" customHeight="1">
      <c r="A167" s="10" t="s">
        <v>218</v>
      </c>
      <c r="B167" s="10"/>
      <c r="C167" s="10" t="s">
        <v>420</v>
      </c>
      <c r="D167" s="5"/>
      <c r="E167" s="6">
        <v>864441</v>
      </c>
      <c r="G167" s="6">
        <v>1240667</v>
      </c>
      <c r="I167" s="6">
        <v>0</v>
      </c>
      <c r="K167" s="6">
        <f t="shared" si="27"/>
        <v>2105108</v>
      </c>
      <c r="M167" s="6">
        <f>1466103+161615+25892</f>
        <v>1653610</v>
      </c>
      <c r="O167" s="6">
        <v>0</v>
      </c>
      <c r="Q167" s="6">
        <v>5459411</v>
      </c>
      <c r="S167" s="6">
        <v>5584</v>
      </c>
      <c r="U167" s="6">
        <v>0</v>
      </c>
      <c r="W167" s="6">
        <v>113948</v>
      </c>
      <c r="Y167" s="6">
        <v>28689</v>
      </c>
      <c r="Z167" s="44"/>
      <c r="AA167" s="6">
        <v>0</v>
      </c>
      <c r="AC167" s="6">
        <v>0</v>
      </c>
      <c r="AE167" s="6">
        <f t="shared" si="28"/>
        <v>7261242</v>
      </c>
      <c r="AF167" s="6"/>
      <c r="AG167" s="6">
        <f t="shared" si="29"/>
        <v>9366350</v>
      </c>
    </row>
    <row r="168" spans="1:33" ht="12" hidden="1" customHeight="1">
      <c r="A168" s="11" t="s">
        <v>660</v>
      </c>
      <c r="B168" s="10"/>
      <c r="C168" s="10" t="s">
        <v>55</v>
      </c>
      <c r="K168" s="6">
        <f t="shared" si="27"/>
        <v>0</v>
      </c>
      <c r="Z168" s="44"/>
      <c r="AE168" s="6">
        <f t="shared" si="28"/>
        <v>0</v>
      </c>
      <c r="AF168" s="6"/>
      <c r="AG168" s="6">
        <f t="shared" si="29"/>
        <v>0</v>
      </c>
    </row>
    <row r="169" spans="1:33" ht="12" customHeight="1">
      <c r="A169" s="10" t="s">
        <v>555</v>
      </c>
      <c r="B169" s="10"/>
      <c r="C169" s="10" t="s">
        <v>72</v>
      </c>
      <c r="E169" s="6">
        <v>1332442</v>
      </c>
      <c r="G169" s="6">
        <v>1565317</v>
      </c>
      <c r="I169" s="6">
        <v>0</v>
      </c>
      <c r="K169" s="6">
        <f t="shared" si="27"/>
        <v>2897759</v>
      </c>
      <c r="M169" s="6">
        <f>4882436+250951+238360</f>
        <v>5371747</v>
      </c>
      <c r="O169" s="6">
        <v>1721819</v>
      </c>
      <c r="Q169" s="6">
        <v>7208622</v>
      </c>
      <c r="S169" s="6">
        <v>125899</v>
      </c>
      <c r="U169" s="6">
        <v>480000</v>
      </c>
      <c r="W169" s="6">
        <v>0</v>
      </c>
      <c r="Y169" s="6">
        <v>6610</v>
      </c>
      <c r="Z169" s="44"/>
      <c r="AA169" s="6">
        <v>0</v>
      </c>
      <c r="AC169" s="6">
        <v>0</v>
      </c>
      <c r="AE169" s="6">
        <f t="shared" si="28"/>
        <v>14914697</v>
      </c>
      <c r="AF169" s="6"/>
      <c r="AG169" s="6">
        <f t="shared" si="29"/>
        <v>17812456</v>
      </c>
    </row>
    <row r="170" spans="1:33" ht="12" hidden="1" customHeight="1">
      <c r="A170" s="10" t="s">
        <v>870</v>
      </c>
      <c r="B170" s="10"/>
      <c r="C170" s="10" t="s">
        <v>57</v>
      </c>
      <c r="E170" s="6">
        <v>0</v>
      </c>
      <c r="G170" s="6">
        <v>0</v>
      </c>
      <c r="I170" s="6">
        <v>0</v>
      </c>
      <c r="K170" s="6">
        <f t="shared" si="27"/>
        <v>0</v>
      </c>
      <c r="M170" s="6">
        <v>0</v>
      </c>
      <c r="O170" s="6">
        <v>0</v>
      </c>
      <c r="Q170" s="6">
        <v>0</v>
      </c>
      <c r="S170" s="6">
        <v>0</v>
      </c>
      <c r="U170" s="6">
        <v>0</v>
      </c>
      <c r="W170" s="6">
        <v>0</v>
      </c>
      <c r="Y170" s="6">
        <v>0</v>
      </c>
      <c r="Z170" s="44"/>
      <c r="AA170" s="6">
        <v>0</v>
      </c>
      <c r="AC170" s="6">
        <v>0</v>
      </c>
      <c r="AE170" s="6">
        <f t="shared" si="28"/>
        <v>0</v>
      </c>
      <c r="AF170" s="6"/>
      <c r="AG170" s="6">
        <f t="shared" si="29"/>
        <v>0</v>
      </c>
    </row>
    <row r="171" spans="1:33" ht="12" hidden="1" customHeight="1">
      <c r="A171" s="10" t="s">
        <v>661</v>
      </c>
      <c r="B171" s="10"/>
      <c r="C171" s="10" t="s">
        <v>552</v>
      </c>
      <c r="K171" s="6">
        <f t="shared" si="27"/>
        <v>0</v>
      </c>
      <c r="Z171" s="44"/>
      <c r="AE171" s="6">
        <f t="shared" si="28"/>
        <v>0</v>
      </c>
      <c r="AF171" s="6"/>
      <c r="AG171" s="6">
        <f t="shared" si="29"/>
        <v>0</v>
      </c>
    </row>
    <row r="172" spans="1:33" ht="12" customHeight="1">
      <c r="A172" s="10" t="s">
        <v>662</v>
      </c>
      <c r="B172" s="10"/>
      <c r="C172" s="10" t="s">
        <v>221</v>
      </c>
      <c r="D172" s="5"/>
      <c r="E172" s="6">
        <v>1937949</v>
      </c>
      <c r="G172" s="6">
        <v>4130792</v>
      </c>
      <c r="I172" s="6">
        <v>35000</v>
      </c>
      <c r="K172" s="6">
        <f t="shared" si="27"/>
        <v>6103741</v>
      </c>
      <c r="M172" s="6">
        <f>11086842+2550148+689802+189812</f>
        <v>14516604</v>
      </c>
      <c r="O172" s="6">
        <v>0</v>
      </c>
      <c r="Q172" s="6">
        <v>15866548</v>
      </c>
      <c r="S172" s="6">
        <v>36399</v>
      </c>
      <c r="U172" s="6">
        <v>109460</v>
      </c>
      <c r="W172" s="6">
        <v>0</v>
      </c>
      <c r="Y172" s="6">
        <f>102799+13626</f>
        <v>116425</v>
      </c>
      <c r="Z172" s="44"/>
      <c r="AA172" s="6">
        <v>0</v>
      </c>
      <c r="AC172" s="6">
        <v>0</v>
      </c>
      <c r="AE172" s="6">
        <f t="shared" si="28"/>
        <v>30645436</v>
      </c>
      <c r="AF172" s="6"/>
      <c r="AG172" s="6">
        <f t="shared" si="29"/>
        <v>36749177</v>
      </c>
    </row>
    <row r="173" spans="1:33" ht="12" customHeight="1">
      <c r="A173" s="10" t="s">
        <v>362</v>
      </c>
      <c r="B173" s="10"/>
      <c r="C173" s="10" t="s">
        <v>24</v>
      </c>
      <c r="E173" s="6">
        <v>1324426</v>
      </c>
      <c r="G173" s="6">
        <v>1475865</v>
      </c>
      <c r="I173" s="6">
        <v>0</v>
      </c>
      <c r="K173" s="6">
        <f t="shared" ref="K173" si="30">SUM(E173:J173)</f>
        <v>2800291</v>
      </c>
      <c r="M173" s="6">
        <f>5420595+562850</f>
        <v>5983445</v>
      </c>
      <c r="O173" s="6">
        <v>0</v>
      </c>
      <c r="Q173" s="6">
        <v>6942041</v>
      </c>
      <c r="S173" s="6">
        <v>12915</v>
      </c>
      <c r="U173" s="6">
        <v>0</v>
      </c>
      <c r="W173" s="6">
        <v>0</v>
      </c>
      <c r="Y173" s="6">
        <v>17247</v>
      </c>
      <c r="Z173" s="44"/>
      <c r="AA173" s="6">
        <v>0</v>
      </c>
      <c r="AC173" s="6">
        <v>0</v>
      </c>
      <c r="AE173" s="6">
        <f t="shared" ref="AE173" si="31">SUM(M173:AC173)</f>
        <v>12955648</v>
      </c>
      <c r="AF173" s="6"/>
      <c r="AG173" s="6">
        <f t="shared" ref="AG173" si="32">+AE173+K173</f>
        <v>15755939</v>
      </c>
    </row>
    <row r="174" spans="1:33" ht="12" customHeight="1">
      <c r="A174" s="10" t="s">
        <v>362</v>
      </c>
      <c r="B174" s="10"/>
      <c r="C174" s="10" t="s">
        <v>39</v>
      </c>
      <c r="E174" s="6">
        <v>1244984</v>
      </c>
      <c r="G174" s="6">
        <v>2835216</v>
      </c>
      <c r="I174" s="6">
        <v>0</v>
      </c>
      <c r="K174" s="6">
        <f t="shared" si="27"/>
        <v>4080200</v>
      </c>
      <c r="M174" s="6">
        <v>6860289</v>
      </c>
      <c r="O174" s="6">
        <v>0</v>
      </c>
      <c r="Q174" s="6">
        <v>8209438</v>
      </c>
      <c r="S174" s="6">
        <v>848</v>
      </c>
      <c r="U174" s="6">
        <v>0</v>
      </c>
      <c r="W174" s="6">
        <v>1148684</v>
      </c>
      <c r="Y174" s="6">
        <v>115458</v>
      </c>
      <c r="Z174" s="44"/>
      <c r="AA174" s="6">
        <v>0</v>
      </c>
      <c r="AC174" s="6">
        <v>0</v>
      </c>
      <c r="AE174" s="6">
        <f t="shared" si="28"/>
        <v>16334717</v>
      </c>
      <c r="AF174" s="6"/>
      <c r="AG174" s="6">
        <f t="shared" si="29"/>
        <v>20414917</v>
      </c>
    </row>
    <row r="175" spans="1:33" ht="12" hidden="1" customHeight="1">
      <c r="A175" s="11" t="s">
        <v>871</v>
      </c>
      <c r="B175" s="10"/>
      <c r="C175" s="10" t="s">
        <v>552</v>
      </c>
      <c r="K175" s="6">
        <f t="shared" si="27"/>
        <v>0</v>
      </c>
      <c r="Z175" s="44"/>
      <c r="AE175" s="6">
        <f t="shared" si="28"/>
        <v>0</v>
      </c>
      <c r="AF175" s="6"/>
      <c r="AG175" s="6">
        <f t="shared" si="29"/>
        <v>0</v>
      </c>
    </row>
    <row r="176" spans="1:33" ht="12" customHeight="1">
      <c r="A176" s="10" t="s">
        <v>677</v>
      </c>
      <c r="B176" s="10"/>
      <c r="C176" s="10" t="s">
        <v>46</v>
      </c>
      <c r="E176" s="6">
        <v>1350654</v>
      </c>
      <c r="G176" s="6">
        <v>1816211</v>
      </c>
      <c r="I176" s="6">
        <v>7200</v>
      </c>
      <c r="K176" s="6">
        <f t="shared" ref="K176" si="33">SUM(E176:J176)</f>
        <v>3174065</v>
      </c>
      <c r="M176" s="6">
        <f>3257466+67391+900286+43865</f>
        <v>4269008</v>
      </c>
      <c r="O176" s="6">
        <v>865719</v>
      </c>
      <c r="Q176" s="6">
        <v>7000885</v>
      </c>
      <c r="S176" s="6">
        <v>109552</v>
      </c>
      <c r="U176" s="6">
        <v>28000</v>
      </c>
      <c r="W176" s="6">
        <v>10206</v>
      </c>
      <c r="Y176" s="6">
        <v>294831</v>
      </c>
      <c r="Z176" s="44"/>
      <c r="AA176" s="6">
        <v>0</v>
      </c>
      <c r="AC176" s="6">
        <v>0</v>
      </c>
      <c r="AE176" s="6">
        <f t="shared" ref="AE176" si="34">SUM(M176:AC176)</f>
        <v>12578201</v>
      </c>
      <c r="AF176" s="6"/>
      <c r="AG176" s="6">
        <f t="shared" ref="AG176" si="35">+AE176+K176</f>
        <v>15752266</v>
      </c>
    </row>
    <row r="177" spans="1:33" ht="12" hidden="1" customHeight="1">
      <c r="A177" s="11" t="s">
        <v>663</v>
      </c>
      <c r="B177" s="11"/>
      <c r="C177" s="11" t="s">
        <v>10</v>
      </c>
      <c r="K177" s="6">
        <f t="shared" si="27"/>
        <v>0</v>
      </c>
      <c r="Z177" s="44"/>
      <c r="AE177" s="6">
        <f t="shared" si="28"/>
        <v>0</v>
      </c>
      <c r="AF177" s="6"/>
      <c r="AG177" s="6">
        <f t="shared" si="29"/>
        <v>0</v>
      </c>
    </row>
    <row r="178" spans="1:33" ht="12" hidden="1" customHeight="1">
      <c r="A178" s="10" t="s">
        <v>692</v>
      </c>
      <c r="B178" s="10"/>
      <c r="C178" s="10" t="s">
        <v>72</v>
      </c>
      <c r="K178" s="6">
        <f>SUM(E178:J178)</f>
        <v>0</v>
      </c>
      <c r="Z178" s="44"/>
      <c r="AE178" s="6">
        <f>SUM(M178:AC178)</f>
        <v>0</v>
      </c>
      <c r="AF178" s="6"/>
      <c r="AG178" s="6">
        <f>+AE178+K178</f>
        <v>0</v>
      </c>
    </row>
    <row r="179" spans="1:33" ht="12" customHeight="1">
      <c r="A179" s="10" t="s">
        <v>384</v>
      </c>
      <c r="B179" s="10"/>
      <c r="C179" s="10" t="s">
        <v>44</v>
      </c>
      <c r="E179" s="6">
        <v>1962855</v>
      </c>
      <c r="G179" s="6">
        <v>6059545</v>
      </c>
      <c r="I179" s="6">
        <v>604710</v>
      </c>
      <c r="K179" s="6">
        <f t="shared" si="27"/>
        <v>8627110</v>
      </c>
      <c r="M179" s="6">
        <f>30745255+2596719+582548</f>
        <v>33924522</v>
      </c>
      <c r="O179" s="6">
        <v>0</v>
      </c>
      <c r="Q179" s="6">
        <v>42437266</v>
      </c>
      <c r="S179" s="6">
        <v>48133</v>
      </c>
      <c r="U179" s="6">
        <v>0</v>
      </c>
      <c r="W179" s="6">
        <v>0</v>
      </c>
      <c r="Y179" s="6">
        <f>927387+169913</f>
        <v>1097300</v>
      </c>
      <c r="Z179" s="44"/>
      <c r="AA179" s="6">
        <v>-583839</v>
      </c>
      <c r="AC179" s="6">
        <v>0</v>
      </c>
      <c r="AE179" s="6">
        <f t="shared" si="28"/>
        <v>76923382</v>
      </c>
      <c r="AF179" s="6"/>
      <c r="AG179" s="6">
        <f t="shared" si="29"/>
        <v>85550492</v>
      </c>
    </row>
    <row r="180" spans="1:33" ht="12" customHeight="1">
      <c r="A180" s="10" t="s">
        <v>267</v>
      </c>
      <c r="B180" s="10"/>
      <c r="C180" s="10" t="s">
        <v>20</v>
      </c>
      <c r="E180" s="6">
        <v>599448</v>
      </c>
      <c r="G180" s="6">
        <v>6391584</v>
      </c>
      <c r="I180" s="6">
        <v>0</v>
      </c>
      <c r="K180" s="6">
        <f t="shared" si="27"/>
        <v>6991032</v>
      </c>
      <c r="M180" s="6">
        <f>31759316+3297770+785137</f>
        <v>35842223</v>
      </c>
      <c r="O180" s="6">
        <v>5885496</v>
      </c>
      <c r="Q180" s="6">
        <v>29756947</v>
      </c>
      <c r="S180" s="6">
        <v>46868</v>
      </c>
      <c r="U180" s="6">
        <v>109124</v>
      </c>
      <c r="W180" s="6">
        <v>0</v>
      </c>
      <c r="Y180" s="6">
        <v>70918</v>
      </c>
      <c r="Z180" s="44"/>
      <c r="AA180" s="6">
        <v>0</v>
      </c>
      <c r="AC180" s="6">
        <v>0</v>
      </c>
      <c r="AE180" s="6">
        <f t="shared" si="28"/>
        <v>71711576</v>
      </c>
      <c r="AF180" s="6"/>
      <c r="AG180" s="6">
        <f t="shared" si="29"/>
        <v>78702608</v>
      </c>
    </row>
    <row r="181" spans="1:33" ht="12" hidden="1" customHeight="1">
      <c r="A181" s="11" t="s">
        <v>619</v>
      </c>
      <c r="B181" s="10"/>
      <c r="C181" s="10" t="s">
        <v>28</v>
      </c>
      <c r="K181" s="6">
        <f t="shared" si="27"/>
        <v>0</v>
      </c>
      <c r="Z181" s="44"/>
      <c r="AE181" s="6">
        <f t="shared" si="28"/>
        <v>0</v>
      </c>
      <c r="AF181" s="6"/>
      <c r="AG181" s="6">
        <f t="shared" si="29"/>
        <v>0</v>
      </c>
    </row>
    <row r="182" spans="1:33" ht="12" customHeight="1">
      <c r="A182" s="10" t="s">
        <v>539</v>
      </c>
      <c r="B182" s="10"/>
      <c r="C182" s="10" t="s">
        <v>66</v>
      </c>
      <c r="E182" s="6">
        <v>754170</v>
      </c>
      <c r="G182" s="6">
        <v>789878</v>
      </c>
      <c r="I182" s="6">
        <v>0</v>
      </c>
      <c r="K182" s="6">
        <f t="shared" si="27"/>
        <v>1544048</v>
      </c>
      <c r="M182" s="6">
        <f>5304263+658525</f>
        <v>5962788</v>
      </c>
      <c r="O182" s="6">
        <v>1911214</v>
      </c>
      <c r="Q182" s="6">
        <v>2917048</v>
      </c>
      <c r="S182" s="6">
        <v>26994</v>
      </c>
      <c r="U182" s="6">
        <v>0</v>
      </c>
      <c r="W182" s="6">
        <v>0</v>
      </c>
      <c r="Y182" s="6">
        <v>25717</v>
      </c>
      <c r="Z182" s="44"/>
      <c r="AA182" s="6">
        <v>0</v>
      </c>
      <c r="AC182" s="6">
        <v>0</v>
      </c>
      <c r="AE182" s="6">
        <f t="shared" si="28"/>
        <v>10843761</v>
      </c>
      <c r="AF182" s="6"/>
      <c r="AG182" s="6">
        <f t="shared" si="29"/>
        <v>12387809</v>
      </c>
    </row>
    <row r="183" spans="1:33" ht="12" customHeight="1">
      <c r="A183" s="10" t="s">
        <v>626</v>
      </c>
      <c r="B183" s="10"/>
      <c r="C183" s="10" t="s">
        <v>114</v>
      </c>
      <c r="D183" s="5"/>
      <c r="E183" s="6">
        <v>1594723</v>
      </c>
      <c r="G183" s="6">
        <v>6064327</v>
      </c>
      <c r="I183" s="6">
        <v>0</v>
      </c>
      <c r="K183" s="6">
        <f>SUM(E183:J183)</f>
        <v>7659050</v>
      </c>
      <c r="M183" s="6">
        <f>16496227+1501030</f>
        <v>17997257</v>
      </c>
      <c r="O183" s="6">
        <v>3478808</v>
      </c>
      <c r="Q183" s="6">
        <v>19057334</v>
      </c>
      <c r="S183" s="6">
        <v>40119</v>
      </c>
      <c r="U183" s="6">
        <v>219187</v>
      </c>
      <c r="W183" s="6">
        <v>0</v>
      </c>
      <c r="Y183" s="6">
        <v>341867</v>
      </c>
      <c r="Z183" s="44"/>
      <c r="AA183" s="6">
        <v>0</v>
      </c>
      <c r="AC183" s="6">
        <v>0</v>
      </c>
      <c r="AE183" s="6">
        <f>SUM(M183:AC183)</f>
        <v>41134572</v>
      </c>
      <c r="AF183" s="6"/>
      <c r="AG183" s="6">
        <f>+AE183+K183</f>
        <v>48793622</v>
      </c>
    </row>
    <row r="184" spans="1:33" ht="12" customHeight="1">
      <c r="A184" s="10" t="s">
        <v>222</v>
      </c>
      <c r="B184" s="10"/>
      <c r="C184" s="10" t="s">
        <v>221</v>
      </c>
      <c r="D184" s="5"/>
      <c r="E184" s="6">
        <v>4990194</v>
      </c>
      <c r="G184" s="6">
        <v>9139717</v>
      </c>
      <c r="I184" s="6">
        <v>0</v>
      </c>
      <c r="K184" s="6">
        <f t="shared" si="27"/>
        <v>14129911</v>
      </c>
      <c r="M184" s="6">
        <f>41425991+3472619</f>
        <v>44898610</v>
      </c>
      <c r="O184" s="6">
        <v>0</v>
      </c>
      <c r="Q184" s="6">
        <v>28528713</v>
      </c>
      <c r="S184" s="6">
        <v>32417</v>
      </c>
      <c r="U184" s="6">
        <v>1360289</v>
      </c>
      <c r="W184" s="6">
        <v>13683</v>
      </c>
      <c r="Y184" s="6">
        <v>851094</v>
      </c>
      <c r="Z184" s="44"/>
      <c r="AA184" s="6">
        <v>0</v>
      </c>
      <c r="AC184" s="6">
        <v>0</v>
      </c>
      <c r="AE184" s="6">
        <f t="shared" ref="AE184:AE187" si="36">SUM(M184:AC184)</f>
        <v>75684806</v>
      </c>
      <c r="AF184" s="6"/>
      <c r="AG184" s="6">
        <f t="shared" ref="AG184:AG187" si="37">+AE184+K184</f>
        <v>89814717</v>
      </c>
    </row>
    <row r="185" spans="1:33" ht="12" customHeight="1">
      <c r="A185" s="10" t="s">
        <v>349</v>
      </c>
      <c r="B185" s="10"/>
      <c r="C185" s="10" t="s">
        <v>348</v>
      </c>
      <c r="E185" s="6">
        <v>746906</v>
      </c>
      <c r="G185" s="6">
        <v>1212983</v>
      </c>
      <c r="I185" s="6">
        <v>0</v>
      </c>
      <c r="K185" s="6">
        <f t="shared" si="27"/>
        <v>1959889</v>
      </c>
      <c r="M185" s="6">
        <f>1353462+171683+27561+280101</f>
        <v>1832807</v>
      </c>
      <c r="O185" s="6">
        <v>0</v>
      </c>
      <c r="Q185" s="6">
        <v>4827574</v>
      </c>
      <c r="S185" s="6">
        <v>12842</v>
      </c>
      <c r="U185" s="6">
        <v>0</v>
      </c>
      <c r="W185" s="6">
        <v>12127</v>
      </c>
      <c r="Y185" s="6">
        <v>49572</v>
      </c>
      <c r="Z185" s="44"/>
      <c r="AA185" s="6">
        <v>0</v>
      </c>
      <c r="AC185" s="6">
        <v>0</v>
      </c>
      <c r="AE185" s="6">
        <f t="shared" si="36"/>
        <v>6734922</v>
      </c>
      <c r="AF185" s="6"/>
      <c r="AG185" s="6">
        <f t="shared" si="37"/>
        <v>8694811</v>
      </c>
    </row>
    <row r="186" spans="1:33" ht="12" customHeight="1">
      <c r="A186" s="10" t="s">
        <v>294</v>
      </c>
      <c r="B186" s="10"/>
      <c r="C186" s="10" t="s">
        <v>25</v>
      </c>
      <c r="E186" s="6">
        <v>2176312</v>
      </c>
      <c r="G186" s="6">
        <v>2077336</v>
      </c>
      <c r="I186" s="6">
        <v>55669</v>
      </c>
      <c r="K186" s="6">
        <f t="shared" si="27"/>
        <v>4309317</v>
      </c>
      <c r="M186" s="6">
        <f>3787972+441996+227368</f>
        <v>4457336</v>
      </c>
      <c r="O186" s="6">
        <v>4644602</v>
      </c>
      <c r="Q186" s="6">
        <v>8865218</v>
      </c>
      <c r="S186" s="6">
        <v>17013</v>
      </c>
      <c r="U186" s="6">
        <v>0</v>
      </c>
      <c r="W186" s="6">
        <v>0</v>
      </c>
      <c r="Y186" s="6">
        <v>53259</v>
      </c>
      <c r="Z186" s="44"/>
      <c r="AA186" s="6">
        <v>0</v>
      </c>
      <c r="AC186" s="6">
        <v>0</v>
      </c>
      <c r="AE186" s="6">
        <f t="shared" si="36"/>
        <v>18037428</v>
      </c>
      <c r="AF186" s="6"/>
      <c r="AG186" s="6">
        <f t="shared" si="37"/>
        <v>22346745</v>
      </c>
    </row>
    <row r="187" spans="1:33" s="28" customFormat="1" ht="12" customHeight="1">
      <c r="A187" s="27" t="s">
        <v>368</v>
      </c>
      <c r="B187" s="27"/>
      <c r="C187" s="27" t="s">
        <v>366</v>
      </c>
      <c r="E187" s="6">
        <v>1232118</v>
      </c>
      <c r="F187" s="6"/>
      <c r="G187" s="6">
        <v>1888075</v>
      </c>
      <c r="H187" s="6"/>
      <c r="I187" s="6">
        <v>0</v>
      </c>
      <c r="J187" s="6"/>
      <c r="K187" s="6">
        <f t="shared" si="27"/>
        <v>3120193</v>
      </c>
      <c r="L187" s="6"/>
      <c r="M187" s="6">
        <f>3589968+197044+61086</f>
        <v>3848098</v>
      </c>
      <c r="N187" s="6"/>
      <c r="O187" s="6">
        <v>0</v>
      </c>
      <c r="P187" s="6"/>
      <c r="Q187" s="6">
        <v>9333668</v>
      </c>
      <c r="R187" s="6"/>
      <c r="S187" s="6">
        <v>20281</v>
      </c>
      <c r="T187" s="6"/>
      <c r="U187" s="6">
        <v>0</v>
      </c>
      <c r="V187" s="6"/>
      <c r="W187" s="6">
        <v>0</v>
      </c>
      <c r="X187" s="6"/>
      <c r="Y187" s="6">
        <f>3300+25362+23993</f>
        <v>52655</v>
      </c>
      <c r="Z187" s="44"/>
      <c r="AA187" s="6">
        <v>0</v>
      </c>
      <c r="AB187" s="6"/>
      <c r="AC187" s="6">
        <v>0</v>
      </c>
      <c r="AD187" s="6"/>
      <c r="AE187" s="6">
        <f t="shared" si="36"/>
        <v>13254702</v>
      </c>
      <c r="AF187" s="6"/>
      <c r="AG187" s="6">
        <f t="shared" si="37"/>
        <v>16374895</v>
      </c>
    </row>
    <row r="188" spans="1:33" ht="12" hidden="1" customHeight="1">
      <c r="A188" s="10" t="s">
        <v>620</v>
      </c>
      <c r="B188" s="10"/>
      <c r="C188" s="10" t="s">
        <v>61</v>
      </c>
      <c r="K188" s="6">
        <f t="shared" si="27"/>
        <v>0</v>
      </c>
      <c r="Z188" s="44"/>
      <c r="AE188" s="6">
        <f t="shared" si="28"/>
        <v>0</v>
      </c>
      <c r="AF188" s="6"/>
      <c r="AG188" s="6">
        <f t="shared" si="29"/>
        <v>0</v>
      </c>
    </row>
    <row r="189" spans="1:33" ht="12" customHeight="1">
      <c r="A189" s="10" t="s">
        <v>496</v>
      </c>
      <c r="B189" s="10"/>
      <c r="C189" s="10" t="s">
        <v>62</v>
      </c>
      <c r="E189" s="6">
        <v>1151925</v>
      </c>
      <c r="G189" s="6">
        <v>2665354</v>
      </c>
      <c r="I189" s="6">
        <v>0</v>
      </c>
      <c r="K189" s="6">
        <f t="shared" si="27"/>
        <v>3817279</v>
      </c>
      <c r="M189" s="6">
        <f>4651613+677167+70126</f>
        <v>5398906</v>
      </c>
      <c r="O189" s="6">
        <v>0</v>
      </c>
      <c r="Q189" s="6">
        <v>8127923</v>
      </c>
      <c r="S189" s="6">
        <v>4361</v>
      </c>
      <c r="U189" s="6">
        <v>0</v>
      </c>
      <c r="W189" s="6">
        <v>0</v>
      </c>
      <c r="Y189" s="6">
        <v>186841</v>
      </c>
      <c r="Z189" s="44"/>
      <c r="AA189" s="6">
        <v>0</v>
      </c>
      <c r="AC189" s="6">
        <v>0</v>
      </c>
      <c r="AE189" s="6">
        <f t="shared" si="28"/>
        <v>13718031</v>
      </c>
      <c r="AF189" s="6"/>
      <c r="AG189" s="6">
        <f t="shared" si="29"/>
        <v>17535310</v>
      </c>
    </row>
    <row r="190" spans="1:33" ht="12" hidden="1" customHeight="1">
      <c r="A190" s="10" t="s">
        <v>890</v>
      </c>
      <c r="B190" s="10"/>
      <c r="C190" s="10" t="s">
        <v>41</v>
      </c>
      <c r="K190" s="6">
        <f t="shared" si="27"/>
        <v>0</v>
      </c>
      <c r="Z190" s="44"/>
      <c r="AE190" s="6">
        <f t="shared" si="28"/>
        <v>0</v>
      </c>
      <c r="AF190" s="6"/>
      <c r="AG190" s="6">
        <f t="shared" si="29"/>
        <v>0</v>
      </c>
    </row>
    <row r="191" spans="1:33" ht="12" customHeight="1">
      <c r="A191" s="10" t="s">
        <v>268</v>
      </c>
      <c r="B191" s="10"/>
      <c r="C191" s="10" t="s">
        <v>20</v>
      </c>
      <c r="E191" s="28">
        <v>654264</v>
      </c>
      <c r="F191" s="28"/>
      <c r="G191" s="28">
        <v>1112626</v>
      </c>
      <c r="H191" s="28"/>
      <c r="I191" s="28">
        <v>0</v>
      </c>
      <c r="J191" s="28"/>
      <c r="K191" s="28">
        <f t="shared" si="27"/>
        <v>1766890</v>
      </c>
      <c r="L191" s="28"/>
      <c r="M191" s="28">
        <f>15697755+2166501</f>
        <v>17864256</v>
      </c>
      <c r="N191" s="28"/>
      <c r="O191" s="28">
        <v>0</v>
      </c>
      <c r="P191" s="28"/>
      <c r="Q191" s="28">
        <v>4773368</v>
      </c>
      <c r="R191" s="28"/>
      <c r="S191" s="28">
        <v>118471</v>
      </c>
      <c r="T191" s="28"/>
      <c r="U191" s="28">
        <v>0</v>
      </c>
      <c r="V191" s="28"/>
      <c r="W191" s="28">
        <v>0</v>
      </c>
      <c r="X191" s="28"/>
      <c r="Y191" s="28">
        <v>110185</v>
      </c>
      <c r="Z191" s="56"/>
      <c r="AA191" s="28">
        <v>0</v>
      </c>
      <c r="AB191" s="28"/>
      <c r="AC191" s="28">
        <v>0</v>
      </c>
      <c r="AD191" s="28"/>
      <c r="AE191" s="28">
        <f t="shared" si="28"/>
        <v>22866280</v>
      </c>
      <c r="AF191" s="28"/>
      <c r="AG191" s="28">
        <f t="shared" si="29"/>
        <v>24633170</v>
      </c>
    </row>
    <row r="192" spans="1:33" ht="12" hidden="1" customHeight="1">
      <c r="A192" s="10" t="s">
        <v>745</v>
      </c>
      <c r="B192" s="10"/>
      <c r="C192" s="10" t="s">
        <v>28</v>
      </c>
      <c r="K192" s="6">
        <f t="shared" si="27"/>
        <v>0</v>
      </c>
      <c r="Z192" s="44"/>
      <c r="AE192" s="6">
        <f t="shared" si="28"/>
        <v>0</v>
      </c>
      <c r="AF192" s="6"/>
      <c r="AG192" s="6">
        <f t="shared" si="29"/>
        <v>0</v>
      </c>
    </row>
    <row r="193" spans="1:33" ht="12" customHeight="1">
      <c r="A193" s="10" t="s">
        <v>219</v>
      </c>
      <c r="B193" s="10"/>
      <c r="C193" s="10" t="s">
        <v>77</v>
      </c>
      <c r="D193" s="5"/>
      <c r="E193" s="6">
        <v>1223721</v>
      </c>
      <c r="G193" s="6">
        <v>1293942</v>
      </c>
      <c r="I193" s="6">
        <v>0</v>
      </c>
      <c r="K193" s="6">
        <f t="shared" si="27"/>
        <v>2517663</v>
      </c>
      <c r="M193" s="6">
        <f>1702381+727672+83393+32263</f>
        <v>2545709</v>
      </c>
      <c r="O193" s="6">
        <v>0</v>
      </c>
      <c r="Q193" s="6">
        <v>4628892</v>
      </c>
      <c r="S193" s="6">
        <v>22897</v>
      </c>
      <c r="U193" s="6">
        <v>0</v>
      </c>
      <c r="W193" s="6">
        <v>9385</v>
      </c>
      <c r="Y193" s="6">
        <v>83203</v>
      </c>
      <c r="Z193" s="44"/>
      <c r="AA193" s="6">
        <v>0</v>
      </c>
      <c r="AC193" s="6">
        <v>0</v>
      </c>
      <c r="AE193" s="6">
        <f t="shared" si="28"/>
        <v>7290086</v>
      </c>
      <c r="AF193" s="6"/>
      <c r="AG193" s="6">
        <f t="shared" si="29"/>
        <v>9807749</v>
      </c>
    </row>
    <row r="194" spans="1:33" ht="12" customHeight="1">
      <c r="A194" s="11" t="s">
        <v>743</v>
      </c>
      <c r="B194" s="11"/>
      <c r="C194" s="11" t="s">
        <v>13</v>
      </c>
      <c r="D194" s="5"/>
      <c r="E194" s="6">
        <v>666265</v>
      </c>
      <c r="G194" s="6">
        <v>2246992</v>
      </c>
      <c r="I194" s="6">
        <v>0</v>
      </c>
      <c r="K194" s="6">
        <f t="shared" si="27"/>
        <v>2913257</v>
      </c>
      <c r="M194" s="6">
        <f>2664005+63506+446531+43888</f>
        <v>3217930</v>
      </c>
      <c r="O194" s="6">
        <v>0</v>
      </c>
      <c r="Q194" s="6">
        <v>7670633</v>
      </c>
      <c r="S194" s="6">
        <v>4517</v>
      </c>
      <c r="U194" s="6">
        <v>0</v>
      </c>
      <c r="W194" s="6">
        <v>1000</v>
      </c>
      <c r="Y194" s="6">
        <f>3437+59390</f>
        <v>62827</v>
      </c>
      <c r="Z194" s="44"/>
      <c r="AA194" s="6">
        <v>0</v>
      </c>
      <c r="AC194" s="6">
        <v>0</v>
      </c>
      <c r="AE194" s="6">
        <f t="shared" si="28"/>
        <v>10956907</v>
      </c>
      <c r="AF194" s="6"/>
      <c r="AG194" s="6">
        <f t="shared" si="29"/>
        <v>13870164</v>
      </c>
    </row>
    <row r="195" spans="1:33" ht="12" customHeight="1">
      <c r="A195" s="10" t="s">
        <v>239</v>
      </c>
      <c r="B195" s="10"/>
      <c r="C195" s="10" t="s">
        <v>113</v>
      </c>
      <c r="D195" s="5"/>
      <c r="E195" s="6">
        <v>755170</v>
      </c>
      <c r="G195" s="6">
        <v>1469134</v>
      </c>
      <c r="I195" s="6">
        <v>0</v>
      </c>
      <c r="K195" s="6">
        <f t="shared" si="27"/>
        <v>2224304</v>
      </c>
      <c r="M195" s="6">
        <f>1292599+158090</f>
        <v>1450689</v>
      </c>
      <c r="O195" s="6">
        <v>0</v>
      </c>
      <c r="Q195" s="6">
        <v>7217520</v>
      </c>
      <c r="S195" s="6">
        <v>13357</v>
      </c>
      <c r="U195" s="6">
        <v>0</v>
      </c>
      <c r="W195" s="6">
        <v>0</v>
      </c>
      <c r="Y195" s="6">
        <v>177786</v>
      </c>
      <c r="Z195" s="44"/>
      <c r="AA195" s="6">
        <v>0</v>
      </c>
      <c r="AC195" s="6">
        <v>0</v>
      </c>
      <c r="AE195" s="6">
        <f t="shared" si="28"/>
        <v>8859352</v>
      </c>
      <c r="AF195" s="6"/>
      <c r="AG195" s="6">
        <f t="shared" si="29"/>
        <v>11083656</v>
      </c>
    </row>
    <row r="196" spans="1:33" s="28" customFormat="1" ht="12" customHeight="1">
      <c r="A196" s="10" t="s">
        <v>720</v>
      </c>
      <c r="B196" s="27"/>
      <c r="C196" s="27" t="s">
        <v>56</v>
      </c>
      <c r="E196" s="6">
        <v>2327049</v>
      </c>
      <c r="F196" s="6"/>
      <c r="G196" s="6">
        <v>1918587</v>
      </c>
      <c r="H196" s="6"/>
      <c r="I196" s="6">
        <v>0</v>
      </c>
      <c r="J196" s="6"/>
      <c r="K196" s="6">
        <f t="shared" si="27"/>
        <v>4245636</v>
      </c>
      <c r="L196" s="6"/>
      <c r="M196" s="6">
        <f>7711420+1075325</f>
        <v>8786745</v>
      </c>
      <c r="N196" s="6"/>
      <c r="O196" s="6">
        <v>0</v>
      </c>
      <c r="P196" s="6"/>
      <c r="Q196" s="6">
        <v>8460525</v>
      </c>
      <c r="R196" s="6"/>
      <c r="S196" s="6">
        <v>4844</v>
      </c>
      <c r="T196" s="6"/>
      <c r="U196" s="6">
        <v>501598</v>
      </c>
      <c r="V196" s="6"/>
      <c r="W196" s="6">
        <v>0</v>
      </c>
      <c r="X196" s="6"/>
      <c r="Y196" s="6">
        <v>84977</v>
      </c>
      <c r="Z196" s="44"/>
      <c r="AA196" s="6">
        <v>0</v>
      </c>
      <c r="AB196" s="6"/>
      <c r="AC196" s="6">
        <v>0</v>
      </c>
      <c r="AD196" s="6"/>
      <c r="AE196" s="6">
        <f t="shared" si="28"/>
        <v>17838689</v>
      </c>
      <c r="AF196" s="6"/>
      <c r="AG196" s="6">
        <f t="shared" si="29"/>
        <v>22084325</v>
      </c>
    </row>
    <row r="197" spans="1:33" ht="12" customHeight="1">
      <c r="A197" s="10" t="s">
        <v>337</v>
      </c>
      <c r="B197" s="10"/>
      <c r="C197" s="10" t="s">
        <v>33</v>
      </c>
      <c r="E197" s="6">
        <v>4510622</v>
      </c>
      <c r="G197" s="6">
        <v>7411395</v>
      </c>
      <c r="I197" s="6">
        <v>11000</v>
      </c>
      <c r="K197" s="6">
        <f t="shared" si="27"/>
        <v>11933017</v>
      </c>
      <c r="M197" s="6">
        <f>26068254+3148655+1825682</f>
        <v>31042591</v>
      </c>
      <c r="O197" s="6">
        <v>0</v>
      </c>
      <c r="Q197" s="6">
        <v>26451719</v>
      </c>
      <c r="S197" s="6">
        <v>673443</v>
      </c>
      <c r="U197" s="6">
        <v>0</v>
      </c>
      <c r="W197" s="6">
        <v>0</v>
      </c>
      <c r="Y197" s="6">
        <v>693998</v>
      </c>
      <c r="Z197" s="44"/>
      <c r="AA197" s="6">
        <v>0</v>
      </c>
      <c r="AC197" s="6">
        <v>0</v>
      </c>
      <c r="AE197" s="6">
        <f t="shared" si="28"/>
        <v>58861751</v>
      </c>
      <c r="AF197" s="6"/>
      <c r="AG197" s="6">
        <f t="shared" si="29"/>
        <v>70794768</v>
      </c>
    </row>
    <row r="198" spans="1:33" ht="12" customHeight="1">
      <c r="A198" s="10" t="s">
        <v>322</v>
      </c>
      <c r="B198" s="10"/>
      <c r="C198" s="10" t="s">
        <v>32</v>
      </c>
      <c r="E198" s="6">
        <v>935549</v>
      </c>
      <c r="G198" s="6">
        <v>3478779</v>
      </c>
      <c r="I198" s="6">
        <v>0</v>
      </c>
      <c r="K198" s="6">
        <f t="shared" si="27"/>
        <v>4414328</v>
      </c>
      <c r="M198" s="6">
        <f>9951247+447701+215052</f>
        <v>10614000</v>
      </c>
      <c r="O198" s="6">
        <v>0</v>
      </c>
      <c r="Q198" s="6">
        <v>6455392</v>
      </c>
      <c r="S198" s="6">
        <v>2640</v>
      </c>
      <c r="U198" s="6">
        <v>310563</v>
      </c>
      <c r="W198" s="6">
        <v>7200</v>
      </c>
      <c r="Y198" s="6">
        <v>172758</v>
      </c>
      <c r="Z198" s="44"/>
      <c r="AA198" s="6">
        <v>0</v>
      </c>
      <c r="AC198" s="6">
        <v>0</v>
      </c>
      <c r="AE198" s="6">
        <f t="shared" si="28"/>
        <v>17562553</v>
      </c>
      <c r="AF198" s="6"/>
      <c r="AG198" s="6">
        <f t="shared" si="29"/>
        <v>21976881</v>
      </c>
    </row>
    <row r="199" spans="1:33" ht="12" customHeight="1">
      <c r="A199" s="10" t="s">
        <v>385</v>
      </c>
      <c r="B199" s="10"/>
      <c r="C199" s="10" t="s">
        <v>44</v>
      </c>
      <c r="E199" s="6">
        <v>1916371</v>
      </c>
      <c r="G199" s="6">
        <v>1343256</v>
      </c>
      <c r="I199" s="6">
        <v>0</v>
      </c>
      <c r="K199" s="6">
        <f t="shared" si="27"/>
        <v>3259627</v>
      </c>
      <c r="M199" s="6">
        <f>7410680+372028</f>
        <v>7782708</v>
      </c>
      <c r="O199" s="6">
        <v>0</v>
      </c>
      <c r="Q199" s="6">
        <v>8116583</v>
      </c>
      <c r="S199" s="6">
        <v>23313</v>
      </c>
      <c r="U199" s="6">
        <v>0</v>
      </c>
      <c r="W199" s="6">
        <v>0</v>
      </c>
      <c r="Y199" s="6">
        <v>116310</v>
      </c>
      <c r="Z199" s="44"/>
      <c r="AA199" s="6">
        <v>0</v>
      </c>
      <c r="AC199" s="6">
        <v>0</v>
      </c>
      <c r="AE199" s="6">
        <f t="shared" si="28"/>
        <v>16038914</v>
      </c>
      <c r="AF199" s="6"/>
      <c r="AG199" s="6">
        <f t="shared" si="29"/>
        <v>19298541</v>
      </c>
    </row>
    <row r="200" spans="1:33" ht="12" customHeight="1">
      <c r="A200" s="10" t="s">
        <v>323</v>
      </c>
      <c r="B200" s="10"/>
      <c r="C200" s="10" t="s">
        <v>32</v>
      </c>
      <c r="E200" s="6">
        <v>3423293</v>
      </c>
      <c r="G200" s="6">
        <v>4301965</v>
      </c>
      <c r="I200" s="6">
        <v>0</v>
      </c>
      <c r="K200" s="6">
        <f t="shared" si="27"/>
        <v>7725258</v>
      </c>
      <c r="M200" s="6">
        <f>37701248+1841330</f>
        <v>39542578</v>
      </c>
      <c r="O200" s="6">
        <v>0</v>
      </c>
      <c r="Q200" s="6">
        <v>23502080</v>
      </c>
      <c r="S200" s="6">
        <v>36978</v>
      </c>
      <c r="U200" s="6">
        <v>6655253</v>
      </c>
      <c r="W200" s="6">
        <v>0</v>
      </c>
      <c r="Y200" s="6">
        <v>1130897</v>
      </c>
      <c r="Z200" s="44"/>
      <c r="AA200" s="6">
        <v>0</v>
      </c>
      <c r="AC200" s="6">
        <v>0</v>
      </c>
      <c r="AE200" s="6">
        <f t="shared" si="28"/>
        <v>70867786</v>
      </c>
      <c r="AF200" s="6"/>
      <c r="AG200" s="6">
        <f t="shared" si="29"/>
        <v>78593044</v>
      </c>
    </row>
    <row r="201" spans="1:33" hidden="1">
      <c r="A201" s="11" t="s">
        <v>616</v>
      </c>
      <c r="B201" s="10"/>
      <c r="C201" s="10" t="s">
        <v>70</v>
      </c>
      <c r="K201" s="6">
        <f t="shared" si="27"/>
        <v>0</v>
      </c>
      <c r="Z201" s="44"/>
      <c r="AE201" s="6">
        <f t="shared" si="28"/>
        <v>0</v>
      </c>
      <c r="AF201" s="6"/>
      <c r="AG201" s="6">
        <f t="shared" si="29"/>
        <v>0</v>
      </c>
    </row>
    <row r="202" spans="1:33">
      <c r="A202" s="10" t="s">
        <v>490</v>
      </c>
      <c r="B202" s="10"/>
      <c r="C202" s="10" t="s">
        <v>61</v>
      </c>
      <c r="E202" s="6">
        <v>645345</v>
      </c>
      <c r="G202" s="6">
        <v>764380</v>
      </c>
      <c r="I202" s="6">
        <v>111686</v>
      </c>
      <c r="K202" s="6">
        <f t="shared" si="27"/>
        <v>1521411</v>
      </c>
      <c r="M202" s="6">
        <f>1622174+628908+135720+35716</f>
        <v>2422518</v>
      </c>
      <c r="O202" s="6">
        <v>1578917</v>
      </c>
      <c r="Q202" s="6">
        <v>3317087</v>
      </c>
      <c r="S202" s="6">
        <v>14239</v>
      </c>
      <c r="U202" s="6">
        <v>0</v>
      </c>
      <c r="W202" s="6">
        <v>0</v>
      </c>
      <c r="Y202" s="6">
        <v>15081</v>
      </c>
      <c r="Z202" s="44"/>
      <c r="AA202" s="6">
        <v>0</v>
      </c>
      <c r="AC202" s="6">
        <v>0</v>
      </c>
      <c r="AE202" s="6">
        <f t="shared" si="28"/>
        <v>7347842</v>
      </c>
      <c r="AF202" s="6"/>
      <c r="AG202" s="6">
        <f t="shared" si="29"/>
        <v>8869253</v>
      </c>
    </row>
    <row r="203" spans="1:33" hidden="1">
      <c r="A203" s="11" t="s">
        <v>764</v>
      </c>
      <c r="B203" s="11"/>
      <c r="C203" s="11" t="s">
        <v>422</v>
      </c>
      <c r="K203" s="6">
        <f t="shared" si="27"/>
        <v>0</v>
      </c>
      <c r="Z203" s="44"/>
      <c r="AE203" s="6">
        <f t="shared" si="28"/>
        <v>0</v>
      </c>
      <c r="AF203" s="6"/>
      <c r="AG203" s="6">
        <f t="shared" si="29"/>
        <v>0</v>
      </c>
    </row>
    <row r="204" spans="1:33" ht="12" hidden="1" customHeight="1">
      <c r="A204" s="10" t="s">
        <v>747</v>
      </c>
      <c r="B204" s="10"/>
      <c r="C204" s="10" t="s">
        <v>60</v>
      </c>
      <c r="K204" s="6">
        <f t="shared" si="27"/>
        <v>0</v>
      </c>
      <c r="Z204" s="44"/>
      <c r="AE204" s="6">
        <f t="shared" si="28"/>
        <v>0</v>
      </c>
      <c r="AF204" s="6"/>
      <c r="AG204" s="6">
        <f t="shared" si="29"/>
        <v>0</v>
      </c>
    </row>
    <row r="205" spans="1:33" ht="12" customHeight="1">
      <c r="A205" s="10" t="s">
        <v>544</v>
      </c>
      <c r="B205" s="10"/>
      <c r="C205" s="10" t="s">
        <v>69</v>
      </c>
      <c r="E205" s="6">
        <v>1888045</v>
      </c>
      <c r="G205" s="6">
        <v>2991810</v>
      </c>
      <c r="I205" s="6">
        <v>0</v>
      </c>
      <c r="K205" s="6">
        <f t="shared" si="27"/>
        <v>4879855</v>
      </c>
      <c r="M205" s="6">
        <f>13203966+421940+324533</f>
        <v>13950439</v>
      </c>
      <c r="O205" s="6">
        <v>0</v>
      </c>
      <c r="Q205" s="6">
        <v>13430700</v>
      </c>
      <c r="S205" s="6">
        <v>4159</v>
      </c>
      <c r="U205" s="6">
        <v>185014</v>
      </c>
      <c r="W205" s="6">
        <v>14750</v>
      </c>
      <c r="Y205" s="6">
        <v>26067</v>
      </c>
      <c r="Z205" s="44"/>
      <c r="AA205" s="6">
        <v>0</v>
      </c>
      <c r="AC205" s="6">
        <v>0</v>
      </c>
      <c r="AE205" s="6">
        <f t="shared" si="28"/>
        <v>27611129</v>
      </c>
      <c r="AF205" s="6"/>
      <c r="AG205" s="6">
        <f t="shared" si="29"/>
        <v>32490984</v>
      </c>
    </row>
    <row r="206" spans="1:33" ht="12" customHeight="1">
      <c r="A206" s="10" t="s">
        <v>444</v>
      </c>
      <c r="B206" s="10"/>
      <c r="C206" s="10" t="s">
        <v>51</v>
      </c>
      <c r="E206" s="6">
        <v>1965349</v>
      </c>
      <c r="G206" s="6">
        <v>3461406</v>
      </c>
      <c r="I206" s="6">
        <v>0</v>
      </c>
      <c r="K206" s="6">
        <f t="shared" si="27"/>
        <v>5426755</v>
      </c>
      <c r="M206" s="6">
        <f>8889207+1003958+440398+156648</f>
        <v>10490211</v>
      </c>
      <c r="O206" s="6">
        <v>0</v>
      </c>
      <c r="Q206" s="6">
        <v>13188687</v>
      </c>
      <c r="S206" s="6">
        <v>187508</v>
      </c>
      <c r="U206" s="6">
        <v>1613</v>
      </c>
      <c r="W206" s="6">
        <v>0</v>
      </c>
      <c r="Y206" s="6">
        <f>25410+728</f>
        <v>26138</v>
      </c>
      <c r="Z206" s="44"/>
      <c r="AA206" s="6">
        <v>0</v>
      </c>
      <c r="AC206" s="6">
        <v>0</v>
      </c>
      <c r="AE206" s="6">
        <f t="shared" si="28"/>
        <v>23894157</v>
      </c>
      <c r="AF206" s="6"/>
      <c r="AG206" s="6">
        <f t="shared" si="29"/>
        <v>29320912</v>
      </c>
    </row>
    <row r="207" spans="1:33" hidden="1">
      <c r="A207" s="10" t="s">
        <v>615</v>
      </c>
      <c r="B207" s="10"/>
      <c r="C207" s="10" t="s">
        <v>21</v>
      </c>
      <c r="K207" s="6">
        <f t="shared" si="27"/>
        <v>0</v>
      </c>
      <c r="Z207" s="44"/>
      <c r="AE207" s="6">
        <f t="shared" si="28"/>
        <v>0</v>
      </c>
      <c r="AF207" s="6"/>
      <c r="AG207" s="6">
        <f t="shared" si="29"/>
        <v>0</v>
      </c>
    </row>
    <row r="208" spans="1:33" ht="12" hidden="1" customHeight="1">
      <c r="A208" s="10" t="s">
        <v>664</v>
      </c>
      <c r="B208" s="10"/>
      <c r="C208" s="10" t="s">
        <v>40</v>
      </c>
      <c r="K208" s="6">
        <f t="shared" si="27"/>
        <v>0</v>
      </c>
      <c r="Z208" s="44"/>
      <c r="AE208" s="6">
        <f t="shared" si="28"/>
        <v>0</v>
      </c>
      <c r="AF208" s="6"/>
      <c r="AG208" s="6">
        <f t="shared" si="29"/>
        <v>0</v>
      </c>
    </row>
    <row r="209" spans="1:33" ht="12" customHeight="1">
      <c r="A209" s="10" t="s">
        <v>644</v>
      </c>
      <c r="B209" s="10"/>
      <c r="C209" s="10" t="s">
        <v>79</v>
      </c>
      <c r="E209" s="6">
        <v>1647046</v>
      </c>
      <c r="G209" s="6">
        <v>6668557</v>
      </c>
      <c r="I209" s="6">
        <v>666944</v>
      </c>
      <c r="K209" s="6">
        <f t="shared" si="27"/>
        <v>8982547</v>
      </c>
      <c r="M209" s="6">
        <f>11285677+1145612+441030+285129</f>
        <v>13157448</v>
      </c>
      <c r="O209" s="6">
        <v>6540437</v>
      </c>
      <c r="Q209" s="6">
        <v>16448341</v>
      </c>
      <c r="S209" s="6">
        <v>90727</v>
      </c>
      <c r="U209" s="6">
        <v>755841</v>
      </c>
      <c r="W209" s="6">
        <v>0</v>
      </c>
      <c r="Y209" s="6">
        <v>161015</v>
      </c>
      <c r="Z209" s="44"/>
      <c r="AA209" s="6">
        <v>0</v>
      </c>
      <c r="AC209" s="6">
        <v>0</v>
      </c>
      <c r="AE209" s="6">
        <f t="shared" si="28"/>
        <v>37153809</v>
      </c>
      <c r="AF209" s="6"/>
      <c r="AG209" s="6">
        <f t="shared" si="29"/>
        <v>46136356</v>
      </c>
    </row>
    <row r="210" spans="1:33" ht="12" customHeight="1">
      <c r="A210" s="10" t="s">
        <v>548</v>
      </c>
      <c r="B210" s="10"/>
      <c r="C210" s="10" t="s">
        <v>70</v>
      </c>
      <c r="E210" s="6">
        <v>287147</v>
      </c>
      <c r="G210" s="6">
        <v>1672808</v>
      </c>
      <c r="I210" s="6">
        <v>0</v>
      </c>
      <c r="K210" s="6">
        <f t="shared" si="27"/>
        <v>1959955</v>
      </c>
      <c r="M210" s="6">
        <f>1234979+21539+191248</f>
        <v>1447766</v>
      </c>
      <c r="O210" s="6">
        <v>0</v>
      </c>
      <c r="Q210" s="6">
        <v>4797458</v>
      </c>
      <c r="S210" s="6">
        <v>8713</v>
      </c>
      <c r="U210" s="6">
        <v>70030</v>
      </c>
      <c r="W210" s="6">
        <v>0</v>
      </c>
      <c r="Y210" s="6">
        <v>49166</v>
      </c>
      <c r="Z210" s="44"/>
      <c r="AA210" s="6">
        <v>0</v>
      </c>
      <c r="AC210" s="6">
        <v>0</v>
      </c>
      <c r="AE210" s="6">
        <f t="shared" si="28"/>
        <v>6373133</v>
      </c>
      <c r="AF210" s="6"/>
      <c r="AG210" s="6">
        <f t="shared" si="29"/>
        <v>8333088</v>
      </c>
    </row>
    <row r="211" spans="1:33" ht="12" customHeight="1">
      <c r="A211" s="10" t="s">
        <v>641</v>
      </c>
      <c r="B211" s="10"/>
      <c r="C211" s="10" t="s">
        <v>27</v>
      </c>
      <c r="E211" s="6">
        <v>4679249</v>
      </c>
      <c r="G211" s="6">
        <v>6605247</v>
      </c>
      <c r="I211" s="6">
        <v>0</v>
      </c>
      <c r="K211" s="6">
        <f t="shared" si="27"/>
        <v>11284496</v>
      </c>
      <c r="M211" s="6">
        <f>51820326+2506329</f>
        <v>54326655</v>
      </c>
      <c r="O211" s="6">
        <v>0</v>
      </c>
      <c r="Q211" s="6">
        <v>20943372</v>
      </c>
      <c r="S211" s="6">
        <v>37844</v>
      </c>
      <c r="U211" s="6">
        <v>3706243</v>
      </c>
      <c r="W211" s="6">
        <v>0</v>
      </c>
      <c r="Y211" s="6">
        <v>406030</v>
      </c>
      <c r="Z211" s="44"/>
      <c r="AA211" s="6">
        <v>0</v>
      </c>
      <c r="AC211" s="6">
        <v>0</v>
      </c>
      <c r="AE211" s="6">
        <f t="shared" si="28"/>
        <v>79420144</v>
      </c>
      <c r="AF211" s="6"/>
      <c r="AG211" s="6">
        <f t="shared" si="29"/>
        <v>90704640</v>
      </c>
    </row>
    <row r="212" spans="1:33" ht="12" customHeight="1">
      <c r="A212" s="10" t="s">
        <v>259</v>
      </c>
      <c r="B212" s="10"/>
      <c r="C212" s="10" t="s">
        <v>111</v>
      </c>
      <c r="E212" s="6">
        <v>934095</v>
      </c>
      <c r="G212" s="6">
        <v>3495668</v>
      </c>
      <c r="I212" s="6">
        <v>0</v>
      </c>
      <c r="K212" s="6">
        <f t="shared" si="27"/>
        <v>4429763</v>
      </c>
      <c r="M212" s="6">
        <f>4511609+49243+1026063</f>
        <v>5586915</v>
      </c>
      <c r="O212" s="6">
        <v>0</v>
      </c>
      <c r="Q212" s="6">
        <v>9895504</v>
      </c>
      <c r="S212" s="6">
        <v>7141</v>
      </c>
      <c r="U212" s="6">
        <v>36757</v>
      </c>
      <c r="W212" s="6">
        <v>7645</v>
      </c>
      <c r="Y212" s="6">
        <v>136990</v>
      </c>
      <c r="Z212" s="44"/>
      <c r="AA212" s="6">
        <v>0</v>
      </c>
      <c r="AC212" s="6">
        <v>0</v>
      </c>
      <c r="AE212" s="6">
        <f t="shared" si="28"/>
        <v>15670952</v>
      </c>
      <c r="AF212" s="6"/>
      <c r="AG212" s="6">
        <f t="shared" si="29"/>
        <v>20100715</v>
      </c>
    </row>
    <row r="213" spans="1:33" ht="12" customHeight="1">
      <c r="A213" s="10" t="s">
        <v>642</v>
      </c>
      <c r="B213" s="10"/>
      <c r="C213" s="10" t="s">
        <v>29</v>
      </c>
      <c r="E213" s="6">
        <v>1512307</v>
      </c>
      <c r="G213" s="6">
        <v>4073773</v>
      </c>
      <c r="I213" s="6">
        <v>0</v>
      </c>
      <c r="K213" s="6">
        <f t="shared" si="27"/>
        <v>5586080</v>
      </c>
      <c r="M213" s="6">
        <f>8879232+3360221+418338</f>
        <v>12657791</v>
      </c>
      <c r="O213" s="6">
        <v>0</v>
      </c>
      <c r="Q213" s="6">
        <v>11804152</v>
      </c>
      <c r="S213" s="6">
        <v>374629</v>
      </c>
      <c r="U213" s="6">
        <v>0</v>
      </c>
      <c r="W213" s="6">
        <v>0</v>
      </c>
      <c r="Y213" s="6">
        <v>365069</v>
      </c>
      <c r="Z213" s="44"/>
      <c r="AA213" s="6">
        <v>0</v>
      </c>
      <c r="AC213" s="6">
        <v>0</v>
      </c>
      <c r="AE213" s="6">
        <f t="shared" si="28"/>
        <v>25201641</v>
      </c>
      <c r="AF213" s="6"/>
      <c r="AG213" s="6">
        <f t="shared" si="29"/>
        <v>30787721</v>
      </c>
    </row>
    <row r="214" spans="1:33" ht="12" customHeight="1">
      <c r="A214" s="10" t="s">
        <v>313</v>
      </c>
      <c r="B214" s="10"/>
      <c r="C214" s="10" t="s">
        <v>29</v>
      </c>
      <c r="E214" s="6">
        <v>1880812</v>
      </c>
      <c r="G214" s="6">
        <v>3786807</v>
      </c>
      <c r="I214" s="6">
        <v>94703</v>
      </c>
      <c r="K214" s="6">
        <f t="shared" si="27"/>
        <v>5762322</v>
      </c>
      <c r="M214" s="6">
        <f>4600383+69591+1609764+221200</f>
        <v>6500938</v>
      </c>
      <c r="O214" s="6">
        <v>0</v>
      </c>
      <c r="Q214" s="6">
        <f>12078919+206355</f>
        <v>12285274</v>
      </c>
      <c r="S214" s="6">
        <v>159830</v>
      </c>
      <c r="U214" s="6">
        <v>0</v>
      </c>
      <c r="W214" s="6">
        <v>0</v>
      </c>
      <c r="Y214" s="6">
        <v>292334</v>
      </c>
      <c r="Z214" s="44"/>
      <c r="AA214" s="6">
        <v>0</v>
      </c>
      <c r="AC214" s="6">
        <v>0</v>
      </c>
      <c r="AE214" s="6">
        <f t="shared" si="28"/>
        <v>19238376</v>
      </c>
      <c r="AF214" s="6"/>
      <c r="AG214" s="6">
        <f t="shared" si="29"/>
        <v>25000698</v>
      </c>
    </row>
    <row r="215" spans="1:33" ht="12" customHeight="1">
      <c r="A215" s="10" t="s">
        <v>535</v>
      </c>
      <c r="B215" s="10"/>
      <c r="C215" s="10" t="s">
        <v>65</v>
      </c>
      <c r="E215" s="6">
        <v>1050468</v>
      </c>
      <c r="G215" s="6">
        <v>1454785</v>
      </c>
      <c r="I215" s="6">
        <v>0</v>
      </c>
      <c r="K215" s="6">
        <f t="shared" si="27"/>
        <v>2505253</v>
      </c>
      <c r="M215" s="6">
        <f>5029678+181617+203934</f>
        <v>5415229</v>
      </c>
      <c r="O215" s="6">
        <v>0</v>
      </c>
      <c r="Q215" s="6">
        <v>4245327</v>
      </c>
      <c r="S215" s="6">
        <v>5851</v>
      </c>
      <c r="U215" s="6">
        <v>0</v>
      </c>
      <c r="W215" s="6">
        <v>0</v>
      </c>
      <c r="Y215" s="6">
        <v>45388</v>
      </c>
      <c r="Z215" s="44"/>
      <c r="AA215" s="6">
        <v>0</v>
      </c>
      <c r="AC215" s="6">
        <v>0</v>
      </c>
      <c r="AE215" s="6">
        <f t="shared" si="28"/>
        <v>9711795</v>
      </c>
      <c r="AF215" s="6"/>
      <c r="AG215" s="6">
        <f t="shared" si="29"/>
        <v>12217048</v>
      </c>
    </row>
    <row r="216" spans="1:33" ht="12" customHeight="1">
      <c r="A216" s="10" t="s">
        <v>678</v>
      </c>
      <c r="B216" s="10"/>
      <c r="C216" s="10" t="s">
        <v>20</v>
      </c>
      <c r="E216" s="6">
        <v>1010756</v>
      </c>
      <c r="G216" s="6">
        <v>6015897</v>
      </c>
      <c r="I216" s="6">
        <v>58963</v>
      </c>
      <c r="K216" s="6">
        <f t="shared" si="27"/>
        <v>7085616</v>
      </c>
      <c r="M216" s="6">
        <f>12058925+2380847+32745+189027</f>
        <v>14661544</v>
      </c>
      <c r="O216" s="6">
        <v>0</v>
      </c>
      <c r="Q216" s="6">
        <v>19142789</v>
      </c>
      <c r="S216" s="6">
        <v>320180</v>
      </c>
      <c r="U216" s="6">
        <v>241795</v>
      </c>
      <c r="W216" s="6">
        <v>0</v>
      </c>
      <c r="Y216" s="6">
        <v>842751</v>
      </c>
      <c r="Z216" s="44"/>
      <c r="AA216" s="6">
        <v>0</v>
      </c>
      <c r="AC216" s="6">
        <v>0</v>
      </c>
      <c r="AE216" s="6">
        <f t="shared" si="28"/>
        <v>35209059</v>
      </c>
      <c r="AF216" s="6"/>
      <c r="AG216" s="6">
        <f t="shared" si="29"/>
        <v>42294675</v>
      </c>
    </row>
    <row r="217" spans="1:33" ht="12" customHeight="1">
      <c r="A217" s="10" t="s">
        <v>643</v>
      </c>
      <c r="B217" s="10"/>
      <c r="C217" s="10" t="s">
        <v>12</v>
      </c>
      <c r="D217" s="5"/>
      <c r="E217" s="6">
        <v>2290943</v>
      </c>
      <c r="G217" s="6">
        <v>3417479</v>
      </c>
      <c r="I217" s="6">
        <v>10521522</v>
      </c>
      <c r="K217" s="6">
        <f t="shared" si="27"/>
        <v>16229944</v>
      </c>
      <c r="M217" s="6">
        <f>6728303+1495338+322948</f>
        <v>8546589</v>
      </c>
      <c r="O217" s="6">
        <v>0</v>
      </c>
      <c r="Q217" s="6">
        <v>12953489</v>
      </c>
      <c r="S217" s="6">
        <v>33151</v>
      </c>
      <c r="U217" s="6">
        <v>114696</v>
      </c>
      <c r="W217" s="6">
        <v>0</v>
      </c>
      <c r="Y217" s="6">
        <v>196979</v>
      </c>
      <c r="Z217" s="44"/>
      <c r="AA217" s="6">
        <v>0</v>
      </c>
      <c r="AC217" s="6">
        <v>0</v>
      </c>
      <c r="AE217" s="6">
        <f t="shared" si="28"/>
        <v>21844904</v>
      </c>
      <c r="AF217" s="6"/>
      <c r="AG217" s="6">
        <f t="shared" si="29"/>
        <v>38074848</v>
      </c>
    </row>
    <row r="218" spans="1:33" ht="12" hidden="1" customHeight="1">
      <c r="A218" s="10" t="s">
        <v>832</v>
      </c>
      <c r="B218" s="10"/>
      <c r="C218" s="10" t="s">
        <v>53</v>
      </c>
      <c r="K218" s="6">
        <f t="shared" si="27"/>
        <v>0</v>
      </c>
      <c r="Z218" s="44"/>
      <c r="AE218" s="6">
        <f t="shared" si="28"/>
        <v>0</v>
      </c>
      <c r="AF218" s="6"/>
      <c r="AG218" s="6">
        <f t="shared" si="29"/>
        <v>0</v>
      </c>
    </row>
    <row r="219" spans="1:33" ht="12" hidden="1" customHeight="1">
      <c r="A219" s="10" t="s">
        <v>665</v>
      </c>
      <c r="B219" s="10"/>
      <c r="C219" s="10" t="s">
        <v>77</v>
      </c>
      <c r="D219" s="5"/>
      <c r="K219" s="6">
        <f t="shared" si="27"/>
        <v>0</v>
      </c>
      <c r="Z219" s="44"/>
      <c r="AE219" s="6">
        <f t="shared" si="28"/>
        <v>0</v>
      </c>
      <c r="AF219" s="6"/>
      <c r="AG219" s="6">
        <f t="shared" si="29"/>
        <v>0</v>
      </c>
    </row>
    <row r="220" spans="1:33" ht="12" customHeight="1">
      <c r="A220" s="10" t="s">
        <v>748</v>
      </c>
      <c r="B220" s="10"/>
      <c r="C220" s="10" t="s">
        <v>79</v>
      </c>
      <c r="E220" s="6">
        <v>866516</v>
      </c>
      <c r="G220" s="6">
        <v>1161012</v>
      </c>
      <c r="I220" s="6">
        <v>0</v>
      </c>
      <c r="K220" s="6">
        <f t="shared" si="27"/>
        <v>2027528</v>
      </c>
      <c r="M220" s="6">
        <f>1875208+29389+431179+37866</f>
        <v>2373642</v>
      </c>
      <c r="O220" s="6">
        <v>0</v>
      </c>
      <c r="Q220" s="6">
        <v>5252517</v>
      </c>
      <c r="S220" s="6">
        <v>1949</v>
      </c>
      <c r="U220" s="6">
        <v>0</v>
      </c>
      <c r="W220" s="6">
        <v>0</v>
      </c>
      <c r="Y220" s="6">
        <v>10169</v>
      </c>
      <c r="Z220" s="44"/>
      <c r="AA220" s="6">
        <v>0</v>
      </c>
      <c r="AC220" s="6">
        <v>0</v>
      </c>
      <c r="AE220" s="6">
        <f t="shared" si="28"/>
        <v>7638277</v>
      </c>
      <c r="AF220" s="6"/>
      <c r="AG220" s="6">
        <f t="shared" si="29"/>
        <v>9665805</v>
      </c>
    </row>
    <row r="221" spans="1:33" ht="12" customHeight="1">
      <c r="A221" s="10" t="s">
        <v>521</v>
      </c>
      <c r="B221" s="10"/>
      <c r="C221" s="10" t="s">
        <v>64</v>
      </c>
      <c r="E221" s="6">
        <v>776091</v>
      </c>
      <c r="G221" s="6">
        <v>2711074</v>
      </c>
      <c r="I221" s="6">
        <v>0</v>
      </c>
      <c r="K221" s="6">
        <f t="shared" si="27"/>
        <v>3487165</v>
      </c>
      <c r="M221" s="6">
        <f>3593361+860663+108816+61113</f>
        <v>4623953</v>
      </c>
      <c r="O221" s="6">
        <v>0</v>
      </c>
      <c r="Q221" s="6">
        <v>8486604</v>
      </c>
      <c r="S221" s="6">
        <v>44012</v>
      </c>
      <c r="U221" s="6">
        <v>0</v>
      </c>
      <c r="W221" s="6">
        <v>0</v>
      </c>
      <c r="Y221" s="6">
        <v>137325</v>
      </c>
      <c r="Z221" s="44"/>
      <c r="AA221" s="6">
        <v>0</v>
      </c>
      <c r="AC221" s="6">
        <v>-1116765</v>
      </c>
      <c r="AE221" s="6">
        <f t="shared" si="28"/>
        <v>12175129</v>
      </c>
      <c r="AF221" s="6"/>
      <c r="AG221" s="6">
        <f t="shared" si="29"/>
        <v>15662294</v>
      </c>
    </row>
    <row r="222" spans="1:33" ht="12" hidden="1" customHeight="1">
      <c r="A222" s="11" t="s">
        <v>790</v>
      </c>
      <c r="B222" s="10"/>
      <c r="C222" s="10" t="s">
        <v>28</v>
      </c>
      <c r="K222" s="6">
        <f t="shared" si="27"/>
        <v>0</v>
      </c>
      <c r="Z222" s="44"/>
      <c r="AE222" s="6">
        <f t="shared" si="28"/>
        <v>0</v>
      </c>
      <c r="AF222" s="6"/>
      <c r="AG222" s="6">
        <f t="shared" si="29"/>
        <v>0</v>
      </c>
    </row>
    <row r="223" spans="1:33" ht="12" customHeight="1">
      <c r="A223" s="10" t="s">
        <v>240</v>
      </c>
      <c r="B223" s="10"/>
      <c r="C223" s="10" t="s">
        <v>113</v>
      </c>
      <c r="D223" s="5"/>
      <c r="E223" s="6">
        <v>2338440</v>
      </c>
      <c r="G223" s="6">
        <v>3973076</v>
      </c>
      <c r="I223" s="6">
        <v>0</v>
      </c>
      <c r="K223" s="6">
        <f t="shared" si="27"/>
        <v>6311516</v>
      </c>
      <c r="M223" s="6">
        <f>4970524+464886+1069161+95486</f>
        <v>6600057</v>
      </c>
      <c r="O223" s="6">
        <v>2860982</v>
      </c>
      <c r="Q223" s="6">
        <v>11429738</v>
      </c>
      <c r="S223" s="6">
        <v>40010</v>
      </c>
      <c r="U223" s="6">
        <v>83472</v>
      </c>
      <c r="W223" s="6">
        <v>1600</v>
      </c>
      <c r="Y223" s="6">
        <v>490428</v>
      </c>
      <c r="Z223" s="44"/>
      <c r="AA223" s="6">
        <v>0</v>
      </c>
      <c r="AC223" s="6">
        <v>0</v>
      </c>
      <c r="AE223" s="6">
        <f>SUM(M223:AC223)</f>
        <v>21506287</v>
      </c>
      <c r="AF223" s="6"/>
      <c r="AG223" s="6">
        <f t="shared" si="29"/>
        <v>27817803</v>
      </c>
    </row>
    <row r="224" spans="1:33" ht="12" hidden="1" customHeight="1">
      <c r="A224" s="11" t="s">
        <v>791</v>
      </c>
      <c r="B224" s="10"/>
      <c r="C224" s="10" t="s">
        <v>228</v>
      </c>
      <c r="D224" s="5"/>
      <c r="K224" s="6">
        <f t="shared" si="27"/>
        <v>0</v>
      </c>
      <c r="Z224" s="44"/>
      <c r="AE224" s="6">
        <f t="shared" si="28"/>
        <v>0</v>
      </c>
      <c r="AF224" s="6"/>
      <c r="AG224" s="6">
        <f t="shared" si="29"/>
        <v>0</v>
      </c>
    </row>
    <row r="225" spans="1:33" ht="12" customHeight="1">
      <c r="A225" s="10" t="s">
        <v>208</v>
      </c>
      <c r="B225" s="10"/>
      <c r="C225" s="10" t="s">
        <v>12</v>
      </c>
      <c r="D225" s="5"/>
      <c r="E225" s="6">
        <v>951044</v>
      </c>
      <c r="G225" s="6">
        <v>1504045</v>
      </c>
      <c r="I225" s="6">
        <v>34199</v>
      </c>
      <c r="K225" s="6">
        <f t="shared" si="27"/>
        <v>2489288</v>
      </c>
      <c r="M225" s="6">
        <f>3154072+761120+104965+53764</f>
        <v>4073921</v>
      </c>
      <c r="O225" s="6">
        <v>0</v>
      </c>
      <c r="Q225" s="6">
        <v>6874668</v>
      </c>
      <c r="S225" s="6">
        <v>33195</v>
      </c>
      <c r="U225" s="6">
        <v>0</v>
      </c>
      <c r="W225" s="6">
        <v>0</v>
      </c>
      <c r="Y225" s="6">
        <v>66023</v>
      </c>
      <c r="Z225" s="44"/>
      <c r="AA225" s="6">
        <v>0</v>
      </c>
      <c r="AC225" s="6">
        <v>0</v>
      </c>
      <c r="AE225" s="6">
        <f t="shared" si="28"/>
        <v>11047807</v>
      </c>
      <c r="AF225" s="6"/>
      <c r="AG225" s="6">
        <f t="shared" si="29"/>
        <v>13537095</v>
      </c>
    </row>
    <row r="226" spans="1:33" ht="12" customHeight="1">
      <c r="A226" s="10" t="s">
        <v>303</v>
      </c>
      <c r="B226" s="10"/>
      <c r="C226" s="10" t="s">
        <v>27</v>
      </c>
      <c r="E226" s="6">
        <v>529976</v>
      </c>
      <c r="G226" s="6">
        <v>815246</v>
      </c>
      <c r="I226" s="6">
        <v>0</v>
      </c>
      <c r="K226" s="6">
        <f t="shared" si="27"/>
        <v>1345222</v>
      </c>
      <c r="M226" s="6">
        <f>11040288+712474+471019</f>
        <v>12223781</v>
      </c>
      <c r="O226" s="6">
        <v>0</v>
      </c>
      <c r="Q226" s="6">
        <v>4054806</v>
      </c>
      <c r="S226" s="6">
        <v>18543</v>
      </c>
      <c r="U226" s="6">
        <v>1078044</v>
      </c>
      <c r="W226" s="6">
        <v>0</v>
      </c>
      <c r="Y226" s="6">
        <v>74456</v>
      </c>
      <c r="Z226" s="44"/>
      <c r="AA226" s="6">
        <v>-50000</v>
      </c>
      <c r="AC226" s="6">
        <v>0</v>
      </c>
      <c r="AE226" s="6">
        <f t="shared" si="28"/>
        <v>17399630</v>
      </c>
      <c r="AF226" s="6"/>
      <c r="AG226" s="6">
        <f t="shared" si="29"/>
        <v>18744852</v>
      </c>
    </row>
    <row r="227" spans="1:33" ht="12" customHeight="1">
      <c r="A227" s="10" t="s">
        <v>666</v>
      </c>
      <c r="B227" s="10"/>
      <c r="C227" s="10" t="s">
        <v>42</v>
      </c>
      <c r="E227" s="6">
        <v>1213671</v>
      </c>
      <c r="G227" s="6">
        <v>979797</v>
      </c>
      <c r="I227" s="6">
        <v>317838</v>
      </c>
      <c r="K227" s="6">
        <f t="shared" ref="K227:K231" si="38">SUM(E227:J227)</f>
        <v>2511306</v>
      </c>
      <c r="M227" s="6">
        <f>13282827+2276729+575471+128875</f>
        <v>16263902</v>
      </c>
      <c r="O227" s="6">
        <v>0</v>
      </c>
      <c r="Q227" s="6">
        <v>7789230</v>
      </c>
      <c r="S227" s="6">
        <v>17373</v>
      </c>
      <c r="U227" s="6">
        <v>94681</v>
      </c>
      <c r="W227" s="6">
        <v>0</v>
      </c>
      <c r="Y227" s="6">
        <v>146054</v>
      </c>
      <c r="Z227" s="44"/>
      <c r="AA227" s="6">
        <v>0</v>
      </c>
      <c r="AC227" s="6">
        <v>0</v>
      </c>
      <c r="AE227" s="6">
        <f>SUM(M227:AC227)</f>
        <v>24311240</v>
      </c>
      <c r="AF227" s="6"/>
      <c r="AG227" s="6">
        <f>+AE227+K227</f>
        <v>26822546</v>
      </c>
    </row>
    <row r="228" spans="1:33" ht="12" customHeight="1">
      <c r="A228" s="10" t="s">
        <v>481</v>
      </c>
      <c r="B228" s="10"/>
      <c r="C228" s="10" t="s">
        <v>59</v>
      </c>
      <c r="E228" s="6">
        <v>621697</v>
      </c>
      <c r="G228" s="6">
        <v>1469829</v>
      </c>
      <c r="I228" s="6">
        <v>0</v>
      </c>
      <c r="K228" s="6">
        <f t="shared" si="38"/>
        <v>2091526</v>
      </c>
      <c r="M228" s="6">
        <v>1313355</v>
      </c>
      <c r="O228" s="6">
        <v>0</v>
      </c>
      <c r="Q228" s="6">
        <v>3826793</v>
      </c>
      <c r="S228" s="6">
        <v>31</v>
      </c>
      <c r="U228" s="6">
        <v>105375</v>
      </c>
      <c r="W228" s="6">
        <v>34327</v>
      </c>
      <c r="Y228" s="6">
        <v>182746</v>
      </c>
      <c r="Z228" s="44"/>
      <c r="AA228" s="6">
        <v>0</v>
      </c>
      <c r="AC228" s="6">
        <v>0</v>
      </c>
      <c r="AE228" s="6">
        <f>SUM(M228:AC228)</f>
        <v>5462627</v>
      </c>
      <c r="AF228" s="6"/>
      <c r="AG228" s="6">
        <f>+AE228+K228</f>
        <v>7554153</v>
      </c>
    </row>
    <row r="229" spans="1:33" ht="12" customHeight="1">
      <c r="A229" s="10" t="s">
        <v>481</v>
      </c>
      <c r="B229" s="10"/>
      <c r="C229" s="10" t="s">
        <v>63</v>
      </c>
      <c r="E229" s="6">
        <v>2632977</v>
      </c>
      <c r="G229" s="6">
        <v>1929843</v>
      </c>
      <c r="I229" s="6">
        <v>910872</v>
      </c>
      <c r="K229" s="6">
        <f t="shared" si="38"/>
        <v>5473692</v>
      </c>
      <c r="M229" s="6">
        <f>18726547+1412593+2760394</f>
        <v>22899534</v>
      </c>
      <c r="O229" s="6">
        <v>0</v>
      </c>
      <c r="Q229" s="6">
        <v>13306610</v>
      </c>
      <c r="S229" s="6">
        <v>7774</v>
      </c>
      <c r="U229" s="6">
        <v>0</v>
      </c>
      <c r="W229" s="6">
        <v>0</v>
      </c>
      <c r="Y229" s="6">
        <v>67840</v>
      </c>
      <c r="Z229" s="44"/>
      <c r="AA229" s="6">
        <v>0</v>
      </c>
      <c r="AC229" s="6">
        <v>0</v>
      </c>
      <c r="AE229" s="6">
        <f>SUM(M229:AC229)</f>
        <v>36281758</v>
      </c>
      <c r="AF229" s="6"/>
      <c r="AG229" s="6">
        <f>+AE229+K229</f>
        <v>41755450</v>
      </c>
    </row>
    <row r="230" spans="1:33" ht="12" hidden="1" customHeight="1">
      <c r="A230" s="10" t="s">
        <v>856</v>
      </c>
      <c r="B230" s="10"/>
      <c r="C230" s="10" t="s">
        <v>71</v>
      </c>
      <c r="E230" s="6">
        <v>0</v>
      </c>
      <c r="G230" s="6">
        <v>0</v>
      </c>
      <c r="I230" s="6">
        <v>0</v>
      </c>
      <c r="K230" s="6">
        <f t="shared" si="38"/>
        <v>0</v>
      </c>
      <c r="M230" s="6">
        <v>0</v>
      </c>
      <c r="O230" s="6">
        <v>0</v>
      </c>
      <c r="Q230" s="6">
        <v>0</v>
      </c>
      <c r="S230" s="6">
        <v>0</v>
      </c>
      <c r="U230" s="6">
        <v>0</v>
      </c>
      <c r="W230" s="6">
        <v>0</v>
      </c>
      <c r="Y230" s="6">
        <v>0</v>
      </c>
      <c r="Z230" s="44"/>
      <c r="AA230" s="6">
        <v>0</v>
      </c>
      <c r="AC230" s="6">
        <v>0</v>
      </c>
      <c r="AE230" s="6">
        <f>SUM(M230:AC230)</f>
        <v>0</v>
      </c>
      <c r="AF230" s="6"/>
      <c r="AG230" s="6">
        <f>+AE230+K230</f>
        <v>0</v>
      </c>
    </row>
    <row r="231" spans="1:33" ht="12" customHeight="1">
      <c r="A231" s="10" t="s">
        <v>318</v>
      </c>
      <c r="B231" s="10"/>
      <c r="C231" s="10" t="s">
        <v>114</v>
      </c>
      <c r="E231" s="6">
        <v>1347809</v>
      </c>
      <c r="G231" s="6">
        <v>910065</v>
      </c>
      <c r="I231" s="6">
        <v>0</v>
      </c>
      <c r="K231" s="6">
        <f t="shared" si="38"/>
        <v>2257874</v>
      </c>
      <c r="M231" s="6">
        <f>3654885+552495+79515</f>
        <v>4286895</v>
      </c>
      <c r="O231" s="6">
        <v>1677245</v>
      </c>
      <c r="Q231" s="6">
        <f>5889578+150000</f>
        <v>6039578</v>
      </c>
      <c r="S231" s="6">
        <v>47726</v>
      </c>
      <c r="U231" s="6">
        <v>0</v>
      </c>
      <c r="W231" s="6">
        <v>7160</v>
      </c>
      <c r="Y231" s="6">
        <v>69810</v>
      </c>
      <c r="Z231" s="44"/>
      <c r="AA231" s="6">
        <v>0</v>
      </c>
      <c r="AC231" s="6">
        <v>0</v>
      </c>
      <c r="AE231" s="6">
        <f t="shared" ref="AE231:AE232" si="39">SUM(M231:AC231)</f>
        <v>12128414</v>
      </c>
      <c r="AF231" s="6"/>
      <c r="AG231" s="6">
        <f t="shared" ref="AG231:AG232" si="40">+AE231+K231</f>
        <v>14386288</v>
      </c>
    </row>
    <row r="232" spans="1:33" ht="12" customHeight="1">
      <c r="A232" s="11" t="s">
        <v>760</v>
      </c>
      <c r="B232" s="10"/>
      <c r="C232" s="10" t="s">
        <v>348</v>
      </c>
      <c r="E232" s="6">
        <v>852477</v>
      </c>
      <c r="G232" s="6">
        <v>2883509</v>
      </c>
      <c r="I232" s="6">
        <v>0</v>
      </c>
      <c r="K232" s="6">
        <f t="shared" ref="K232:K300" si="41">SUM(E232:J232)</f>
        <v>3735986</v>
      </c>
      <c r="M232" s="6">
        <f>3127411+327815+60405</f>
        <v>3515631</v>
      </c>
      <c r="O232" s="6">
        <v>1737664</v>
      </c>
      <c r="Q232" s="6">
        <v>13140004</v>
      </c>
      <c r="S232" s="6">
        <v>32337</v>
      </c>
      <c r="U232" s="6">
        <v>0</v>
      </c>
      <c r="W232" s="6">
        <v>12308</v>
      </c>
      <c r="Y232" s="6">
        <v>178452</v>
      </c>
      <c r="Z232" s="44"/>
      <c r="AA232" s="6">
        <v>0</v>
      </c>
      <c r="AC232" s="6">
        <v>0</v>
      </c>
      <c r="AE232" s="6">
        <f t="shared" si="39"/>
        <v>18616396</v>
      </c>
      <c r="AF232" s="6"/>
      <c r="AG232" s="6">
        <f t="shared" si="40"/>
        <v>22352382</v>
      </c>
    </row>
    <row r="233" spans="1:33" s="6" customFormat="1" ht="12" customHeight="1">
      <c r="A233" s="11" t="s">
        <v>232</v>
      </c>
      <c r="B233" s="11"/>
      <c r="C233" s="11" t="s">
        <v>17</v>
      </c>
      <c r="D233" s="9"/>
      <c r="E233" s="6">
        <v>1607743</v>
      </c>
      <c r="G233" s="6">
        <v>1502191</v>
      </c>
      <c r="I233" s="6">
        <v>0</v>
      </c>
      <c r="K233" s="6">
        <f t="shared" si="41"/>
        <v>3109934</v>
      </c>
      <c r="M233" s="6">
        <f>5899281+416008+7275</f>
        <v>6322564</v>
      </c>
      <c r="O233" s="6">
        <v>0</v>
      </c>
      <c r="Q233" s="6">
        <v>8030119</v>
      </c>
      <c r="S233" s="6">
        <v>12569</v>
      </c>
      <c r="U233" s="6">
        <v>0</v>
      </c>
      <c r="W233" s="6">
        <v>0</v>
      </c>
      <c r="Y233" s="6">
        <v>32694</v>
      </c>
      <c r="Z233" s="44"/>
      <c r="AA233" s="6">
        <v>21321</v>
      </c>
      <c r="AC233" s="6">
        <v>0</v>
      </c>
      <c r="AE233" s="6">
        <f t="shared" ref="AE233:AE301" si="42">SUM(M233:AC233)</f>
        <v>14419267</v>
      </c>
      <c r="AG233" s="6">
        <f t="shared" ref="AG233:AG300" si="43">+AE233+K233</f>
        <v>17529201</v>
      </c>
    </row>
    <row r="234" spans="1:33" ht="12" customHeight="1">
      <c r="A234" s="10" t="s">
        <v>282</v>
      </c>
      <c r="B234" s="10"/>
      <c r="C234" s="10" t="s">
        <v>21</v>
      </c>
      <c r="E234" s="6">
        <v>1239929</v>
      </c>
      <c r="G234" s="6">
        <v>4094683</v>
      </c>
      <c r="I234" s="6">
        <v>134656</v>
      </c>
      <c r="K234" s="6">
        <f t="shared" si="41"/>
        <v>5469268</v>
      </c>
      <c r="M234" s="6">
        <v>9487265</v>
      </c>
      <c r="O234" s="6">
        <v>1925876</v>
      </c>
      <c r="Q234" s="6">
        <v>11955233</v>
      </c>
      <c r="S234" s="6">
        <v>32409</v>
      </c>
      <c r="U234" s="6">
        <v>41414</v>
      </c>
      <c r="W234" s="6">
        <v>5433</v>
      </c>
      <c r="Y234" s="6">
        <v>71535</v>
      </c>
      <c r="Z234" s="44"/>
      <c r="AA234" s="6">
        <v>0</v>
      </c>
      <c r="AC234" s="6">
        <v>0</v>
      </c>
      <c r="AE234" s="6">
        <f t="shared" si="42"/>
        <v>23519165</v>
      </c>
      <c r="AF234" s="6"/>
      <c r="AG234" s="6">
        <f t="shared" si="43"/>
        <v>28988433</v>
      </c>
    </row>
    <row r="235" spans="1:33" ht="12" customHeight="1">
      <c r="A235" s="10" t="s">
        <v>304</v>
      </c>
      <c r="B235" s="10"/>
      <c r="C235" s="10" t="s">
        <v>27</v>
      </c>
      <c r="E235" s="6">
        <v>2359851</v>
      </c>
      <c r="G235" s="6">
        <v>6898710</v>
      </c>
      <c r="I235" s="6">
        <v>0</v>
      </c>
      <c r="K235" s="6">
        <f t="shared" si="41"/>
        <v>9258561</v>
      </c>
      <c r="M235" s="6">
        <f>24240918+1011352</f>
        <v>25252270</v>
      </c>
      <c r="O235" s="6">
        <v>0</v>
      </c>
      <c r="Q235" s="6">
        <v>34551105</v>
      </c>
      <c r="S235" s="6">
        <v>5072</v>
      </c>
      <c r="U235" s="6">
        <f>218301+745387</f>
        <v>963688</v>
      </c>
      <c r="W235" s="6">
        <v>0</v>
      </c>
      <c r="Y235" s="6">
        <v>325537</v>
      </c>
      <c r="Z235" s="44"/>
      <c r="AA235" s="6">
        <v>0</v>
      </c>
      <c r="AC235" s="6">
        <v>0</v>
      </c>
      <c r="AE235" s="6">
        <f t="shared" si="42"/>
        <v>61097672</v>
      </c>
      <c r="AF235" s="6"/>
      <c r="AG235" s="6">
        <f t="shared" si="43"/>
        <v>70356233</v>
      </c>
    </row>
    <row r="236" spans="1:33" ht="12" hidden="1" customHeight="1">
      <c r="A236" s="10" t="s">
        <v>857</v>
      </c>
      <c r="B236" s="10"/>
      <c r="C236" s="10" t="s">
        <v>221</v>
      </c>
      <c r="D236" s="5"/>
      <c r="E236" s="6">
        <v>0</v>
      </c>
      <c r="G236" s="6">
        <v>0</v>
      </c>
      <c r="I236" s="6">
        <v>0</v>
      </c>
      <c r="K236" s="6">
        <f>SUM(E236:J236)</f>
        <v>0</v>
      </c>
      <c r="M236" s="6">
        <v>0</v>
      </c>
      <c r="O236" s="6">
        <v>0</v>
      </c>
      <c r="Q236" s="6">
        <v>0</v>
      </c>
      <c r="S236" s="6">
        <v>0</v>
      </c>
      <c r="U236" s="6">
        <v>0</v>
      </c>
      <c r="W236" s="6">
        <v>0</v>
      </c>
      <c r="Y236" s="6">
        <v>0</v>
      </c>
      <c r="Z236" s="44"/>
      <c r="AA236" s="6">
        <v>0</v>
      </c>
      <c r="AC236" s="6">
        <v>0</v>
      </c>
      <c r="AE236" s="6">
        <f>SUM(M236:AC236)</f>
        <v>0</v>
      </c>
      <c r="AF236" s="6"/>
      <c r="AG236" s="6">
        <f t="shared" si="43"/>
        <v>0</v>
      </c>
    </row>
    <row r="237" spans="1:33" ht="12" customHeight="1">
      <c r="A237" s="10" t="s">
        <v>802</v>
      </c>
      <c r="B237" s="10"/>
      <c r="C237" s="10" t="s">
        <v>27</v>
      </c>
      <c r="E237" s="6">
        <v>789622</v>
      </c>
      <c r="G237" s="6">
        <v>4367748</v>
      </c>
      <c r="I237" s="6">
        <v>0</v>
      </c>
      <c r="K237" s="6">
        <f t="shared" ref="K237:K238" si="44">SUM(E237:J237)</f>
        <v>5157370</v>
      </c>
      <c r="M237" s="6">
        <f>4574194+1589498+321801</f>
        <v>6485493</v>
      </c>
      <c r="O237" s="6">
        <v>0</v>
      </c>
      <c r="Q237" s="6">
        <v>18230864</v>
      </c>
      <c r="S237" s="6">
        <v>16544</v>
      </c>
      <c r="U237" s="6">
        <v>2591715</v>
      </c>
      <c r="W237" s="6">
        <v>0</v>
      </c>
      <c r="Y237" s="6">
        <v>111455</v>
      </c>
      <c r="Z237" s="44"/>
      <c r="AA237" s="6">
        <v>0</v>
      </c>
      <c r="AC237" s="6">
        <v>0</v>
      </c>
      <c r="AE237" s="6">
        <f t="shared" ref="AE237" si="45">SUM(M237:AC237)</f>
        <v>27436071</v>
      </c>
      <c r="AF237" s="6"/>
      <c r="AG237" s="6">
        <f t="shared" si="43"/>
        <v>32593441</v>
      </c>
    </row>
    <row r="238" spans="1:33" ht="12" customHeight="1">
      <c r="A238" s="10" t="s">
        <v>340</v>
      </c>
      <c r="B238" s="10"/>
      <c r="C238" s="10" t="s">
        <v>339</v>
      </c>
      <c r="E238" s="6">
        <v>619371</v>
      </c>
      <c r="G238" s="6">
        <v>447605</v>
      </c>
      <c r="I238" s="6">
        <v>15777</v>
      </c>
      <c r="K238" s="6">
        <f t="shared" si="44"/>
        <v>1082753</v>
      </c>
      <c r="M238" s="6">
        <f>1166847+21124+201508+118570</f>
        <v>1508049</v>
      </c>
      <c r="O238" s="6">
        <v>931548</v>
      </c>
      <c r="Q238" s="6">
        <v>2461960</v>
      </c>
      <c r="S238" s="6">
        <v>2702</v>
      </c>
      <c r="U238" s="6">
        <v>0</v>
      </c>
      <c r="W238" s="6">
        <v>0</v>
      </c>
      <c r="Y238" s="6">
        <f>341+10526</f>
        <v>10867</v>
      </c>
      <c r="Z238" s="44"/>
      <c r="AA238" s="6">
        <v>0</v>
      </c>
      <c r="AC238" s="6">
        <v>0</v>
      </c>
      <c r="AE238" s="6">
        <f t="shared" si="42"/>
        <v>4915126</v>
      </c>
      <c r="AF238" s="6"/>
      <c r="AG238" s="6">
        <f t="shared" si="43"/>
        <v>5997879</v>
      </c>
    </row>
    <row r="239" spans="1:33" ht="12" customHeight="1">
      <c r="A239" s="10" t="s">
        <v>491</v>
      </c>
      <c r="B239" s="10"/>
      <c r="C239" s="10" t="s">
        <v>61</v>
      </c>
      <c r="E239" s="6">
        <v>1421220</v>
      </c>
      <c r="G239" s="6">
        <v>798071</v>
      </c>
      <c r="I239" s="6">
        <v>0</v>
      </c>
      <c r="K239" s="6">
        <f t="shared" si="41"/>
        <v>2219291</v>
      </c>
      <c r="M239" s="6">
        <f>1710099+598279+38440</f>
        <v>2346818</v>
      </c>
      <c r="O239" s="6">
        <f>461968+231869</f>
        <v>693837</v>
      </c>
      <c r="Q239" s="6">
        <v>4356184</v>
      </c>
      <c r="S239" s="6">
        <v>1248</v>
      </c>
      <c r="U239" s="6">
        <v>0</v>
      </c>
      <c r="W239" s="6">
        <v>1450</v>
      </c>
      <c r="Y239" s="6">
        <v>8220</v>
      </c>
      <c r="Z239" s="44"/>
      <c r="AA239" s="6">
        <v>0</v>
      </c>
      <c r="AC239" s="6">
        <v>0</v>
      </c>
      <c r="AE239" s="6">
        <f t="shared" si="42"/>
        <v>7407757</v>
      </c>
      <c r="AF239" s="6"/>
      <c r="AG239" s="6">
        <f t="shared" si="43"/>
        <v>9627048</v>
      </c>
    </row>
    <row r="240" spans="1:33" ht="12" hidden="1" customHeight="1">
      <c r="A240" s="10" t="s">
        <v>858</v>
      </c>
      <c r="B240" s="10"/>
      <c r="C240" s="10" t="s">
        <v>343</v>
      </c>
      <c r="E240" s="6">
        <v>0</v>
      </c>
      <c r="G240" s="6">
        <v>0</v>
      </c>
      <c r="I240" s="6">
        <v>0</v>
      </c>
      <c r="K240" s="6">
        <f t="shared" si="41"/>
        <v>0</v>
      </c>
      <c r="M240" s="6">
        <v>0</v>
      </c>
      <c r="O240" s="6">
        <v>0</v>
      </c>
      <c r="Q240" s="6">
        <v>0</v>
      </c>
      <c r="S240" s="6">
        <v>0</v>
      </c>
      <c r="U240" s="6">
        <v>0</v>
      </c>
      <c r="W240" s="6">
        <v>0</v>
      </c>
      <c r="Y240" s="6">
        <v>0</v>
      </c>
      <c r="Z240" s="44"/>
      <c r="AA240" s="6">
        <v>0</v>
      </c>
      <c r="AC240" s="6">
        <v>0</v>
      </c>
      <c r="AE240" s="6">
        <f t="shared" si="42"/>
        <v>0</v>
      </c>
      <c r="AF240" s="6"/>
      <c r="AG240" s="6">
        <f t="shared" si="43"/>
        <v>0</v>
      </c>
    </row>
    <row r="241" spans="1:33" ht="12" customHeight="1">
      <c r="A241" s="10" t="s">
        <v>373</v>
      </c>
      <c r="B241" s="10"/>
      <c r="C241" s="10" t="s">
        <v>42</v>
      </c>
      <c r="E241" s="6">
        <v>512186</v>
      </c>
      <c r="G241" s="6">
        <v>838086</v>
      </c>
      <c r="I241" s="6">
        <v>0</v>
      </c>
      <c r="K241" s="6">
        <f t="shared" si="41"/>
        <v>1350272</v>
      </c>
      <c r="M241" s="6">
        <f>6981958+1161817+172436</f>
        <v>8316211</v>
      </c>
      <c r="O241" s="6">
        <v>0</v>
      </c>
      <c r="Q241" s="6">
        <v>6098286</v>
      </c>
      <c r="S241" s="6">
        <v>9489</v>
      </c>
      <c r="U241" s="6">
        <v>0</v>
      </c>
      <c r="W241" s="6">
        <v>0</v>
      </c>
      <c r="Y241" s="6">
        <v>520717</v>
      </c>
      <c r="Z241" s="44"/>
      <c r="AA241" s="6">
        <v>0</v>
      </c>
      <c r="AC241" s="6">
        <v>0</v>
      </c>
      <c r="AE241" s="6">
        <f t="shared" si="42"/>
        <v>14944703</v>
      </c>
      <c r="AF241" s="6"/>
      <c r="AG241" s="6">
        <f t="shared" si="43"/>
        <v>16294975</v>
      </c>
    </row>
    <row r="242" spans="1:33" ht="12" hidden="1" customHeight="1">
      <c r="A242" s="10" t="s">
        <v>667</v>
      </c>
      <c r="B242" s="10"/>
      <c r="C242" s="10" t="s">
        <v>22</v>
      </c>
      <c r="E242" s="6">
        <v>0</v>
      </c>
      <c r="G242" s="6">
        <v>0</v>
      </c>
      <c r="I242" s="6">
        <v>0</v>
      </c>
      <c r="K242" s="6">
        <f t="shared" si="41"/>
        <v>0</v>
      </c>
      <c r="M242" s="6">
        <v>0</v>
      </c>
      <c r="O242" s="6">
        <v>0</v>
      </c>
      <c r="Q242" s="6">
        <v>0</v>
      </c>
      <c r="S242" s="6">
        <v>0</v>
      </c>
      <c r="U242" s="6">
        <v>0</v>
      </c>
      <c r="W242" s="6">
        <v>0</v>
      </c>
      <c r="Y242" s="6">
        <v>0</v>
      </c>
      <c r="Z242" s="44"/>
      <c r="AA242" s="6">
        <v>0</v>
      </c>
      <c r="AC242" s="6">
        <v>0</v>
      </c>
      <c r="AE242" s="6">
        <f t="shared" si="42"/>
        <v>0</v>
      </c>
      <c r="AF242" s="6"/>
      <c r="AG242" s="6">
        <f t="shared" si="43"/>
        <v>0</v>
      </c>
    </row>
    <row r="243" spans="1:33" ht="12" customHeight="1">
      <c r="A243" s="10" t="s">
        <v>417</v>
      </c>
      <c r="B243" s="10"/>
      <c r="C243" s="10" t="s">
        <v>47</v>
      </c>
      <c r="E243" s="6">
        <v>2223809</v>
      </c>
      <c r="G243" s="6">
        <v>1091502</v>
      </c>
      <c r="I243" s="6">
        <v>31133</v>
      </c>
      <c r="K243" s="6">
        <f t="shared" si="41"/>
        <v>3346444</v>
      </c>
      <c r="M243" s="6">
        <f>18322249+2673851</f>
        <v>20996100</v>
      </c>
      <c r="O243" s="6">
        <v>0</v>
      </c>
      <c r="Q243" s="6">
        <v>7855973</v>
      </c>
      <c r="S243" s="6">
        <v>37648</v>
      </c>
      <c r="U243" s="6">
        <v>0</v>
      </c>
      <c r="W243" s="6">
        <v>0</v>
      </c>
      <c r="Y243" s="6">
        <f>1205228+70264</f>
        <v>1275492</v>
      </c>
      <c r="Z243" s="44"/>
      <c r="AA243" s="6">
        <v>0</v>
      </c>
      <c r="AC243" s="6">
        <v>0</v>
      </c>
      <c r="AE243" s="6">
        <f t="shared" si="42"/>
        <v>30165213</v>
      </c>
      <c r="AF243" s="6"/>
      <c r="AG243" s="6">
        <f t="shared" si="43"/>
        <v>33511657</v>
      </c>
    </row>
    <row r="244" spans="1:33" ht="12" customHeight="1">
      <c r="A244" s="10" t="s">
        <v>417</v>
      </c>
      <c r="B244" s="10"/>
      <c r="C244" s="10" t="s">
        <v>78</v>
      </c>
      <c r="E244" s="6">
        <v>619135</v>
      </c>
      <c r="G244" s="6">
        <v>2663114</v>
      </c>
      <c r="I244" s="6">
        <v>0</v>
      </c>
      <c r="K244" s="6">
        <f t="shared" si="41"/>
        <v>3282249</v>
      </c>
      <c r="M244" s="6">
        <f>3526706+70590+816713+111373</f>
        <v>4525382</v>
      </c>
      <c r="O244" s="6">
        <v>977664</v>
      </c>
      <c r="Q244" s="6">
        <v>8889059</v>
      </c>
      <c r="S244" s="6">
        <v>10032</v>
      </c>
      <c r="U244" s="6">
        <v>0</v>
      </c>
      <c r="W244" s="6">
        <v>4982</v>
      </c>
      <c r="Y244" s="6">
        <v>495108</v>
      </c>
      <c r="Z244" s="44"/>
      <c r="AA244" s="6">
        <v>0</v>
      </c>
      <c r="AC244" s="6">
        <v>0</v>
      </c>
      <c r="AE244" s="6">
        <f t="shared" si="42"/>
        <v>14902227</v>
      </c>
      <c r="AF244" s="6"/>
      <c r="AG244" s="6">
        <f t="shared" si="43"/>
        <v>18184476</v>
      </c>
    </row>
    <row r="245" spans="1:33" ht="12" customHeight="1">
      <c r="A245" s="10" t="s">
        <v>305</v>
      </c>
      <c r="B245" s="10"/>
      <c r="C245" s="10" t="s">
        <v>27</v>
      </c>
      <c r="E245" s="6">
        <v>7787926</v>
      </c>
      <c r="G245" s="6">
        <v>9558097</v>
      </c>
      <c r="I245" s="6">
        <v>0</v>
      </c>
      <c r="K245" s="6">
        <f t="shared" si="41"/>
        <v>17346023</v>
      </c>
      <c r="M245" s="6">
        <f>106363533+14458043+4174035</f>
        <v>124995611</v>
      </c>
      <c r="O245" s="6">
        <v>0</v>
      </c>
      <c r="Q245" s="6">
        <v>56437892</v>
      </c>
      <c r="S245" s="6">
        <v>209521</v>
      </c>
      <c r="U245" s="6">
        <v>0</v>
      </c>
      <c r="W245" s="6">
        <v>0</v>
      </c>
      <c r="Y245" s="6">
        <v>4788525</v>
      </c>
      <c r="Z245" s="44"/>
      <c r="AA245" s="6">
        <v>0</v>
      </c>
      <c r="AC245" s="6">
        <v>0</v>
      </c>
      <c r="AE245" s="6">
        <f t="shared" si="42"/>
        <v>186431549</v>
      </c>
      <c r="AF245" s="6"/>
      <c r="AG245" s="6">
        <f t="shared" si="43"/>
        <v>203777572</v>
      </c>
    </row>
    <row r="246" spans="1:33" ht="12" customHeight="1">
      <c r="A246" s="10" t="s">
        <v>350</v>
      </c>
      <c r="B246" s="10"/>
      <c r="C246" s="10" t="s">
        <v>348</v>
      </c>
      <c r="E246" s="6">
        <v>1811821</v>
      </c>
      <c r="G246" s="6">
        <v>4848762</v>
      </c>
      <c r="I246" s="6">
        <v>19000</v>
      </c>
      <c r="K246" s="6">
        <f t="shared" si="41"/>
        <v>6679583</v>
      </c>
      <c r="M246" s="6">
        <f>5270215+981158+109660</f>
        <v>6361033</v>
      </c>
      <c r="O246" s="6">
        <v>2327552</v>
      </c>
      <c r="Q246" s="6">
        <v>12077922</v>
      </c>
      <c r="S246" s="6">
        <v>58897</v>
      </c>
      <c r="U246" s="6">
        <v>0</v>
      </c>
      <c r="W246" s="6">
        <v>13642</v>
      </c>
      <c r="Y246" s="6">
        <v>324599</v>
      </c>
      <c r="Z246" s="44"/>
      <c r="AA246" s="6">
        <v>0</v>
      </c>
      <c r="AC246" s="6">
        <v>0</v>
      </c>
      <c r="AE246" s="6">
        <f t="shared" si="42"/>
        <v>21163645</v>
      </c>
      <c r="AF246" s="6"/>
      <c r="AG246" s="6">
        <f t="shared" si="43"/>
        <v>27843228</v>
      </c>
    </row>
    <row r="247" spans="1:33" ht="12" customHeight="1">
      <c r="A247" s="10" t="s">
        <v>204</v>
      </c>
      <c r="B247" s="10"/>
      <c r="C247" s="10" t="s">
        <v>11</v>
      </c>
      <c r="D247" s="5"/>
      <c r="E247" s="6">
        <v>789940</v>
      </c>
      <c r="G247" s="6">
        <v>1132636</v>
      </c>
      <c r="I247" s="6">
        <v>23997</v>
      </c>
      <c r="K247" s="6">
        <f t="shared" si="41"/>
        <v>1946573</v>
      </c>
      <c r="M247" s="6">
        <f>3584978+188738</f>
        <v>3773716</v>
      </c>
      <c r="O247" s="6">
        <v>0</v>
      </c>
      <c r="Q247" s="6">
        <v>3990398</v>
      </c>
      <c r="S247" s="6">
        <v>22528</v>
      </c>
      <c r="U247" s="6">
        <v>0</v>
      </c>
      <c r="W247" s="6">
        <v>0</v>
      </c>
      <c r="Y247" s="6">
        <v>92772</v>
      </c>
      <c r="Z247" s="44"/>
      <c r="AA247" s="6">
        <v>0</v>
      </c>
      <c r="AC247" s="6">
        <v>0</v>
      </c>
      <c r="AE247" s="6">
        <f t="shared" si="42"/>
        <v>7879414</v>
      </c>
      <c r="AF247" s="6"/>
      <c r="AG247" s="6">
        <f t="shared" si="43"/>
        <v>9825987</v>
      </c>
    </row>
    <row r="248" spans="1:33" ht="12" customHeight="1">
      <c r="A248" s="10" t="s">
        <v>344</v>
      </c>
      <c r="B248" s="10"/>
      <c r="C248" s="10" t="s">
        <v>34</v>
      </c>
      <c r="E248" s="6">
        <v>643018</v>
      </c>
      <c r="G248" s="6">
        <v>561252</v>
      </c>
      <c r="I248" s="6">
        <v>28000</v>
      </c>
      <c r="K248" s="6">
        <f t="shared" si="41"/>
        <v>1232270</v>
      </c>
      <c r="M248" s="6">
        <f>1055509+18820+427937+59507</f>
        <v>1561773</v>
      </c>
      <c r="O248" s="6">
        <v>699323</v>
      </c>
      <c r="Q248" s="6">
        <v>2513026</v>
      </c>
      <c r="S248" s="6">
        <v>16581</v>
      </c>
      <c r="U248" s="6">
        <v>1477</v>
      </c>
      <c r="W248" s="6">
        <v>3621</v>
      </c>
      <c r="Y248" s="6">
        <v>84623</v>
      </c>
      <c r="Z248" s="44"/>
      <c r="AA248" s="6">
        <v>0</v>
      </c>
      <c r="AC248" s="6">
        <v>0</v>
      </c>
      <c r="AE248" s="6">
        <f>SUM(M248:AC248)</f>
        <v>4880424</v>
      </c>
      <c r="AF248" s="6"/>
      <c r="AG248" s="6">
        <f t="shared" si="43"/>
        <v>6112694</v>
      </c>
    </row>
    <row r="249" spans="1:33" ht="12" hidden="1" customHeight="1">
      <c r="A249" s="10" t="s">
        <v>891</v>
      </c>
      <c r="B249" s="10"/>
      <c r="C249" s="10" t="s">
        <v>60</v>
      </c>
      <c r="E249" s="6">
        <v>0</v>
      </c>
      <c r="G249" s="6">
        <v>0</v>
      </c>
      <c r="I249" s="6">
        <v>0</v>
      </c>
      <c r="K249" s="6">
        <f t="shared" ref="K249" si="46">SUM(E249:J249)</f>
        <v>0</v>
      </c>
      <c r="M249" s="6">
        <v>0</v>
      </c>
      <c r="O249" s="6">
        <v>0</v>
      </c>
      <c r="Q249" s="6">
        <v>0</v>
      </c>
      <c r="S249" s="6">
        <v>0</v>
      </c>
      <c r="U249" s="6">
        <v>0</v>
      </c>
      <c r="W249" s="6">
        <v>0</v>
      </c>
      <c r="Y249" s="6">
        <v>0</v>
      </c>
      <c r="Z249" s="44"/>
      <c r="AA249" s="6">
        <v>0</v>
      </c>
      <c r="AC249" s="6">
        <v>0</v>
      </c>
      <c r="AE249" s="6">
        <f t="shared" ref="AE249" si="47">SUM(M249:AC249)</f>
        <v>0</v>
      </c>
      <c r="AF249" s="6"/>
      <c r="AG249" s="6">
        <f t="shared" ref="AG249" si="48">+AE249+K249</f>
        <v>0</v>
      </c>
    </row>
    <row r="250" spans="1:33" ht="12" customHeight="1">
      <c r="A250" s="10" t="s">
        <v>522</v>
      </c>
      <c r="B250" s="10"/>
      <c r="C250" s="10" t="s">
        <v>64</v>
      </c>
      <c r="E250" s="6">
        <v>2127967</v>
      </c>
      <c r="G250" s="6">
        <v>2340770</v>
      </c>
      <c r="I250" s="6">
        <v>0</v>
      </c>
      <c r="K250" s="6">
        <f t="shared" si="41"/>
        <v>4468737</v>
      </c>
      <c r="M250" s="6">
        <f>14852072+156860+421385</f>
        <v>15430317</v>
      </c>
      <c r="O250" s="6">
        <v>0</v>
      </c>
      <c r="Q250" s="6">
        <v>10227681</v>
      </c>
      <c r="S250" s="6">
        <v>21742</v>
      </c>
      <c r="U250" s="6">
        <v>0</v>
      </c>
      <c r="W250" s="6">
        <v>0</v>
      </c>
      <c r="Y250" s="6">
        <v>282317</v>
      </c>
      <c r="Z250" s="44"/>
      <c r="AA250" s="6">
        <v>0</v>
      </c>
      <c r="AC250" s="6">
        <v>0</v>
      </c>
      <c r="AE250" s="6">
        <f t="shared" si="42"/>
        <v>25962057</v>
      </c>
      <c r="AF250" s="6"/>
      <c r="AG250" s="6">
        <f t="shared" si="43"/>
        <v>30430794</v>
      </c>
    </row>
    <row r="251" spans="1:33" ht="12" customHeight="1">
      <c r="A251" s="10" t="s">
        <v>761</v>
      </c>
      <c r="B251" s="10"/>
      <c r="C251" s="10" t="s">
        <v>64</v>
      </c>
      <c r="E251" s="6">
        <v>1696627</v>
      </c>
      <c r="G251" s="6">
        <v>2115841</v>
      </c>
      <c r="I251" s="6">
        <v>452455</v>
      </c>
      <c r="K251" s="6">
        <f t="shared" si="41"/>
        <v>4264923</v>
      </c>
      <c r="M251" s="6">
        <f>5759119+1014351+88251</f>
        <v>6861721</v>
      </c>
      <c r="O251" s="6">
        <v>0</v>
      </c>
      <c r="Q251" s="6">
        <v>10103626</v>
      </c>
      <c r="S251" s="6">
        <v>170711</v>
      </c>
      <c r="U251" s="6">
        <v>0</v>
      </c>
      <c r="W251" s="6">
        <v>0</v>
      </c>
      <c r="Y251" s="6">
        <v>626392</v>
      </c>
      <c r="Z251" s="44"/>
      <c r="AA251" s="6">
        <v>0</v>
      </c>
      <c r="AC251" s="6">
        <v>0</v>
      </c>
      <c r="AE251" s="6">
        <f t="shared" si="42"/>
        <v>17762450</v>
      </c>
      <c r="AF251" s="6"/>
      <c r="AG251" s="6">
        <f t="shared" si="43"/>
        <v>22027373</v>
      </c>
    </row>
    <row r="252" spans="1:33" ht="12" customHeight="1">
      <c r="A252" s="10" t="s">
        <v>430</v>
      </c>
      <c r="B252" s="10"/>
      <c r="C252" s="10" t="s">
        <v>50</v>
      </c>
      <c r="E252" s="6">
        <v>2716887</v>
      </c>
      <c r="G252" s="6">
        <v>4759477</v>
      </c>
      <c r="I252" s="6">
        <v>0</v>
      </c>
      <c r="K252" s="6">
        <f t="shared" si="41"/>
        <v>7476364</v>
      </c>
      <c r="M252" s="6">
        <f>26386956+4346346+934136</f>
        <v>31667438</v>
      </c>
      <c r="O252" s="6">
        <v>0</v>
      </c>
      <c r="Q252" s="6">
        <v>31740517</v>
      </c>
      <c r="S252" s="6">
        <v>255043</v>
      </c>
      <c r="U252" s="6">
        <v>0</v>
      </c>
      <c r="W252" s="6">
        <v>0</v>
      </c>
      <c r="Y252" s="6">
        <v>530231</v>
      </c>
      <c r="Z252" s="44"/>
      <c r="AA252" s="6">
        <v>0</v>
      </c>
      <c r="AC252" s="6">
        <v>0</v>
      </c>
      <c r="AE252" s="6">
        <f t="shared" si="42"/>
        <v>64193229</v>
      </c>
      <c r="AF252" s="6"/>
      <c r="AG252" s="6">
        <f t="shared" si="43"/>
        <v>71669593</v>
      </c>
    </row>
    <row r="253" spans="1:33" ht="12" customHeight="1">
      <c r="A253" s="10" t="s">
        <v>509</v>
      </c>
      <c r="B253" s="10"/>
      <c r="C253" s="10" t="s">
        <v>63</v>
      </c>
      <c r="E253" s="6">
        <v>2935854</v>
      </c>
      <c r="G253" s="6">
        <v>3956096</v>
      </c>
      <c r="I253" s="6">
        <v>35181</v>
      </c>
      <c r="K253" s="6">
        <f t="shared" si="41"/>
        <v>6927131</v>
      </c>
      <c r="M253" s="6">
        <f>36431621+2116209+1132961</f>
        <v>39680791</v>
      </c>
      <c r="O253" s="6">
        <v>0</v>
      </c>
      <c r="Q253" s="6">
        <v>19770571</v>
      </c>
      <c r="S253" s="6">
        <v>174389</v>
      </c>
      <c r="U253" s="6">
        <v>314000</v>
      </c>
      <c r="W253" s="6">
        <v>0</v>
      </c>
      <c r="Y253" s="6">
        <v>762152</v>
      </c>
      <c r="Z253" s="44"/>
      <c r="AA253" s="6">
        <v>0</v>
      </c>
      <c r="AC253" s="6">
        <v>0</v>
      </c>
      <c r="AE253" s="6">
        <f t="shared" si="42"/>
        <v>60701903</v>
      </c>
      <c r="AF253" s="6"/>
      <c r="AG253" s="6">
        <f t="shared" si="43"/>
        <v>67629034</v>
      </c>
    </row>
    <row r="254" spans="1:33" ht="12" customHeight="1">
      <c r="A254" s="10" t="s">
        <v>474</v>
      </c>
      <c r="B254" s="10"/>
      <c r="C254" s="10" t="s">
        <v>58</v>
      </c>
      <c r="E254" s="6">
        <v>1292743</v>
      </c>
      <c r="G254" s="6">
        <v>2722660</v>
      </c>
      <c r="I254" s="6">
        <v>0</v>
      </c>
      <c r="K254" s="6">
        <f t="shared" si="41"/>
        <v>4015403</v>
      </c>
      <c r="M254" s="6">
        <f>1056742+62206+18133</f>
        <v>1137081</v>
      </c>
      <c r="O254" s="6">
        <v>0</v>
      </c>
      <c r="Q254" s="6">
        <v>8229020</v>
      </c>
      <c r="S254" s="6">
        <v>2644</v>
      </c>
      <c r="U254" s="6">
        <v>0</v>
      </c>
      <c r="W254" s="6">
        <v>0</v>
      </c>
      <c r="Y254" s="6">
        <v>69099</v>
      </c>
      <c r="Z254" s="44"/>
      <c r="AA254" s="6">
        <v>0</v>
      </c>
      <c r="AC254" s="6">
        <v>0</v>
      </c>
      <c r="AE254" s="6">
        <f t="shared" si="42"/>
        <v>9437844</v>
      </c>
      <c r="AF254" s="6"/>
      <c r="AG254" s="6">
        <f t="shared" si="43"/>
        <v>13453247</v>
      </c>
    </row>
    <row r="255" spans="1:33" ht="12" customHeight="1">
      <c r="A255" s="10" t="s">
        <v>286</v>
      </c>
      <c r="B255" s="10"/>
      <c r="C255" s="10" t="s">
        <v>24</v>
      </c>
      <c r="E255" s="6">
        <v>1148315</v>
      </c>
      <c r="G255" s="6">
        <v>1021056</v>
      </c>
      <c r="I255" s="6">
        <v>79014</v>
      </c>
      <c r="K255" s="6">
        <f t="shared" si="41"/>
        <v>2248385</v>
      </c>
      <c r="M255" s="6">
        <f>9359951+292351+459926</f>
        <v>10112228</v>
      </c>
      <c r="O255" s="6">
        <v>0</v>
      </c>
      <c r="Q255" s="6">
        <v>5004863</v>
      </c>
      <c r="S255" s="6">
        <v>32465</v>
      </c>
      <c r="U255" s="6">
        <v>0</v>
      </c>
      <c r="W255" s="6">
        <v>0</v>
      </c>
      <c r="Y255" s="6">
        <v>112473</v>
      </c>
      <c r="Z255" s="44"/>
      <c r="AA255" s="6">
        <v>0</v>
      </c>
      <c r="AC255" s="6">
        <v>0</v>
      </c>
      <c r="AE255" s="6">
        <f t="shared" si="42"/>
        <v>15262029</v>
      </c>
      <c r="AF255" s="6"/>
      <c r="AG255" s="6">
        <f t="shared" si="43"/>
        <v>17510414</v>
      </c>
    </row>
    <row r="256" spans="1:33" ht="12" customHeight="1">
      <c r="A256" s="10" t="s">
        <v>269</v>
      </c>
      <c r="B256" s="10"/>
      <c r="C256" s="10" t="s">
        <v>20</v>
      </c>
      <c r="E256" s="6">
        <v>523116</v>
      </c>
      <c r="G256" s="6">
        <v>373620</v>
      </c>
      <c r="I256" s="6">
        <v>0</v>
      </c>
      <c r="K256" s="6">
        <f t="shared" si="41"/>
        <v>896736</v>
      </c>
      <c r="M256" s="6">
        <f>13989608+1189759+496634</f>
        <v>15676001</v>
      </c>
      <c r="O256" s="6">
        <v>0</v>
      </c>
      <c r="Q256" s="6">
        <v>2766034</v>
      </c>
      <c r="S256" s="6">
        <v>22748</v>
      </c>
      <c r="U256" s="6">
        <v>50000</v>
      </c>
      <c r="W256" s="6">
        <v>0</v>
      </c>
      <c r="Y256" s="6">
        <v>276892</v>
      </c>
      <c r="Z256" s="44"/>
      <c r="AA256" s="6">
        <v>0</v>
      </c>
      <c r="AC256" s="6">
        <v>0</v>
      </c>
      <c r="AE256" s="6">
        <f t="shared" si="42"/>
        <v>18791675</v>
      </c>
      <c r="AF256" s="6"/>
      <c r="AG256" s="6">
        <f t="shared" si="43"/>
        <v>19688411</v>
      </c>
    </row>
    <row r="257" spans="1:33" ht="12" customHeight="1">
      <c r="A257" s="10" t="s">
        <v>363</v>
      </c>
      <c r="B257" s="10"/>
      <c r="C257" s="10" t="s">
        <v>39</v>
      </c>
      <c r="E257" s="6">
        <v>2535206</v>
      </c>
      <c r="G257" s="6">
        <v>2788395</v>
      </c>
      <c r="I257" s="6">
        <v>356611</v>
      </c>
      <c r="K257" s="6">
        <f t="shared" si="41"/>
        <v>5680212</v>
      </c>
      <c r="M257" s="6">
        <f>6306325+723069+205055+136701</f>
        <v>7371150</v>
      </c>
      <c r="O257" s="6">
        <v>0</v>
      </c>
      <c r="Q257" s="6">
        <v>9599580</v>
      </c>
      <c r="S257" s="6">
        <v>53151</v>
      </c>
      <c r="U257" s="6">
        <v>0</v>
      </c>
      <c r="W257" s="6">
        <v>0</v>
      </c>
      <c r="Y257" s="6">
        <v>27395</v>
      </c>
      <c r="Z257" s="44"/>
      <c r="AA257" s="6">
        <v>0</v>
      </c>
      <c r="AC257" s="6">
        <v>0</v>
      </c>
      <c r="AE257" s="6">
        <f t="shared" si="42"/>
        <v>17051276</v>
      </c>
      <c r="AF257" s="6"/>
      <c r="AG257" s="6">
        <f t="shared" si="43"/>
        <v>22731488</v>
      </c>
    </row>
    <row r="258" spans="1:33" ht="12" customHeight="1">
      <c r="A258" s="10" t="s">
        <v>762</v>
      </c>
      <c r="B258" s="10"/>
      <c r="C258" s="10" t="s">
        <v>32</v>
      </c>
      <c r="E258" s="6">
        <v>799538</v>
      </c>
      <c r="G258" s="6">
        <v>1867337</v>
      </c>
      <c r="I258" s="6">
        <v>0</v>
      </c>
      <c r="K258" s="6">
        <f t="shared" si="41"/>
        <v>2666875</v>
      </c>
      <c r="M258" s="6">
        <f>22756356+3184242+1363309</f>
        <v>27303907</v>
      </c>
      <c r="O258" s="6">
        <v>0</v>
      </c>
      <c r="Q258" s="6">
        <v>4870533</v>
      </c>
      <c r="S258" s="6">
        <v>137046</v>
      </c>
      <c r="U258" s="6">
        <v>3622226</v>
      </c>
      <c r="W258" s="6">
        <v>0</v>
      </c>
      <c r="Y258" s="6">
        <v>155862</v>
      </c>
      <c r="Z258" s="44"/>
      <c r="AA258" s="6">
        <v>0</v>
      </c>
      <c r="AC258" s="6">
        <v>0</v>
      </c>
      <c r="AE258" s="6">
        <f t="shared" si="42"/>
        <v>36089574</v>
      </c>
      <c r="AF258" s="6"/>
      <c r="AG258" s="6">
        <f t="shared" si="43"/>
        <v>38756449</v>
      </c>
    </row>
    <row r="259" spans="1:33" ht="12" hidden="1" customHeight="1">
      <c r="A259" s="10" t="s">
        <v>795</v>
      </c>
      <c r="B259" s="10"/>
      <c r="C259" s="10" t="s">
        <v>43</v>
      </c>
      <c r="E259" s="6">
        <v>0</v>
      </c>
      <c r="G259" s="6">
        <v>0</v>
      </c>
      <c r="I259" s="6">
        <v>0</v>
      </c>
      <c r="K259" s="6">
        <f t="shared" si="41"/>
        <v>0</v>
      </c>
      <c r="M259" s="6">
        <v>0</v>
      </c>
      <c r="O259" s="6">
        <v>0</v>
      </c>
      <c r="Q259" s="6">
        <v>0</v>
      </c>
      <c r="S259" s="6">
        <v>0</v>
      </c>
      <c r="U259" s="6">
        <v>0</v>
      </c>
      <c r="W259" s="6">
        <v>0</v>
      </c>
      <c r="Y259" s="6">
        <v>0</v>
      </c>
      <c r="Z259" s="44"/>
      <c r="AA259" s="6">
        <v>0</v>
      </c>
      <c r="AC259" s="6">
        <v>0</v>
      </c>
      <c r="AE259" s="6">
        <f t="shared" si="42"/>
        <v>0</v>
      </c>
      <c r="AF259" s="6"/>
      <c r="AG259" s="6">
        <f t="shared" si="43"/>
        <v>0</v>
      </c>
    </row>
    <row r="260" spans="1:33" ht="12" customHeight="1">
      <c r="A260" s="10" t="s">
        <v>536</v>
      </c>
      <c r="B260" s="10"/>
      <c r="C260" s="10" t="s">
        <v>65</v>
      </c>
      <c r="E260" s="6">
        <v>2161575</v>
      </c>
      <c r="G260" s="6">
        <v>1982032</v>
      </c>
      <c r="I260" s="6">
        <v>0</v>
      </c>
      <c r="K260" s="6">
        <f t="shared" si="41"/>
        <v>4143607</v>
      </c>
      <c r="M260" s="6">
        <f>3914872+1018493+72121</f>
        <v>5005486</v>
      </c>
      <c r="O260" s="6">
        <v>0</v>
      </c>
      <c r="Q260" s="6">
        <v>9309438</v>
      </c>
      <c r="S260" s="6">
        <v>2574</v>
      </c>
      <c r="U260" s="6">
        <v>0</v>
      </c>
      <c r="W260" s="6">
        <v>0</v>
      </c>
      <c r="Y260" s="6">
        <v>208264</v>
      </c>
      <c r="Z260" s="44"/>
      <c r="AA260" s="6">
        <v>0</v>
      </c>
      <c r="AC260" s="6">
        <v>0</v>
      </c>
      <c r="AE260" s="6">
        <f t="shared" si="42"/>
        <v>14525762</v>
      </c>
      <c r="AF260" s="6"/>
      <c r="AG260" s="6">
        <f t="shared" si="43"/>
        <v>18669369</v>
      </c>
    </row>
    <row r="261" spans="1:33" ht="12" customHeight="1">
      <c r="A261" s="10" t="s">
        <v>369</v>
      </c>
      <c r="B261" s="10"/>
      <c r="C261" s="10" t="s">
        <v>366</v>
      </c>
      <c r="E261" s="6">
        <v>1682238</v>
      </c>
      <c r="G261" s="6">
        <v>2160227</v>
      </c>
      <c r="I261" s="6">
        <v>0</v>
      </c>
      <c r="K261" s="6">
        <f t="shared" si="41"/>
        <v>3842465</v>
      </c>
      <c r="M261" s="6">
        <f>2708236+1050693+56105</f>
        <v>3815034</v>
      </c>
      <c r="O261" s="6">
        <v>0</v>
      </c>
      <c r="Q261" s="6">
        <v>8402771</v>
      </c>
      <c r="S261" s="6">
        <v>10662</v>
      </c>
      <c r="U261" s="6">
        <v>0</v>
      </c>
      <c r="W261" s="6">
        <v>0</v>
      </c>
      <c r="Y261" s="6">
        <f>144965+38463</f>
        <v>183428</v>
      </c>
      <c r="Z261" s="44"/>
      <c r="AA261" s="6">
        <v>0</v>
      </c>
      <c r="AC261" s="6">
        <v>0</v>
      </c>
      <c r="AE261" s="6">
        <f t="shared" si="42"/>
        <v>12411895</v>
      </c>
      <c r="AF261" s="6"/>
      <c r="AG261" s="6">
        <f t="shared" si="43"/>
        <v>16254360</v>
      </c>
    </row>
    <row r="262" spans="1:33" ht="12" hidden="1" customHeight="1">
      <c r="A262" s="10" t="s">
        <v>668</v>
      </c>
      <c r="B262" s="10"/>
      <c r="C262" s="10" t="s">
        <v>61</v>
      </c>
      <c r="E262" s="6">
        <v>0</v>
      </c>
      <c r="G262" s="6">
        <v>0</v>
      </c>
      <c r="I262" s="6">
        <v>0</v>
      </c>
      <c r="K262" s="6">
        <f t="shared" si="41"/>
        <v>0</v>
      </c>
      <c r="M262" s="6">
        <v>0</v>
      </c>
      <c r="O262" s="6">
        <v>0</v>
      </c>
      <c r="Q262" s="6">
        <v>0</v>
      </c>
      <c r="S262" s="6">
        <v>0</v>
      </c>
      <c r="U262" s="6">
        <v>0</v>
      </c>
      <c r="W262" s="6">
        <v>0</v>
      </c>
      <c r="Y262" s="6">
        <v>0</v>
      </c>
      <c r="Z262" s="44"/>
      <c r="AA262" s="6">
        <v>0</v>
      </c>
      <c r="AC262" s="6">
        <v>0</v>
      </c>
      <c r="AE262" s="6">
        <f t="shared" si="42"/>
        <v>0</v>
      </c>
      <c r="AF262" s="6"/>
      <c r="AG262" s="6">
        <f t="shared" si="43"/>
        <v>0</v>
      </c>
    </row>
    <row r="263" spans="1:33" ht="12" hidden="1" customHeight="1">
      <c r="A263" s="10" t="s">
        <v>679</v>
      </c>
      <c r="B263" s="10"/>
      <c r="C263" s="10" t="s">
        <v>38</v>
      </c>
      <c r="E263" s="6">
        <v>0</v>
      </c>
      <c r="G263" s="6">
        <v>0</v>
      </c>
      <c r="I263" s="6">
        <v>0</v>
      </c>
      <c r="K263" s="6">
        <f>SUM(E263:J263)</f>
        <v>0</v>
      </c>
      <c r="M263" s="6">
        <v>0</v>
      </c>
      <c r="O263" s="6">
        <v>0</v>
      </c>
      <c r="Q263" s="6">
        <v>0</v>
      </c>
      <c r="S263" s="6">
        <v>0</v>
      </c>
      <c r="U263" s="6">
        <v>0</v>
      </c>
      <c r="W263" s="6">
        <v>0</v>
      </c>
      <c r="Y263" s="6">
        <v>0</v>
      </c>
      <c r="Z263" s="44"/>
      <c r="AA263" s="6">
        <v>0</v>
      </c>
      <c r="AC263" s="6">
        <v>0</v>
      </c>
      <c r="AE263" s="6">
        <f t="shared" si="42"/>
        <v>0</v>
      </c>
      <c r="AF263" s="6"/>
      <c r="AG263" s="6">
        <f t="shared" si="43"/>
        <v>0</v>
      </c>
    </row>
    <row r="264" spans="1:33" ht="12" customHeight="1">
      <c r="A264" s="10" t="s">
        <v>497</v>
      </c>
      <c r="B264" s="10"/>
      <c r="C264" s="10" t="s">
        <v>62</v>
      </c>
      <c r="E264" s="6">
        <v>2957398</v>
      </c>
      <c r="G264" s="6">
        <v>2880479</v>
      </c>
      <c r="I264" s="6">
        <v>399972</v>
      </c>
      <c r="K264" s="6">
        <f t="shared" si="41"/>
        <v>6237849</v>
      </c>
      <c r="M264" s="6">
        <f>34915004+5416940+1062850</f>
        <v>41394794</v>
      </c>
      <c r="O264" s="6">
        <v>0</v>
      </c>
      <c r="Q264" s="6">
        <v>13531473</v>
      </c>
      <c r="S264" s="6">
        <v>63352</v>
      </c>
      <c r="U264" s="6">
        <v>127695</v>
      </c>
      <c r="W264" s="6">
        <v>0</v>
      </c>
      <c r="Y264" s="6">
        <v>153702</v>
      </c>
      <c r="Z264" s="44"/>
      <c r="AA264" s="6">
        <v>0</v>
      </c>
      <c r="AC264" s="6">
        <v>0</v>
      </c>
      <c r="AE264" s="6">
        <f t="shared" si="42"/>
        <v>55271016</v>
      </c>
      <c r="AF264" s="6"/>
      <c r="AG264" s="6">
        <f t="shared" si="43"/>
        <v>61508865</v>
      </c>
    </row>
    <row r="265" spans="1:33" ht="12" customHeight="1">
      <c r="A265" s="10" t="s">
        <v>404</v>
      </c>
      <c r="B265" s="10"/>
      <c r="C265" s="10" t="s">
        <v>45</v>
      </c>
      <c r="E265" s="6">
        <v>882093</v>
      </c>
      <c r="G265" s="6">
        <v>896892</v>
      </c>
      <c r="I265" s="6">
        <v>0</v>
      </c>
      <c r="K265" s="6">
        <f t="shared" si="41"/>
        <v>1778985</v>
      </c>
      <c r="M265" s="6">
        <f>3371560+1224252+957315</f>
        <v>5553127</v>
      </c>
      <c r="O265" s="6">
        <v>0</v>
      </c>
      <c r="Q265" s="6">
        <v>3414811</v>
      </c>
      <c r="S265" s="6">
        <v>1422</v>
      </c>
      <c r="U265" s="6">
        <v>0</v>
      </c>
      <c r="W265" s="6">
        <v>0</v>
      </c>
      <c r="Y265" s="6">
        <v>44291</v>
      </c>
      <c r="Z265" s="44"/>
      <c r="AA265" s="6">
        <v>0</v>
      </c>
      <c r="AC265" s="6">
        <v>0</v>
      </c>
      <c r="AE265" s="6">
        <f t="shared" si="42"/>
        <v>9013651</v>
      </c>
      <c r="AF265" s="6"/>
      <c r="AG265" s="6">
        <f t="shared" si="43"/>
        <v>10792636</v>
      </c>
    </row>
    <row r="266" spans="1:33" ht="12" customHeight="1">
      <c r="A266" s="10" t="s">
        <v>460</v>
      </c>
      <c r="B266" s="10"/>
      <c r="C266" s="10" t="s">
        <v>56</v>
      </c>
      <c r="E266" s="6">
        <v>1674686</v>
      </c>
      <c r="G266" s="6">
        <v>1402378</v>
      </c>
      <c r="I266" s="6">
        <v>0</v>
      </c>
      <c r="K266" s="6">
        <f t="shared" si="41"/>
        <v>3077064</v>
      </c>
      <c r="M266" s="6">
        <f>4015002+407135</f>
        <v>4422137</v>
      </c>
      <c r="O266" s="6">
        <v>0</v>
      </c>
      <c r="Q266" s="6">
        <v>6147424</v>
      </c>
      <c r="S266" s="6">
        <v>11531</v>
      </c>
      <c r="U266" s="6">
        <v>0</v>
      </c>
      <c r="W266" s="6">
        <v>0</v>
      </c>
      <c r="Y266" s="6">
        <v>45135</v>
      </c>
      <c r="Z266" s="44"/>
      <c r="AA266" s="6">
        <v>0</v>
      </c>
      <c r="AC266" s="6">
        <v>0</v>
      </c>
      <c r="AE266" s="6">
        <f t="shared" si="42"/>
        <v>10626227</v>
      </c>
      <c r="AF266" s="6"/>
      <c r="AG266" s="6">
        <f t="shared" si="43"/>
        <v>13703291</v>
      </c>
    </row>
    <row r="267" spans="1:33" ht="12" customHeight="1">
      <c r="A267" s="10" t="s">
        <v>209</v>
      </c>
      <c r="B267" s="10"/>
      <c r="C267" s="10" t="s">
        <v>12</v>
      </c>
      <c r="D267" s="5"/>
      <c r="E267" s="6">
        <v>1901935</v>
      </c>
      <c r="G267" s="6">
        <v>1374471</v>
      </c>
      <c r="I267" s="6">
        <v>85973</v>
      </c>
      <c r="K267" s="6">
        <f t="shared" si="41"/>
        <v>3362379</v>
      </c>
      <c r="M267" s="6">
        <f>5159508+1314846+337697+97937</f>
        <v>6909988</v>
      </c>
      <c r="O267" s="6">
        <v>0</v>
      </c>
      <c r="Q267" s="6">
        <v>9437077</v>
      </c>
      <c r="S267" s="6">
        <v>4080</v>
      </c>
      <c r="U267" s="6">
        <v>0</v>
      </c>
      <c r="W267" s="6">
        <v>0</v>
      </c>
      <c r="Y267" s="6">
        <v>68581</v>
      </c>
      <c r="Z267" s="44"/>
      <c r="AA267" s="6">
        <v>0</v>
      </c>
      <c r="AC267" s="6">
        <v>0</v>
      </c>
      <c r="AE267" s="6">
        <f t="shared" si="42"/>
        <v>16419726</v>
      </c>
      <c r="AF267" s="6"/>
      <c r="AG267" s="6">
        <f t="shared" si="43"/>
        <v>19782105</v>
      </c>
    </row>
    <row r="268" spans="1:33" ht="12" customHeight="1">
      <c r="A268" s="10" t="s">
        <v>397</v>
      </c>
      <c r="B268" s="10"/>
      <c r="C268" s="10" t="s">
        <v>398</v>
      </c>
      <c r="E268" s="6">
        <v>1328636</v>
      </c>
      <c r="G268" s="6">
        <v>1311456</v>
      </c>
      <c r="I268" s="6">
        <v>7333</v>
      </c>
      <c r="K268" s="6">
        <f t="shared" si="41"/>
        <v>2647425</v>
      </c>
      <c r="M268" s="6">
        <f>4368538+61394+1030467</f>
        <v>5460399</v>
      </c>
      <c r="O268" s="6">
        <v>773437</v>
      </c>
      <c r="Q268" s="6">
        <v>4466552</v>
      </c>
      <c r="S268" s="6">
        <v>8307</v>
      </c>
      <c r="U268" s="6">
        <v>839260</v>
      </c>
      <c r="W268" s="6">
        <v>0</v>
      </c>
      <c r="Y268" s="6">
        <v>8134</v>
      </c>
      <c r="Z268" s="44"/>
      <c r="AA268" s="6">
        <v>0</v>
      </c>
      <c r="AC268" s="6">
        <v>0</v>
      </c>
      <c r="AE268" s="6">
        <f t="shared" si="42"/>
        <v>11556089</v>
      </c>
      <c r="AF268" s="6"/>
      <c r="AG268" s="6">
        <f t="shared" si="43"/>
        <v>14203514</v>
      </c>
    </row>
    <row r="269" spans="1:33" ht="12" customHeight="1">
      <c r="A269" s="10" t="s">
        <v>680</v>
      </c>
      <c r="B269" s="10"/>
      <c r="C269" s="10" t="s">
        <v>50</v>
      </c>
      <c r="E269" s="6">
        <v>482988</v>
      </c>
      <c r="G269" s="6">
        <v>1289432</v>
      </c>
      <c r="I269" s="6">
        <v>0</v>
      </c>
      <c r="K269" s="6">
        <f t="shared" si="41"/>
        <v>1772420</v>
      </c>
      <c r="M269" s="6">
        <f>2710549+71916</f>
        <v>2782465</v>
      </c>
      <c r="O269" s="6">
        <v>0</v>
      </c>
      <c r="Q269" s="6">
        <v>4059717</v>
      </c>
      <c r="S269" s="6">
        <v>1305</v>
      </c>
      <c r="U269" s="6">
        <v>6779</v>
      </c>
      <c r="W269" s="6">
        <v>0</v>
      </c>
      <c r="Y269" s="6">
        <v>11617</v>
      </c>
      <c r="Z269" s="44"/>
      <c r="AA269" s="6">
        <v>0</v>
      </c>
      <c r="AC269" s="6">
        <v>0</v>
      </c>
      <c r="AE269" s="6">
        <f t="shared" si="42"/>
        <v>6861883</v>
      </c>
      <c r="AF269" s="6"/>
      <c r="AG269" s="6">
        <f t="shared" si="43"/>
        <v>8634303</v>
      </c>
    </row>
    <row r="270" spans="1:33" ht="12" hidden="1" customHeight="1">
      <c r="A270" s="11" t="s">
        <v>872</v>
      </c>
      <c r="B270" s="10"/>
      <c r="C270" s="10" t="s">
        <v>467</v>
      </c>
      <c r="E270" s="6">
        <v>0</v>
      </c>
      <c r="G270" s="6">
        <v>0</v>
      </c>
      <c r="I270" s="6">
        <v>0</v>
      </c>
      <c r="K270" s="6">
        <f t="shared" si="41"/>
        <v>0</v>
      </c>
      <c r="M270" s="6">
        <v>0</v>
      </c>
      <c r="O270" s="6">
        <v>0</v>
      </c>
      <c r="Q270" s="6">
        <v>0</v>
      </c>
      <c r="S270" s="6">
        <v>0</v>
      </c>
      <c r="U270" s="6">
        <v>0</v>
      </c>
      <c r="W270" s="6">
        <v>0</v>
      </c>
      <c r="Y270" s="6">
        <v>0</v>
      </c>
      <c r="Z270" s="44"/>
      <c r="AA270" s="6">
        <v>0</v>
      </c>
      <c r="AC270" s="6">
        <v>0</v>
      </c>
      <c r="AE270" s="6">
        <f t="shared" si="42"/>
        <v>0</v>
      </c>
      <c r="AF270" s="6"/>
      <c r="AG270" s="6">
        <f t="shared" si="43"/>
        <v>0</v>
      </c>
    </row>
    <row r="271" spans="1:33" ht="12" customHeight="1">
      <c r="A271" s="10" t="s">
        <v>374</v>
      </c>
      <c r="B271" s="10"/>
      <c r="C271" s="10" t="s">
        <v>42</v>
      </c>
      <c r="E271" s="6">
        <v>768367</v>
      </c>
      <c r="G271" s="6">
        <v>933059</v>
      </c>
      <c r="I271" s="6">
        <v>0</v>
      </c>
      <c r="K271" s="6">
        <f t="shared" si="41"/>
        <v>1701426</v>
      </c>
      <c r="M271" s="6">
        <v>6492080</v>
      </c>
      <c r="O271" s="6">
        <v>2530791</v>
      </c>
      <c r="Q271" s="6">
        <v>5068027</v>
      </c>
      <c r="S271" s="6">
        <v>33896</v>
      </c>
      <c r="U271" s="6">
        <v>0</v>
      </c>
      <c r="W271" s="6">
        <v>0</v>
      </c>
      <c r="Y271" s="6">
        <v>51736</v>
      </c>
      <c r="Z271" s="44"/>
      <c r="AA271" s="6">
        <v>0</v>
      </c>
      <c r="AC271" s="6">
        <v>0</v>
      </c>
      <c r="AE271" s="6">
        <f t="shared" si="42"/>
        <v>14176530</v>
      </c>
      <c r="AF271" s="6"/>
      <c r="AG271" s="6">
        <f t="shared" si="43"/>
        <v>15877956</v>
      </c>
    </row>
    <row r="272" spans="1:33" ht="12" customHeight="1">
      <c r="A272" s="10" t="s">
        <v>399</v>
      </c>
      <c r="B272" s="10"/>
      <c r="C272" s="10" t="s">
        <v>398</v>
      </c>
      <c r="E272" s="6">
        <v>1943780</v>
      </c>
      <c r="G272" s="6">
        <v>1464092</v>
      </c>
      <c r="I272" s="6">
        <v>0</v>
      </c>
      <c r="K272" s="6">
        <f t="shared" si="41"/>
        <v>3407872</v>
      </c>
      <c r="M272" s="6">
        <f>5866430+1620569+139256+298651</f>
        <v>7924906</v>
      </c>
      <c r="O272" s="6">
        <v>2187446</v>
      </c>
      <c r="Q272" s="6">
        <v>9309613</v>
      </c>
      <c r="S272" s="6">
        <v>2766</v>
      </c>
      <c r="U272" s="6">
        <v>0</v>
      </c>
      <c r="W272" s="6">
        <v>0</v>
      </c>
      <c r="Y272" s="6">
        <v>52132</v>
      </c>
      <c r="Z272" s="44"/>
      <c r="AA272" s="6">
        <v>0</v>
      </c>
      <c r="AC272" s="6">
        <v>0</v>
      </c>
      <c r="AE272" s="6">
        <f t="shared" si="42"/>
        <v>19476863</v>
      </c>
      <c r="AF272" s="6"/>
      <c r="AG272" s="6">
        <f t="shared" si="43"/>
        <v>22884735</v>
      </c>
    </row>
    <row r="273" spans="1:33" ht="12" customHeight="1">
      <c r="A273" s="10" t="s">
        <v>523</v>
      </c>
      <c r="B273" s="10"/>
      <c r="C273" s="10" t="s">
        <v>64</v>
      </c>
      <c r="E273" s="6">
        <v>400599</v>
      </c>
      <c r="G273" s="6">
        <v>654826</v>
      </c>
      <c r="I273" s="6">
        <v>0</v>
      </c>
      <c r="K273" s="6">
        <f t="shared" si="41"/>
        <v>1055425</v>
      </c>
      <c r="M273" s="6">
        <f>2786997+549502+42349</f>
        <v>3378848</v>
      </c>
      <c r="O273" s="6">
        <v>0</v>
      </c>
      <c r="Q273" s="6">
        <v>4599396</v>
      </c>
      <c r="S273" s="6">
        <v>5979</v>
      </c>
      <c r="U273" s="6">
        <v>0</v>
      </c>
      <c r="W273" s="6">
        <v>0</v>
      </c>
      <c r="Y273" s="6">
        <f>4921+768</f>
        <v>5689</v>
      </c>
      <c r="Z273" s="44"/>
      <c r="AA273" s="6">
        <v>0</v>
      </c>
      <c r="AC273" s="6">
        <v>0</v>
      </c>
      <c r="AE273" s="6">
        <f t="shared" si="42"/>
        <v>7989912</v>
      </c>
      <c r="AF273" s="6"/>
      <c r="AG273" s="6">
        <f t="shared" si="43"/>
        <v>9045337</v>
      </c>
    </row>
    <row r="274" spans="1:33" ht="12" hidden="1" customHeight="1">
      <c r="A274" s="10" t="s">
        <v>873</v>
      </c>
      <c r="B274" s="10"/>
      <c r="C274" s="10" t="s">
        <v>467</v>
      </c>
      <c r="E274" s="6">
        <v>0</v>
      </c>
      <c r="G274" s="6">
        <v>0</v>
      </c>
      <c r="I274" s="6">
        <v>0</v>
      </c>
      <c r="K274" s="6">
        <f t="shared" ref="K274" si="49">SUM(E274:J274)</f>
        <v>0</v>
      </c>
      <c r="M274" s="6">
        <v>0</v>
      </c>
      <c r="O274" s="6">
        <v>0</v>
      </c>
      <c r="Q274" s="6">
        <v>0</v>
      </c>
      <c r="S274" s="6">
        <v>0</v>
      </c>
      <c r="U274" s="6">
        <v>0</v>
      </c>
      <c r="W274" s="6">
        <v>0</v>
      </c>
      <c r="Y274" s="6">
        <v>0</v>
      </c>
      <c r="Z274" s="44"/>
      <c r="AA274" s="6">
        <v>0</v>
      </c>
      <c r="AC274" s="6">
        <v>0</v>
      </c>
      <c r="AE274" s="6">
        <f t="shared" ref="AE274" si="50">SUM(M274:AC274)</f>
        <v>0</v>
      </c>
      <c r="AF274" s="6"/>
      <c r="AG274" s="6">
        <f t="shared" ref="AG274" si="51">+AE274+K274</f>
        <v>0</v>
      </c>
    </row>
    <row r="275" spans="1:33" ht="12" customHeight="1">
      <c r="A275" s="10" t="s">
        <v>287</v>
      </c>
      <c r="B275" s="10"/>
      <c r="C275" s="10" t="s">
        <v>24</v>
      </c>
      <c r="E275" s="6">
        <v>1</v>
      </c>
      <c r="G275" s="6">
        <v>22279</v>
      </c>
      <c r="I275" s="6">
        <v>0</v>
      </c>
      <c r="K275" s="6">
        <f t="shared" si="41"/>
        <v>22280</v>
      </c>
      <c r="M275" s="6">
        <f>547035+37423</f>
        <v>584458</v>
      </c>
      <c r="O275" s="6">
        <v>0</v>
      </c>
      <c r="Q275" s="6">
        <v>82053</v>
      </c>
      <c r="S275" s="6">
        <v>2697</v>
      </c>
      <c r="U275" s="6">
        <v>0</v>
      </c>
      <c r="W275" s="6">
        <v>0</v>
      </c>
      <c r="Y275" s="6">
        <v>360</v>
      </c>
      <c r="Z275" s="44"/>
      <c r="AA275" s="6">
        <v>0</v>
      </c>
      <c r="AC275" s="6">
        <v>0</v>
      </c>
      <c r="AE275" s="6">
        <f t="shared" si="42"/>
        <v>669568</v>
      </c>
      <c r="AF275" s="6"/>
      <c r="AG275" s="6">
        <f t="shared" si="43"/>
        <v>691848</v>
      </c>
    </row>
    <row r="276" spans="1:33" ht="12" customHeight="1">
      <c r="A276" s="10" t="s">
        <v>314</v>
      </c>
      <c r="B276" s="10"/>
      <c r="C276" s="10" t="s">
        <v>30</v>
      </c>
      <c r="E276" s="6">
        <v>902414</v>
      </c>
      <c r="G276" s="6">
        <v>1845551</v>
      </c>
      <c r="I276" s="6">
        <v>482050</v>
      </c>
      <c r="K276" s="6">
        <f t="shared" si="41"/>
        <v>3230015</v>
      </c>
      <c r="M276" s="6">
        <f>25194039+3170271</f>
        <v>28364310</v>
      </c>
      <c r="O276" s="6">
        <v>0</v>
      </c>
      <c r="Q276" s="6">
        <v>9733171</v>
      </c>
      <c r="S276" s="6">
        <v>40881</v>
      </c>
      <c r="U276" s="6">
        <v>0</v>
      </c>
      <c r="W276" s="6">
        <v>0</v>
      </c>
      <c r="Y276" s="6">
        <v>135039</v>
      </c>
      <c r="Z276" s="44"/>
      <c r="AA276" s="6">
        <v>0</v>
      </c>
      <c r="AC276" s="6">
        <v>0</v>
      </c>
      <c r="AE276" s="6">
        <f t="shared" si="42"/>
        <v>38273401</v>
      </c>
      <c r="AF276" s="6"/>
      <c r="AG276" s="6">
        <f t="shared" si="43"/>
        <v>41503416</v>
      </c>
    </row>
    <row r="277" spans="1:33" ht="12" customHeight="1">
      <c r="A277" s="10" t="s">
        <v>461</v>
      </c>
      <c r="B277" s="10"/>
      <c r="C277" s="10" t="s">
        <v>56</v>
      </c>
      <c r="E277" s="6">
        <v>4295657</v>
      </c>
      <c r="G277" s="6">
        <v>4578074</v>
      </c>
      <c r="I277" s="6">
        <v>0</v>
      </c>
      <c r="K277" s="6">
        <f t="shared" si="41"/>
        <v>8873731</v>
      </c>
      <c r="M277" s="6">
        <f>20203521+2305799</f>
        <v>22509320</v>
      </c>
      <c r="O277" s="6">
        <v>0</v>
      </c>
      <c r="Q277" s="6">
        <v>16949074</v>
      </c>
      <c r="S277" s="6">
        <v>21897</v>
      </c>
      <c r="U277" s="6">
        <v>0</v>
      </c>
      <c r="W277" s="6">
        <v>0</v>
      </c>
      <c r="Y277" s="6">
        <f>21045+26258+10522</f>
        <v>57825</v>
      </c>
      <c r="Z277" s="44"/>
      <c r="AA277" s="6">
        <v>0</v>
      </c>
      <c r="AC277" s="6">
        <v>0</v>
      </c>
      <c r="AE277" s="6">
        <f t="shared" si="42"/>
        <v>39538116</v>
      </c>
      <c r="AF277" s="6"/>
      <c r="AG277" s="6">
        <f t="shared" si="43"/>
        <v>48411847</v>
      </c>
    </row>
    <row r="278" spans="1:33" ht="12" customHeight="1">
      <c r="A278" s="10" t="s">
        <v>341</v>
      </c>
      <c r="B278" s="10"/>
      <c r="C278" s="10" t="s">
        <v>339</v>
      </c>
      <c r="E278" s="6">
        <v>1464370</v>
      </c>
      <c r="G278" s="6">
        <v>3021989</v>
      </c>
      <c r="I278" s="6">
        <v>12600</v>
      </c>
      <c r="K278" s="6">
        <f t="shared" si="41"/>
        <v>4498959</v>
      </c>
      <c r="M278" s="6">
        <f>3838089+65919+573493</f>
        <v>4477501</v>
      </c>
      <c r="O278" s="6">
        <v>2752474</v>
      </c>
      <c r="Q278" s="6">
        <v>26089245</v>
      </c>
      <c r="S278" s="6">
        <v>14464</v>
      </c>
      <c r="U278" s="6">
        <v>0</v>
      </c>
      <c r="W278" s="6">
        <v>0</v>
      </c>
      <c r="Y278" s="6">
        <v>162682</v>
      </c>
      <c r="Z278" s="44"/>
      <c r="AA278" s="6">
        <v>0</v>
      </c>
      <c r="AC278" s="6">
        <v>0</v>
      </c>
      <c r="AE278" s="6">
        <f t="shared" si="42"/>
        <v>33496366</v>
      </c>
      <c r="AF278" s="6"/>
      <c r="AG278" s="6">
        <f t="shared" si="43"/>
        <v>37995325</v>
      </c>
    </row>
    <row r="279" spans="1:33" s="28" customFormat="1" ht="12" customHeight="1">
      <c r="A279" s="27" t="s">
        <v>431</v>
      </c>
      <c r="B279" s="27"/>
      <c r="C279" s="27" t="s">
        <v>50</v>
      </c>
      <c r="E279" s="6">
        <v>4172793</v>
      </c>
      <c r="F279" s="6"/>
      <c r="G279" s="6">
        <v>9245334</v>
      </c>
      <c r="H279" s="6"/>
      <c r="I279" s="6">
        <v>0</v>
      </c>
      <c r="J279" s="6"/>
      <c r="K279" s="6">
        <f t="shared" si="41"/>
        <v>13418127</v>
      </c>
      <c r="L279" s="6"/>
      <c r="M279" s="6">
        <v>61048275</v>
      </c>
      <c r="N279" s="6"/>
      <c r="O279" s="6">
        <v>0</v>
      </c>
      <c r="P279" s="6"/>
      <c r="Q279" s="6">
        <v>25145742</v>
      </c>
      <c r="R279" s="6"/>
      <c r="S279" s="6">
        <v>116494</v>
      </c>
      <c r="T279" s="6"/>
      <c r="U279" s="6">
        <v>151425</v>
      </c>
      <c r="V279" s="6"/>
      <c r="W279" s="6">
        <v>0</v>
      </c>
      <c r="X279" s="6"/>
      <c r="Y279" s="6">
        <v>532700</v>
      </c>
      <c r="Z279" s="44"/>
      <c r="AA279" s="6">
        <v>0</v>
      </c>
      <c r="AB279" s="6"/>
      <c r="AC279" s="6">
        <v>0</v>
      </c>
      <c r="AD279" s="6"/>
      <c r="AE279" s="6">
        <f t="shared" si="42"/>
        <v>86994636</v>
      </c>
      <c r="AF279" s="6"/>
      <c r="AG279" s="6">
        <f t="shared" si="43"/>
        <v>100412763</v>
      </c>
    </row>
    <row r="280" spans="1:33" ht="12" customHeight="1">
      <c r="A280" s="10" t="s">
        <v>637</v>
      </c>
      <c r="B280" s="10"/>
      <c r="C280" s="10" t="s">
        <v>44</v>
      </c>
      <c r="E280" s="28">
        <v>1521772</v>
      </c>
      <c r="F280" s="28"/>
      <c r="G280" s="28">
        <v>1299401</v>
      </c>
      <c r="H280" s="28"/>
      <c r="I280" s="28">
        <v>17392</v>
      </c>
      <c r="J280" s="28"/>
      <c r="K280" s="28">
        <f t="shared" si="41"/>
        <v>2838565</v>
      </c>
      <c r="L280" s="28"/>
      <c r="M280" s="28">
        <f>5596868+1388241+243854</f>
        <v>7228963</v>
      </c>
      <c r="N280" s="28"/>
      <c r="O280" s="28">
        <v>0</v>
      </c>
      <c r="P280" s="28"/>
      <c r="Q280" s="28">
        <v>7570683</v>
      </c>
      <c r="R280" s="28"/>
      <c r="S280" s="28">
        <v>52105</v>
      </c>
      <c r="T280" s="28"/>
      <c r="U280" s="28">
        <v>0</v>
      </c>
      <c r="V280" s="28"/>
      <c r="W280" s="28">
        <v>0</v>
      </c>
      <c r="X280" s="28"/>
      <c r="Y280" s="28">
        <v>277789</v>
      </c>
      <c r="Z280" s="56"/>
      <c r="AA280" s="28">
        <v>0</v>
      </c>
      <c r="AB280" s="28"/>
      <c r="AC280" s="28">
        <v>0</v>
      </c>
      <c r="AD280" s="28"/>
      <c r="AE280" s="28">
        <f t="shared" si="42"/>
        <v>15129540</v>
      </c>
      <c r="AF280" s="28"/>
      <c r="AG280" s="28">
        <f t="shared" si="43"/>
        <v>17968105</v>
      </c>
    </row>
    <row r="281" spans="1:33" ht="12" customHeight="1">
      <c r="A281" s="10" t="s">
        <v>721</v>
      </c>
      <c r="B281" s="10"/>
      <c r="C281" s="10" t="s">
        <v>69</v>
      </c>
      <c r="E281" s="6">
        <v>1021345</v>
      </c>
      <c r="G281" s="6">
        <v>2513309</v>
      </c>
      <c r="I281" s="6">
        <v>0</v>
      </c>
      <c r="K281" s="6">
        <f t="shared" si="41"/>
        <v>3534654</v>
      </c>
      <c r="M281" s="6">
        <f>23013300+3041088+916291</f>
        <v>26970679</v>
      </c>
      <c r="O281" s="6">
        <v>0</v>
      </c>
      <c r="Q281" s="6">
        <v>13267847</v>
      </c>
      <c r="S281" s="6">
        <v>7367</v>
      </c>
      <c r="U281" s="6">
        <v>1737271</v>
      </c>
      <c r="W281" s="6">
        <v>282461</v>
      </c>
      <c r="Y281" s="6">
        <v>312466</v>
      </c>
      <c r="Z281" s="44"/>
      <c r="AA281" s="6">
        <v>0</v>
      </c>
      <c r="AC281" s="6">
        <v>0</v>
      </c>
      <c r="AE281" s="6">
        <f t="shared" si="42"/>
        <v>42578091</v>
      </c>
      <c r="AF281" s="6"/>
      <c r="AG281" s="6">
        <f t="shared" si="43"/>
        <v>46112745</v>
      </c>
    </row>
    <row r="282" spans="1:33" ht="12" hidden="1" customHeight="1">
      <c r="A282" s="10" t="s">
        <v>693</v>
      </c>
      <c r="B282" s="10"/>
      <c r="C282" s="10" t="s">
        <v>41</v>
      </c>
      <c r="E282" s="6">
        <v>0</v>
      </c>
      <c r="G282" s="6">
        <v>0</v>
      </c>
      <c r="I282" s="6">
        <v>0</v>
      </c>
      <c r="K282" s="6">
        <f t="shared" si="41"/>
        <v>0</v>
      </c>
      <c r="M282" s="6">
        <v>0</v>
      </c>
      <c r="O282" s="6">
        <v>0</v>
      </c>
      <c r="Q282" s="6">
        <v>0</v>
      </c>
      <c r="S282" s="6">
        <v>0</v>
      </c>
      <c r="U282" s="6">
        <v>0</v>
      </c>
      <c r="W282" s="6">
        <v>0</v>
      </c>
      <c r="Y282" s="6">
        <v>0</v>
      </c>
      <c r="Z282" s="44"/>
      <c r="AA282" s="6">
        <v>0</v>
      </c>
      <c r="AC282" s="6">
        <v>0</v>
      </c>
      <c r="AE282" s="6">
        <f t="shared" si="42"/>
        <v>0</v>
      </c>
      <c r="AF282" s="6"/>
      <c r="AG282" s="6">
        <f t="shared" si="43"/>
        <v>0</v>
      </c>
    </row>
    <row r="283" spans="1:33" ht="12" customHeight="1">
      <c r="A283" s="10" t="s">
        <v>524</v>
      </c>
      <c r="B283" s="10"/>
      <c r="C283" s="10" t="s">
        <v>64</v>
      </c>
      <c r="E283" s="6">
        <v>1712171</v>
      </c>
      <c r="G283" s="6">
        <v>2206623</v>
      </c>
      <c r="I283" s="6">
        <v>0</v>
      </c>
      <c r="K283" s="6">
        <f t="shared" si="41"/>
        <v>3918794</v>
      </c>
      <c r="M283" s="6">
        <f>3083460+719953+53852+230337</f>
        <v>4087602</v>
      </c>
      <c r="O283" s="6">
        <v>0</v>
      </c>
      <c r="Q283" s="6">
        <v>7666914</v>
      </c>
      <c r="S283" s="6">
        <v>10734</v>
      </c>
      <c r="U283" s="6">
        <v>0</v>
      </c>
      <c r="W283" s="6">
        <v>0</v>
      </c>
      <c r="Y283" s="6">
        <v>68882</v>
      </c>
      <c r="Z283" s="44"/>
      <c r="AA283" s="6">
        <v>0</v>
      </c>
      <c r="AC283" s="6">
        <v>-1526186</v>
      </c>
      <c r="AE283" s="6">
        <f t="shared" si="42"/>
        <v>10307946</v>
      </c>
      <c r="AF283" s="6"/>
      <c r="AG283" s="6">
        <f t="shared" si="43"/>
        <v>14226740</v>
      </c>
    </row>
    <row r="284" spans="1:33" ht="12" customHeight="1">
      <c r="A284" s="10" t="s">
        <v>498</v>
      </c>
      <c r="B284" s="10"/>
      <c r="C284" s="10" t="s">
        <v>62</v>
      </c>
      <c r="E284" s="6">
        <v>721104</v>
      </c>
      <c r="G284" s="6">
        <v>2067865</v>
      </c>
      <c r="I284" s="6">
        <v>0</v>
      </c>
      <c r="K284" s="6">
        <f t="shared" si="41"/>
        <v>2788969</v>
      </c>
      <c r="M284" s="6">
        <f>11747092+1645512</f>
        <v>13392604</v>
      </c>
      <c r="O284" s="6">
        <v>0</v>
      </c>
      <c r="Q284" s="6">
        <v>15420501</v>
      </c>
      <c r="S284" s="6">
        <v>3327</v>
      </c>
      <c r="U284" s="6">
        <v>0</v>
      </c>
      <c r="W284" s="6">
        <v>0</v>
      </c>
      <c r="Y284" s="6">
        <v>20128</v>
      </c>
      <c r="Z284" s="44"/>
      <c r="AA284" s="6">
        <v>-28892</v>
      </c>
      <c r="AC284" s="6">
        <v>0</v>
      </c>
      <c r="AE284" s="6">
        <f t="shared" si="42"/>
        <v>28807668</v>
      </c>
      <c r="AF284" s="6"/>
      <c r="AG284" s="6">
        <f t="shared" si="43"/>
        <v>31596637</v>
      </c>
    </row>
    <row r="285" spans="1:33" ht="12" hidden="1" customHeight="1">
      <c r="A285" s="10" t="s">
        <v>796</v>
      </c>
      <c r="B285" s="10"/>
      <c r="C285" s="10" t="s">
        <v>72</v>
      </c>
      <c r="E285" s="6">
        <v>0</v>
      </c>
      <c r="G285" s="6">
        <v>0</v>
      </c>
      <c r="I285" s="6">
        <v>0</v>
      </c>
      <c r="K285" s="6">
        <f t="shared" si="41"/>
        <v>0</v>
      </c>
      <c r="M285" s="6">
        <v>0</v>
      </c>
      <c r="O285" s="6">
        <v>0</v>
      </c>
      <c r="Q285" s="6">
        <v>0</v>
      </c>
      <c r="S285" s="6">
        <v>0</v>
      </c>
      <c r="U285" s="6">
        <v>0</v>
      </c>
      <c r="W285" s="6">
        <v>0</v>
      </c>
      <c r="Y285" s="6">
        <v>0</v>
      </c>
      <c r="Z285" s="44"/>
      <c r="AA285" s="6">
        <v>0</v>
      </c>
      <c r="AC285" s="6">
        <v>0</v>
      </c>
      <c r="AE285" s="6">
        <f t="shared" si="42"/>
        <v>0</v>
      </c>
      <c r="AF285" s="6"/>
      <c r="AG285" s="6">
        <f t="shared" si="43"/>
        <v>0</v>
      </c>
    </row>
    <row r="286" spans="1:33" ht="12" customHeight="1">
      <c r="A286" s="10" t="s">
        <v>525</v>
      </c>
      <c r="B286" s="10"/>
      <c r="C286" s="10" t="s">
        <v>64</v>
      </c>
      <c r="E286" s="6">
        <v>1213576</v>
      </c>
      <c r="G286" s="6">
        <v>936908</v>
      </c>
      <c r="I286" s="6">
        <v>49446</v>
      </c>
      <c r="K286" s="6">
        <f t="shared" si="41"/>
        <v>2199930</v>
      </c>
      <c r="M286" s="6">
        <f>7076286+559987+233723</f>
        <v>7869996</v>
      </c>
      <c r="O286" s="6">
        <v>0</v>
      </c>
      <c r="Q286" s="6">
        <v>7971310</v>
      </c>
      <c r="S286" s="6">
        <v>7983</v>
      </c>
      <c r="U286" s="6">
        <v>0</v>
      </c>
      <c r="W286" s="6">
        <v>0</v>
      </c>
      <c r="Y286" s="6">
        <v>5221</v>
      </c>
      <c r="Z286" s="44"/>
      <c r="AA286" s="6">
        <v>0</v>
      </c>
      <c r="AC286" s="6">
        <v>0</v>
      </c>
      <c r="AE286" s="6">
        <f t="shared" si="42"/>
        <v>15854510</v>
      </c>
      <c r="AF286" s="6"/>
      <c r="AG286" s="6">
        <f t="shared" si="43"/>
        <v>18054440</v>
      </c>
    </row>
    <row r="287" spans="1:33" ht="12" customHeight="1">
      <c r="A287" s="10" t="s">
        <v>270</v>
      </c>
      <c r="B287" s="10"/>
      <c r="C287" s="10" t="s">
        <v>20</v>
      </c>
      <c r="E287" s="6">
        <v>5867359</v>
      </c>
      <c r="G287" s="6">
        <v>8529923</v>
      </c>
      <c r="I287" s="6">
        <v>0</v>
      </c>
      <c r="K287" s="6">
        <f t="shared" si="41"/>
        <v>14397282</v>
      </c>
      <c r="M287" s="6">
        <f>39129759+8108012</f>
        <v>47237771</v>
      </c>
      <c r="O287" s="6">
        <v>0</v>
      </c>
      <c r="Q287" s="6">
        <v>23165464</v>
      </c>
      <c r="S287" s="6">
        <v>135170</v>
      </c>
      <c r="U287" s="6">
        <v>38454</v>
      </c>
      <c r="W287" s="6">
        <v>0</v>
      </c>
      <c r="Y287" s="6">
        <v>78782</v>
      </c>
      <c r="Z287" s="44"/>
      <c r="AA287" s="6">
        <v>0</v>
      </c>
      <c r="AC287" s="6">
        <v>0</v>
      </c>
      <c r="AE287" s="6">
        <f t="shared" si="42"/>
        <v>70655641</v>
      </c>
      <c r="AF287" s="6"/>
      <c r="AG287" s="6">
        <f t="shared" si="43"/>
        <v>85052923</v>
      </c>
    </row>
    <row r="288" spans="1:33" ht="12" customHeight="1">
      <c r="A288" s="10" t="s">
        <v>630</v>
      </c>
      <c r="B288" s="10"/>
      <c r="C288" s="10" t="s">
        <v>42</v>
      </c>
      <c r="E288" s="6">
        <v>771245</v>
      </c>
      <c r="G288" s="6">
        <v>911323</v>
      </c>
      <c r="I288" s="6">
        <v>0</v>
      </c>
      <c r="K288" s="6">
        <f t="shared" si="41"/>
        <v>1682568</v>
      </c>
      <c r="M288" s="6">
        <f>10951598+1000239</f>
        <v>11951837</v>
      </c>
      <c r="O288" s="6">
        <v>0</v>
      </c>
      <c r="Q288" s="6">
        <v>8611887</v>
      </c>
      <c r="S288" s="6">
        <v>31405</v>
      </c>
      <c r="U288" s="6">
        <v>0</v>
      </c>
      <c r="W288" s="6">
        <v>0</v>
      </c>
      <c r="Y288" s="6">
        <v>78959</v>
      </c>
      <c r="Z288" s="44"/>
      <c r="AA288" s="6">
        <v>0</v>
      </c>
      <c r="AC288" s="6">
        <v>0</v>
      </c>
      <c r="AE288" s="6">
        <f t="shared" si="42"/>
        <v>20674088</v>
      </c>
      <c r="AF288" s="6"/>
      <c r="AG288" s="6">
        <f t="shared" si="43"/>
        <v>22356656</v>
      </c>
    </row>
    <row r="289" spans="1:33" ht="12" customHeight="1">
      <c r="A289" s="10" t="s">
        <v>223</v>
      </c>
      <c r="B289" s="10"/>
      <c r="C289" s="10" t="s">
        <v>221</v>
      </c>
      <c r="D289" s="5"/>
      <c r="E289" s="6">
        <v>8555649</v>
      </c>
      <c r="G289" s="6">
        <v>14091811</v>
      </c>
      <c r="I289" s="6">
        <v>0</v>
      </c>
      <c r="K289" s="6">
        <f t="shared" si="41"/>
        <v>22647460</v>
      </c>
      <c r="M289" s="6">
        <f>71923151+11309553</f>
        <v>83232704</v>
      </c>
      <c r="O289" s="6">
        <v>0</v>
      </c>
      <c r="Q289" s="6">
        <v>58880750</v>
      </c>
      <c r="S289" s="6">
        <v>93272</v>
      </c>
      <c r="U289" s="6">
        <v>11874109</v>
      </c>
      <c r="W289" s="6">
        <v>195225</v>
      </c>
      <c r="Y289" s="6">
        <v>503997</v>
      </c>
      <c r="Z289" s="44"/>
      <c r="AA289" s="6">
        <v>0</v>
      </c>
      <c r="AC289" s="6">
        <v>0</v>
      </c>
      <c r="AE289" s="6">
        <f t="shared" si="42"/>
        <v>154780057</v>
      </c>
      <c r="AF289" s="6"/>
      <c r="AG289" s="6">
        <f t="shared" si="43"/>
        <v>177427517</v>
      </c>
    </row>
    <row r="290" spans="1:33" s="28" customFormat="1" ht="12" hidden="1" customHeight="1">
      <c r="A290" s="10" t="s">
        <v>797</v>
      </c>
      <c r="B290" s="27"/>
      <c r="C290" s="27" t="s">
        <v>79</v>
      </c>
      <c r="E290" s="6">
        <v>0</v>
      </c>
      <c r="F290" s="6"/>
      <c r="G290" s="6">
        <v>0</v>
      </c>
      <c r="H290" s="6"/>
      <c r="I290" s="6">
        <v>0</v>
      </c>
      <c r="J290" s="6"/>
      <c r="K290" s="6">
        <f t="shared" si="41"/>
        <v>0</v>
      </c>
      <c r="L290" s="6"/>
      <c r="M290" s="6">
        <v>0</v>
      </c>
      <c r="N290" s="6"/>
      <c r="O290" s="6">
        <v>0</v>
      </c>
      <c r="P290" s="6"/>
      <c r="Q290" s="6">
        <v>0</v>
      </c>
      <c r="R290" s="6"/>
      <c r="S290" s="6">
        <v>0</v>
      </c>
      <c r="T290" s="6"/>
      <c r="U290" s="6">
        <v>0</v>
      </c>
      <c r="V290" s="6"/>
      <c r="W290" s="6">
        <v>0</v>
      </c>
      <c r="X290" s="6"/>
      <c r="Y290" s="6">
        <v>0</v>
      </c>
      <c r="Z290" s="44"/>
      <c r="AA290" s="6">
        <v>0</v>
      </c>
      <c r="AB290" s="6"/>
      <c r="AC290" s="6">
        <v>0</v>
      </c>
      <c r="AD290" s="6"/>
      <c r="AE290" s="6">
        <f t="shared" si="42"/>
        <v>0</v>
      </c>
      <c r="AF290" s="6"/>
      <c r="AG290" s="6">
        <f t="shared" si="43"/>
        <v>0</v>
      </c>
    </row>
    <row r="291" spans="1:33" ht="12" customHeight="1">
      <c r="A291" s="10" t="s">
        <v>295</v>
      </c>
      <c r="B291" s="10"/>
      <c r="C291" s="10" t="s">
        <v>25</v>
      </c>
      <c r="E291" s="6">
        <v>2517602</v>
      </c>
      <c r="G291" s="6">
        <v>9115701</v>
      </c>
      <c r="I291" s="6">
        <v>1056</v>
      </c>
      <c r="K291" s="6">
        <f t="shared" si="41"/>
        <v>11634359</v>
      </c>
      <c r="M291" s="6">
        <v>19355151</v>
      </c>
      <c r="O291" s="6">
        <v>10297991</v>
      </c>
      <c r="Q291" s="6">
        <v>23877920</v>
      </c>
      <c r="S291" s="6">
        <v>279429</v>
      </c>
      <c r="U291" s="6">
        <v>99473</v>
      </c>
      <c r="W291" s="6">
        <v>15130</v>
      </c>
      <c r="Y291" s="6">
        <f>6324+64627</f>
        <v>70951</v>
      </c>
      <c r="Z291" s="44"/>
      <c r="AA291" s="6">
        <v>0</v>
      </c>
      <c r="AC291" s="6">
        <v>0</v>
      </c>
      <c r="AE291" s="6">
        <f t="shared" si="42"/>
        <v>53996045</v>
      </c>
      <c r="AF291" s="6"/>
      <c r="AG291" s="6">
        <f t="shared" si="43"/>
        <v>65630404</v>
      </c>
    </row>
    <row r="292" spans="1:33" ht="12" hidden="1" customHeight="1">
      <c r="A292" s="10" t="s">
        <v>729</v>
      </c>
      <c r="B292" s="10"/>
      <c r="C292" s="10" t="s">
        <v>69</v>
      </c>
      <c r="E292" s="6">
        <v>0</v>
      </c>
      <c r="G292" s="6">
        <v>0</v>
      </c>
      <c r="I292" s="6">
        <v>0</v>
      </c>
      <c r="K292" s="6">
        <f t="shared" si="41"/>
        <v>0</v>
      </c>
      <c r="M292" s="6">
        <v>0</v>
      </c>
      <c r="O292" s="6">
        <v>0</v>
      </c>
      <c r="Q292" s="6">
        <v>0</v>
      </c>
      <c r="S292" s="6">
        <v>0</v>
      </c>
      <c r="U292" s="6">
        <v>0</v>
      </c>
      <c r="W292" s="6">
        <v>0</v>
      </c>
      <c r="Y292" s="6">
        <v>0</v>
      </c>
      <c r="Z292" s="44"/>
      <c r="AA292" s="6">
        <v>0</v>
      </c>
      <c r="AC292" s="6">
        <v>0</v>
      </c>
      <c r="AE292" s="6">
        <f t="shared" si="42"/>
        <v>0</v>
      </c>
      <c r="AF292" s="6"/>
      <c r="AG292" s="6">
        <f t="shared" si="43"/>
        <v>0</v>
      </c>
    </row>
    <row r="293" spans="1:33" ht="12" customHeight="1">
      <c r="A293" s="10" t="s">
        <v>315</v>
      </c>
      <c r="B293" s="10"/>
      <c r="C293" s="10" t="s">
        <v>30</v>
      </c>
      <c r="E293" s="6">
        <v>375477</v>
      </c>
      <c r="G293" s="6">
        <v>412224</v>
      </c>
      <c r="I293" s="6">
        <v>7100</v>
      </c>
      <c r="K293" s="6">
        <f t="shared" si="41"/>
        <v>794801</v>
      </c>
      <c r="M293" s="6">
        <v>1802589</v>
      </c>
      <c r="O293" s="6">
        <v>851040</v>
      </c>
      <c r="Q293" s="6">
        <v>2468414</v>
      </c>
      <c r="S293" s="6">
        <v>2368</v>
      </c>
      <c r="U293" s="6">
        <v>0</v>
      </c>
      <c r="W293" s="6">
        <v>0</v>
      </c>
      <c r="Y293" s="6">
        <v>2369</v>
      </c>
      <c r="Z293" s="44"/>
      <c r="AA293" s="6">
        <v>0</v>
      </c>
      <c r="AC293" s="6">
        <v>0</v>
      </c>
      <c r="AE293" s="6">
        <f t="shared" si="42"/>
        <v>5126780</v>
      </c>
      <c r="AF293" s="6"/>
      <c r="AG293" s="6">
        <f t="shared" si="43"/>
        <v>5921581</v>
      </c>
    </row>
    <row r="294" spans="1:33" ht="12" hidden="1" customHeight="1">
      <c r="A294" s="11" t="s">
        <v>763</v>
      </c>
      <c r="B294" s="10"/>
      <c r="C294" s="10" t="s">
        <v>112</v>
      </c>
      <c r="E294" s="6">
        <v>0</v>
      </c>
      <c r="G294" s="6">
        <v>0</v>
      </c>
      <c r="I294" s="6">
        <v>0</v>
      </c>
      <c r="M294" s="6">
        <v>0</v>
      </c>
      <c r="O294" s="6">
        <v>0</v>
      </c>
      <c r="Q294" s="6">
        <v>0</v>
      </c>
      <c r="S294" s="6">
        <v>0</v>
      </c>
      <c r="U294" s="6">
        <v>0</v>
      </c>
      <c r="W294" s="6">
        <v>0</v>
      </c>
      <c r="Y294" s="6">
        <v>0</v>
      </c>
      <c r="Z294" s="44"/>
      <c r="AA294" s="6">
        <v>0</v>
      </c>
      <c r="AC294" s="6">
        <v>0</v>
      </c>
      <c r="AE294" s="6">
        <f t="shared" si="42"/>
        <v>0</v>
      </c>
      <c r="AF294" s="6"/>
    </row>
    <row r="295" spans="1:33" ht="12" hidden="1" customHeight="1">
      <c r="A295" s="10" t="s">
        <v>681</v>
      </c>
      <c r="B295" s="10"/>
      <c r="C295" s="10" t="s">
        <v>467</v>
      </c>
      <c r="E295" s="6">
        <v>0</v>
      </c>
      <c r="G295" s="6">
        <v>0</v>
      </c>
      <c r="I295" s="6">
        <v>0</v>
      </c>
      <c r="K295" s="6">
        <f t="shared" si="41"/>
        <v>0</v>
      </c>
      <c r="M295" s="6">
        <v>0</v>
      </c>
      <c r="O295" s="6">
        <v>0</v>
      </c>
      <c r="Q295" s="6">
        <v>0</v>
      </c>
      <c r="S295" s="6">
        <v>0</v>
      </c>
      <c r="U295" s="6">
        <v>0</v>
      </c>
      <c r="W295" s="6">
        <v>0</v>
      </c>
      <c r="Y295" s="6">
        <v>0</v>
      </c>
      <c r="Z295" s="44"/>
      <c r="AA295" s="6">
        <v>0</v>
      </c>
      <c r="AC295" s="6">
        <v>0</v>
      </c>
      <c r="AE295" s="6">
        <f t="shared" si="42"/>
        <v>0</v>
      </c>
      <c r="AF295" s="6"/>
      <c r="AG295" s="6">
        <f t="shared" si="43"/>
        <v>0</v>
      </c>
    </row>
    <row r="296" spans="1:33" ht="12" hidden="1" customHeight="1">
      <c r="A296" s="10" t="s">
        <v>798</v>
      </c>
      <c r="B296" s="10"/>
      <c r="C296" s="10" t="s">
        <v>110</v>
      </c>
      <c r="E296" s="6">
        <v>0</v>
      </c>
      <c r="G296" s="6">
        <v>0</v>
      </c>
      <c r="I296" s="6">
        <v>0</v>
      </c>
      <c r="K296" s="6">
        <f t="shared" si="41"/>
        <v>0</v>
      </c>
      <c r="M296" s="6">
        <v>0</v>
      </c>
      <c r="O296" s="6">
        <v>0</v>
      </c>
      <c r="Q296" s="6">
        <v>0</v>
      </c>
      <c r="S296" s="6">
        <v>0</v>
      </c>
      <c r="U296" s="6">
        <v>0</v>
      </c>
      <c r="W296" s="6">
        <v>0</v>
      </c>
      <c r="Y296" s="6">
        <v>0</v>
      </c>
      <c r="Z296" s="44"/>
      <c r="AA296" s="6">
        <v>0</v>
      </c>
      <c r="AC296" s="6">
        <v>0</v>
      </c>
      <c r="AE296" s="6">
        <f t="shared" si="42"/>
        <v>0</v>
      </c>
      <c r="AF296" s="6"/>
      <c r="AG296" s="6">
        <f t="shared" si="43"/>
        <v>0</v>
      </c>
    </row>
    <row r="297" spans="1:33" ht="12" customHeight="1">
      <c r="A297" s="10" t="s">
        <v>799</v>
      </c>
      <c r="B297" s="10"/>
      <c r="C297" s="10" t="s">
        <v>33</v>
      </c>
      <c r="E297" s="6">
        <v>1572568</v>
      </c>
      <c r="G297" s="6">
        <v>977653</v>
      </c>
      <c r="I297" s="6">
        <v>4000</v>
      </c>
      <c r="K297" s="6">
        <f>SUM(E297:J297)</f>
        <v>2554221</v>
      </c>
      <c r="M297" s="6">
        <f>4528340+576201</f>
        <v>5104541</v>
      </c>
      <c r="O297" s="6">
        <v>1657736</v>
      </c>
      <c r="Q297" s="6">
        <v>5499785</v>
      </c>
      <c r="S297" s="6">
        <v>6516</v>
      </c>
      <c r="U297" s="6">
        <v>16799</v>
      </c>
      <c r="W297" s="6">
        <v>4030</v>
      </c>
      <c r="Y297" s="6">
        <v>222788</v>
      </c>
      <c r="Z297" s="44"/>
      <c r="AA297" s="6">
        <v>0</v>
      </c>
      <c r="AC297" s="6">
        <v>0</v>
      </c>
      <c r="AE297" s="6">
        <f>SUM(M297:AC297)</f>
        <v>12512195</v>
      </c>
      <c r="AF297" s="6"/>
      <c r="AG297" s="6">
        <f>+AE297+K297</f>
        <v>15066416</v>
      </c>
    </row>
    <row r="298" spans="1:33" ht="12" customHeight="1">
      <c r="A298" s="10" t="s">
        <v>345</v>
      </c>
      <c r="B298" s="10"/>
      <c r="C298" s="10" t="s">
        <v>34</v>
      </c>
      <c r="E298" s="6">
        <v>1641897</v>
      </c>
      <c r="G298" s="6">
        <v>828088</v>
      </c>
      <c r="I298" s="6">
        <v>0</v>
      </c>
      <c r="K298" s="6">
        <f t="shared" si="41"/>
        <v>2469985</v>
      </c>
      <c r="M298" s="6">
        <f>2516519+136285+327084</f>
        <v>2979888</v>
      </c>
      <c r="O298" s="6">
        <v>2131131</v>
      </c>
      <c r="Q298" s="6">
        <v>5721232</v>
      </c>
      <c r="S298" s="6">
        <v>20331</v>
      </c>
      <c r="U298" s="6">
        <v>0</v>
      </c>
      <c r="W298" s="6">
        <v>96821</v>
      </c>
      <c r="Y298" s="6">
        <f>32795+5149</f>
        <v>37944</v>
      </c>
      <c r="Z298" s="44"/>
      <c r="AA298" s="6">
        <v>0</v>
      </c>
      <c r="AC298" s="6">
        <v>0</v>
      </c>
      <c r="AE298" s="6">
        <f t="shared" si="42"/>
        <v>10987347</v>
      </c>
      <c r="AF298" s="6"/>
      <c r="AG298" s="6">
        <f t="shared" si="43"/>
        <v>13457332</v>
      </c>
    </row>
    <row r="299" spans="1:33" ht="12" customHeight="1">
      <c r="A299" s="10" t="s">
        <v>526</v>
      </c>
      <c r="B299" s="10"/>
      <c r="C299" s="10" t="s">
        <v>64</v>
      </c>
      <c r="E299" s="6">
        <v>1094543</v>
      </c>
      <c r="G299" s="6">
        <v>1474793</v>
      </c>
      <c r="I299" s="6">
        <v>18971</v>
      </c>
      <c r="K299" s="6">
        <f t="shared" si="41"/>
        <v>2588307</v>
      </c>
      <c r="M299" s="6">
        <f>6929307+1600076+136028</f>
        <v>8665411</v>
      </c>
      <c r="O299" s="6">
        <v>0</v>
      </c>
      <c r="Q299" s="6">
        <v>6608474</v>
      </c>
      <c r="S299" s="6">
        <v>8754</v>
      </c>
      <c r="U299" s="6">
        <v>0</v>
      </c>
      <c r="W299" s="6">
        <v>0</v>
      </c>
      <c r="Y299" s="6">
        <v>554841</v>
      </c>
      <c r="Z299" s="44"/>
      <c r="AA299" s="6">
        <v>0</v>
      </c>
      <c r="AC299" s="6">
        <v>0</v>
      </c>
      <c r="AE299" s="6">
        <f t="shared" si="42"/>
        <v>15837480</v>
      </c>
      <c r="AF299" s="6"/>
      <c r="AG299" s="6">
        <f t="shared" si="43"/>
        <v>18425787</v>
      </c>
    </row>
    <row r="300" spans="1:33" ht="12" customHeight="1">
      <c r="A300" s="10" t="s">
        <v>744</v>
      </c>
      <c r="B300" s="10"/>
      <c r="C300" s="10" t="s">
        <v>25</v>
      </c>
      <c r="E300" s="6">
        <v>620590</v>
      </c>
      <c r="G300" s="6">
        <v>1728478</v>
      </c>
      <c r="I300" s="6">
        <v>0</v>
      </c>
      <c r="K300" s="6">
        <f t="shared" si="41"/>
        <v>2349068</v>
      </c>
      <c r="M300" s="6">
        <f>2813873+968440+79267</f>
        <v>3861580</v>
      </c>
      <c r="O300" s="6">
        <v>3007302</v>
      </c>
      <c r="Q300" s="6">
        <v>5474704</v>
      </c>
      <c r="S300" s="6">
        <v>50353</v>
      </c>
      <c r="U300" s="6">
        <v>0</v>
      </c>
      <c r="W300" s="6">
        <v>0</v>
      </c>
      <c r="Y300" s="6">
        <f>367987+101031</f>
        <v>469018</v>
      </c>
      <c r="Z300" s="44"/>
      <c r="AA300" s="6">
        <v>0</v>
      </c>
      <c r="AC300" s="6">
        <v>0</v>
      </c>
      <c r="AE300" s="6">
        <f t="shared" si="42"/>
        <v>12862957</v>
      </c>
      <c r="AF300" s="6"/>
      <c r="AG300" s="6">
        <f t="shared" si="43"/>
        <v>15212025</v>
      </c>
    </row>
    <row r="301" spans="1:33" ht="12" hidden="1" customHeight="1">
      <c r="A301" s="11" t="s">
        <v>874</v>
      </c>
      <c r="B301" s="10"/>
      <c r="C301" s="10" t="s">
        <v>42</v>
      </c>
      <c r="E301" s="6">
        <v>0</v>
      </c>
      <c r="G301" s="6">
        <v>0</v>
      </c>
      <c r="I301" s="6">
        <v>0</v>
      </c>
      <c r="K301" s="6">
        <f>SUM(E301:J301)</f>
        <v>0</v>
      </c>
      <c r="M301" s="6">
        <v>0</v>
      </c>
      <c r="O301" s="6">
        <v>0</v>
      </c>
      <c r="Q301" s="6">
        <v>0</v>
      </c>
      <c r="S301" s="6">
        <v>0</v>
      </c>
      <c r="U301" s="6">
        <v>0</v>
      </c>
      <c r="W301" s="6">
        <v>0</v>
      </c>
      <c r="Y301" s="6">
        <v>0</v>
      </c>
      <c r="Z301" s="44"/>
      <c r="AA301" s="6">
        <v>0</v>
      </c>
      <c r="AC301" s="6">
        <v>0</v>
      </c>
      <c r="AE301" s="6">
        <f t="shared" si="42"/>
        <v>0</v>
      </c>
      <c r="AF301" s="6"/>
      <c r="AG301" s="6">
        <f>+AE301+K301</f>
        <v>0</v>
      </c>
    </row>
    <row r="302" spans="1:33" ht="12" customHeight="1">
      <c r="A302" s="10" t="s">
        <v>375</v>
      </c>
      <c r="B302" s="10"/>
      <c r="C302" s="10" t="s">
        <v>42</v>
      </c>
      <c r="E302" s="6">
        <v>1913523</v>
      </c>
      <c r="G302" s="6">
        <v>2100535</v>
      </c>
      <c r="I302" s="6">
        <v>0</v>
      </c>
      <c r="K302" s="6">
        <f>SUM(E302:J302)</f>
        <v>4014058</v>
      </c>
      <c r="M302" s="6">
        <f>3723513+904190+153129</f>
        <v>4780832</v>
      </c>
      <c r="O302" s="6">
        <v>2011364</v>
      </c>
      <c r="Q302" s="6">
        <v>9437898</v>
      </c>
      <c r="S302" s="6">
        <v>13303</v>
      </c>
      <c r="U302" s="6">
        <v>42146</v>
      </c>
      <c r="W302" s="6">
        <v>0</v>
      </c>
      <c r="Y302" s="6">
        <v>432698</v>
      </c>
      <c r="Z302" s="44"/>
      <c r="AA302" s="6">
        <v>0</v>
      </c>
      <c r="AC302" s="6">
        <v>0</v>
      </c>
      <c r="AE302" s="6">
        <f>SUM(M302:AC302)</f>
        <v>16718241</v>
      </c>
      <c r="AF302" s="6"/>
      <c r="AG302" s="6">
        <f>+AE302+K302</f>
        <v>20732299</v>
      </c>
    </row>
    <row r="303" spans="1:33" ht="12" hidden="1" customHeight="1">
      <c r="A303" s="11" t="s">
        <v>682</v>
      </c>
      <c r="B303" s="11"/>
      <c r="C303" s="11" t="s">
        <v>10</v>
      </c>
      <c r="E303" s="6">
        <v>0</v>
      </c>
      <c r="G303" s="6">
        <v>0</v>
      </c>
      <c r="I303" s="6">
        <v>0</v>
      </c>
      <c r="K303" s="6">
        <f>SUM(E303:J303)</f>
        <v>0</v>
      </c>
      <c r="M303" s="6">
        <v>0</v>
      </c>
      <c r="O303" s="6">
        <v>0</v>
      </c>
      <c r="Q303" s="6">
        <v>0</v>
      </c>
      <c r="S303" s="6">
        <v>0</v>
      </c>
      <c r="U303" s="6">
        <v>0</v>
      </c>
      <c r="W303" s="6">
        <v>0</v>
      </c>
      <c r="Y303" s="6">
        <v>0</v>
      </c>
      <c r="Z303" s="44"/>
      <c r="AA303" s="6">
        <v>0</v>
      </c>
      <c r="AC303" s="6">
        <v>0</v>
      </c>
      <c r="AE303" s="6">
        <f t="shared" ref="AE303:AE305" si="52">SUM(M303:AC303)</f>
        <v>0</v>
      </c>
      <c r="AF303" s="6"/>
      <c r="AG303" s="6">
        <f t="shared" ref="AG303:AG305" si="53">+AE303+K303</f>
        <v>0</v>
      </c>
    </row>
    <row r="304" spans="1:33" ht="12" customHeight="1">
      <c r="A304" s="10" t="s">
        <v>541</v>
      </c>
      <c r="B304" s="10"/>
      <c r="C304" s="10" t="s">
        <v>67</v>
      </c>
      <c r="E304" s="6">
        <v>2236449</v>
      </c>
      <c r="G304" s="6">
        <v>525915</v>
      </c>
      <c r="I304" s="6">
        <v>64453</v>
      </c>
      <c r="K304" s="6">
        <f>SUM(E304:J304)</f>
        <v>2826817</v>
      </c>
      <c r="M304" s="6">
        <f>2176861+828593+32535+140125</f>
        <v>3178114</v>
      </c>
      <c r="O304" s="6">
        <v>0</v>
      </c>
      <c r="Q304" s="6">
        <v>4487188</v>
      </c>
      <c r="S304" s="6">
        <v>56280</v>
      </c>
      <c r="U304" s="6">
        <v>79000</v>
      </c>
      <c r="W304" s="6">
        <v>0</v>
      </c>
      <c r="Y304" s="6">
        <v>24628</v>
      </c>
      <c r="Z304" s="44"/>
      <c r="AA304" s="6">
        <v>0</v>
      </c>
      <c r="AC304" s="6">
        <v>0</v>
      </c>
      <c r="AE304" s="6">
        <f t="shared" si="52"/>
        <v>7825210</v>
      </c>
      <c r="AF304" s="6"/>
      <c r="AG304" s="6">
        <f t="shared" si="53"/>
        <v>10652027</v>
      </c>
    </row>
    <row r="305" spans="1:33" ht="12" customHeight="1">
      <c r="A305" s="10" t="s">
        <v>766</v>
      </c>
      <c r="B305" s="10"/>
      <c r="C305" s="10" t="s">
        <v>112</v>
      </c>
      <c r="D305" s="55"/>
      <c r="E305" s="6">
        <v>1561468</v>
      </c>
      <c r="G305" s="6">
        <v>1700249</v>
      </c>
      <c r="I305" s="6">
        <v>92015</v>
      </c>
      <c r="K305" s="6">
        <f>SUM(E305:J305)</f>
        <v>3353732</v>
      </c>
      <c r="M305" s="6">
        <f>1573611+228733+339411</f>
        <v>2141755</v>
      </c>
      <c r="O305" s="6">
        <v>0</v>
      </c>
      <c r="Q305" s="6">
        <v>5165772</v>
      </c>
      <c r="S305" s="6">
        <v>46784</v>
      </c>
      <c r="U305" s="6">
        <v>0</v>
      </c>
      <c r="W305" s="6">
        <v>0</v>
      </c>
      <c r="Y305" s="6">
        <v>0</v>
      </c>
      <c r="Z305" s="44"/>
      <c r="AA305" s="6">
        <v>0</v>
      </c>
      <c r="AC305" s="6">
        <v>0</v>
      </c>
      <c r="AE305" s="6">
        <f t="shared" si="52"/>
        <v>7354311</v>
      </c>
      <c r="AF305" s="6"/>
      <c r="AG305" s="6">
        <f t="shared" si="53"/>
        <v>10708043</v>
      </c>
    </row>
    <row r="306" spans="1:33" s="6" customFormat="1" ht="12" customHeight="1">
      <c r="A306" s="11" t="s">
        <v>545</v>
      </c>
      <c r="B306" s="11"/>
      <c r="C306" s="11" t="s">
        <v>69</v>
      </c>
      <c r="E306" s="6">
        <v>2157760</v>
      </c>
      <c r="G306" s="6">
        <v>1736497</v>
      </c>
      <c r="I306" s="6">
        <v>0</v>
      </c>
      <c r="K306" s="6">
        <f t="shared" ref="K306:K318" si="54">SUM(E306:J306)</f>
        <v>3894257</v>
      </c>
      <c r="M306" s="6">
        <f>19828136+3955618+1898649</f>
        <v>25682403</v>
      </c>
      <c r="O306" s="6">
        <v>0</v>
      </c>
      <c r="Q306" s="6">
        <v>13015177</v>
      </c>
      <c r="S306" s="6">
        <v>34152</v>
      </c>
      <c r="U306" s="6">
        <v>0</v>
      </c>
      <c r="W306" s="6">
        <v>4497</v>
      </c>
      <c r="Y306" s="6">
        <v>282872</v>
      </c>
      <c r="Z306" s="44"/>
      <c r="AA306" s="6">
        <v>0</v>
      </c>
      <c r="AC306" s="6">
        <v>0</v>
      </c>
      <c r="AE306" s="6">
        <f t="shared" ref="AE306:AE318" si="55">SUM(M306:AC306)</f>
        <v>39019101</v>
      </c>
      <c r="AG306" s="6">
        <f t="shared" ref="AG306:AG318" si="56">+AE306+K306</f>
        <v>42913358</v>
      </c>
    </row>
    <row r="307" spans="1:33" ht="12" hidden="1" customHeight="1">
      <c r="A307" s="10" t="s">
        <v>800</v>
      </c>
      <c r="B307" s="10"/>
      <c r="C307" s="10" t="s">
        <v>32</v>
      </c>
      <c r="E307" s="6">
        <v>0</v>
      </c>
      <c r="G307" s="6">
        <v>0</v>
      </c>
      <c r="I307" s="6">
        <v>0</v>
      </c>
      <c r="K307" s="6">
        <f t="shared" si="54"/>
        <v>0</v>
      </c>
      <c r="M307" s="6">
        <v>0</v>
      </c>
      <c r="O307" s="6">
        <v>0</v>
      </c>
      <c r="Q307" s="6">
        <v>0</v>
      </c>
      <c r="S307" s="6">
        <v>0</v>
      </c>
      <c r="U307" s="6">
        <v>0</v>
      </c>
      <c r="W307" s="6">
        <v>0</v>
      </c>
      <c r="Y307" s="6">
        <v>0</v>
      </c>
      <c r="Z307" s="44"/>
      <c r="AA307" s="6">
        <v>0</v>
      </c>
      <c r="AC307" s="6">
        <v>0</v>
      </c>
      <c r="AE307" s="6">
        <f t="shared" si="55"/>
        <v>0</v>
      </c>
      <c r="AF307" s="6"/>
      <c r="AG307" s="6">
        <f t="shared" si="56"/>
        <v>0</v>
      </c>
    </row>
    <row r="308" spans="1:33" ht="12" customHeight="1">
      <c r="A308" s="10" t="s">
        <v>453</v>
      </c>
      <c r="B308" s="10"/>
      <c r="C308" s="10" t="s">
        <v>54</v>
      </c>
      <c r="E308" s="6">
        <v>1536909</v>
      </c>
      <c r="G308" s="6">
        <v>2405829</v>
      </c>
      <c r="I308" s="6">
        <v>0</v>
      </c>
      <c r="K308" s="6">
        <f t="shared" si="54"/>
        <v>3942738</v>
      </c>
      <c r="M308" s="6">
        <f>5399594+135677</f>
        <v>5535271</v>
      </c>
      <c r="O308" s="6">
        <v>2398518</v>
      </c>
      <c r="Q308" s="6">
        <v>8374033</v>
      </c>
      <c r="S308" s="6">
        <v>14974</v>
      </c>
      <c r="U308" s="6">
        <v>0</v>
      </c>
      <c r="W308" s="6">
        <v>0</v>
      </c>
      <c r="Y308" s="6">
        <v>10711</v>
      </c>
      <c r="Z308" s="44"/>
      <c r="AA308" s="6">
        <v>0</v>
      </c>
      <c r="AC308" s="6">
        <v>0</v>
      </c>
      <c r="AE308" s="6">
        <f t="shared" si="55"/>
        <v>16333507</v>
      </c>
      <c r="AF308" s="6"/>
      <c r="AG308" s="6">
        <f t="shared" si="56"/>
        <v>20276245</v>
      </c>
    </row>
    <row r="309" spans="1:33" ht="12" customHeight="1">
      <c r="A309" s="10" t="s">
        <v>352</v>
      </c>
      <c r="B309" s="10"/>
      <c r="C309" s="10" t="s">
        <v>35</v>
      </c>
      <c r="E309" s="6">
        <v>1508180</v>
      </c>
      <c r="G309" s="6">
        <v>4566821</v>
      </c>
      <c r="I309" s="6">
        <v>169177</v>
      </c>
      <c r="K309" s="6">
        <f t="shared" si="54"/>
        <v>6244178</v>
      </c>
      <c r="M309" s="6">
        <f>8307816+2051492+613700+138814</f>
        <v>11111822</v>
      </c>
      <c r="O309" s="6">
        <v>0</v>
      </c>
      <c r="Q309" s="6">
        <v>22303542</v>
      </c>
      <c r="S309" s="6">
        <v>305585</v>
      </c>
      <c r="U309" s="6">
        <v>0</v>
      </c>
      <c r="W309" s="6">
        <v>0</v>
      </c>
      <c r="Y309" s="6">
        <v>220560</v>
      </c>
      <c r="Z309" s="44"/>
      <c r="AA309" s="6">
        <v>0</v>
      </c>
      <c r="AC309" s="6">
        <v>0</v>
      </c>
      <c r="AE309" s="6">
        <f t="shared" si="55"/>
        <v>33941509</v>
      </c>
      <c r="AF309" s="6"/>
      <c r="AG309" s="6">
        <f t="shared" si="56"/>
        <v>40185687</v>
      </c>
    </row>
    <row r="310" spans="1:33" s="6" customFormat="1" ht="12" customHeight="1">
      <c r="A310" s="11" t="s">
        <v>400</v>
      </c>
      <c r="B310" s="11"/>
      <c r="C310" s="11" t="s">
        <v>398</v>
      </c>
      <c r="E310" s="6">
        <v>2536854</v>
      </c>
      <c r="G310" s="6">
        <v>1787467</v>
      </c>
      <c r="I310" s="6">
        <v>0</v>
      </c>
      <c r="K310" s="6">
        <f t="shared" si="54"/>
        <v>4324321</v>
      </c>
      <c r="M310" s="6">
        <f>5271361+2455875+147120</f>
        <v>7874356</v>
      </c>
      <c r="O310" s="6">
        <v>3390954</v>
      </c>
      <c r="Q310" s="6">
        <v>9070833</v>
      </c>
      <c r="S310" s="6">
        <v>15122</v>
      </c>
      <c r="U310" s="6">
        <v>130877</v>
      </c>
      <c r="W310" s="6">
        <v>0</v>
      </c>
      <c r="Y310" s="6">
        <v>258369</v>
      </c>
      <c r="Z310" s="44"/>
      <c r="AA310" s="6">
        <v>0</v>
      </c>
      <c r="AC310" s="6">
        <v>0</v>
      </c>
      <c r="AE310" s="6">
        <f t="shared" si="55"/>
        <v>20740511</v>
      </c>
      <c r="AG310" s="6">
        <f t="shared" si="56"/>
        <v>25064832</v>
      </c>
    </row>
    <row r="311" spans="1:33" ht="12" customHeight="1">
      <c r="A311" s="10" t="s">
        <v>386</v>
      </c>
      <c r="B311" s="10"/>
      <c r="C311" s="10" t="s">
        <v>44</v>
      </c>
      <c r="E311" s="6">
        <v>1741415</v>
      </c>
      <c r="G311" s="6">
        <v>18749871</v>
      </c>
      <c r="I311" s="6">
        <v>278308</v>
      </c>
      <c r="K311" s="6">
        <f t="shared" si="54"/>
        <v>20769594</v>
      </c>
      <c r="M311" s="6">
        <f>17343438+2431904+264208</f>
        <v>20039550</v>
      </c>
      <c r="O311" s="6">
        <v>0</v>
      </c>
      <c r="Q311" s="6">
        <v>69253959</v>
      </c>
      <c r="S311" s="6">
        <v>160491</v>
      </c>
      <c r="U311" s="6">
        <v>33091</v>
      </c>
      <c r="W311" s="6">
        <v>0</v>
      </c>
      <c r="Y311" s="6">
        <v>119503</v>
      </c>
      <c r="Z311" s="44"/>
      <c r="AA311" s="6">
        <v>0</v>
      </c>
      <c r="AC311" s="6">
        <v>0</v>
      </c>
      <c r="AE311" s="6">
        <f t="shared" si="55"/>
        <v>89606594</v>
      </c>
      <c r="AF311" s="6"/>
      <c r="AG311" s="6">
        <f t="shared" si="56"/>
        <v>110376188</v>
      </c>
    </row>
    <row r="312" spans="1:33" ht="12" customHeight="1">
      <c r="A312" s="10" t="s">
        <v>527</v>
      </c>
      <c r="B312" s="10"/>
      <c r="C312" s="10" t="s">
        <v>64</v>
      </c>
      <c r="E312" s="6">
        <v>604523</v>
      </c>
      <c r="G312" s="6">
        <v>307327</v>
      </c>
      <c r="I312" s="6">
        <v>0</v>
      </c>
      <c r="K312" s="6">
        <f t="shared" si="54"/>
        <v>911850</v>
      </c>
      <c r="M312" s="6">
        <f>2608240+117657</f>
        <v>2725897</v>
      </c>
      <c r="O312" s="6">
        <v>0</v>
      </c>
      <c r="Q312" s="6">
        <v>2456620</v>
      </c>
      <c r="S312" s="6">
        <v>458</v>
      </c>
      <c r="U312" s="6">
        <v>0</v>
      </c>
      <c r="W312" s="6">
        <v>0</v>
      </c>
      <c r="Y312" s="6">
        <v>188115</v>
      </c>
      <c r="Z312" s="44"/>
      <c r="AA312" s="6">
        <v>0</v>
      </c>
      <c r="AC312" s="6">
        <v>0</v>
      </c>
      <c r="AE312" s="6">
        <f t="shared" si="55"/>
        <v>5371090</v>
      </c>
      <c r="AF312" s="6"/>
      <c r="AG312" s="6">
        <f t="shared" si="56"/>
        <v>6282940</v>
      </c>
    </row>
    <row r="313" spans="1:33" ht="12" customHeight="1">
      <c r="A313" s="10" t="s">
        <v>683</v>
      </c>
      <c r="B313" s="10"/>
      <c r="C313" s="10" t="s">
        <v>11</v>
      </c>
      <c r="D313" s="5"/>
      <c r="E313" s="6">
        <v>760854</v>
      </c>
      <c r="G313" s="6">
        <v>1766251</v>
      </c>
      <c r="I313" s="6">
        <v>0</v>
      </c>
      <c r="K313" s="6">
        <f t="shared" si="54"/>
        <v>2527105</v>
      </c>
      <c r="M313" s="6">
        <f>4429887+95508</f>
        <v>4525395</v>
      </c>
      <c r="O313" s="6">
        <v>1530444</v>
      </c>
      <c r="Q313" s="6">
        <v>4542260</v>
      </c>
      <c r="S313" s="6">
        <v>15159</v>
      </c>
      <c r="U313" s="6">
        <v>0</v>
      </c>
      <c r="W313" s="6">
        <v>0</v>
      </c>
      <c r="Y313" s="6">
        <v>14007</v>
      </c>
      <c r="Z313" s="44"/>
      <c r="AA313" s="6">
        <v>0</v>
      </c>
      <c r="AC313" s="6">
        <v>0</v>
      </c>
      <c r="AE313" s="6">
        <f t="shared" si="55"/>
        <v>10627265</v>
      </c>
      <c r="AF313" s="6"/>
      <c r="AG313" s="6">
        <f t="shared" si="56"/>
        <v>13154370</v>
      </c>
    </row>
    <row r="314" spans="1:33" ht="12" customHeight="1">
      <c r="A314" s="10" t="s">
        <v>499</v>
      </c>
      <c r="B314" s="10"/>
      <c r="C314" s="10" t="s">
        <v>62</v>
      </c>
      <c r="E314" s="6">
        <v>2225663</v>
      </c>
      <c r="G314" s="6">
        <v>2933364</v>
      </c>
      <c r="I314" s="6">
        <v>0</v>
      </c>
      <c r="K314" s="6">
        <f t="shared" si="54"/>
        <v>5159027</v>
      </c>
      <c r="M314" s="6">
        <f>5917348+1331623+358142</f>
        <v>7607113</v>
      </c>
      <c r="O314" s="6">
        <v>0</v>
      </c>
      <c r="Q314" s="6">
        <v>14710915</v>
      </c>
      <c r="S314" s="6">
        <v>18156</v>
      </c>
      <c r="U314" s="6">
        <v>2722</v>
      </c>
      <c r="W314" s="6">
        <v>13241</v>
      </c>
      <c r="Y314" s="6">
        <v>144009</v>
      </c>
      <c r="Z314" s="44"/>
      <c r="AA314" s="6">
        <v>0</v>
      </c>
      <c r="AC314" s="6">
        <v>0</v>
      </c>
      <c r="AE314" s="6">
        <f t="shared" si="55"/>
        <v>22496156</v>
      </c>
      <c r="AF314" s="6"/>
      <c r="AG314" s="6">
        <f t="shared" si="56"/>
        <v>27655183</v>
      </c>
    </row>
    <row r="315" spans="1:33" ht="12" customHeight="1">
      <c r="A315" s="10" t="s">
        <v>324</v>
      </c>
      <c r="B315" s="10"/>
      <c r="C315" s="10" t="s">
        <v>32</v>
      </c>
      <c r="E315" s="6">
        <v>2349949</v>
      </c>
      <c r="G315" s="6">
        <v>2947088</v>
      </c>
      <c r="I315" s="6">
        <v>0</v>
      </c>
      <c r="K315" s="6">
        <f t="shared" si="54"/>
        <v>5297037</v>
      </c>
      <c r="M315" s="6">
        <f>22179378+1706423+2702864</f>
        <v>26588665</v>
      </c>
      <c r="O315" s="6">
        <v>0</v>
      </c>
      <c r="Q315" s="6">
        <v>14066273</v>
      </c>
      <c r="S315" s="6">
        <v>34642</v>
      </c>
      <c r="U315" s="6">
        <v>125754</v>
      </c>
      <c r="W315" s="6">
        <v>20758</v>
      </c>
      <c r="Y315" s="6">
        <v>305981</v>
      </c>
      <c r="Z315" s="44"/>
      <c r="AA315" s="6">
        <v>0</v>
      </c>
      <c r="AC315" s="6">
        <v>0</v>
      </c>
      <c r="AE315" s="6">
        <f t="shared" si="55"/>
        <v>41142073</v>
      </c>
      <c r="AF315" s="6"/>
      <c r="AG315" s="6">
        <f t="shared" si="56"/>
        <v>46439110</v>
      </c>
    </row>
    <row r="316" spans="1:33" ht="12" customHeight="1">
      <c r="A316" s="10" t="s">
        <v>684</v>
      </c>
      <c r="B316" s="10"/>
      <c r="C316" s="10" t="s">
        <v>45</v>
      </c>
      <c r="E316" s="6">
        <v>1789852</v>
      </c>
      <c r="G316" s="6">
        <v>727590</v>
      </c>
      <c r="I316" s="6">
        <v>0</v>
      </c>
      <c r="K316" s="6">
        <f t="shared" si="54"/>
        <v>2517442</v>
      </c>
      <c r="M316" s="6">
        <f>849069+12408+149707</f>
        <v>1011184</v>
      </c>
      <c r="O316" s="6">
        <v>0</v>
      </c>
      <c r="Q316" s="6">
        <v>2115866</v>
      </c>
      <c r="S316" s="6">
        <v>40702</v>
      </c>
      <c r="U316" s="6">
        <v>0</v>
      </c>
      <c r="W316" s="6">
        <v>0</v>
      </c>
      <c r="Y316" s="6">
        <v>22416</v>
      </c>
      <c r="Z316" s="44"/>
      <c r="AA316" s="6">
        <v>0</v>
      </c>
      <c r="AC316" s="6">
        <v>0</v>
      </c>
      <c r="AE316" s="6">
        <f t="shared" si="55"/>
        <v>3190168</v>
      </c>
      <c r="AF316" s="6"/>
      <c r="AG316" s="6">
        <f t="shared" si="56"/>
        <v>5707610</v>
      </c>
    </row>
    <row r="317" spans="1:33" ht="12" customHeight="1">
      <c r="A317" s="10" t="s">
        <v>801</v>
      </c>
      <c r="B317" s="10"/>
      <c r="C317" s="10" t="s">
        <v>110</v>
      </c>
      <c r="E317" s="6">
        <v>446005</v>
      </c>
      <c r="G317" s="6">
        <v>469800</v>
      </c>
      <c r="I317" s="6">
        <v>3500</v>
      </c>
      <c r="K317" s="6">
        <f t="shared" si="54"/>
        <v>919305</v>
      </c>
      <c r="M317" s="6">
        <v>2621683</v>
      </c>
      <c r="O317" s="6">
        <v>0</v>
      </c>
      <c r="Q317" s="6">
        <v>2235979</v>
      </c>
      <c r="S317" s="6">
        <v>91384</v>
      </c>
      <c r="U317" s="6">
        <v>0</v>
      </c>
      <c r="W317" s="6">
        <v>0</v>
      </c>
      <c r="Y317" s="6">
        <v>55228</v>
      </c>
      <c r="Z317" s="44"/>
      <c r="AA317" s="6">
        <v>0</v>
      </c>
      <c r="AC317" s="6">
        <v>0</v>
      </c>
      <c r="AE317" s="6">
        <f t="shared" si="55"/>
        <v>5004274</v>
      </c>
      <c r="AF317" s="6"/>
      <c r="AG317" s="6">
        <f t="shared" si="56"/>
        <v>5923579</v>
      </c>
    </row>
    <row r="318" spans="1:33" ht="12" customHeight="1">
      <c r="A318" s="10" t="s">
        <v>351</v>
      </c>
      <c r="B318" s="10"/>
      <c r="C318" s="10" t="s">
        <v>348</v>
      </c>
      <c r="E318" s="6">
        <v>1074556</v>
      </c>
      <c r="G318" s="6">
        <v>1661895</v>
      </c>
      <c r="I318" s="6">
        <v>11000</v>
      </c>
      <c r="K318" s="6">
        <f t="shared" si="54"/>
        <v>2747451</v>
      </c>
      <c r="M318" s="6">
        <f>1816560+134691+37320</f>
        <v>1988571</v>
      </c>
      <c r="O318" s="6">
        <v>0</v>
      </c>
      <c r="Q318" s="6">
        <v>7529656</v>
      </c>
      <c r="S318" s="6">
        <v>56445</v>
      </c>
      <c r="U318" s="6">
        <v>0</v>
      </c>
      <c r="W318" s="6">
        <v>0</v>
      </c>
      <c r="Y318" s="6">
        <v>111526</v>
      </c>
      <c r="Z318" s="44"/>
      <c r="AA318" s="6">
        <v>0</v>
      </c>
      <c r="AC318" s="6">
        <v>0</v>
      </c>
      <c r="AE318" s="6">
        <f t="shared" si="55"/>
        <v>9686198</v>
      </c>
      <c r="AF318" s="6"/>
      <c r="AG318" s="6">
        <f t="shared" si="56"/>
        <v>12433649</v>
      </c>
    </row>
    <row r="319" spans="1:33" ht="12" customHeight="1">
      <c r="A319" s="11" t="s">
        <v>711</v>
      </c>
      <c r="B319" s="10"/>
      <c r="C319" s="10" t="s">
        <v>50</v>
      </c>
      <c r="E319" s="6">
        <v>2671624</v>
      </c>
      <c r="G319" s="6">
        <v>7362406</v>
      </c>
      <c r="I319" s="6">
        <v>0</v>
      </c>
      <c r="K319" s="6">
        <f t="shared" ref="K319:K374" si="57">SUM(E319:J319)</f>
        <v>10034030</v>
      </c>
      <c r="M319" s="6">
        <f>8387310+96236+1212949</f>
        <v>9696495</v>
      </c>
      <c r="O319" s="6">
        <v>0</v>
      </c>
      <c r="Q319" s="6">
        <v>21570437</v>
      </c>
      <c r="S319" s="6">
        <v>64824</v>
      </c>
      <c r="U319" s="6">
        <v>0</v>
      </c>
      <c r="W319" s="6">
        <v>14445</v>
      </c>
      <c r="Y319" s="6">
        <v>156033</v>
      </c>
      <c r="Z319" s="44"/>
      <c r="AA319" s="6">
        <v>0</v>
      </c>
      <c r="AC319" s="6">
        <v>0</v>
      </c>
      <c r="AE319" s="6">
        <f t="shared" ref="AE319:AE375" si="58">SUM(M319:AC319)</f>
        <v>31502234</v>
      </c>
      <c r="AF319" s="6"/>
      <c r="AG319" s="6">
        <f t="shared" ref="AG319:AG374" si="59">+AE319+K319</f>
        <v>41536264</v>
      </c>
    </row>
    <row r="320" spans="1:33" ht="12" customHeight="1">
      <c r="A320" s="10" t="s">
        <v>325</v>
      </c>
      <c r="B320" s="10"/>
      <c r="C320" s="10" t="s">
        <v>32</v>
      </c>
      <c r="E320" s="6">
        <v>1030667</v>
      </c>
      <c r="G320" s="6">
        <v>47255</v>
      </c>
      <c r="I320" s="6">
        <v>0</v>
      </c>
      <c r="K320" s="6">
        <f t="shared" si="57"/>
        <v>1077922</v>
      </c>
      <c r="M320" s="6">
        <f>11566171+1816760</f>
        <v>13382931</v>
      </c>
      <c r="O320" s="6">
        <v>0</v>
      </c>
      <c r="Q320" s="6">
        <v>4661476</v>
      </c>
      <c r="S320" s="6">
        <v>19003</v>
      </c>
      <c r="U320" s="6">
        <v>105000</v>
      </c>
      <c r="W320" s="6">
        <v>44774</v>
      </c>
      <c r="Y320" s="6">
        <v>70628</v>
      </c>
      <c r="Z320" s="44"/>
      <c r="AA320" s="6">
        <v>0</v>
      </c>
      <c r="AC320" s="6">
        <v>0</v>
      </c>
      <c r="AE320" s="6">
        <f t="shared" si="58"/>
        <v>18283812</v>
      </c>
      <c r="AF320" s="6"/>
      <c r="AG320" s="6">
        <f t="shared" si="59"/>
        <v>19361734</v>
      </c>
    </row>
    <row r="321" spans="1:35" ht="12" customHeight="1">
      <c r="A321" s="10" t="s">
        <v>224</v>
      </c>
      <c r="B321" s="10"/>
      <c r="C321" s="10" t="s">
        <v>221</v>
      </c>
      <c r="E321" s="6">
        <v>1721095</v>
      </c>
      <c r="G321" s="6">
        <v>1194873</v>
      </c>
      <c r="I321" s="6">
        <v>0</v>
      </c>
      <c r="K321" s="6">
        <f t="shared" si="57"/>
        <v>2915968</v>
      </c>
      <c r="M321" s="6">
        <v>5372251</v>
      </c>
      <c r="O321" s="6">
        <v>879511</v>
      </c>
      <c r="Q321" s="6">
        <v>6541178</v>
      </c>
      <c r="S321" s="6">
        <v>2494</v>
      </c>
      <c r="U321" s="6">
        <v>0</v>
      </c>
      <c r="W321" s="6">
        <v>0</v>
      </c>
      <c r="Y321" s="6">
        <v>172664</v>
      </c>
      <c r="Z321" s="44"/>
      <c r="AA321" s="6">
        <v>0</v>
      </c>
      <c r="AC321" s="6">
        <v>0</v>
      </c>
      <c r="AE321" s="6">
        <f t="shared" si="58"/>
        <v>12968098</v>
      </c>
      <c r="AF321" s="6"/>
      <c r="AG321" s="6">
        <f t="shared" si="59"/>
        <v>15884066</v>
      </c>
    </row>
    <row r="322" spans="1:35" ht="12" hidden="1" customHeight="1">
      <c r="A322" s="10" t="s">
        <v>730</v>
      </c>
      <c r="B322" s="10"/>
      <c r="C322" s="10" t="s">
        <v>41</v>
      </c>
      <c r="E322" s="6">
        <v>0</v>
      </c>
      <c r="G322" s="6">
        <v>0</v>
      </c>
      <c r="I322" s="6">
        <v>0</v>
      </c>
      <c r="K322" s="6">
        <f t="shared" si="57"/>
        <v>0</v>
      </c>
      <c r="M322" s="6">
        <v>0</v>
      </c>
      <c r="O322" s="6">
        <v>0</v>
      </c>
      <c r="Q322" s="6">
        <v>0</v>
      </c>
      <c r="S322" s="6">
        <v>0</v>
      </c>
      <c r="U322" s="6">
        <v>0</v>
      </c>
      <c r="W322" s="6">
        <v>0</v>
      </c>
      <c r="Y322" s="6">
        <v>0</v>
      </c>
      <c r="Z322" s="44"/>
      <c r="AA322" s="6">
        <v>0</v>
      </c>
      <c r="AC322" s="6">
        <v>0</v>
      </c>
      <c r="AE322" s="6">
        <f t="shared" si="58"/>
        <v>0</v>
      </c>
      <c r="AF322" s="6"/>
      <c r="AG322" s="6">
        <f t="shared" si="59"/>
        <v>0</v>
      </c>
    </row>
    <row r="323" spans="1:35" ht="12" customHeight="1">
      <c r="A323" s="10" t="s">
        <v>224</v>
      </c>
      <c r="B323" s="10"/>
      <c r="C323" s="10" t="s">
        <v>110</v>
      </c>
      <c r="D323" s="5"/>
      <c r="E323" s="6">
        <v>2167405</v>
      </c>
      <c r="G323" s="6">
        <v>5457960</v>
      </c>
      <c r="I323" s="6">
        <v>0</v>
      </c>
      <c r="K323" s="6">
        <f t="shared" si="57"/>
        <v>7625365</v>
      </c>
      <c r="M323" s="6">
        <f>9726670+140982</f>
        <v>9867652</v>
      </c>
      <c r="O323" s="6">
        <v>0</v>
      </c>
      <c r="Q323" s="6">
        <v>16332377</v>
      </c>
      <c r="S323" s="6">
        <v>131196</v>
      </c>
      <c r="U323" s="6">
        <v>315784</v>
      </c>
      <c r="W323" s="6">
        <v>0</v>
      </c>
      <c r="Y323" s="6">
        <v>228443</v>
      </c>
      <c r="Z323" s="44"/>
      <c r="AA323" s="6">
        <v>-25000</v>
      </c>
      <c r="AC323" s="6">
        <v>0</v>
      </c>
      <c r="AE323" s="6">
        <f t="shared" si="58"/>
        <v>26850452</v>
      </c>
      <c r="AF323" s="6"/>
      <c r="AG323" s="6">
        <f t="shared" si="59"/>
        <v>34475817</v>
      </c>
    </row>
    <row r="324" spans="1:35" ht="12" customHeight="1">
      <c r="A324" s="10" t="s">
        <v>694</v>
      </c>
      <c r="B324" s="10"/>
      <c r="C324" s="10" t="s">
        <v>398</v>
      </c>
      <c r="D324" s="5"/>
      <c r="E324" s="6">
        <v>1402746</v>
      </c>
      <c r="G324" s="6">
        <v>880219</v>
      </c>
      <c r="I324" s="6">
        <v>35536</v>
      </c>
      <c r="K324" s="6">
        <f t="shared" si="57"/>
        <v>2318501</v>
      </c>
      <c r="M324" s="6">
        <f>5404279+251873</f>
        <v>5656152</v>
      </c>
      <c r="O324" s="6">
        <v>0</v>
      </c>
      <c r="Q324" s="6">
        <v>6172530</v>
      </c>
      <c r="S324" s="6">
        <v>33187</v>
      </c>
      <c r="U324" s="6">
        <v>11170</v>
      </c>
      <c r="W324" s="6">
        <v>0</v>
      </c>
      <c r="Y324" s="6">
        <v>229105</v>
      </c>
      <c r="Z324" s="44"/>
      <c r="AA324" s="6">
        <v>0</v>
      </c>
      <c r="AC324" s="6">
        <v>0</v>
      </c>
      <c r="AE324" s="6">
        <f t="shared" si="58"/>
        <v>12102144</v>
      </c>
      <c r="AF324" s="6"/>
      <c r="AG324" s="6">
        <f t="shared" si="59"/>
        <v>14420645</v>
      </c>
    </row>
    <row r="325" spans="1:35" ht="12" customHeight="1">
      <c r="A325" s="10" t="s">
        <v>605</v>
      </c>
      <c r="B325" s="10"/>
      <c r="C325" s="10" t="s">
        <v>200</v>
      </c>
      <c r="D325" s="5"/>
      <c r="E325" s="6">
        <v>816718</v>
      </c>
      <c r="G325" s="6">
        <v>2116551</v>
      </c>
      <c r="I325" s="6">
        <v>0</v>
      </c>
      <c r="K325" s="6">
        <f t="shared" si="57"/>
        <v>2933269</v>
      </c>
      <c r="M325" s="6">
        <f>7155235+1271939</f>
        <v>8427174</v>
      </c>
      <c r="O325" s="6">
        <v>0</v>
      </c>
      <c r="Q325" s="6">
        <v>4194950</v>
      </c>
      <c r="S325" s="6">
        <v>31708</v>
      </c>
      <c r="U325" s="6">
        <v>0</v>
      </c>
      <c r="W325" s="6">
        <v>0</v>
      </c>
      <c r="Y325" s="6">
        <v>22475</v>
      </c>
      <c r="Z325" s="44"/>
      <c r="AA325" s="6">
        <v>0</v>
      </c>
      <c r="AC325" s="6">
        <v>0</v>
      </c>
      <c r="AE325" s="6">
        <f t="shared" si="58"/>
        <v>12676307</v>
      </c>
      <c r="AF325" s="6"/>
      <c r="AG325" s="6">
        <f t="shared" si="59"/>
        <v>15609576</v>
      </c>
    </row>
    <row r="326" spans="1:35" ht="12" hidden="1" customHeight="1">
      <c r="A326" s="10" t="s">
        <v>805</v>
      </c>
      <c r="B326" s="10"/>
      <c r="C326" s="10" t="s">
        <v>63</v>
      </c>
      <c r="E326" s="6">
        <v>0</v>
      </c>
      <c r="G326" s="6">
        <v>0</v>
      </c>
      <c r="I326" s="6">
        <v>0</v>
      </c>
      <c r="K326" s="6">
        <f t="shared" ref="K326" si="60">SUM(E326:J326)</f>
        <v>0</v>
      </c>
      <c r="M326" s="6">
        <v>0</v>
      </c>
      <c r="O326" s="6">
        <v>0</v>
      </c>
      <c r="Q326" s="6">
        <v>0</v>
      </c>
      <c r="S326" s="6">
        <v>0</v>
      </c>
      <c r="U326" s="6">
        <v>0</v>
      </c>
      <c r="W326" s="6">
        <v>0</v>
      </c>
      <c r="Y326" s="6">
        <v>0</v>
      </c>
      <c r="Z326" s="44"/>
      <c r="AA326" s="6">
        <v>0</v>
      </c>
      <c r="AC326" s="6">
        <v>0</v>
      </c>
      <c r="AE326" s="6">
        <f t="shared" ref="AE326" si="61">SUM(M326:AC326)</f>
        <v>0</v>
      </c>
      <c r="AF326" s="6"/>
      <c r="AG326" s="6">
        <f t="shared" ref="AG326" si="62">+AE326+K326</f>
        <v>0</v>
      </c>
    </row>
    <row r="327" spans="1:35" ht="12" customHeight="1">
      <c r="A327" s="10" t="s">
        <v>469</v>
      </c>
      <c r="B327" s="10"/>
      <c r="C327" s="10" t="s">
        <v>110</v>
      </c>
      <c r="E327" s="6">
        <v>1770934</v>
      </c>
      <c r="G327" s="6">
        <v>12711134</v>
      </c>
      <c r="I327" s="6">
        <v>95985</v>
      </c>
      <c r="K327" s="6">
        <f t="shared" si="57"/>
        <v>14578053</v>
      </c>
      <c r="M327" s="6">
        <f>16556416+181513+754501+873114</f>
        <v>18365544</v>
      </c>
      <c r="O327" s="6">
        <v>0</v>
      </c>
      <c r="Q327" s="6">
        <v>30886092</v>
      </c>
      <c r="S327" s="6">
        <v>61726</v>
      </c>
      <c r="U327" s="6">
        <v>0</v>
      </c>
      <c r="W327" s="6">
        <v>0</v>
      </c>
      <c r="Y327" s="6">
        <v>1481768</v>
      </c>
      <c r="Z327" s="44"/>
      <c r="AA327" s="6">
        <v>0</v>
      </c>
      <c r="AC327" s="6">
        <v>-1124525</v>
      </c>
      <c r="AE327" s="6">
        <f t="shared" si="58"/>
        <v>49670605</v>
      </c>
      <c r="AF327" s="6"/>
      <c r="AG327" s="6">
        <f t="shared" si="59"/>
        <v>64248658</v>
      </c>
    </row>
    <row r="328" spans="1:35" ht="12" customHeight="1">
      <c r="A328" s="10" t="s">
        <v>722</v>
      </c>
      <c r="B328" s="10"/>
      <c r="C328" s="10" t="s">
        <v>20</v>
      </c>
      <c r="E328" s="6">
        <v>1108208</v>
      </c>
      <c r="G328" s="6">
        <v>4367068</v>
      </c>
      <c r="I328" s="6">
        <v>0</v>
      </c>
      <c r="K328" s="6">
        <f t="shared" si="57"/>
        <v>5475276</v>
      </c>
      <c r="M328" s="6">
        <f>14770444+108481+3290876+426362</f>
        <v>18596163</v>
      </c>
      <c r="O328" s="6">
        <v>0</v>
      </c>
      <c r="Q328" s="6">
        <v>21495530</v>
      </c>
      <c r="S328" s="6">
        <v>282266</v>
      </c>
      <c r="U328" s="6">
        <v>0</v>
      </c>
      <c r="W328" s="6">
        <v>51350</v>
      </c>
      <c r="Y328" s="6">
        <v>1006950</v>
      </c>
      <c r="Z328" s="44"/>
      <c r="AA328" s="6">
        <v>0</v>
      </c>
      <c r="AC328" s="6">
        <v>0</v>
      </c>
      <c r="AE328" s="6">
        <f t="shared" si="58"/>
        <v>41432259</v>
      </c>
      <c r="AF328" s="6"/>
      <c r="AG328" s="6">
        <f t="shared" si="59"/>
        <v>46907535</v>
      </c>
    </row>
    <row r="329" spans="1:35" ht="12" customHeight="1">
      <c r="A329" s="10" t="s">
        <v>205</v>
      </c>
      <c r="B329" s="10"/>
      <c r="C329" s="10" t="s">
        <v>11</v>
      </c>
      <c r="D329" s="5"/>
      <c r="E329" s="6">
        <v>987538</v>
      </c>
      <c r="G329" s="6">
        <v>1071361</v>
      </c>
      <c r="I329" s="6">
        <v>0</v>
      </c>
      <c r="K329" s="6">
        <f t="shared" si="57"/>
        <v>2058899</v>
      </c>
      <c r="M329" s="6">
        <f>2289827+40286+306231+201498</f>
        <v>2837842</v>
      </c>
      <c r="O329" s="6">
        <v>0</v>
      </c>
      <c r="Q329" s="6">
        <v>4346438</v>
      </c>
      <c r="S329" s="6">
        <v>17450</v>
      </c>
      <c r="U329" s="6">
        <v>0</v>
      </c>
      <c r="W329" s="6">
        <v>0</v>
      </c>
      <c r="Y329" s="6">
        <v>17690</v>
      </c>
      <c r="Z329" s="44"/>
      <c r="AA329" s="6">
        <v>0</v>
      </c>
      <c r="AC329" s="6">
        <v>-623623</v>
      </c>
      <c r="AE329" s="6">
        <f t="shared" si="58"/>
        <v>6595797</v>
      </c>
      <c r="AF329" s="6"/>
      <c r="AG329" s="6">
        <f t="shared" si="59"/>
        <v>8654696</v>
      </c>
    </row>
    <row r="330" spans="1:35" ht="12" customHeight="1">
      <c r="A330" s="10" t="s">
        <v>528</v>
      </c>
      <c r="B330" s="10"/>
      <c r="C330" s="10" t="s">
        <v>64</v>
      </c>
      <c r="E330" s="6">
        <v>561929</v>
      </c>
      <c r="G330" s="6">
        <v>660376</v>
      </c>
      <c r="I330" s="6">
        <v>0</v>
      </c>
      <c r="K330" s="6">
        <f t="shared" si="57"/>
        <v>1222305</v>
      </c>
      <c r="M330" s="6">
        <f>2406831+134401+152411+33208</f>
        <v>2726851</v>
      </c>
      <c r="O330" s="6">
        <v>0</v>
      </c>
      <c r="Q330" s="6">
        <v>5721945</v>
      </c>
      <c r="S330" s="6">
        <v>12743</v>
      </c>
      <c r="U330" s="6">
        <v>0</v>
      </c>
      <c r="W330" s="6">
        <v>0</v>
      </c>
      <c r="Y330" s="6">
        <v>58732</v>
      </c>
      <c r="Z330" s="44"/>
      <c r="AA330" s="6">
        <v>0</v>
      </c>
      <c r="AC330" s="6">
        <v>0</v>
      </c>
      <c r="AE330" s="6">
        <f t="shared" si="58"/>
        <v>8520271</v>
      </c>
      <c r="AF330" s="6"/>
      <c r="AG330" s="6">
        <f t="shared" si="59"/>
        <v>9742576</v>
      </c>
    </row>
    <row r="331" spans="1:35" ht="12" customHeight="1">
      <c r="A331" s="10" t="s">
        <v>288</v>
      </c>
      <c r="B331" s="10"/>
      <c r="C331" s="10" t="s">
        <v>24</v>
      </c>
      <c r="E331" s="6">
        <v>1430033</v>
      </c>
      <c r="G331" s="6">
        <v>1137163</v>
      </c>
      <c r="I331" s="6">
        <v>0</v>
      </c>
      <c r="K331" s="6">
        <f t="shared" si="57"/>
        <v>2567196</v>
      </c>
      <c r="M331" s="6">
        <f>5370136+155115</f>
        <v>5525251</v>
      </c>
      <c r="O331" s="6">
        <v>0</v>
      </c>
      <c r="Q331" s="6">
        <v>6218832</v>
      </c>
      <c r="S331" s="6">
        <v>801</v>
      </c>
      <c r="U331" s="6">
        <v>0</v>
      </c>
      <c r="W331" s="6">
        <v>0</v>
      </c>
      <c r="Y331" s="6">
        <v>211613</v>
      </c>
      <c r="Z331" s="44"/>
      <c r="AA331" s="6">
        <v>0</v>
      </c>
      <c r="AC331" s="6">
        <v>0</v>
      </c>
      <c r="AE331" s="6">
        <f t="shared" si="58"/>
        <v>11956497</v>
      </c>
      <c r="AF331" s="6"/>
      <c r="AG331" s="6">
        <f t="shared" si="59"/>
        <v>14523693</v>
      </c>
    </row>
    <row r="332" spans="1:35" ht="12" customHeight="1">
      <c r="A332" s="10" t="s">
        <v>326</v>
      </c>
      <c r="B332" s="10"/>
      <c r="C332" s="10" t="s">
        <v>32</v>
      </c>
      <c r="E332" s="6">
        <v>922325</v>
      </c>
      <c r="G332" s="6">
        <v>447905</v>
      </c>
      <c r="I332" s="6">
        <v>0</v>
      </c>
      <c r="K332" s="6">
        <f t="shared" si="57"/>
        <v>1370230</v>
      </c>
      <c r="M332" s="6">
        <f>14331717+1662772</f>
        <v>15994489</v>
      </c>
      <c r="O332" s="6">
        <v>0</v>
      </c>
      <c r="Q332" s="6">
        <v>5244247</v>
      </c>
      <c r="S332" s="6">
        <v>148577</v>
      </c>
      <c r="U332" s="6">
        <v>0</v>
      </c>
      <c r="W332" s="6">
        <v>0</v>
      </c>
      <c r="Y332" s="6">
        <v>984025</v>
      </c>
      <c r="Z332" s="44"/>
      <c r="AA332" s="6">
        <v>0</v>
      </c>
      <c r="AC332" s="6">
        <v>0</v>
      </c>
      <c r="AE332" s="6">
        <f t="shared" si="58"/>
        <v>22371338</v>
      </c>
      <c r="AF332" s="6"/>
      <c r="AG332" s="6">
        <f t="shared" si="59"/>
        <v>23741568</v>
      </c>
    </row>
    <row r="333" spans="1:35" ht="12" hidden="1" customHeight="1">
      <c r="A333" s="10" t="s">
        <v>612</v>
      </c>
      <c r="B333" s="10"/>
      <c r="C333" s="10" t="s">
        <v>70</v>
      </c>
      <c r="E333" s="6">
        <v>0</v>
      </c>
      <c r="G333" s="6">
        <v>0</v>
      </c>
      <c r="I333" s="6">
        <v>0</v>
      </c>
      <c r="K333" s="6">
        <f t="shared" si="57"/>
        <v>0</v>
      </c>
      <c r="M333" s="6">
        <v>0</v>
      </c>
      <c r="O333" s="6">
        <v>0</v>
      </c>
      <c r="Q333" s="6">
        <v>0</v>
      </c>
      <c r="S333" s="6">
        <v>0</v>
      </c>
      <c r="U333" s="6">
        <v>0</v>
      </c>
      <c r="W333" s="6">
        <v>0</v>
      </c>
      <c r="Y333" s="6">
        <v>0</v>
      </c>
      <c r="Z333" s="44"/>
      <c r="AA333" s="6">
        <v>0</v>
      </c>
      <c r="AC333" s="6">
        <v>0</v>
      </c>
      <c r="AE333" s="6">
        <f t="shared" si="58"/>
        <v>0</v>
      </c>
      <c r="AF333" s="6"/>
      <c r="AG333" s="6">
        <f t="shared" si="59"/>
        <v>0</v>
      </c>
      <c r="AH333" s="6"/>
      <c r="AI333" s="6"/>
    </row>
    <row r="334" spans="1:35" ht="12" customHeight="1">
      <c r="A334" s="10" t="s">
        <v>410</v>
      </c>
      <c r="B334" s="10"/>
      <c r="C334" s="10" t="s">
        <v>46</v>
      </c>
      <c r="E334" s="6">
        <v>1840103</v>
      </c>
      <c r="G334" s="6">
        <v>11485626</v>
      </c>
      <c r="I334" s="6">
        <v>0</v>
      </c>
      <c r="K334" s="6">
        <f t="shared" si="57"/>
        <v>13325729</v>
      </c>
      <c r="M334" s="6">
        <f>8321869+118479+1032043</f>
        <v>9472391</v>
      </c>
      <c r="O334" s="6">
        <v>0</v>
      </c>
      <c r="Q334" s="6">
        <v>27570303</v>
      </c>
      <c r="S334" s="6">
        <v>79804</v>
      </c>
      <c r="U334" s="6">
        <v>84115</v>
      </c>
      <c r="W334" s="6">
        <v>0</v>
      </c>
      <c r="Y334" s="6">
        <v>377116</v>
      </c>
      <c r="Z334" s="44"/>
      <c r="AA334" s="6">
        <v>0</v>
      </c>
      <c r="AC334" s="6">
        <v>0</v>
      </c>
      <c r="AE334" s="6">
        <f t="shared" si="58"/>
        <v>37583729</v>
      </c>
      <c r="AF334" s="6"/>
      <c r="AG334" s="6">
        <f t="shared" si="59"/>
        <v>50909458</v>
      </c>
    </row>
    <row r="335" spans="1:35" ht="12" hidden="1" customHeight="1">
      <c r="A335" s="10" t="s">
        <v>685</v>
      </c>
      <c r="B335" s="10"/>
      <c r="C335" s="10" t="s">
        <v>422</v>
      </c>
      <c r="E335" s="6">
        <v>0</v>
      </c>
      <c r="G335" s="6">
        <v>0</v>
      </c>
      <c r="I335" s="6">
        <v>0</v>
      </c>
      <c r="K335" s="6">
        <f t="shared" si="57"/>
        <v>0</v>
      </c>
      <c r="M335" s="6">
        <v>0</v>
      </c>
      <c r="O335" s="6">
        <v>0</v>
      </c>
      <c r="Q335" s="6">
        <v>0</v>
      </c>
      <c r="S335" s="6">
        <v>0</v>
      </c>
      <c r="U335" s="6">
        <v>0</v>
      </c>
      <c r="W335" s="6">
        <v>0</v>
      </c>
      <c r="Y335" s="6">
        <v>0</v>
      </c>
      <c r="Z335" s="44"/>
      <c r="AA335" s="6">
        <v>0</v>
      </c>
      <c r="AC335" s="6">
        <v>0</v>
      </c>
      <c r="AE335" s="6">
        <f t="shared" si="58"/>
        <v>0</v>
      </c>
      <c r="AF335" s="6"/>
      <c r="AG335" s="6">
        <f t="shared" si="59"/>
        <v>0</v>
      </c>
    </row>
    <row r="336" spans="1:35" ht="12" customHeight="1">
      <c r="A336" s="10" t="s">
        <v>500</v>
      </c>
      <c r="B336" s="10"/>
      <c r="C336" s="10" t="s">
        <v>62</v>
      </c>
      <c r="E336" s="6">
        <v>2164571</v>
      </c>
      <c r="G336" s="6">
        <v>3104609</v>
      </c>
      <c r="I336" s="6">
        <v>7650</v>
      </c>
      <c r="K336" s="6">
        <f t="shared" si="57"/>
        <v>5276830</v>
      </c>
      <c r="M336" s="6">
        <f>7524441+403566</f>
        <v>7928007</v>
      </c>
      <c r="O336" s="6">
        <v>0</v>
      </c>
      <c r="Q336" s="6">
        <v>10128655</v>
      </c>
      <c r="S336" s="6">
        <v>52971</v>
      </c>
      <c r="U336" s="6">
        <v>0</v>
      </c>
      <c r="W336" s="6">
        <v>0</v>
      </c>
      <c r="Y336" s="6">
        <v>128109</v>
      </c>
      <c r="Z336" s="44"/>
      <c r="AA336" s="6">
        <v>0</v>
      </c>
      <c r="AC336" s="6">
        <v>0</v>
      </c>
      <c r="AE336" s="6">
        <f t="shared" si="58"/>
        <v>18237742</v>
      </c>
      <c r="AF336" s="6"/>
      <c r="AG336" s="6">
        <f t="shared" si="59"/>
        <v>23514572</v>
      </c>
    </row>
    <row r="337" spans="1:37" ht="12" customHeight="1">
      <c r="A337" s="10" t="s">
        <v>216</v>
      </c>
      <c r="B337" s="10"/>
      <c r="C337" s="10" t="s">
        <v>15</v>
      </c>
      <c r="D337" s="5"/>
      <c r="E337" s="6">
        <v>1854586</v>
      </c>
      <c r="G337" s="6">
        <v>2630676</v>
      </c>
      <c r="I337" s="6">
        <v>0</v>
      </c>
      <c r="K337" s="6">
        <f t="shared" si="57"/>
        <v>4485262</v>
      </c>
      <c r="M337" s="6">
        <f>2053005+78261+517815+48262</f>
        <v>2697343</v>
      </c>
      <c r="O337" s="6">
        <v>0</v>
      </c>
      <c r="Q337" s="6">
        <v>9131918</v>
      </c>
      <c r="S337" s="6">
        <v>492</v>
      </c>
      <c r="U337" s="6">
        <v>0</v>
      </c>
      <c r="W337" s="6">
        <v>12425</v>
      </c>
      <c r="Y337" s="6">
        <v>71713</v>
      </c>
      <c r="Z337" s="44"/>
      <c r="AA337" s="6">
        <v>0</v>
      </c>
      <c r="AC337" s="6">
        <v>0</v>
      </c>
      <c r="AE337" s="6">
        <f t="shared" si="58"/>
        <v>11913891</v>
      </c>
      <c r="AF337" s="6"/>
      <c r="AG337" s="6">
        <f t="shared" si="59"/>
        <v>16399153</v>
      </c>
    </row>
    <row r="338" spans="1:37" ht="12" customHeight="1">
      <c r="A338" s="10" t="s">
        <v>767</v>
      </c>
      <c r="B338" s="10"/>
      <c r="C338" s="10" t="s">
        <v>66</v>
      </c>
      <c r="E338" s="6">
        <v>2695597</v>
      </c>
      <c r="G338" s="6">
        <v>4666911</v>
      </c>
      <c r="I338" s="6">
        <v>186143</v>
      </c>
      <c r="K338" s="6">
        <f t="shared" si="57"/>
        <v>7548651</v>
      </c>
      <c r="M338" s="6">
        <f>20067807+3567129+2151221</f>
        <v>25786157</v>
      </c>
      <c r="O338" s="6">
        <v>0</v>
      </c>
      <c r="Q338" s="6">
        <v>24768158</v>
      </c>
      <c r="S338" s="6">
        <v>28148</v>
      </c>
      <c r="U338" s="6">
        <v>1387231</v>
      </c>
      <c r="W338" s="6">
        <v>0</v>
      </c>
      <c r="Y338" s="6">
        <v>235246</v>
      </c>
      <c r="Z338" s="44"/>
      <c r="AA338" s="6">
        <v>0</v>
      </c>
      <c r="AC338" s="6">
        <v>0</v>
      </c>
      <c r="AE338" s="6">
        <f t="shared" si="58"/>
        <v>52204940</v>
      </c>
      <c r="AF338" s="6"/>
      <c r="AG338" s="6">
        <f t="shared" si="59"/>
        <v>59753591</v>
      </c>
    </row>
    <row r="339" spans="1:37" ht="12" customHeight="1">
      <c r="A339" s="10" t="s">
        <v>546</v>
      </c>
      <c r="B339" s="10"/>
      <c r="C339" s="10" t="s">
        <v>69</v>
      </c>
      <c r="E339" s="6">
        <v>10559951</v>
      </c>
      <c r="G339" s="6">
        <v>5697717</v>
      </c>
      <c r="I339" s="6">
        <v>0</v>
      </c>
      <c r="K339" s="6">
        <f t="shared" si="57"/>
        <v>16257668</v>
      </c>
      <c r="M339" s="6">
        <f>49004611+11350361+570167</f>
        <v>60925139</v>
      </c>
      <c r="O339" s="6">
        <v>0</v>
      </c>
      <c r="Q339" s="6">
        <v>42386226</v>
      </c>
      <c r="S339" s="6">
        <v>486293</v>
      </c>
      <c r="U339" s="6">
        <v>4778155</v>
      </c>
      <c r="W339" s="6">
        <v>31069</v>
      </c>
      <c r="Y339" s="6">
        <v>708680</v>
      </c>
      <c r="Z339" s="44"/>
      <c r="AA339" s="6">
        <v>0</v>
      </c>
      <c r="AC339" s="6">
        <v>0</v>
      </c>
      <c r="AE339" s="6">
        <f t="shared" si="58"/>
        <v>109315562</v>
      </c>
      <c r="AF339" s="6"/>
      <c r="AG339" s="6">
        <f t="shared" si="59"/>
        <v>125573230</v>
      </c>
    </row>
    <row r="340" spans="1:37" ht="12" customHeight="1">
      <c r="A340" s="10" t="s">
        <v>501</v>
      </c>
      <c r="B340" s="10"/>
      <c r="C340" s="10" t="s">
        <v>62</v>
      </c>
      <c r="E340" s="6">
        <v>3661657</v>
      </c>
      <c r="G340" s="6">
        <v>6028090</v>
      </c>
      <c r="I340" s="6">
        <v>22345</v>
      </c>
      <c r="K340" s="6">
        <f t="shared" si="57"/>
        <v>9712092</v>
      </c>
      <c r="M340" s="6">
        <f>11559048+879029+1208731</f>
        <v>13646808</v>
      </c>
      <c r="O340" s="6">
        <v>36171</v>
      </c>
      <c r="Q340" s="6">
        <v>23152006</v>
      </c>
      <c r="S340" s="6">
        <v>39457</v>
      </c>
      <c r="U340" s="6">
        <v>0</v>
      </c>
      <c r="W340" s="6">
        <v>0</v>
      </c>
      <c r="Y340" s="6">
        <v>338679</v>
      </c>
      <c r="Z340" s="44"/>
      <c r="AA340" s="6">
        <v>0</v>
      </c>
      <c r="AC340" s="6">
        <v>0</v>
      </c>
      <c r="AE340" s="6">
        <f t="shared" si="58"/>
        <v>37213121</v>
      </c>
      <c r="AF340" s="6"/>
      <c r="AG340" s="6">
        <f t="shared" si="59"/>
        <v>46925213</v>
      </c>
    </row>
    <row r="341" spans="1:37" ht="12" customHeight="1">
      <c r="A341" s="10" t="s">
        <v>529</v>
      </c>
      <c r="B341" s="10"/>
      <c r="C341" s="10" t="s">
        <v>64</v>
      </c>
      <c r="E341" s="6">
        <v>724973</v>
      </c>
      <c r="G341" s="6">
        <v>642558</v>
      </c>
      <c r="I341" s="6">
        <v>0</v>
      </c>
      <c r="K341" s="6">
        <f t="shared" si="57"/>
        <v>1367531</v>
      </c>
      <c r="M341" s="6">
        <f>4199412+146862</f>
        <v>4346274</v>
      </c>
      <c r="O341" s="6">
        <v>0</v>
      </c>
      <c r="Q341" s="6">
        <v>3359242</v>
      </c>
      <c r="S341" s="6">
        <v>3753</v>
      </c>
      <c r="U341" s="6">
        <v>0</v>
      </c>
      <c r="W341" s="6">
        <v>0</v>
      </c>
      <c r="Y341" s="6">
        <v>103075</v>
      </c>
      <c r="Z341" s="44"/>
      <c r="AA341" s="6">
        <v>0</v>
      </c>
      <c r="AC341" s="6">
        <v>0</v>
      </c>
      <c r="AE341" s="6">
        <f t="shared" si="58"/>
        <v>7812344</v>
      </c>
      <c r="AF341" s="6"/>
      <c r="AG341" s="6">
        <f t="shared" si="59"/>
        <v>9179875</v>
      </c>
    </row>
    <row r="342" spans="1:37" ht="12" hidden="1" customHeight="1">
      <c r="A342" s="10" t="s">
        <v>878</v>
      </c>
      <c r="B342" s="10"/>
      <c r="C342" s="10" t="s">
        <v>115</v>
      </c>
      <c r="E342" s="6">
        <v>0</v>
      </c>
      <c r="G342" s="6">
        <v>0</v>
      </c>
      <c r="I342" s="6">
        <v>0</v>
      </c>
      <c r="K342" s="6">
        <f t="shared" si="57"/>
        <v>0</v>
      </c>
      <c r="M342" s="6">
        <v>0</v>
      </c>
      <c r="O342" s="6">
        <v>0</v>
      </c>
      <c r="Q342" s="6">
        <v>0</v>
      </c>
      <c r="S342" s="6">
        <v>0</v>
      </c>
      <c r="U342" s="6">
        <v>0</v>
      </c>
      <c r="W342" s="6">
        <v>0</v>
      </c>
      <c r="Y342" s="6">
        <v>0</v>
      </c>
      <c r="Z342" s="44"/>
      <c r="AA342" s="6">
        <v>0</v>
      </c>
      <c r="AC342" s="6">
        <v>0</v>
      </c>
      <c r="AE342" s="6">
        <f t="shared" si="58"/>
        <v>0</v>
      </c>
      <c r="AF342" s="6"/>
      <c r="AG342" s="6">
        <f t="shared" si="59"/>
        <v>0</v>
      </c>
    </row>
    <row r="343" spans="1:37" ht="12" customHeight="1">
      <c r="A343" s="10" t="s">
        <v>723</v>
      </c>
      <c r="B343" s="10"/>
      <c r="C343" s="10" t="s">
        <v>20</v>
      </c>
      <c r="E343" s="6">
        <v>10034705</v>
      </c>
      <c r="G343" s="6">
        <v>6530853</v>
      </c>
      <c r="I343" s="6">
        <v>507350</v>
      </c>
      <c r="K343" s="6">
        <f t="shared" si="57"/>
        <v>17072908</v>
      </c>
      <c r="M343" s="6">
        <f>50554491+193597+4059820</f>
        <v>54807908</v>
      </c>
      <c r="O343" s="6">
        <v>0</v>
      </c>
      <c r="Q343" s="6">
        <v>12296337</v>
      </c>
      <c r="S343" s="6">
        <v>27554</v>
      </c>
      <c r="U343" s="6">
        <v>1693572</v>
      </c>
      <c r="W343" s="6">
        <v>0</v>
      </c>
      <c r="Y343" s="6">
        <v>2510060</v>
      </c>
      <c r="Z343" s="44"/>
      <c r="AA343" s="6">
        <v>0</v>
      </c>
      <c r="AC343" s="6">
        <v>0</v>
      </c>
      <c r="AE343" s="6">
        <f t="shared" si="58"/>
        <v>71335431</v>
      </c>
      <c r="AF343" s="6"/>
      <c r="AG343" s="6">
        <f t="shared" si="59"/>
        <v>88408339</v>
      </c>
    </row>
    <row r="344" spans="1:37" ht="12" customHeight="1">
      <c r="A344" s="10" t="s">
        <v>445</v>
      </c>
      <c r="B344" s="10"/>
      <c r="C344" s="10" t="s">
        <v>51</v>
      </c>
      <c r="E344" s="6">
        <v>3982942</v>
      </c>
      <c r="G344" s="6">
        <v>3117572</v>
      </c>
      <c r="I344" s="6">
        <v>3000</v>
      </c>
      <c r="K344" s="6">
        <f t="shared" si="57"/>
        <v>7103514</v>
      </c>
      <c r="M344" s="6">
        <f>4200353+436317+82647</f>
        <v>4719317</v>
      </c>
      <c r="O344" s="6">
        <v>0</v>
      </c>
      <c r="Q344" s="6">
        <v>11598242</v>
      </c>
      <c r="S344" s="6">
        <v>54848</v>
      </c>
      <c r="U344" s="6">
        <v>3586</v>
      </c>
      <c r="W344" s="6">
        <v>0</v>
      </c>
      <c r="Y344" s="6">
        <f>180915+10582</f>
        <v>191497</v>
      </c>
      <c r="Z344" s="44"/>
      <c r="AA344" s="6">
        <v>0</v>
      </c>
      <c r="AC344" s="6">
        <v>0</v>
      </c>
      <c r="AE344" s="6">
        <f t="shared" si="58"/>
        <v>16567490</v>
      </c>
      <c r="AF344" s="6"/>
      <c r="AG344" s="6">
        <f t="shared" si="59"/>
        <v>23671004</v>
      </c>
    </row>
    <row r="345" spans="1:37" ht="12" hidden="1" customHeight="1">
      <c r="A345" s="10" t="s">
        <v>806</v>
      </c>
      <c r="B345" s="10"/>
      <c r="C345" s="10" t="s">
        <v>33</v>
      </c>
      <c r="E345" s="6">
        <v>0</v>
      </c>
      <c r="G345" s="6">
        <v>0</v>
      </c>
      <c r="I345" s="6">
        <v>0</v>
      </c>
      <c r="K345" s="6">
        <f t="shared" si="57"/>
        <v>0</v>
      </c>
      <c r="M345" s="6">
        <v>0</v>
      </c>
      <c r="O345" s="6">
        <v>0</v>
      </c>
      <c r="Q345" s="6">
        <v>0</v>
      </c>
      <c r="S345" s="6">
        <v>0</v>
      </c>
      <c r="U345" s="6">
        <v>0</v>
      </c>
      <c r="W345" s="6">
        <v>0</v>
      </c>
      <c r="Y345" s="6">
        <v>0</v>
      </c>
      <c r="Z345" s="44"/>
      <c r="AA345" s="6">
        <v>0</v>
      </c>
      <c r="AC345" s="6">
        <v>0</v>
      </c>
      <c r="AE345" s="6">
        <f t="shared" si="58"/>
        <v>0</v>
      </c>
      <c r="AF345" s="6"/>
      <c r="AG345" s="6">
        <f t="shared" si="59"/>
        <v>0</v>
      </c>
    </row>
    <row r="346" spans="1:37" ht="12" customHeight="1">
      <c r="A346" s="10" t="s">
        <v>638</v>
      </c>
      <c r="B346" s="10"/>
      <c r="C346" s="10" t="s">
        <v>64</v>
      </c>
      <c r="E346" s="6">
        <v>1274792</v>
      </c>
      <c r="G346" s="6">
        <v>367128</v>
      </c>
      <c r="I346" s="6">
        <v>4393</v>
      </c>
      <c r="K346" s="6">
        <f t="shared" si="57"/>
        <v>1646313</v>
      </c>
      <c r="M346" s="6">
        <f>1556836+177839+18827+16440</f>
        <v>1769942</v>
      </c>
      <c r="O346" s="6">
        <v>0</v>
      </c>
      <c r="Q346" s="6">
        <v>3847184</v>
      </c>
      <c r="S346" s="6">
        <v>3170</v>
      </c>
      <c r="U346" s="6">
        <v>0</v>
      </c>
      <c r="W346" s="6">
        <v>0</v>
      </c>
      <c r="Y346" s="6">
        <v>7211</v>
      </c>
      <c r="Z346" s="44"/>
      <c r="AA346" s="6">
        <v>0</v>
      </c>
      <c r="AC346" s="6">
        <v>0</v>
      </c>
      <c r="AE346" s="6">
        <f t="shared" si="58"/>
        <v>5627507</v>
      </c>
      <c r="AF346" s="6"/>
      <c r="AG346" s="6">
        <f t="shared" si="59"/>
        <v>7273820</v>
      </c>
      <c r="AK346" s="47"/>
    </row>
    <row r="347" spans="1:37" ht="12" customHeight="1">
      <c r="A347" s="10" t="s">
        <v>768</v>
      </c>
      <c r="B347" s="10"/>
      <c r="C347" s="10" t="s">
        <v>228</v>
      </c>
      <c r="D347" s="5"/>
      <c r="E347" s="6">
        <v>1188275</v>
      </c>
      <c r="G347" s="6">
        <v>1071600</v>
      </c>
      <c r="I347" s="6">
        <v>3470</v>
      </c>
      <c r="K347" s="6">
        <f t="shared" si="57"/>
        <v>2263345</v>
      </c>
      <c r="M347" s="6">
        <f>1921690+518990+36459+200657</f>
        <v>2677796</v>
      </c>
      <c r="O347" s="6">
        <v>1401784</v>
      </c>
      <c r="Q347" s="6">
        <v>4146859</v>
      </c>
      <c r="S347" s="6">
        <v>2733</v>
      </c>
      <c r="U347" s="6">
        <v>0</v>
      </c>
      <c r="W347" s="6">
        <v>0</v>
      </c>
      <c r="Y347" s="6">
        <v>78282</v>
      </c>
      <c r="Z347" s="44"/>
      <c r="AA347" s="6">
        <v>0</v>
      </c>
      <c r="AC347" s="6">
        <v>0</v>
      </c>
      <c r="AE347" s="6">
        <f t="shared" si="58"/>
        <v>8307454</v>
      </c>
      <c r="AF347" s="6"/>
      <c r="AG347" s="6">
        <f t="shared" si="59"/>
        <v>10570799</v>
      </c>
    </row>
    <row r="348" spans="1:37" ht="12" customHeight="1">
      <c r="A348" s="10" t="s">
        <v>418</v>
      </c>
      <c r="B348" s="10"/>
      <c r="C348" s="10" t="s">
        <v>47</v>
      </c>
      <c r="E348" s="6">
        <v>5154528</v>
      </c>
      <c r="G348" s="6">
        <v>4691885</v>
      </c>
      <c r="I348" s="6">
        <v>0</v>
      </c>
      <c r="K348" s="6">
        <f t="shared" si="57"/>
        <v>9846413</v>
      </c>
      <c r="M348" s="6">
        <f>41434174+5504395+147206</f>
        <v>47085775</v>
      </c>
      <c r="O348" s="6">
        <v>0</v>
      </c>
      <c r="Q348" s="6">
        <f>26297696+2981550</f>
        <v>29279246</v>
      </c>
      <c r="S348" s="6">
        <v>16299</v>
      </c>
      <c r="U348" s="6">
        <v>0</v>
      </c>
      <c r="W348" s="6">
        <v>0</v>
      </c>
      <c r="Y348" s="6">
        <f>524635+8040</f>
        <v>532675</v>
      </c>
      <c r="Z348" s="44"/>
      <c r="AA348" s="6">
        <v>0</v>
      </c>
      <c r="AC348" s="6">
        <v>0</v>
      </c>
      <c r="AE348" s="6">
        <f t="shared" si="58"/>
        <v>76913995</v>
      </c>
      <c r="AF348" s="6"/>
      <c r="AG348" s="6">
        <f t="shared" si="59"/>
        <v>86760408</v>
      </c>
    </row>
    <row r="349" spans="1:37" ht="12" customHeight="1">
      <c r="A349" s="10" t="s">
        <v>421</v>
      </c>
      <c r="B349" s="10"/>
      <c r="C349" s="10" t="s">
        <v>420</v>
      </c>
      <c r="E349" s="6">
        <v>1041564</v>
      </c>
      <c r="G349" s="6">
        <v>3519325</v>
      </c>
      <c r="I349" s="6">
        <v>0</v>
      </c>
      <c r="K349" s="6">
        <f t="shared" si="57"/>
        <v>4560889</v>
      </c>
      <c r="M349" s="6">
        <f>2644652+564438+53594</f>
        <v>3262684</v>
      </c>
      <c r="O349" s="6">
        <v>0</v>
      </c>
      <c r="Q349" s="6">
        <v>14174573</v>
      </c>
      <c r="S349" s="6">
        <v>24936</v>
      </c>
      <c r="U349" s="6">
        <v>0</v>
      </c>
      <c r="W349" s="6">
        <v>26698</v>
      </c>
      <c r="Y349" s="6">
        <f>162900+3000+30144</f>
        <v>196044</v>
      </c>
      <c r="Z349" s="44"/>
      <c r="AA349" s="6">
        <v>0</v>
      </c>
      <c r="AC349" s="6">
        <v>0</v>
      </c>
      <c r="AE349" s="6">
        <f t="shared" si="58"/>
        <v>17684935</v>
      </c>
      <c r="AF349" s="6"/>
      <c r="AG349" s="6">
        <f t="shared" si="59"/>
        <v>22245824</v>
      </c>
    </row>
    <row r="350" spans="1:37" ht="12" customHeight="1">
      <c r="A350" s="10" t="s">
        <v>769</v>
      </c>
      <c r="B350" s="10"/>
      <c r="C350" s="10" t="s">
        <v>41</v>
      </c>
      <c r="E350" s="6">
        <v>4987274</v>
      </c>
      <c r="G350" s="6">
        <v>7091085</v>
      </c>
      <c r="I350" s="6">
        <v>223455</v>
      </c>
      <c r="K350" s="6">
        <f t="shared" si="57"/>
        <v>12301814</v>
      </c>
      <c r="M350" s="6">
        <f>55451124+392865+1111700</f>
        <v>56955689</v>
      </c>
      <c r="O350" s="6">
        <v>0</v>
      </c>
      <c r="Q350" s="6">
        <v>31352133</v>
      </c>
      <c r="S350" s="6">
        <v>305946</v>
      </c>
      <c r="U350" s="6">
        <v>2019534</v>
      </c>
      <c r="W350" s="6">
        <v>58625</v>
      </c>
      <c r="Y350" s="6">
        <v>276002</v>
      </c>
      <c r="Z350" s="44"/>
      <c r="AA350" s="6">
        <v>-52456</v>
      </c>
      <c r="AC350" s="6">
        <v>0</v>
      </c>
      <c r="AE350" s="6">
        <f t="shared" si="58"/>
        <v>90915473</v>
      </c>
      <c r="AF350" s="6"/>
      <c r="AG350" s="6">
        <f t="shared" si="59"/>
        <v>103217287</v>
      </c>
    </row>
    <row r="351" spans="1:37" ht="12" customHeight="1">
      <c r="A351" s="10" t="s">
        <v>424</v>
      </c>
      <c r="B351" s="10"/>
      <c r="C351" s="10" t="s">
        <v>48</v>
      </c>
      <c r="E351" s="6">
        <v>1091341</v>
      </c>
      <c r="G351" s="6">
        <v>772130</v>
      </c>
      <c r="I351" s="6">
        <v>3827</v>
      </c>
      <c r="K351" s="6">
        <f t="shared" si="57"/>
        <v>1867298</v>
      </c>
      <c r="M351" s="6">
        <f>3398968+75864+1203707+122182</f>
        <v>4800721</v>
      </c>
      <c r="O351" s="6">
        <v>2536342</v>
      </c>
      <c r="Q351" s="6">
        <v>4970334</v>
      </c>
      <c r="S351" s="6">
        <v>5538</v>
      </c>
      <c r="U351" s="6">
        <v>0</v>
      </c>
      <c r="W351" s="6">
        <v>0</v>
      </c>
      <c r="Y351" s="6">
        <v>47411</v>
      </c>
      <c r="Z351" s="44"/>
      <c r="AA351" s="6">
        <v>0</v>
      </c>
      <c r="AC351" s="6">
        <v>0</v>
      </c>
      <c r="AE351" s="6">
        <f t="shared" si="58"/>
        <v>12360346</v>
      </c>
      <c r="AF351" s="6"/>
      <c r="AG351" s="6">
        <f t="shared" si="59"/>
        <v>14227644</v>
      </c>
    </row>
    <row r="352" spans="1:37" ht="12" customHeight="1">
      <c r="A352" s="10" t="s">
        <v>297</v>
      </c>
      <c r="B352" s="10"/>
      <c r="C352" s="10" t="s">
        <v>26</v>
      </c>
      <c r="E352" s="6">
        <v>2429947</v>
      </c>
      <c r="G352" s="6">
        <v>3094511</v>
      </c>
      <c r="I352" s="6">
        <v>0</v>
      </c>
      <c r="K352" s="6">
        <f t="shared" si="57"/>
        <v>5524458</v>
      </c>
      <c r="M352" s="6">
        <f>10761331+355746+1863896+398469</f>
        <v>13379442</v>
      </c>
      <c r="O352" s="6">
        <v>0</v>
      </c>
      <c r="Q352" s="6">
        <v>10579705</v>
      </c>
      <c r="S352" s="6">
        <v>28954</v>
      </c>
      <c r="U352" s="6">
        <v>508342</v>
      </c>
      <c r="W352" s="6">
        <v>81297</v>
      </c>
      <c r="Y352" s="6">
        <v>439220</v>
      </c>
      <c r="Z352" s="44"/>
      <c r="AA352" s="6">
        <v>0</v>
      </c>
      <c r="AC352" s="6">
        <v>0</v>
      </c>
      <c r="AE352" s="6">
        <f t="shared" si="58"/>
        <v>25016960</v>
      </c>
      <c r="AF352" s="6"/>
      <c r="AG352" s="6">
        <f t="shared" si="59"/>
        <v>30541418</v>
      </c>
    </row>
    <row r="353" spans="1:33" ht="12" customHeight="1">
      <c r="A353" s="10" t="s">
        <v>432</v>
      </c>
      <c r="B353" s="10"/>
      <c r="C353" s="10" t="s">
        <v>50</v>
      </c>
      <c r="E353" s="6">
        <v>2426712</v>
      </c>
      <c r="G353" s="6">
        <v>7600703</v>
      </c>
      <c r="I353" s="6">
        <v>0</v>
      </c>
      <c r="K353" s="6">
        <f t="shared" si="57"/>
        <v>10027415</v>
      </c>
      <c r="M353" s="6">
        <f>28359072+4287318+2544484</f>
        <v>35190874</v>
      </c>
      <c r="O353" s="6">
        <v>0</v>
      </c>
      <c r="Q353" s="6">
        <v>15957023</v>
      </c>
      <c r="S353" s="6">
        <v>280827</v>
      </c>
      <c r="U353" s="6">
        <v>442263</v>
      </c>
      <c r="W353" s="6">
        <v>0</v>
      </c>
      <c r="Y353" s="6">
        <v>602922</v>
      </c>
      <c r="Z353" s="44"/>
      <c r="AA353" s="6">
        <v>0</v>
      </c>
      <c r="AC353" s="6">
        <v>2007932</v>
      </c>
      <c r="AE353" s="6">
        <f t="shared" si="58"/>
        <v>54481841</v>
      </c>
      <c r="AF353" s="6"/>
      <c r="AG353" s="6">
        <f t="shared" si="59"/>
        <v>64509256</v>
      </c>
    </row>
    <row r="354" spans="1:33" ht="12" hidden="1" customHeight="1">
      <c r="A354" s="10" t="s">
        <v>812</v>
      </c>
      <c r="B354" s="11"/>
      <c r="C354" s="11" t="s">
        <v>53</v>
      </c>
      <c r="E354" s="6">
        <v>0</v>
      </c>
      <c r="G354" s="6">
        <v>0</v>
      </c>
      <c r="I354" s="6">
        <v>0</v>
      </c>
      <c r="K354" s="6">
        <f t="shared" si="57"/>
        <v>0</v>
      </c>
      <c r="M354" s="6">
        <v>0</v>
      </c>
      <c r="O354" s="6">
        <v>0</v>
      </c>
      <c r="Q354" s="6">
        <v>0</v>
      </c>
      <c r="S354" s="6">
        <v>0</v>
      </c>
      <c r="U354" s="6">
        <v>0</v>
      </c>
      <c r="W354" s="6">
        <v>0</v>
      </c>
      <c r="Y354" s="6">
        <v>0</v>
      </c>
      <c r="Z354" s="44"/>
      <c r="AA354" s="6">
        <v>0</v>
      </c>
      <c r="AC354" s="6">
        <v>0</v>
      </c>
      <c r="AE354" s="6">
        <f t="shared" ref="AE354" si="63">SUM(M354:AC354)</f>
        <v>0</v>
      </c>
      <c r="AF354" s="6"/>
      <c r="AG354" s="6">
        <f t="shared" ref="AG354" si="64">+AE354+K354</f>
        <v>0</v>
      </c>
    </row>
    <row r="355" spans="1:33" ht="12" customHeight="1">
      <c r="A355" s="10" t="s">
        <v>225</v>
      </c>
      <c r="B355" s="10"/>
      <c r="C355" s="10" t="s">
        <v>221</v>
      </c>
      <c r="D355" s="5"/>
      <c r="E355" s="6">
        <v>1678062</v>
      </c>
      <c r="G355" s="6">
        <v>12112072</v>
      </c>
      <c r="I355" s="6">
        <v>0</v>
      </c>
      <c r="K355" s="6">
        <f t="shared" si="57"/>
        <v>13790134</v>
      </c>
      <c r="M355" s="6">
        <f>27947132+3816214+113113</f>
        <v>31876459</v>
      </c>
      <c r="O355" s="6">
        <v>0</v>
      </c>
      <c r="Q355" s="6">
        <v>35874604</v>
      </c>
      <c r="S355" s="6">
        <v>9601</v>
      </c>
      <c r="U355" s="6">
        <v>552566</v>
      </c>
      <c r="W355" s="6">
        <v>0</v>
      </c>
      <c r="Y355" s="6">
        <v>465234</v>
      </c>
      <c r="Z355" s="44"/>
      <c r="AA355" s="6">
        <v>0</v>
      </c>
      <c r="AC355" s="6">
        <v>0</v>
      </c>
      <c r="AE355" s="6">
        <f t="shared" si="58"/>
        <v>68778464</v>
      </c>
      <c r="AF355" s="6"/>
      <c r="AG355" s="6">
        <f t="shared" si="59"/>
        <v>82568598</v>
      </c>
    </row>
    <row r="356" spans="1:33" ht="12" customHeight="1">
      <c r="A356" s="10" t="s">
        <v>387</v>
      </c>
      <c r="B356" s="10"/>
      <c r="C356" s="10" t="s">
        <v>44</v>
      </c>
      <c r="E356" s="6">
        <v>803878</v>
      </c>
      <c r="G356" s="6">
        <v>1844373</v>
      </c>
      <c r="I356" s="6">
        <v>8509161</v>
      </c>
      <c r="K356" s="6">
        <f t="shared" si="57"/>
        <v>11157412</v>
      </c>
      <c r="M356" s="6">
        <f>10409871+1563844+244658</f>
        <v>12218373</v>
      </c>
      <c r="O356" s="6">
        <v>0</v>
      </c>
      <c r="Q356" s="6">
        <v>15444063</v>
      </c>
      <c r="S356" s="6">
        <v>16879</v>
      </c>
      <c r="U356" s="6">
        <v>0</v>
      </c>
      <c r="W356" s="6">
        <v>0</v>
      </c>
      <c r="Y356" s="6">
        <v>542224</v>
      </c>
      <c r="Z356" s="44"/>
      <c r="AA356" s="6">
        <v>0</v>
      </c>
      <c r="AC356" s="6">
        <v>0</v>
      </c>
      <c r="AE356" s="6">
        <f t="shared" si="58"/>
        <v>28221539</v>
      </c>
      <c r="AF356" s="6"/>
      <c r="AG356" s="6">
        <f t="shared" si="59"/>
        <v>39378951</v>
      </c>
    </row>
    <row r="357" spans="1:33" ht="12" customHeight="1">
      <c r="A357" s="11" t="s">
        <v>770</v>
      </c>
      <c r="B357" s="10"/>
      <c r="C357" s="10" t="s">
        <v>113</v>
      </c>
      <c r="D357" s="5"/>
      <c r="E357" s="6">
        <v>5287015</v>
      </c>
      <c r="G357" s="6">
        <v>5990871</v>
      </c>
      <c r="I357" s="6">
        <v>0</v>
      </c>
      <c r="K357" s="6">
        <f t="shared" si="57"/>
        <v>11277886</v>
      </c>
      <c r="M357" s="6">
        <f>30159830+3365143+470695</f>
        <v>33995668</v>
      </c>
      <c r="O357" s="6">
        <v>0</v>
      </c>
      <c r="Q357" s="6">
        <v>21317959</v>
      </c>
      <c r="S357" s="6">
        <v>45505</v>
      </c>
      <c r="U357" s="6">
        <v>1949071</v>
      </c>
      <c r="W357" s="6">
        <v>266745</v>
      </c>
      <c r="Y357" s="6">
        <v>480839</v>
      </c>
      <c r="Z357" s="44"/>
      <c r="AA357" s="6">
        <v>0</v>
      </c>
      <c r="AC357" s="6">
        <v>0</v>
      </c>
      <c r="AE357" s="6">
        <f t="shared" si="58"/>
        <v>58055787</v>
      </c>
      <c r="AF357" s="6"/>
      <c r="AG357" s="6">
        <f t="shared" si="59"/>
        <v>69333673</v>
      </c>
    </row>
    <row r="358" spans="1:33" ht="12" hidden="1" customHeight="1">
      <c r="A358" s="10" t="s">
        <v>613</v>
      </c>
      <c r="B358" s="10"/>
      <c r="C358" s="10" t="s">
        <v>552</v>
      </c>
      <c r="E358" s="6">
        <v>0</v>
      </c>
      <c r="G358" s="6">
        <v>0</v>
      </c>
      <c r="I358" s="6">
        <v>0</v>
      </c>
      <c r="K358" s="6">
        <f t="shared" si="57"/>
        <v>0</v>
      </c>
      <c r="M358" s="6">
        <v>0</v>
      </c>
      <c r="O358" s="6">
        <v>0</v>
      </c>
      <c r="Q358" s="6">
        <v>0</v>
      </c>
      <c r="S358" s="6">
        <v>0</v>
      </c>
      <c r="U358" s="6">
        <v>0</v>
      </c>
      <c r="W358" s="6">
        <v>0</v>
      </c>
      <c r="Y358" s="6">
        <v>0</v>
      </c>
      <c r="Z358" s="44"/>
      <c r="AA358" s="6">
        <v>0</v>
      </c>
      <c r="AC358" s="6">
        <v>0</v>
      </c>
      <c r="AE358" s="6">
        <f t="shared" si="58"/>
        <v>0</v>
      </c>
      <c r="AF358" s="6"/>
      <c r="AG358" s="6">
        <f t="shared" si="59"/>
        <v>0</v>
      </c>
    </row>
    <row r="359" spans="1:33" ht="12" hidden="1" customHeight="1">
      <c r="A359" s="11" t="s">
        <v>892</v>
      </c>
      <c r="B359" s="10"/>
      <c r="C359" s="10" t="s">
        <v>467</v>
      </c>
      <c r="E359" s="6">
        <v>0</v>
      </c>
      <c r="G359" s="6">
        <v>0</v>
      </c>
      <c r="I359" s="6">
        <v>0</v>
      </c>
      <c r="K359" s="6">
        <f t="shared" si="57"/>
        <v>0</v>
      </c>
      <c r="M359" s="6">
        <v>0</v>
      </c>
      <c r="O359" s="6">
        <v>0</v>
      </c>
      <c r="Q359" s="6">
        <v>0</v>
      </c>
      <c r="S359" s="6">
        <v>0</v>
      </c>
      <c r="U359" s="6">
        <v>0</v>
      </c>
      <c r="W359" s="6">
        <v>0</v>
      </c>
      <c r="Y359" s="6">
        <v>0</v>
      </c>
      <c r="Z359" s="44"/>
      <c r="AA359" s="6">
        <v>0</v>
      </c>
      <c r="AC359" s="6">
        <v>0</v>
      </c>
      <c r="AE359" s="6">
        <f t="shared" si="58"/>
        <v>0</v>
      </c>
      <c r="AF359" s="6"/>
      <c r="AG359" s="6">
        <f t="shared" si="59"/>
        <v>0</v>
      </c>
    </row>
    <row r="360" spans="1:33" ht="12" hidden="1" customHeight="1">
      <c r="A360" s="10" t="s">
        <v>807</v>
      </c>
      <c r="B360" s="10"/>
      <c r="C360" s="10" t="s">
        <v>48</v>
      </c>
      <c r="E360" s="6">
        <v>0</v>
      </c>
      <c r="G360" s="6">
        <v>0</v>
      </c>
      <c r="I360" s="6">
        <v>0</v>
      </c>
      <c r="K360" s="6">
        <f t="shared" si="57"/>
        <v>0</v>
      </c>
      <c r="M360" s="6">
        <v>0</v>
      </c>
      <c r="O360" s="6">
        <v>0</v>
      </c>
      <c r="Q360" s="6">
        <v>0</v>
      </c>
      <c r="S360" s="6">
        <v>0</v>
      </c>
      <c r="U360" s="6">
        <v>0</v>
      </c>
      <c r="W360" s="6">
        <v>0</v>
      </c>
      <c r="Y360" s="6">
        <v>0</v>
      </c>
      <c r="Z360" s="44"/>
      <c r="AA360" s="6">
        <v>0</v>
      </c>
      <c r="AC360" s="6">
        <v>0</v>
      </c>
      <c r="AE360" s="6">
        <f t="shared" si="58"/>
        <v>0</v>
      </c>
      <c r="AF360" s="6"/>
      <c r="AG360" s="6">
        <f t="shared" si="59"/>
        <v>0</v>
      </c>
    </row>
    <row r="361" spans="1:33" ht="12" customHeight="1">
      <c r="A361" s="10" t="s">
        <v>502</v>
      </c>
      <c r="B361" s="10"/>
      <c r="C361" s="10" t="s">
        <v>62</v>
      </c>
      <c r="E361" s="6">
        <v>1572318</v>
      </c>
      <c r="G361" s="6">
        <v>1807891</v>
      </c>
      <c r="I361" s="6">
        <v>0</v>
      </c>
      <c r="K361" s="6">
        <f t="shared" si="57"/>
        <v>3380209</v>
      </c>
      <c r="M361" s="6">
        <f>4872243+815244+78397</f>
        <v>5765884</v>
      </c>
      <c r="O361" s="6">
        <v>0</v>
      </c>
      <c r="Q361" s="6">
        <v>10139977</v>
      </c>
      <c r="S361" s="6">
        <v>4487</v>
      </c>
      <c r="U361" s="6">
        <v>0</v>
      </c>
      <c r="W361" s="6">
        <v>0</v>
      </c>
      <c r="Y361" s="6">
        <f>95931+115189</f>
        <v>211120</v>
      </c>
      <c r="Z361" s="44"/>
      <c r="AA361" s="6">
        <v>0</v>
      </c>
      <c r="AC361" s="6">
        <v>0</v>
      </c>
      <c r="AE361" s="6">
        <f t="shared" si="58"/>
        <v>16121468</v>
      </c>
      <c r="AF361" s="6"/>
      <c r="AG361" s="6">
        <f t="shared" si="59"/>
        <v>19501677</v>
      </c>
    </row>
    <row r="362" spans="1:33" ht="12" customHeight="1">
      <c r="A362" s="10" t="s">
        <v>482</v>
      </c>
      <c r="B362" s="10"/>
      <c r="C362" s="10" t="s">
        <v>59</v>
      </c>
      <c r="E362" s="6">
        <v>2311854</v>
      </c>
      <c r="G362" s="6">
        <v>1687853</v>
      </c>
      <c r="I362" s="6">
        <v>0</v>
      </c>
      <c r="K362" s="6">
        <f t="shared" si="57"/>
        <v>3999707</v>
      </c>
      <c r="M362" s="6">
        <f>1723760+28920+169136</f>
        <v>1921816</v>
      </c>
      <c r="O362" s="6">
        <v>0</v>
      </c>
      <c r="Q362" s="6">
        <v>9782344</v>
      </c>
      <c r="S362" s="6">
        <v>0</v>
      </c>
      <c r="U362" s="6">
        <v>0</v>
      </c>
      <c r="W362" s="6">
        <v>30730</v>
      </c>
      <c r="Y362" s="6">
        <v>150881</v>
      </c>
      <c r="Z362" s="44"/>
      <c r="AA362" s="6">
        <v>0</v>
      </c>
      <c r="AC362" s="6">
        <v>0</v>
      </c>
      <c r="AE362" s="6">
        <f t="shared" si="58"/>
        <v>11885771</v>
      </c>
      <c r="AF362" s="6"/>
      <c r="AG362" s="6">
        <f t="shared" si="59"/>
        <v>15885478</v>
      </c>
    </row>
    <row r="363" spans="1:33" ht="12" customHeight="1">
      <c r="A363" s="10" t="s">
        <v>213</v>
      </c>
      <c r="B363" s="10"/>
      <c r="C363" s="10" t="s">
        <v>14</v>
      </c>
      <c r="D363" s="5"/>
      <c r="E363" s="6">
        <v>475423</v>
      </c>
      <c r="G363" s="6">
        <v>608466</v>
      </c>
      <c r="I363" s="6">
        <v>40811</v>
      </c>
      <c r="K363" s="6">
        <f t="shared" si="57"/>
        <v>1124700</v>
      </c>
      <c r="M363" s="6">
        <f>3058643+10827+758912+27747</f>
        <v>3856129</v>
      </c>
      <c r="O363" s="6">
        <v>820821</v>
      </c>
      <c r="Q363" s="6">
        <v>3766255</v>
      </c>
      <c r="S363" s="6">
        <v>3939</v>
      </c>
      <c r="U363" s="6">
        <v>45445</v>
      </c>
      <c r="W363" s="6">
        <v>0</v>
      </c>
      <c r="Y363" s="6">
        <v>134203</v>
      </c>
      <c r="Z363" s="44"/>
      <c r="AA363" s="6">
        <v>0</v>
      </c>
      <c r="AC363" s="6">
        <v>0</v>
      </c>
      <c r="AE363" s="6">
        <f t="shared" si="58"/>
        <v>8626792</v>
      </c>
      <c r="AF363" s="6"/>
      <c r="AG363" s="6">
        <f t="shared" si="59"/>
        <v>9751492</v>
      </c>
    </row>
    <row r="364" spans="1:33" ht="12" hidden="1" customHeight="1">
      <c r="A364" s="10" t="s">
        <v>640</v>
      </c>
      <c r="B364" s="10"/>
      <c r="C364" s="10" t="s">
        <v>21</v>
      </c>
      <c r="E364" s="6">
        <v>0</v>
      </c>
      <c r="G364" s="6">
        <v>0</v>
      </c>
      <c r="I364" s="6">
        <v>0</v>
      </c>
      <c r="K364" s="6">
        <f t="shared" si="57"/>
        <v>0</v>
      </c>
      <c r="M364" s="6">
        <v>0</v>
      </c>
      <c r="O364" s="6">
        <v>0</v>
      </c>
      <c r="Q364" s="6">
        <v>0</v>
      </c>
      <c r="S364" s="6">
        <v>0</v>
      </c>
      <c r="U364" s="6">
        <v>0</v>
      </c>
      <c r="W364" s="6">
        <v>0</v>
      </c>
      <c r="Y364" s="6">
        <v>0</v>
      </c>
      <c r="Z364" s="44"/>
      <c r="AA364" s="6">
        <v>0</v>
      </c>
      <c r="AC364" s="6">
        <v>0</v>
      </c>
      <c r="AE364" s="6">
        <f t="shared" si="58"/>
        <v>0</v>
      </c>
      <c r="AF364" s="6"/>
      <c r="AG364" s="6">
        <f t="shared" si="59"/>
        <v>0</v>
      </c>
    </row>
    <row r="365" spans="1:33" ht="12" customHeight="1">
      <c r="A365" s="10" t="s">
        <v>510</v>
      </c>
      <c r="B365" s="10"/>
      <c r="C365" s="10" t="s">
        <v>63</v>
      </c>
      <c r="E365" s="6">
        <v>1921296</v>
      </c>
      <c r="G365" s="6">
        <v>517902</v>
      </c>
      <c r="I365" s="6">
        <v>0</v>
      </c>
      <c r="K365" s="6">
        <f t="shared" si="57"/>
        <v>2439198</v>
      </c>
      <c r="M365" s="6">
        <f>2792112+512950+164016</f>
        <v>3469078</v>
      </c>
      <c r="O365" s="6">
        <v>0</v>
      </c>
      <c r="Q365" s="6">
        <v>4345438</v>
      </c>
      <c r="S365" s="6">
        <v>73286</v>
      </c>
      <c r="U365" s="6">
        <v>0</v>
      </c>
      <c r="W365" s="6">
        <v>0</v>
      </c>
      <c r="Y365" s="6">
        <v>6126</v>
      </c>
      <c r="Z365" s="44"/>
      <c r="AA365" s="6">
        <v>0</v>
      </c>
      <c r="AC365" s="6">
        <v>0</v>
      </c>
      <c r="AE365" s="6">
        <f t="shared" si="58"/>
        <v>7893928</v>
      </c>
      <c r="AF365" s="6"/>
      <c r="AG365" s="6">
        <f t="shared" si="59"/>
        <v>10333126</v>
      </c>
    </row>
    <row r="366" spans="1:33" ht="12" hidden="1" customHeight="1">
      <c r="A366" s="10" t="s">
        <v>621</v>
      </c>
      <c r="B366" s="10"/>
      <c r="C366" s="10" t="s">
        <v>558</v>
      </c>
      <c r="E366" s="6">
        <v>0</v>
      </c>
      <c r="G366" s="6">
        <v>0</v>
      </c>
      <c r="I366" s="6">
        <v>0</v>
      </c>
      <c r="K366" s="6">
        <f t="shared" si="57"/>
        <v>0</v>
      </c>
      <c r="M366" s="6">
        <v>0</v>
      </c>
      <c r="O366" s="6">
        <v>0</v>
      </c>
      <c r="Q366" s="6">
        <v>0</v>
      </c>
      <c r="S366" s="6">
        <v>0</v>
      </c>
      <c r="U366" s="6">
        <v>0</v>
      </c>
      <c r="W366" s="6">
        <v>0</v>
      </c>
      <c r="Y366" s="6">
        <v>0</v>
      </c>
      <c r="Z366" s="44"/>
      <c r="AA366" s="6">
        <v>0</v>
      </c>
      <c r="AC366" s="6">
        <v>0</v>
      </c>
      <c r="AE366" s="6">
        <f t="shared" si="58"/>
        <v>0</v>
      </c>
      <c r="AF366" s="6"/>
      <c r="AG366" s="6">
        <f t="shared" si="59"/>
        <v>0</v>
      </c>
    </row>
    <row r="367" spans="1:33" ht="12" hidden="1" customHeight="1">
      <c r="A367" s="10" t="s">
        <v>879</v>
      </c>
      <c r="B367" s="10"/>
      <c r="C367" s="10" t="s">
        <v>221</v>
      </c>
      <c r="D367" s="5"/>
      <c r="E367" s="6">
        <v>0</v>
      </c>
      <c r="G367" s="6">
        <v>0</v>
      </c>
      <c r="I367" s="6">
        <v>0</v>
      </c>
      <c r="K367" s="6">
        <f t="shared" si="57"/>
        <v>0</v>
      </c>
      <c r="M367" s="6">
        <v>0</v>
      </c>
      <c r="O367" s="6">
        <v>0</v>
      </c>
      <c r="Q367" s="6">
        <v>0</v>
      </c>
      <c r="S367" s="6">
        <v>0</v>
      </c>
      <c r="U367" s="6">
        <v>0</v>
      </c>
      <c r="W367" s="6">
        <v>0</v>
      </c>
      <c r="Y367" s="6">
        <v>0</v>
      </c>
      <c r="Z367" s="44"/>
      <c r="AA367" s="6">
        <v>0</v>
      </c>
      <c r="AC367" s="6">
        <v>0</v>
      </c>
      <c r="AE367" s="6">
        <f t="shared" si="58"/>
        <v>0</v>
      </c>
      <c r="AF367" s="6"/>
      <c r="AG367" s="6">
        <f t="shared" si="59"/>
        <v>0</v>
      </c>
    </row>
    <row r="368" spans="1:33" s="28" customFormat="1" ht="12" customHeight="1">
      <c r="A368" s="27" t="s">
        <v>356</v>
      </c>
      <c r="B368" s="27"/>
      <c r="C368" s="27" t="s">
        <v>37</v>
      </c>
      <c r="E368" s="6">
        <v>613073</v>
      </c>
      <c r="F368" s="6"/>
      <c r="G368" s="6">
        <v>773061</v>
      </c>
      <c r="H368" s="6"/>
      <c r="I368" s="6">
        <v>0</v>
      </c>
      <c r="J368" s="6"/>
      <c r="K368" s="6">
        <f t="shared" si="57"/>
        <v>1386134</v>
      </c>
      <c r="L368" s="6"/>
      <c r="M368" s="6">
        <f>2021580+67558</f>
        <v>2089138</v>
      </c>
      <c r="N368" s="6"/>
      <c r="O368" s="6">
        <v>1101713</v>
      </c>
      <c r="P368" s="6"/>
      <c r="Q368" s="6">
        <v>2502086</v>
      </c>
      <c r="R368" s="6"/>
      <c r="S368" s="6">
        <v>648</v>
      </c>
      <c r="T368" s="6"/>
      <c r="U368" s="6">
        <v>0</v>
      </c>
      <c r="V368" s="6"/>
      <c r="W368" s="6">
        <v>0</v>
      </c>
      <c r="X368" s="6"/>
      <c r="Y368" s="6">
        <v>21933</v>
      </c>
      <c r="Z368" s="44"/>
      <c r="AA368" s="6">
        <v>0</v>
      </c>
      <c r="AB368" s="6"/>
      <c r="AC368" s="6">
        <v>0</v>
      </c>
      <c r="AD368" s="6"/>
      <c r="AE368" s="6">
        <f t="shared" si="58"/>
        <v>5715518</v>
      </c>
      <c r="AF368" s="6"/>
      <c r="AG368" s="6">
        <f t="shared" si="59"/>
        <v>7101652</v>
      </c>
    </row>
    <row r="369" spans="1:38" ht="11.25" hidden="1" customHeight="1">
      <c r="A369" s="10" t="s">
        <v>808</v>
      </c>
      <c r="B369" s="10"/>
      <c r="C369" s="10" t="s">
        <v>552</v>
      </c>
      <c r="E369" s="6">
        <v>0</v>
      </c>
      <c r="G369" s="6">
        <v>0</v>
      </c>
      <c r="I369" s="6">
        <v>0</v>
      </c>
      <c r="K369" s="6">
        <f t="shared" si="57"/>
        <v>0</v>
      </c>
      <c r="M369" s="6">
        <v>0</v>
      </c>
      <c r="O369" s="6">
        <v>0</v>
      </c>
      <c r="Q369" s="6">
        <v>0</v>
      </c>
      <c r="S369" s="6">
        <v>0</v>
      </c>
      <c r="U369" s="6">
        <v>0</v>
      </c>
      <c r="W369" s="6">
        <v>0</v>
      </c>
      <c r="Y369" s="6">
        <v>0</v>
      </c>
      <c r="Z369" s="44"/>
      <c r="AA369" s="6">
        <v>0</v>
      </c>
      <c r="AC369" s="6">
        <v>0</v>
      </c>
      <c r="AE369" s="6">
        <f t="shared" si="58"/>
        <v>0</v>
      </c>
      <c r="AF369" s="6"/>
      <c r="AG369" s="6">
        <f t="shared" si="59"/>
        <v>0</v>
      </c>
    </row>
    <row r="370" spans="1:38" ht="12" customHeight="1">
      <c r="A370" s="10" t="s">
        <v>439</v>
      </c>
      <c r="B370" s="10"/>
      <c r="C370" s="10" t="s">
        <v>440</v>
      </c>
      <c r="E370" s="6">
        <v>869415</v>
      </c>
      <c r="G370" s="6">
        <v>4235006</v>
      </c>
      <c r="I370" s="6">
        <v>0</v>
      </c>
      <c r="K370" s="6">
        <f t="shared" si="57"/>
        <v>5104421</v>
      </c>
      <c r="M370" s="6">
        <f>4246309+958633+167426</f>
        <v>5372368</v>
      </c>
      <c r="O370" s="6">
        <v>0</v>
      </c>
      <c r="Q370" s="6">
        <v>14768067</v>
      </c>
      <c r="S370" s="6">
        <v>127540</v>
      </c>
      <c r="U370" s="6">
        <v>0</v>
      </c>
      <c r="W370" s="6">
        <v>2107</v>
      </c>
      <c r="Y370" s="6">
        <f>8435+1500+2261</f>
        <v>12196</v>
      </c>
      <c r="Z370" s="44"/>
      <c r="AA370" s="6">
        <v>0</v>
      </c>
      <c r="AC370" s="6">
        <v>0</v>
      </c>
      <c r="AE370" s="6">
        <f t="shared" si="58"/>
        <v>20282278</v>
      </c>
      <c r="AF370" s="6"/>
      <c r="AG370" s="6">
        <f t="shared" si="59"/>
        <v>25386699</v>
      </c>
    </row>
    <row r="371" spans="1:38" ht="12" customHeight="1">
      <c r="A371" s="11" t="s">
        <v>771</v>
      </c>
      <c r="B371" s="10"/>
      <c r="C371" s="10" t="s">
        <v>78</v>
      </c>
      <c r="E371" s="6">
        <v>1149016</v>
      </c>
      <c r="G371" s="6">
        <v>2018451</v>
      </c>
      <c r="I371" s="6">
        <v>0</v>
      </c>
      <c r="K371" s="6">
        <f t="shared" si="57"/>
        <v>3167467</v>
      </c>
      <c r="M371" s="6">
        <f>2917906+56753+846603+29284</f>
        <v>3850546</v>
      </c>
      <c r="O371" s="6">
        <v>1014686</v>
      </c>
      <c r="Q371" s="6">
        <v>5729265</v>
      </c>
      <c r="S371" s="6">
        <v>19887</v>
      </c>
      <c r="U371" s="6">
        <v>0</v>
      </c>
      <c r="W371" s="6">
        <v>0</v>
      </c>
      <c r="Y371" s="6">
        <v>690584</v>
      </c>
      <c r="Z371" s="44"/>
      <c r="AA371" s="6">
        <v>0</v>
      </c>
      <c r="AC371" s="6">
        <v>0</v>
      </c>
      <c r="AE371" s="6">
        <f t="shared" si="58"/>
        <v>11304968</v>
      </c>
      <c r="AF371" s="6"/>
      <c r="AG371" s="6">
        <f t="shared" si="59"/>
        <v>14472435</v>
      </c>
    </row>
    <row r="372" spans="1:38" ht="12" hidden="1" customHeight="1">
      <c r="A372" s="10" t="s">
        <v>880</v>
      </c>
      <c r="B372" s="10"/>
      <c r="C372" s="10" t="s">
        <v>40</v>
      </c>
      <c r="E372" s="6">
        <v>0</v>
      </c>
      <c r="G372" s="6">
        <v>0</v>
      </c>
      <c r="I372" s="6">
        <v>0</v>
      </c>
      <c r="K372" s="6">
        <f t="shared" si="57"/>
        <v>0</v>
      </c>
      <c r="M372" s="6">
        <v>0</v>
      </c>
      <c r="O372" s="6">
        <v>0</v>
      </c>
      <c r="Q372" s="6">
        <v>0</v>
      </c>
      <c r="S372" s="6">
        <v>0</v>
      </c>
      <c r="U372" s="6">
        <v>0</v>
      </c>
      <c r="W372" s="6">
        <v>0</v>
      </c>
      <c r="Y372" s="6">
        <v>0</v>
      </c>
      <c r="Z372" s="44"/>
      <c r="AA372" s="6">
        <v>0</v>
      </c>
      <c r="AC372" s="6">
        <v>0</v>
      </c>
      <c r="AE372" s="6">
        <f t="shared" si="58"/>
        <v>0</v>
      </c>
      <c r="AF372" s="6"/>
      <c r="AG372" s="6">
        <f t="shared" si="59"/>
        <v>0</v>
      </c>
    </row>
    <row r="373" spans="1:38" ht="12" customHeight="1">
      <c r="A373" s="11" t="s">
        <v>712</v>
      </c>
      <c r="B373" s="10"/>
      <c r="C373" s="10" t="s">
        <v>32</v>
      </c>
      <c r="E373" s="6">
        <v>1348548</v>
      </c>
      <c r="G373" s="6">
        <v>10197834</v>
      </c>
      <c r="I373" s="6">
        <v>0</v>
      </c>
      <c r="K373" s="6">
        <f t="shared" si="57"/>
        <v>11546382</v>
      </c>
      <c r="M373" s="6">
        <f>11364427+134602+1807694</f>
        <v>13306723</v>
      </c>
      <c r="O373" s="6">
        <v>0</v>
      </c>
      <c r="Q373" s="6">
        <v>20323668</v>
      </c>
      <c r="S373" s="6">
        <v>17658</v>
      </c>
      <c r="U373" s="6">
        <v>0</v>
      </c>
      <c r="W373" s="6">
        <v>23746</v>
      </c>
      <c r="Y373" s="6">
        <v>257709</v>
      </c>
      <c r="Z373" s="44"/>
      <c r="AA373" s="6">
        <v>0</v>
      </c>
      <c r="AC373" s="6">
        <v>0</v>
      </c>
      <c r="AE373" s="6">
        <f t="shared" si="58"/>
        <v>33929504</v>
      </c>
      <c r="AF373" s="6"/>
      <c r="AG373" s="6">
        <f t="shared" si="59"/>
        <v>45475886</v>
      </c>
    </row>
    <row r="374" spans="1:38" ht="12" customHeight="1">
      <c r="A374" s="10" t="s">
        <v>346</v>
      </c>
      <c r="B374" s="10"/>
      <c r="C374" s="10" t="s">
        <v>34</v>
      </c>
      <c r="E374" s="28">
        <v>1603118</v>
      </c>
      <c r="F374" s="28"/>
      <c r="G374" s="28">
        <v>1807927</v>
      </c>
      <c r="H374" s="28"/>
      <c r="I374" s="28">
        <v>0</v>
      </c>
      <c r="J374" s="28"/>
      <c r="K374" s="28">
        <f t="shared" si="57"/>
        <v>3411045</v>
      </c>
      <c r="L374" s="28"/>
      <c r="M374" s="28">
        <f>7952210+384574+550771</f>
        <v>8887555</v>
      </c>
      <c r="N374" s="28"/>
      <c r="O374" s="28">
        <v>0</v>
      </c>
      <c r="P374" s="28"/>
      <c r="Q374" s="28">
        <v>11309896</v>
      </c>
      <c r="R374" s="28"/>
      <c r="S374" s="28">
        <v>44436</v>
      </c>
      <c r="T374" s="28"/>
      <c r="U374" s="28">
        <v>0</v>
      </c>
      <c r="V374" s="28"/>
      <c r="W374" s="28">
        <v>98226</v>
      </c>
      <c r="X374" s="28"/>
      <c r="Y374" s="28">
        <f>92419+30400</f>
        <v>122819</v>
      </c>
      <c r="Z374" s="56"/>
      <c r="AA374" s="28">
        <v>0</v>
      </c>
      <c r="AB374" s="28"/>
      <c r="AC374" s="28">
        <v>0</v>
      </c>
      <c r="AD374" s="28"/>
      <c r="AE374" s="28">
        <f t="shared" si="58"/>
        <v>20462932</v>
      </c>
      <c r="AF374" s="28"/>
      <c r="AG374" s="28">
        <f t="shared" si="59"/>
        <v>23873977</v>
      </c>
    </row>
    <row r="375" spans="1:38" ht="12" hidden="1" customHeight="1">
      <c r="A375" s="11" t="s">
        <v>765</v>
      </c>
      <c r="B375" s="11"/>
      <c r="C375" s="11" t="s">
        <v>57</v>
      </c>
      <c r="E375" s="6">
        <v>0</v>
      </c>
      <c r="G375" s="6">
        <v>0</v>
      </c>
      <c r="I375" s="6">
        <v>0</v>
      </c>
      <c r="M375" s="6">
        <v>0</v>
      </c>
      <c r="O375" s="6">
        <v>0</v>
      </c>
      <c r="Q375" s="6">
        <v>0</v>
      </c>
      <c r="S375" s="6">
        <v>0</v>
      </c>
      <c r="U375" s="6">
        <v>0</v>
      </c>
      <c r="W375" s="6">
        <v>0</v>
      </c>
      <c r="Y375" s="6">
        <v>0</v>
      </c>
      <c r="Z375" s="44"/>
      <c r="AA375" s="6">
        <v>0</v>
      </c>
      <c r="AC375" s="6">
        <v>0</v>
      </c>
      <c r="AE375" s="6">
        <f t="shared" si="58"/>
        <v>0</v>
      </c>
      <c r="AF375" s="6"/>
    </row>
    <row r="376" spans="1:38" ht="12" customHeight="1">
      <c r="A376" s="10" t="s">
        <v>211</v>
      </c>
      <c r="B376" s="10"/>
      <c r="C376" s="10" t="s">
        <v>13</v>
      </c>
      <c r="D376" s="5"/>
      <c r="E376" s="6">
        <v>945480</v>
      </c>
      <c r="G376" s="6">
        <v>3230434</v>
      </c>
      <c r="I376" s="6">
        <v>0</v>
      </c>
      <c r="K376" s="6">
        <f>SUM(E376:J376)</f>
        <v>4175914</v>
      </c>
      <c r="M376" s="6">
        <f>1875946+530156+33923</f>
        <v>2440025</v>
      </c>
      <c r="O376" s="6">
        <v>0</v>
      </c>
      <c r="Q376" s="6">
        <v>7942808</v>
      </c>
      <c r="S376" s="6">
        <v>2848</v>
      </c>
      <c r="U376" s="6">
        <v>0</v>
      </c>
      <c r="W376" s="6">
        <v>0</v>
      </c>
      <c r="Y376" s="6">
        <v>110327</v>
      </c>
      <c r="Z376" s="44"/>
      <c r="AA376" s="6">
        <v>0</v>
      </c>
      <c r="AC376" s="6">
        <v>0</v>
      </c>
      <c r="AE376" s="6">
        <f>SUM(M376:AC376)</f>
        <v>10496008</v>
      </c>
      <c r="AF376" s="6"/>
      <c r="AG376" s="6">
        <f>+AE376+K376</f>
        <v>14671922</v>
      </c>
    </row>
    <row r="377" spans="1:38" ht="12" customHeight="1">
      <c r="A377" s="10" t="s">
        <v>608</v>
      </c>
      <c r="B377" s="10"/>
      <c r="C377" s="10" t="s">
        <v>27</v>
      </c>
      <c r="E377" s="6">
        <v>2665466</v>
      </c>
      <c r="G377" s="6">
        <v>1407451</v>
      </c>
      <c r="I377" s="6">
        <v>0</v>
      </c>
      <c r="K377" s="6">
        <f>SUM(E377:J377)</f>
        <v>4072917</v>
      </c>
      <c r="M377" s="6">
        <f>34609758+6827252</f>
        <v>41437010</v>
      </c>
      <c r="O377" s="6">
        <v>0</v>
      </c>
      <c r="Q377" s="6">
        <v>9006798</v>
      </c>
      <c r="S377" s="6">
        <v>34453</v>
      </c>
      <c r="U377" s="6">
        <v>6018145</v>
      </c>
      <c r="W377" s="6">
        <v>0</v>
      </c>
      <c r="Y377" s="6">
        <v>397838</v>
      </c>
      <c r="Z377" s="44"/>
      <c r="AA377" s="6">
        <v>0</v>
      </c>
      <c r="AC377" s="6">
        <v>0</v>
      </c>
      <c r="AE377" s="6">
        <f>SUM(M377:AC377)</f>
        <v>56894244</v>
      </c>
      <c r="AF377" s="6"/>
      <c r="AG377" s="6">
        <f>+AE377+K377</f>
        <v>60967161</v>
      </c>
    </row>
    <row r="378" spans="1:38" ht="12" customHeight="1">
      <c r="A378" s="10" t="s">
        <v>483</v>
      </c>
      <c r="B378" s="10"/>
      <c r="C378" s="10" t="s">
        <v>59</v>
      </c>
      <c r="E378" s="6">
        <v>1197960</v>
      </c>
      <c r="G378" s="6">
        <v>1272405</v>
      </c>
      <c r="I378" s="6">
        <v>0</v>
      </c>
      <c r="K378" s="6">
        <f>SUM(E378:J378)</f>
        <v>2470365</v>
      </c>
      <c r="M378" s="6">
        <f>769158+186332+13103</f>
        <v>968593</v>
      </c>
      <c r="O378" s="6">
        <v>0</v>
      </c>
      <c r="Q378" s="6">
        <v>1978582</v>
      </c>
      <c r="S378" s="6">
        <v>63478</v>
      </c>
      <c r="U378" s="6">
        <v>0</v>
      </c>
      <c r="W378" s="6">
        <v>16500</v>
      </c>
      <c r="Y378" s="6">
        <v>153430</v>
      </c>
      <c r="Z378" s="44"/>
      <c r="AA378" s="6">
        <v>0</v>
      </c>
      <c r="AC378" s="6">
        <v>0</v>
      </c>
      <c r="AE378" s="6">
        <f>SUM(M378:AC378)</f>
        <v>3180583</v>
      </c>
      <c r="AF378" s="6"/>
      <c r="AG378" s="6">
        <f>+AE378+K378</f>
        <v>5650948</v>
      </c>
    </row>
    <row r="379" spans="1:38" ht="12" customHeight="1">
      <c r="A379" s="10" t="s">
        <v>214</v>
      </c>
      <c r="B379" s="10"/>
      <c r="C379" s="10" t="s">
        <v>14</v>
      </c>
      <c r="D379" s="5"/>
      <c r="E379" s="6">
        <v>747786</v>
      </c>
      <c r="G379" s="6">
        <v>844784</v>
      </c>
      <c r="I379" s="6">
        <v>5380</v>
      </c>
      <c r="K379" s="6">
        <f>SUM(E379:J379)</f>
        <v>1597950</v>
      </c>
      <c r="M379" s="6">
        <f>2019136+700250+72983</f>
        <v>2792369</v>
      </c>
      <c r="O379" s="6">
        <v>1658159</v>
      </c>
      <c r="Q379" s="6">
        <v>4152014</v>
      </c>
      <c r="S379" s="6">
        <v>82899</v>
      </c>
      <c r="U379" s="6">
        <v>30952</v>
      </c>
      <c r="W379" s="6">
        <v>0</v>
      </c>
      <c r="Y379" s="6">
        <v>43193</v>
      </c>
      <c r="Z379" s="44"/>
      <c r="AA379" s="6">
        <v>0</v>
      </c>
      <c r="AC379" s="6">
        <v>0</v>
      </c>
      <c r="AE379" s="6">
        <f>SUM(M379:AC379)</f>
        <v>8759586</v>
      </c>
      <c r="AF379" s="6"/>
      <c r="AG379" s="6">
        <f>+AE379+K379</f>
        <v>10357536</v>
      </c>
    </row>
    <row r="380" spans="1:38" ht="12" hidden="1" customHeight="1">
      <c r="A380" s="10" t="s">
        <v>706</v>
      </c>
      <c r="B380" s="10"/>
      <c r="C380" s="10" t="s">
        <v>14</v>
      </c>
      <c r="D380" s="5"/>
      <c r="E380" s="6">
        <v>0</v>
      </c>
      <c r="G380" s="6">
        <v>0</v>
      </c>
      <c r="I380" s="6">
        <v>0</v>
      </c>
      <c r="K380" s="6">
        <f t="shared" ref="K380:K401" si="65">SUM(E380:J380)</f>
        <v>0</v>
      </c>
      <c r="M380" s="6">
        <v>0</v>
      </c>
      <c r="O380" s="6">
        <v>0</v>
      </c>
      <c r="Q380" s="6">
        <v>0</v>
      </c>
      <c r="S380" s="6">
        <v>0</v>
      </c>
      <c r="U380" s="6">
        <v>0</v>
      </c>
      <c r="W380" s="6">
        <v>0</v>
      </c>
      <c r="Y380" s="6">
        <v>0</v>
      </c>
      <c r="Z380" s="44"/>
      <c r="AA380" s="6">
        <v>0</v>
      </c>
      <c r="AC380" s="6">
        <v>0</v>
      </c>
      <c r="AE380" s="6">
        <f t="shared" ref="AE380:AE401" si="66">SUM(M380:AC380)</f>
        <v>0</v>
      </c>
      <c r="AF380" s="6"/>
      <c r="AG380" s="6">
        <f t="shared" ref="AG380:AG401" si="67">+AE380+K380</f>
        <v>0</v>
      </c>
    </row>
    <row r="381" spans="1:38" ht="12" customHeight="1">
      <c r="A381" s="10" t="s">
        <v>433</v>
      </c>
      <c r="B381" s="10"/>
      <c r="C381" s="10" t="s">
        <v>50</v>
      </c>
      <c r="E381" s="6">
        <v>956830</v>
      </c>
      <c r="G381" s="6">
        <v>1611681</v>
      </c>
      <c r="I381" s="6">
        <v>0</v>
      </c>
      <c r="K381" s="6">
        <f t="shared" si="65"/>
        <v>2568511</v>
      </c>
      <c r="M381" s="6">
        <f>2164061+77675+323429+205888</f>
        <v>2771053</v>
      </c>
      <c r="O381" s="6">
        <v>1426913</v>
      </c>
      <c r="Q381" s="6">
        <v>5672378</v>
      </c>
      <c r="S381" s="6">
        <v>8268</v>
      </c>
      <c r="U381" s="6">
        <v>0</v>
      </c>
      <c r="W381" s="6">
        <v>0</v>
      </c>
      <c r="Y381" s="6">
        <v>165024</v>
      </c>
      <c r="Z381" s="44"/>
      <c r="AA381" s="6">
        <v>0</v>
      </c>
      <c r="AC381" s="6">
        <v>0</v>
      </c>
      <c r="AE381" s="6">
        <f t="shared" si="66"/>
        <v>10043636</v>
      </c>
      <c r="AF381" s="6"/>
      <c r="AG381" s="6">
        <f t="shared" si="67"/>
        <v>12612147</v>
      </c>
    </row>
    <row r="382" spans="1:38" ht="12" hidden="1" customHeight="1">
      <c r="A382" s="10" t="s">
        <v>809</v>
      </c>
      <c r="B382" s="10"/>
      <c r="C382" s="10" t="s">
        <v>451</v>
      </c>
      <c r="E382" s="6">
        <v>0</v>
      </c>
      <c r="G382" s="6">
        <v>0</v>
      </c>
      <c r="I382" s="6">
        <v>0</v>
      </c>
      <c r="K382" s="6">
        <f t="shared" si="65"/>
        <v>0</v>
      </c>
      <c r="M382" s="6">
        <v>0</v>
      </c>
      <c r="O382" s="6">
        <v>0</v>
      </c>
      <c r="Q382" s="6">
        <v>0</v>
      </c>
      <c r="S382" s="6">
        <v>0</v>
      </c>
      <c r="U382" s="6">
        <v>0</v>
      </c>
      <c r="W382" s="6">
        <v>0</v>
      </c>
      <c r="Y382" s="6">
        <v>0</v>
      </c>
      <c r="Z382" s="44"/>
      <c r="AA382" s="6">
        <v>0</v>
      </c>
      <c r="AC382" s="6">
        <v>0</v>
      </c>
      <c r="AE382" s="6">
        <f t="shared" si="66"/>
        <v>0</v>
      </c>
      <c r="AF382" s="6"/>
      <c r="AG382" s="6">
        <f t="shared" si="67"/>
        <v>0</v>
      </c>
      <c r="AH382" s="28"/>
      <c r="AI382" s="28"/>
      <c r="AJ382" s="28"/>
      <c r="AK382" s="28"/>
      <c r="AL382" s="28"/>
    </row>
    <row r="383" spans="1:38" s="6" customFormat="1" ht="12" customHeight="1">
      <c r="A383" s="11" t="s">
        <v>357</v>
      </c>
      <c r="B383" s="11"/>
      <c r="C383" s="11" t="s">
        <v>37</v>
      </c>
      <c r="E383" s="6">
        <v>723233</v>
      </c>
      <c r="G383" s="6">
        <v>801674</v>
      </c>
      <c r="I383" s="6">
        <v>0</v>
      </c>
      <c r="K383" s="6">
        <f t="shared" si="65"/>
        <v>1524907</v>
      </c>
      <c r="M383" s="6">
        <f>1918959+218525+36283</f>
        <v>2173767</v>
      </c>
      <c r="O383" s="6">
        <v>1039769</v>
      </c>
      <c r="Q383" s="6">
        <v>5783782</v>
      </c>
      <c r="S383" s="6">
        <v>10482</v>
      </c>
      <c r="U383" s="6">
        <v>0</v>
      </c>
      <c r="W383" s="6">
        <v>0</v>
      </c>
      <c r="Y383" s="6">
        <v>14274</v>
      </c>
      <c r="Z383" s="44"/>
      <c r="AA383" s="6">
        <v>0</v>
      </c>
      <c r="AC383" s="6">
        <v>0</v>
      </c>
      <c r="AE383" s="6">
        <f t="shared" si="66"/>
        <v>9022074</v>
      </c>
      <c r="AG383" s="6">
        <f t="shared" si="67"/>
        <v>10546981</v>
      </c>
    </row>
    <row r="384" spans="1:38" ht="12" customHeight="1">
      <c r="A384" s="10" t="s">
        <v>226</v>
      </c>
      <c r="B384" s="10"/>
      <c r="C384" s="10" t="s">
        <v>221</v>
      </c>
      <c r="D384" s="5"/>
      <c r="E384" s="6">
        <v>117136</v>
      </c>
      <c r="G384" s="6">
        <v>1302847</v>
      </c>
      <c r="I384" s="6">
        <v>0</v>
      </c>
      <c r="K384" s="6">
        <f t="shared" si="65"/>
        <v>1419983</v>
      </c>
      <c r="M384" s="6">
        <f>845623+158764+15372</f>
        <v>1019759</v>
      </c>
      <c r="O384" s="6">
        <v>466579</v>
      </c>
      <c r="Q384" s="6">
        <v>4610895</v>
      </c>
      <c r="S384" s="6">
        <v>3677</v>
      </c>
      <c r="U384" s="6">
        <v>0</v>
      </c>
      <c r="W384" s="6">
        <v>0</v>
      </c>
      <c r="Y384" s="6">
        <v>159431</v>
      </c>
      <c r="Z384" s="44"/>
      <c r="AA384" s="6">
        <v>0</v>
      </c>
      <c r="AC384" s="6">
        <v>0</v>
      </c>
      <c r="AE384" s="6">
        <f t="shared" si="66"/>
        <v>6260341</v>
      </c>
      <c r="AF384" s="6"/>
      <c r="AG384" s="6">
        <f t="shared" si="67"/>
        <v>7680324</v>
      </c>
    </row>
    <row r="385" spans="1:33" s="6" customFormat="1" ht="12" customHeight="1">
      <c r="A385" s="11" t="s">
        <v>537</v>
      </c>
      <c r="B385" s="11"/>
      <c r="C385" s="11" t="s">
        <v>65</v>
      </c>
      <c r="E385" s="6">
        <v>1529516</v>
      </c>
      <c r="G385" s="6">
        <v>2626685</v>
      </c>
      <c r="I385" s="6">
        <v>12600</v>
      </c>
      <c r="K385" s="6">
        <f t="shared" si="65"/>
        <v>4168801</v>
      </c>
      <c r="M385" s="6">
        <f>11200950+590493+134987</f>
        <v>11926430</v>
      </c>
      <c r="O385" s="6">
        <v>0</v>
      </c>
      <c r="Q385" s="6">
        <v>10469709</v>
      </c>
      <c r="S385" s="6">
        <v>33597</v>
      </c>
      <c r="U385" s="6">
        <v>0</v>
      </c>
      <c r="W385" s="6">
        <v>0</v>
      </c>
      <c r="Y385" s="6">
        <v>722132</v>
      </c>
      <c r="Z385" s="44"/>
      <c r="AA385" s="6">
        <v>0</v>
      </c>
      <c r="AC385" s="6">
        <v>0</v>
      </c>
      <c r="AE385" s="6">
        <f t="shared" si="66"/>
        <v>23151868</v>
      </c>
      <c r="AG385" s="6">
        <f t="shared" si="67"/>
        <v>27320669</v>
      </c>
    </row>
    <row r="386" spans="1:33" ht="12" customHeight="1">
      <c r="A386" s="10" t="s">
        <v>772</v>
      </c>
      <c r="B386" s="10"/>
      <c r="C386" s="10" t="s">
        <v>113</v>
      </c>
      <c r="D386" s="5"/>
      <c r="E386" s="6">
        <v>1451097</v>
      </c>
      <c r="G386" s="6">
        <v>1526257</v>
      </c>
      <c r="I386" s="6">
        <v>0</v>
      </c>
      <c r="K386" s="6">
        <f t="shared" si="65"/>
        <v>2977354</v>
      </c>
      <c r="M386" s="6">
        <v>11052984</v>
      </c>
      <c r="O386" s="6">
        <v>0</v>
      </c>
      <c r="Q386" s="6">
        <v>12358505</v>
      </c>
      <c r="S386" s="6">
        <v>114883</v>
      </c>
      <c r="U386" s="6">
        <v>0</v>
      </c>
      <c r="W386" s="6">
        <v>0</v>
      </c>
      <c r="Y386" s="6">
        <v>101981</v>
      </c>
      <c r="Z386" s="44"/>
      <c r="AA386" s="6">
        <v>0</v>
      </c>
      <c r="AC386" s="6">
        <v>0</v>
      </c>
      <c r="AE386" s="6">
        <f t="shared" si="66"/>
        <v>23628353</v>
      </c>
      <c r="AF386" s="6"/>
      <c r="AG386" s="6">
        <f t="shared" si="67"/>
        <v>26605707</v>
      </c>
    </row>
    <row r="387" spans="1:33" ht="12" hidden="1" customHeight="1">
      <c r="A387" s="10" t="s">
        <v>810</v>
      </c>
      <c r="B387" s="10"/>
      <c r="C387" s="10" t="s">
        <v>60</v>
      </c>
      <c r="D387" s="5"/>
      <c r="E387" s="6">
        <v>0</v>
      </c>
      <c r="G387" s="6">
        <v>0</v>
      </c>
      <c r="I387" s="6">
        <v>0</v>
      </c>
      <c r="K387" s="6">
        <f t="shared" ref="K387" si="68">SUM(E387:J387)</f>
        <v>0</v>
      </c>
      <c r="M387" s="6">
        <v>0</v>
      </c>
      <c r="O387" s="6">
        <v>0</v>
      </c>
      <c r="Q387" s="6">
        <v>0</v>
      </c>
      <c r="S387" s="6">
        <v>0</v>
      </c>
      <c r="U387" s="6">
        <v>0</v>
      </c>
      <c r="W387" s="6">
        <v>0</v>
      </c>
      <c r="Y387" s="6">
        <v>0</v>
      </c>
      <c r="Z387" s="44"/>
      <c r="AA387" s="6">
        <v>0</v>
      </c>
      <c r="AC387" s="6">
        <v>0</v>
      </c>
      <c r="AE387" s="6">
        <f t="shared" ref="AE387" si="69">SUM(M387:AC387)</f>
        <v>0</v>
      </c>
      <c r="AF387" s="6"/>
      <c r="AG387" s="6">
        <f t="shared" ref="AG387" si="70">+AE387+K387</f>
        <v>0</v>
      </c>
    </row>
    <row r="388" spans="1:33" ht="12" customHeight="1">
      <c r="A388" s="10" t="s">
        <v>376</v>
      </c>
      <c r="B388" s="10"/>
      <c r="C388" s="10" t="s">
        <v>42</v>
      </c>
      <c r="E388" s="6">
        <v>1784591</v>
      </c>
      <c r="G388" s="6">
        <v>11184502</v>
      </c>
      <c r="I388" s="6">
        <v>0</v>
      </c>
      <c r="K388" s="6">
        <f t="shared" si="65"/>
        <v>12969093</v>
      </c>
      <c r="M388" s="6">
        <f>18780403+4016127+874230+412881</f>
        <v>24083641</v>
      </c>
      <c r="O388" s="6">
        <v>7817597</v>
      </c>
      <c r="Q388" s="6">
        <v>27367109</v>
      </c>
      <c r="S388" s="6">
        <v>64799</v>
      </c>
      <c r="U388" s="6">
        <v>8109</v>
      </c>
      <c r="W388" s="6">
        <v>0</v>
      </c>
      <c r="Y388" s="6">
        <v>690646</v>
      </c>
      <c r="Z388" s="44"/>
      <c r="AA388" s="6">
        <v>0</v>
      </c>
      <c r="AC388" s="6">
        <v>-2180642</v>
      </c>
      <c r="AE388" s="6">
        <f t="shared" si="66"/>
        <v>57851259</v>
      </c>
      <c r="AF388" s="6"/>
      <c r="AG388" s="6">
        <f t="shared" si="67"/>
        <v>70820352</v>
      </c>
    </row>
    <row r="389" spans="1:33" ht="12" hidden="1" customHeight="1">
      <c r="A389" s="10" t="s">
        <v>881</v>
      </c>
      <c r="B389" s="10"/>
      <c r="C389" s="10" t="s">
        <v>30</v>
      </c>
      <c r="E389" s="6">
        <v>0</v>
      </c>
      <c r="G389" s="6">
        <v>0</v>
      </c>
      <c r="I389" s="6">
        <v>0</v>
      </c>
      <c r="K389" s="6">
        <f t="shared" si="65"/>
        <v>0</v>
      </c>
      <c r="M389" s="6">
        <v>0</v>
      </c>
      <c r="O389" s="6">
        <v>0</v>
      </c>
      <c r="Q389" s="6">
        <v>0</v>
      </c>
      <c r="S389" s="6">
        <v>0</v>
      </c>
      <c r="U389" s="6">
        <v>0</v>
      </c>
      <c r="W389" s="6">
        <v>0</v>
      </c>
      <c r="Y389" s="6">
        <v>0</v>
      </c>
      <c r="Z389" s="44"/>
      <c r="AA389" s="6">
        <v>0</v>
      </c>
      <c r="AC389" s="6">
        <v>0</v>
      </c>
      <c r="AE389" s="6">
        <f t="shared" si="66"/>
        <v>0</v>
      </c>
      <c r="AF389" s="6"/>
      <c r="AG389" s="6">
        <f t="shared" si="67"/>
        <v>0</v>
      </c>
    </row>
    <row r="390" spans="1:33" ht="12" customHeight="1">
      <c r="A390" s="10" t="s">
        <v>773</v>
      </c>
      <c r="B390" s="10"/>
      <c r="C390" s="10" t="s">
        <v>65</v>
      </c>
      <c r="E390" s="6">
        <v>1061452</v>
      </c>
      <c r="G390" s="6">
        <v>1997070</v>
      </c>
      <c r="I390" s="6">
        <v>0</v>
      </c>
      <c r="K390" s="6">
        <f t="shared" si="65"/>
        <v>3058522</v>
      </c>
      <c r="M390" s="6">
        <f>2721458+35290+189289</f>
        <v>2946037</v>
      </c>
      <c r="O390" s="6">
        <v>0</v>
      </c>
      <c r="Q390" s="6">
        <v>5609779</v>
      </c>
      <c r="S390" s="6">
        <v>28</v>
      </c>
      <c r="U390" s="6">
        <v>0</v>
      </c>
      <c r="W390" s="6">
        <v>0</v>
      </c>
      <c r="Y390" s="6">
        <v>238105</v>
      </c>
      <c r="Z390" s="44"/>
      <c r="AA390" s="6">
        <v>0</v>
      </c>
      <c r="AC390" s="6">
        <v>0</v>
      </c>
      <c r="AE390" s="6">
        <f t="shared" si="66"/>
        <v>8793949</v>
      </c>
      <c r="AF390" s="6"/>
      <c r="AG390" s="6">
        <f t="shared" si="67"/>
        <v>11852471</v>
      </c>
    </row>
    <row r="391" spans="1:33" ht="12" customHeight="1">
      <c r="A391" s="10" t="s">
        <v>774</v>
      </c>
      <c r="B391" s="10"/>
      <c r="C391" s="10" t="s">
        <v>64</v>
      </c>
      <c r="E391" s="6">
        <v>634733</v>
      </c>
      <c r="G391" s="6">
        <v>1446119</v>
      </c>
      <c r="I391" s="6">
        <v>0</v>
      </c>
      <c r="K391" s="6">
        <f t="shared" si="65"/>
        <v>2080852</v>
      </c>
      <c r="M391" s="6">
        <f>2637416+244115+36870</f>
        <v>2918401</v>
      </c>
      <c r="O391" s="6">
        <v>0</v>
      </c>
      <c r="Q391" s="6">
        <v>7827719</v>
      </c>
      <c r="S391" s="6">
        <v>9422</v>
      </c>
      <c r="U391" s="6">
        <v>0</v>
      </c>
      <c r="W391" s="6">
        <v>0</v>
      </c>
      <c r="Y391" s="6">
        <v>52793</v>
      </c>
      <c r="Z391" s="44"/>
      <c r="AA391" s="6">
        <v>0</v>
      </c>
      <c r="AC391" s="6">
        <v>0</v>
      </c>
      <c r="AE391" s="6">
        <f t="shared" si="66"/>
        <v>10808335</v>
      </c>
      <c r="AF391" s="6"/>
      <c r="AG391" s="6">
        <f t="shared" si="67"/>
        <v>12889187</v>
      </c>
    </row>
    <row r="392" spans="1:33" ht="12" hidden="1" customHeight="1">
      <c r="A392" s="10" t="s">
        <v>811</v>
      </c>
      <c r="B392" s="10"/>
      <c r="C392" s="10" t="s">
        <v>48</v>
      </c>
      <c r="E392" s="6">
        <v>0</v>
      </c>
      <c r="G392" s="6">
        <v>0</v>
      </c>
      <c r="I392" s="6">
        <v>0</v>
      </c>
      <c r="K392" s="6">
        <f t="shared" si="65"/>
        <v>0</v>
      </c>
      <c r="M392" s="6">
        <v>0</v>
      </c>
      <c r="O392" s="6">
        <v>0</v>
      </c>
      <c r="Q392" s="6">
        <v>0</v>
      </c>
      <c r="S392" s="6">
        <v>0</v>
      </c>
      <c r="U392" s="6">
        <v>0</v>
      </c>
      <c r="W392" s="6">
        <v>0</v>
      </c>
      <c r="Y392" s="6">
        <v>0</v>
      </c>
      <c r="Z392" s="44"/>
      <c r="AA392" s="6">
        <v>0</v>
      </c>
      <c r="AC392" s="6">
        <v>0</v>
      </c>
      <c r="AE392" s="6">
        <f t="shared" si="66"/>
        <v>0</v>
      </c>
      <c r="AF392" s="6"/>
      <c r="AG392" s="6">
        <f t="shared" si="67"/>
        <v>0</v>
      </c>
    </row>
    <row r="393" spans="1:33" ht="12" customHeight="1">
      <c r="A393" s="10" t="s">
        <v>606</v>
      </c>
      <c r="B393" s="10"/>
      <c r="C393" s="10" t="s">
        <v>64</v>
      </c>
      <c r="E393" s="6">
        <v>1358379</v>
      </c>
      <c r="G393" s="6">
        <v>3650671</v>
      </c>
      <c r="I393" s="6">
        <v>0</v>
      </c>
      <c r="K393" s="6">
        <f t="shared" si="65"/>
        <v>5009050</v>
      </c>
      <c r="M393" s="6">
        <f>6813181+1450164+199556</f>
        <v>8462901</v>
      </c>
      <c r="O393" s="6">
        <v>0</v>
      </c>
      <c r="Q393" s="6">
        <v>22137882</v>
      </c>
      <c r="S393" s="6">
        <v>94322</v>
      </c>
      <c r="U393" s="6">
        <v>0</v>
      </c>
      <c r="W393" s="6">
        <v>0</v>
      </c>
      <c r="Y393" s="6">
        <f>128674+22500</f>
        <v>151174</v>
      </c>
      <c r="Z393" s="44"/>
      <c r="AA393" s="6">
        <v>0</v>
      </c>
      <c r="AC393" s="6">
        <v>0</v>
      </c>
      <c r="AE393" s="6">
        <f t="shared" si="66"/>
        <v>30846279</v>
      </c>
      <c r="AF393" s="6"/>
      <c r="AG393" s="6">
        <f t="shared" si="67"/>
        <v>35855329</v>
      </c>
    </row>
    <row r="394" spans="1:33" ht="12" customHeight="1">
      <c r="A394" s="10" t="s">
        <v>449</v>
      </c>
      <c r="B394" s="10"/>
      <c r="C394" s="10" t="s">
        <v>52</v>
      </c>
      <c r="E394" s="6">
        <v>1039842</v>
      </c>
      <c r="G394" s="6">
        <v>1703679</v>
      </c>
      <c r="I394" s="6">
        <v>0</v>
      </c>
      <c r="K394" s="6">
        <f t="shared" si="65"/>
        <v>2743521</v>
      </c>
      <c r="M394" s="6">
        <v>4782933</v>
      </c>
      <c r="O394" s="6">
        <v>0</v>
      </c>
      <c r="Q394" s="6">
        <v>5636001</v>
      </c>
      <c r="S394" s="6">
        <v>33944</v>
      </c>
      <c r="U394" s="6">
        <v>0</v>
      </c>
      <c r="W394" s="6">
        <v>1085</v>
      </c>
      <c r="Y394" s="6">
        <f>234040+38144</f>
        <v>272184</v>
      </c>
      <c r="Z394" s="44"/>
      <c r="AA394" s="6">
        <v>0</v>
      </c>
      <c r="AC394" s="6">
        <v>0</v>
      </c>
      <c r="AE394" s="6">
        <f t="shared" si="66"/>
        <v>10726147</v>
      </c>
      <c r="AF394" s="6"/>
      <c r="AG394" s="6">
        <f t="shared" si="67"/>
        <v>13469668</v>
      </c>
    </row>
    <row r="395" spans="1:33" ht="12" customHeight="1">
      <c r="A395" s="10" t="s">
        <v>511</v>
      </c>
      <c r="B395" s="10"/>
      <c r="C395" s="10" t="s">
        <v>63</v>
      </c>
      <c r="E395" s="6">
        <v>2466984</v>
      </c>
      <c r="G395" s="6">
        <v>2149113</v>
      </c>
      <c r="I395" s="6">
        <v>0</v>
      </c>
      <c r="K395" s="6">
        <f t="shared" si="65"/>
        <v>4616097</v>
      </c>
      <c r="M395" s="6">
        <f>26954060+2994057+165583</f>
        <v>30113700</v>
      </c>
      <c r="O395" s="6">
        <v>0</v>
      </c>
      <c r="Q395" s="6">
        <v>11269425</v>
      </c>
      <c r="S395" s="6">
        <v>11240</v>
      </c>
      <c r="U395" s="6">
        <v>0</v>
      </c>
      <c r="W395" s="6">
        <v>0</v>
      </c>
      <c r="Y395" s="6">
        <v>137165</v>
      </c>
      <c r="Z395" s="44"/>
      <c r="AA395" s="6">
        <v>0</v>
      </c>
      <c r="AC395" s="6">
        <v>0</v>
      </c>
      <c r="AE395" s="6">
        <f t="shared" si="66"/>
        <v>41531530</v>
      </c>
      <c r="AF395" s="6"/>
      <c r="AG395" s="6">
        <f t="shared" si="67"/>
        <v>46147627</v>
      </c>
    </row>
    <row r="396" spans="1:33" ht="12" customHeight="1">
      <c r="A396" s="10" t="s">
        <v>556</v>
      </c>
      <c r="B396" s="10"/>
      <c r="C396" s="10" t="s">
        <v>72</v>
      </c>
      <c r="E396" s="6">
        <v>452859</v>
      </c>
      <c r="G396" s="6">
        <v>801757</v>
      </c>
      <c r="I396" s="6">
        <v>0</v>
      </c>
      <c r="K396" s="6">
        <f t="shared" si="65"/>
        <v>1254616</v>
      </c>
      <c r="M396" s="6">
        <f>2015655+599732+47308</f>
        <v>2662695</v>
      </c>
      <c r="O396" s="6">
        <v>819731</v>
      </c>
      <c r="Q396" s="6">
        <v>4839560</v>
      </c>
      <c r="S396" s="6">
        <v>42324</v>
      </c>
      <c r="U396" s="6">
        <v>291240</v>
      </c>
      <c r="W396" s="6">
        <v>0</v>
      </c>
      <c r="Y396" s="6">
        <f>151354+382816</f>
        <v>534170</v>
      </c>
      <c r="Z396" s="44"/>
      <c r="AA396" s="6">
        <v>0</v>
      </c>
      <c r="AC396" s="6">
        <v>0</v>
      </c>
      <c r="AE396" s="6">
        <f t="shared" si="66"/>
        <v>9189720</v>
      </c>
      <c r="AF396" s="6"/>
      <c r="AG396" s="6">
        <f t="shared" si="67"/>
        <v>10444336</v>
      </c>
    </row>
    <row r="397" spans="1:33" ht="12" hidden="1" customHeight="1">
      <c r="A397" s="10" t="s">
        <v>813</v>
      </c>
      <c r="B397" s="10"/>
      <c r="C397" s="10" t="s">
        <v>53</v>
      </c>
      <c r="E397" s="6">
        <v>0</v>
      </c>
      <c r="G397" s="6">
        <v>0</v>
      </c>
      <c r="I397" s="6">
        <v>0</v>
      </c>
      <c r="K397" s="6">
        <f t="shared" si="65"/>
        <v>0</v>
      </c>
      <c r="M397" s="6">
        <v>0</v>
      </c>
      <c r="O397" s="6">
        <v>0</v>
      </c>
      <c r="Q397" s="6">
        <v>0</v>
      </c>
      <c r="S397" s="6">
        <v>0</v>
      </c>
      <c r="U397" s="6">
        <v>0</v>
      </c>
      <c r="W397" s="6">
        <v>0</v>
      </c>
      <c r="Y397" s="6">
        <v>0</v>
      </c>
      <c r="Z397" s="44"/>
      <c r="AA397" s="6">
        <v>0</v>
      </c>
      <c r="AC397" s="6">
        <v>0</v>
      </c>
      <c r="AE397" s="6">
        <f t="shared" si="66"/>
        <v>0</v>
      </c>
      <c r="AF397" s="6"/>
      <c r="AG397" s="6">
        <f t="shared" si="67"/>
        <v>0</v>
      </c>
    </row>
    <row r="398" spans="1:33" ht="12" customHeight="1">
      <c r="A398" s="10" t="s">
        <v>503</v>
      </c>
      <c r="B398" s="10"/>
      <c r="C398" s="10" t="s">
        <v>62</v>
      </c>
      <c r="E398" s="6">
        <v>2831305</v>
      </c>
      <c r="G398" s="6">
        <v>3723348</v>
      </c>
      <c r="I398" s="6">
        <v>1105000</v>
      </c>
      <c r="K398" s="6">
        <f t="shared" si="65"/>
        <v>7659653</v>
      </c>
      <c r="M398" s="6">
        <f>21042541+1188820</f>
        <v>22231361</v>
      </c>
      <c r="O398" s="6">
        <v>0</v>
      </c>
      <c r="Q398" s="6">
        <v>16349152</v>
      </c>
      <c r="S398" s="6">
        <v>10945</v>
      </c>
      <c r="U398" s="6">
        <v>0</v>
      </c>
      <c r="W398" s="6">
        <v>0</v>
      </c>
      <c r="Y398" s="6">
        <v>253997</v>
      </c>
      <c r="Z398" s="44"/>
      <c r="AA398" s="6">
        <v>0</v>
      </c>
      <c r="AC398" s="6">
        <v>0</v>
      </c>
      <c r="AE398" s="6">
        <f t="shared" si="66"/>
        <v>38845455</v>
      </c>
      <c r="AF398" s="6"/>
      <c r="AG398" s="6">
        <f t="shared" si="67"/>
        <v>46505108</v>
      </c>
    </row>
    <row r="399" spans="1:33" ht="12" hidden="1" customHeight="1">
      <c r="A399" s="10" t="s">
        <v>814</v>
      </c>
      <c r="B399" s="10"/>
      <c r="C399" s="10" t="s">
        <v>552</v>
      </c>
      <c r="E399" s="6">
        <v>0</v>
      </c>
      <c r="G399" s="6">
        <v>0</v>
      </c>
      <c r="I399" s="6">
        <v>0</v>
      </c>
      <c r="K399" s="6">
        <f t="shared" si="65"/>
        <v>0</v>
      </c>
      <c r="M399" s="6">
        <v>0</v>
      </c>
      <c r="O399" s="6">
        <v>0</v>
      </c>
      <c r="Q399" s="6">
        <v>0</v>
      </c>
      <c r="S399" s="6">
        <v>0</v>
      </c>
      <c r="U399" s="6">
        <v>0</v>
      </c>
      <c r="W399" s="6">
        <v>0</v>
      </c>
      <c r="Y399" s="6">
        <v>0</v>
      </c>
      <c r="Z399" s="44"/>
      <c r="AA399" s="6">
        <v>0</v>
      </c>
      <c r="AC399" s="6">
        <v>0</v>
      </c>
      <c r="AE399" s="6">
        <f t="shared" si="66"/>
        <v>0</v>
      </c>
      <c r="AF399" s="6"/>
      <c r="AG399" s="6">
        <f t="shared" si="67"/>
        <v>0</v>
      </c>
    </row>
    <row r="400" spans="1:33" ht="12" customHeight="1">
      <c r="A400" s="10" t="s">
        <v>709</v>
      </c>
      <c r="B400" s="10"/>
      <c r="C400" s="10" t="s">
        <v>32</v>
      </c>
      <c r="E400" s="6">
        <v>384081</v>
      </c>
      <c r="G400" s="6">
        <v>2456671</v>
      </c>
      <c r="I400" s="6">
        <v>61806</v>
      </c>
      <c r="K400" s="6">
        <f t="shared" si="65"/>
        <v>2902558</v>
      </c>
      <c r="M400" s="6">
        <f>3576640+372073+478353</f>
        <v>4427066</v>
      </c>
      <c r="O400" s="6">
        <v>0</v>
      </c>
      <c r="Q400" s="6">
        <v>8319703</v>
      </c>
      <c r="S400" s="6">
        <v>688</v>
      </c>
      <c r="U400" s="6">
        <v>0</v>
      </c>
      <c r="W400" s="6">
        <v>0</v>
      </c>
      <c r="Y400" s="6">
        <v>345449</v>
      </c>
      <c r="Z400" s="44"/>
      <c r="AA400" s="6">
        <v>0</v>
      </c>
      <c r="AC400" s="6">
        <v>0</v>
      </c>
      <c r="AE400" s="6">
        <f t="shared" si="66"/>
        <v>13092906</v>
      </c>
      <c r="AF400" s="6"/>
      <c r="AG400" s="6">
        <f t="shared" si="67"/>
        <v>15995464</v>
      </c>
    </row>
    <row r="401" spans="1:33" ht="12" customHeight="1">
      <c r="A401" s="10" t="s">
        <v>377</v>
      </c>
      <c r="B401" s="10"/>
      <c r="C401" s="10" t="s">
        <v>42</v>
      </c>
      <c r="E401" s="6">
        <v>1185932</v>
      </c>
      <c r="G401" s="6">
        <v>2082185</v>
      </c>
      <c r="I401" s="6">
        <v>0</v>
      </c>
      <c r="K401" s="6">
        <f t="shared" si="65"/>
        <v>3268117</v>
      </c>
      <c r="M401" s="6">
        <f>3995024+84698+752743+53479</f>
        <v>4885944</v>
      </c>
      <c r="O401" s="6">
        <v>2002124</v>
      </c>
      <c r="Q401" s="6">
        <v>7993112</v>
      </c>
      <c r="S401" s="6">
        <v>20244</v>
      </c>
      <c r="U401" s="6">
        <v>0</v>
      </c>
      <c r="W401" s="6">
        <v>0</v>
      </c>
      <c r="Y401" s="6">
        <v>204649</v>
      </c>
      <c r="Z401" s="44"/>
      <c r="AA401" s="6">
        <v>0</v>
      </c>
      <c r="AC401" s="6">
        <v>0</v>
      </c>
      <c r="AE401" s="6">
        <f t="shared" si="66"/>
        <v>15106073</v>
      </c>
      <c r="AF401" s="6"/>
      <c r="AG401" s="6">
        <f t="shared" si="67"/>
        <v>18374190</v>
      </c>
    </row>
    <row r="402" spans="1:33" ht="12" customHeight="1">
      <c r="A402" s="10" t="s">
        <v>271</v>
      </c>
      <c r="B402" s="10"/>
      <c r="C402" s="10" t="s">
        <v>20</v>
      </c>
      <c r="E402" s="6">
        <v>1891129</v>
      </c>
      <c r="G402" s="6">
        <v>3281807</v>
      </c>
      <c r="I402" s="6">
        <v>0</v>
      </c>
      <c r="K402" s="6">
        <f t="shared" ref="K402:K406" si="71">SUM(E402:J402)</f>
        <v>5172936</v>
      </c>
      <c r="M402" s="6">
        <f>37170611+912782</f>
        <v>38083393</v>
      </c>
      <c r="O402" s="6">
        <v>0</v>
      </c>
      <c r="Q402" s="6">
        <v>14159410</v>
      </c>
      <c r="S402" s="6">
        <v>11605</v>
      </c>
      <c r="U402" s="6">
        <v>0</v>
      </c>
      <c r="W402" s="6">
        <v>0</v>
      </c>
      <c r="Y402" s="6">
        <v>462587</v>
      </c>
      <c r="Z402" s="44"/>
      <c r="AA402" s="6">
        <v>0</v>
      </c>
      <c r="AC402" s="6">
        <v>0</v>
      </c>
      <c r="AE402" s="6">
        <f t="shared" ref="AE402:AE448" si="72">SUM(M402:AC402)</f>
        <v>52716995</v>
      </c>
      <c r="AF402" s="6"/>
      <c r="AG402" s="6">
        <f t="shared" ref="AG402:AG448" si="73">+AE402+K402</f>
        <v>57889931</v>
      </c>
    </row>
    <row r="403" spans="1:33" ht="12" customHeight="1">
      <c r="A403" s="10" t="s">
        <v>388</v>
      </c>
      <c r="B403" s="10"/>
      <c r="C403" s="10" t="s">
        <v>44</v>
      </c>
      <c r="E403" s="6">
        <v>1613128</v>
      </c>
      <c r="G403" s="6">
        <v>2280103</v>
      </c>
      <c r="I403" s="6">
        <v>0</v>
      </c>
      <c r="K403" s="6">
        <f t="shared" si="71"/>
        <v>3893231</v>
      </c>
      <c r="M403" s="6">
        <f>19804064+340348+691795</f>
        <v>20836207</v>
      </c>
      <c r="O403" s="6">
        <v>0</v>
      </c>
      <c r="Q403" s="6">
        <v>11628782</v>
      </c>
      <c r="S403" s="6">
        <v>14216</v>
      </c>
      <c r="U403" s="6">
        <v>0</v>
      </c>
      <c r="W403" s="6">
        <v>0</v>
      </c>
      <c r="Y403" s="6">
        <v>1219537</v>
      </c>
      <c r="Z403" s="44"/>
      <c r="AA403" s="6">
        <v>0</v>
      </c>
      <c r="AC403" s="6">
        <v>0</v>
      </c>
      <c r="AE403" s="6">
        <f t="shared" si="72"/>
        <v>33698742</v>
      </c>
      <c r="AF403" s="6"/>
      <c r="AG403" s="6">
        <f t="shared" si="73"/>
        <v>37591973</v>
      </c>
    </row>
    <row r="404" spans="1:33" ht="12" customHeight="1">
      <c r="A404" s="10" t="s">
        <v>272</v>
      </c>
      <c r="B404" s="10"/>
      <c r="C404" s="10" t="s">
        <v>20</v>
      </c>
      <c r="E404" s="6">
        <v>2065947</v>
      </c>
      <c r="G404" s="6">
        <v>2681759</v>
      </c>
      <c r="I404" s="6">
        <v>208179</v>
      </c>
      <c r="K404" s="6">
        <f t="shared" si="71"/>
        <v>4955885</v>
      </c>
      <c r="M404" s="6">
        <f>36765860+1769762+957318</f>
        <v>39492940</v>
      </c>
      <c r="O404" s="6">
        <v>0</v>
      </c>
      <c r="Q404" s="6">
        <v>10755927</v>
      </c>
      <c r="S404" s="6">
        <v>62955</v>
      </c>
      <c r="U404" s="6">
        <v>0</v>
      </c>
      <c r="W404" s="6">
        <v>0</v>
      </c>
      <c r="Y404" s="6">
        <v>177206</v>
      </c>
      <c r="Z404" s="44"/>
      <c r="AA404" s="6">
        <v>0</v>
      </c>
      <c r="AC404" s="6">
        <v>0</v>
      </c>
      <c r="AE404" s="6">
        <f t="shared" si="72"/>
        <v>50489028</v>
      </c>
      <c r="AF404" s="6"/>
      <c r="AG404" s="6">
        <f t="shared" si="73"/>
        <v>55444913</v>
      </c>
    </row>
    <row r="405" spans="1:33" ht="12" customHeight="1">
      <c r="A405" s="10" t="s">
        <v>540</v>
      </c>
      <c r="B405" s="10"/>
      <c r="C405" s="10" t="s">
        <v>66</v>
      </c>
      <c r="E405" s="6">
        <v>1248693</v>
      </c>
      <c r="G405" s="6">
        <v>1626766</v>
      </c>
      <c r="I405" s="6">
        <v>0</v>
      </c>
      <c r="K405" s="6">
        <f t="shared" si="71"/>
        <v>2875459</v>
      </c>
      <c r="M405" s="6">
        <f>3849512+62277+712450+158612</f>
        <v>4782851</v>
      </c>
      <c r="O405" s="6">
        <v>1643444</v>
      </c>
      <c r="Q405" s="6">
        <v>7303146</v>
      </c>
      <c r="S405" s="6">
        <v>130468</v>
      </c>
      <c r="U405" s="6">
        <v>0</v>
      </c>
      <c r="W405" s="6">
        <v>6206</v>
      </c>
      <c r="Y405" s="6">
        <v>149110</v>
      </c>
      <c r="Z405" s="44"/>
      <c r="AA405" s="6">
        <v>0</v>
      </c>
      <c r="AC405" s="6">
        <v>0</v>
      </c>
      <c r="AE405" s="6">
        <f t="shared" si="72"/>
        <v>14015225</v>
      </c>
      <c r="AF405" s="6"/>
      <c r="AG405" s="6">
        <f t="shared" si="73"/>
        <v>16890684</v>
      </c>
    </row>
    <row r="406" spans="1:33" ht="12" customHeight="1">
      <c r="A406" s="10" t="s">
        <v>233</v>
      </c>
      <c r="B406" s="10"/>
      <c r="C406" s="10" t="s">
        <v>17</v>
      </c>
      <c r="D406" s="5"/>
      <c r="E406" s="6">
        <v>3120507</v>
      </c>
      <c r="G406" s="6">
        <v>2428655</v>
      </c>
      <c r="I406" s="6">
        <v>0</v>
      </c>
      <c r="K406" s="6">
        <f t="shared" si="71"/>
        <v>5549162</v>
      </c>
      <c r="M406" s="6">
        <v>10574816</v>
      </c>
      <c r="O406" s="6">
        <v>0</v>
      </c>
      <c r="Q406" s="6">
        <v>14648538</v>
      </c>
      <c r="S406" s="6">
        <v>27042</v>
      </c>
      <c r="U406" s="6">
        <v>0</v>
      </c>
      <c r="W406" s="6">
        <v>98373</v>
      </c>
      <c r="Y406" s="6">
        <f>55709+2023</f>
        <v>57732</v>
      </c>
      <c r="Z406" s="44"/>
      <c r="AA406" s="6">
        <v>0</v>
      </c>
      <c r="AC406" s="6">
        <v>0</v>
      </c>
      <c r="AE406" s="6">
        <f t="shared" si="72"/>
        <v>25406501</v>
      </c>
      <c r="AF406" s="6"/>
      <c r="AG406" s="6">
        <f t="shared" si="73"/>
        <v>30955663</v>
      </c>
    </row>
    <row r="407" spans="1:33" ht="12" hidden="1" customHeight="1">
      <c r="A407" s="10" t="s">
        <v>815</v>
      </c>
      <c r="B407" s="10"/>
      <c r="C407" s="10" t="s">
        <v>22</v>
      </c>
      <c r="E407" s="6">
        <v>0</v>
      </c>
      <c r="G407" s="6">
        <v>0</v>
      </c>
      <c r="I407" s="6">
        <v>0</v>
      </c>
      <c r="K407" s="6">
        <f t="shared" ref="K407:K448" si="74">SUM(E407:J407)</f>
        <v>0</v>
      </c>
      <c r="M407" s="6">
        <v>0</v>
      </c>
      <c r="O407" s="6">
        <v>0</v>
      </c>
      <c r="Q407" s="6">
        <v>0</v>
      </c>
      <c r="S407" s="6">
        <v>0</v>
      </c>
      <c r="U407" s="6">
        <v>0</v>
      </c>
      <c r="W407" s="6">
        <v>0</v>
      </c>
      <c r="Y407" s="6">
        <v>0</v>
      </c>
      <c r="Z407" s="44"/>
      <c r="AA407" s="6">
        <v>0</v>
      </c>
      <c r="AC407" s="6">
        <v>0</v>
      </c>
      <c r="AE407" s="6">
        <f t="shared" si="72"/>
        <v>0</v>
      </c>
      <c r="AF407" s="6"/>
      <c r="AG407" s="6">
        <f t="shared" si="73"/>
        <v>0</v>
      </c>
    </row>
    <row r="408" spans="1:33" ht="12" hidden="1" customHeight="1">
      <c r="A408" s="10" t="s">
        <v>816</v>
      </c>
      <c r="B408" s="10"/>
      <c r="C408" s="10" t="s">
        <v>451</v>
      </c>
      <c r="E408" s="6">
        <v>0</v>
      </c>
      <c r="G408" s="6">
        <v>0</v>
      </c>
      <c r="I408" s="6">
        <v>0</v>
      </c>
      <c r="K408" s="6">
        <f t="shared" si="74"/>
        <v>0</v>
      </c>
      <c r="M408" s="6">
        <v>0</v>
      </c>
      <c r="O408" s="6">
        <v>0</v>
      </c>
      <c r="Q408" s="6">
        <v>0</v>
      </c>
      <c r="S408" s="6">
        <v>0</v>
      </c>
      <c r="U408" s="6">
        <v>0</v>
      </c>
      <c r="W408" s="6">
        <v>0</v>
      </c>
      <c r="Y408" s="6">
        <v>0</v>
      </c>
      <c r="Z408" s="44"/>
      <c r="AA408" s="6">
        <v>0</v>
      </c>
      <c r="AC408" s="6">
        <v>0</v>
      </c>
      <c r="AE408" s="6">
        <f t="shared" ref="AE408" si="75">SUM(M408:AC408)</f>
        <v>0</v>
      </c>
      <c r="AF408" s="6"/>
      <c r="AG408" s="6">
        <f t="shared" ref="AG408" si="76">+AE408+K408</f>
        <v>0</v>
      </c>
    </row>
    <row r="409" spans="1:33" ht="12" customHeight="1">
      <c r="A409" s="10" t="s">
        <v>434</v>
      </c>
      <c r="B409" s="10"/>
      <c r="C409" s="10" t="s">
        <v>50</v>
      </c>
      <c r="E409" s="6">
        <v>3529377</v>
      </c>
      <c r="G409" s="6">
        <v>4692186</v>
      </c>
      <c r="I409" s="6">
        <v>0</v>
      </c>
      <c r="K409" s="6">
        <f t="shared" si="74"/>
        <v>8221563</v>
      </c>
      <c r="M409" s="6">
        <f>24460634+1397268+619183</f>
        <v>26477085</v>
      </c>
      <c r="O409" s="6">
        <v>0</v>
      </c>
      <c r="Q409" s="6">
        <f>22961490+29859589</f>
        <v>52821079</v>
      </c>
      <c r="S409" s="6">
        <v>11419</v>
      </c>
      <c r="U409" s="6">
        <v>300500</v>
      </c>
      <c r="W409" s="6">
        <v>100000</v>
      </c>
      <c r="Y409" s="6">
        <v>115660</v>
      </c>
      <c r="Z409" s="44"/>
      <c r="AA409" s="6">
        <v>0</v>
      </c>
      <c r="AC409" s="6">
        <v>0</v>
      </c>
      <c r="AE409" s="6">
        <f t="shared" ref="AE409:AE411" si="77">SUM(M409:AC409)</f>
        <v>79825743</v>
      </c>
      <c r="AF409" s="6"/>
      <c r="AG409" s="6">
        <f t="shared" si="73"/>
        <v>88047306</v>
      </c>
    </row>
    <row r="410" spans="1:33" ht="12" customHeight="1">
      <c r="A410" s="10" t="s">
        <v>442</v>
      </c>
      <c r="B410" s="10"/>
      <c r="C410" s="10" t="s">
        <v>78</v>
      </c>
      <c r="E410" s="6">
        <v>1155239</v>
      </c>
      <c r="G410" s="6">
        <v>1612876</v>
      </c>
      <c r="I410" s="6">
        <v>0</v>
      </c>
      <c r="K410" s="6">
        <f t="shared" si="74"/>
        <v>2768115</v>
      </c>
      <c r="M410" s="6">
        <f>3127603+68644+792792+53259</f>
        <v>4042298</v>
      </c>
      <c r="O410" s="6">
        <v>1429180</v>
      </c>
      <c r="Q410" s="6">
        <v>5082254</v>
      </c>
      <c r="S410" s="6">
        <v>7341</v>
      </c>
      <c r="U410" s="6">
        <v>0</v>
      </c>
      <c r="W410" s="6">
        <v>0</v>
      </c>
      <c r="Y410" s="6">
        <v>6836</v>
      </c>
      <c r="Z410" s="44"/>
      <c r="AA410" s="6">
        <v>0</v>
      </c>
      <c r="AC410" s="6">
        <v>0</v>
      </c>
      <c r="AE410" s="6">
        <f t="shared" si="77"/>
        <v>10567909</v>
      </c>
      <c r="AF410" s="6"/>
      <c r="AG410" s="6">
        <f t="shared" si="73"/>
        <v>13336024</v>
      </c>
    </row>
    <row r="411" spans="1:33" ht="12" customHeight="1">
      <c r="A411" s="10" t="s">
        <v>378</v>
      </c>
      <c r="B411" s="10"/>
      <c r="C411" s="11" t="s">
        <v>42</v>
      </c>
      <c r="E411" s="6">
        <v>1149986</v>
      </c>
      <c r="G411" s="6">
        <v>950413</v>
      </c>
      <c r="I411" s="6">
        <v>0</v>
      </c>
      <c r="K411" s="6">
        <f t="shared" si="74"/>
        <v>2100399</v>
      </c>
      <c r="M411" s="6">
        <f>6015965+712904+79362</f>
        <v>6808231</v>
      </c>
      <c r="O411" s="6">
        <v>204891</v>
      </c>
      <c r="Q411" s="6">
        <v>5000023</v>
      </c>
      <c r="S411" s="6">
        <v>8451</v>
      </c>
      <c r="U411" s="6">
        <v>0</v>
      </c>
      <c r="W411" s="6">
        <v>0</v>
      </c>
      <c r="Y411" s="6">
        <v>6351</v>
      </c>
      <c r="Z411" s="44"/>
      <c r="AA411" s="6">
        <v>0</v>
      </c>
      <c r="AC411" s="6">
        <v>0</v>
      </c>
      <c r="AE411" s="6">
        <f t="shared" si="77"/>
        <v>12027947</v>
      </c>
      <c r="AF411" s="6"/>
      <c r="AG411" s="6">
        <f t="shared" si="73"/>
        <v>14128346</v>
      </c>
    </row>
    <row r="412" spans="1:33" ht="12" customHeight="1">
      <c r="A412" s="10" t="s">
        <v>378</v>
      </c>
      <c r="B412" s="10"/>
      <c r="C412" s="11" t="s">
        <v>50</v>
      </c>
      <c r="E412" s="6">
        <v>2056754</v>
      </c>
      <c r="G412" s="6">
        <v>3524333</v>
      </c>
      <c r="I412" s="6">
        <v>54</v>
      </c>
      <c r="K412" s="6">
        <f t="shared" ref="K412" si="78">SUM(E412:J412)</f>
        <v>5581141</v>
      </c>
      <c r="M412" s="6">
        <f>6754063+428774</f>
        <v>7182837</v>
      </c>
      <c r="O412" s="6">
        <v>0</v>
      </c>
      <c r="Q412" s="6">
        <v>10556521</v>
      </c>
      <c r="S412" s="6">
        <v>87561</v>
      </c>
      <c r="U412" s="6">
        <v>0</v>
      </c>
      <c r="W412" s="6">
        <v>0</v>
      </c>
      <c r="Y412" s="6">
        <v>123277</v>
      </c>
      <c r="Z412" s="44"/>
      <c r="AA412" s="6">
        <v>0</v>
      </c>
      <c r="AC412" s="6">
        <v>0</v>
      </c>
      <c r="AE412" s="6">
        <f t="shared" ref="AE412" si="79">SUM(M412:AC412)</f>
        <v>17950196</v>
      </c>
      <c r="AF412" s="6"/>
      <c r="AG412" s="6">
        <f t="shared" si="73"/>
        <v>23531337</v>
      </c>
    </row>
    <row r="413" spans="1:33" ht="12" customHeight="1">
      <c r="A413" s="10" t="s">
        <v>327</v>
      </c>
      <c r="B413" s="10"/>
      <c r="C413" s="10" t="s">
        <v>32</v>
      </c>
      <c r="E413" s="6">
        <v>4915512</v>
      </c>
      <c r="G413" s="6">
        <v>10597997</v>
      </c>
      <c r="I413" s="6">
        <v>0</v>
      </c>
      <c r="K413" s="6">
        <f t="shared" si="74"/>
        <v>15513509</v>
      </c>
      <c r="M413" s="6">
        <v>40490616</v>
      </c>
      <c r="O413" s="6">
        <v>0</v>
      </c>
      <c r="Q413" s="6">
        <v>34579559</v>
      </c>
      <c r="S413" s="6">
        <v>157882</v>
      </c>
      <c r="U413" s="6">
        <v>3769607</v>
      </c>
      <c r="W413" s="6">
        <v>147731</v>
      </c>
      <c r="Y413" s="6">
        <v>781681</v>
      </c>
      <c r="Z413" s="44"/>
      <c r="AA413" s="6">
        <v>0</v>
      </c>
      <c r="AC413" s="6">
        <v>0</v>
      </c>
      <c r="AE413" s="6">
        <f t="shared" si="72"/>
        <v>79927076</v>
      </c>
      <c r="AF413" s="6"/>
      <c r="AG413" s="6">
        <f t="shared" si="73"/>
        <v>95440585</v>
      </c>
    </row>
    <row r="414" spans="1:33" ht="12" customHeight="1">
      <c r="A414" s="10" t="s">
        <v>597</v>
      </c>
      <c r="B414" s="10"/>
      <c r="C414" s="10" t="s">
        <v>59</v>
      </c>
      <c r="E414" s="6">
        <v>496791</v>
      </c>
      <c r="G414" s="6">
        <v>3035112</v>
      </c>
      <c r="I414" s="6">
        <v>0</v>
      </c>
      <c r="K414" s="6">
        <f t="shared" si="74"/>
        <v>3531903</v>
      </c>
      <c r="M414" s="6">
        <f>1846129+33088+46047</f>
        <v>1925264</v>
      </c>
      <c r="O414" s="6">
        <v>0</v>
      </c>
      <c r="Q414" s="6">
        <v>12965373</v>
      </c>
      <c r="S414" s="6">
        <v>1898</v>
      </c>
      <c r="U414" s="6">
        <v>0</v>
      </c>
      <c r="W414" s="6">
        <v>0</v>
      </c>
      <c r="Y414" s="6">
        <f>3016+51019</f>
        <v>54035</v>
      </c>
      <c r="Z414" s="44"/>
      <c r="AA414" s="6">
        <v>0</v>
      </c>
      <c r="AC414" s="6">
        <v>0</v>
      </c>
      <c r="AE414" s="6">
        <f t="shared" si="72"/>
        <v>14946570</v>
      </c>
      <c r="AF414" s="6"/>
      <c r="AG414" s="6">
        <f t="shared" si="73"/>
        <v>18478473</v>
      </c>
    </row>
    <row r="415" spans="1:33" ht="12" customHeight="1">
      <c r="A415" s="10" t="s">
        <v>327</v>
      </c>
      <c r="B415" s="10"/>
      <c r="C415" s="10" t="s">
        <v>62</v>
      </c>
      <c r="E415" s="6">
        <v>842392</v>
      </c>
      <c r="G415" s="6">
        <v>1801426</v>
      </c>
      <c r="I415" s="6">
        <v>363</v>
      </c>
      <c r="K415" s="6">
        <f t="shared" si="74"/>
        <v>2644181</v>
      </c>
      <c r="M415" s="6">
        <f>5927182+1111727+192945+139559</f>
        <v>7371413</v>
      </c>
      <c r="O415" s="6">
        <v>2096753</v>
      </c>
      <c r="Q415" s="6">
        <v>9316317</v>
      </c>
      <c r="S415" s="6">
        <v>14409</v>
      </c>
      <c r="U415" s="6">
        <v>0</v>
      </c>
      <c r="W415" s="6">
        <v>0</v>
      </c>
      <c r="Y415" s="6">
        <v>53484</v>
      </c>
      <c r="Z415" s="44"/>
      <c r="AA415" s="6">
        <v>0</v>
      </c>
      <c r="AC415" s="6">
        <v>0</v>
      </c>
      <c r="AE415" s="6">
        <f t="shared" ref="AE415:AE419" si="80">SUM(M415:AC415)</f>
        <v>18852376</v>
      </c>
      <c r="AF415" s="6"/>
      <c r="AG415" s="6">
        <f t="shared" si="73"/>
        <v>21496557</v>
      </c>
    </row>
    <row r="416" spans="1:33" ht="12" customHeight="1">
      <c r="A416" s="10" t="s">
        <v>234</v>
      </c>
      <c r="B416" s="10"/>
      <c r="C416" s="10" t="s">
        <v>17</v>
      </c>
      <c r="D416" s="5"/>
      <c r="E416" s="6">
        <v>2177686</v>
      </c>
      <c r="G416" s="6">
        <v>1102155</v>
      </c>
      <c r="I416" s="6">
        <v>0</v>
      </c>
      <c r="K416" s="6">
        <f t="shared" si="74"/>
        <v>3279841</v>
      </c>
      <c r="M416" s="6">
        <f>5231141+1210030+178382</f>
        <v>6619553</v>
      </c>
      <c r="O416" s="6">
        <v>1887213</v>
      </c>
      <c r="Q416" s="6">
        <f>8296475+5929194</f>
        <v>14225669</v>
      </c>
      <c r="S416" s="6">
        <v>114472</v>
      </c>
      <c r="U416" s="6">
        <v>0</v>
      </c>
      <c r="W416" s="6">
        <v>0</v>
      </c>
      <c r="Y416" s="6">
        <v>108187</v>
      </c>
      <c r="Z416" s="44"/>
      <c r="AA416" s="6">
        <v>0</v>
      </c>
      <c r="AC416" s="6">
        <v>0</v>
      </c>
      <c r="AE416" s="6">
        <f t="shared" si="80"/>
        <v>22955094</v>
      </c>
      <c r="AF416" s="6"/>
      <c r="AG416" s="6">
        <f t="shared" si="73"/>
        <v>26234935</v>
      </c>
    </row>
    <row r="417" spans="1:33" ht="12" hidden="1" customHeight="1">
      <c r="A417" s="10" t="s">
        <v>739</v>
      </c>
      <c r="B417" s="10"/>
      <c r="C417" s="10" t="s">
        <v>71</v>
      </c>
      <c r="D417" s="5"/>
      <c r="E417" s="6">
        <v>0</v>
      </c>
      <c r="G417" s="6">
        <v>0</v>
      </c>
      <c r="I417" s="6">
        <v>0</v>
      </c>
      <c r="M417" s="6">
        <v>0</v>
      </c>
      <c r="O417" s="6">
        <v>0</v>
      </c>
      <c r="Q417" s="6">
        <v>0</v>
      </c>
      <c r="S417" s="6">
        <v>0</v>
      </c>
      <c r="U417" s="6">
        <v>0</v>
      </c>
      <c r="W417" s="6">
        <v>0</v>
      </c>
      <c r="Y417" s="6">
        <v>0</v>
      </c>
      <c r="Z417" s="44"/>
      <c r="AA417" s="6">
        <v>0</v>
      </c>
      <c r="AC417" s="6">
        <v>0</v>
      </c>
      <c r="AE417" s="6">
        <f t="shared" si="80"/>
        <v>0</v>
      </c>
      <c r="AF417" s="6"/>
    </row>
    <row r="418" spans="1:33" ht="12" hidden="1" customHeight="1">
      <c r="A418" s="10" t="s">
        <v>882</v>
      </c>
      <c r="B418" s="10"/>
      <c r="C418" s="10" t="s">
        <v>72</v>
      </c>
      <c r="E418" s="6">
        <v>0</v>
      </c>
      <c r="G418" s="6">
        <v>0</v>
      </c>
      <c r="I418" s="6">
        <v>0</v>
      </c>
      <c r="K418" s="6">
        <f t="shared" si="74"/>
        <v>0</v>
      </c>
      <c r="M418" s="6">
        <v>0</v>
      </c>
      <c r="O418" s="6">
        <v>0</v>
      </c>
      <c r="Q418" s="6">
        <v>0</v>
      </c>
      <c r="S418" s="6">
        <v>0</v>
      </c>
      <c r="U418" s="6">
        <v>0</v>
      </c>
      <c r="W418" s="6">
        <v>0</v>
      </c>
      <c r="Y418" s="6">
        <v>0</v>
      </c>
      <c r="Z418" s="44"/>
      <c r="AA418" s="6">
        <v>0</v>
      </c>
      <c r="AC418" s="6">
        <v>0</v>
      </c>
      <c r="AE418" s="6">
        <f t="shared" si="80"/>
        <v>0</v>
      </c>
      <c r="AF418" s="6"/>
      <c r="AG418" s="6">
        <f t="shared" si="73"/>
        <v>0</v>
      </c>
    </row>
    <row r="419" spans="1:33" ht="12" customHeight="1">
      <c r="A419" s="10" t="s">
        <v>512</v>
      </c>
      <c r="B419" s="10"/>
      <c r="C419" s="10" t="s">
        <v>63</v>
      </c>
      <c r="E419" s="6">
        <v>4864762</v>
      </c>
      <c r="G419" s="6">
        <v>2014229</v>
      </c>
      <c r="I419" s="6">
        <v>0</v>
      </c>
      <c r="K419" s="6">
        <f t="shared" si="74"/>
        <v>6878991</v>
      </c>
      <c r="M419" s="6">
        <f>7479962+532502</f>
        <v>8012464</v>
      </c>
      <c r="O419" s="6">
        <v>0</v>
      </c>
      <c r="Q419" s="6">
        <v>8361228</v>
      </c>
      <c r="S419" s="6">
        <v>12262</v>
      </c>
      <c r="U419" s="6">
        <v>0</v>
      </c>
      <c r="W419" s="6">
        <v>0</v>
      </c>
      <c r="Y419" s="6">
        <v>38460</v>
      </c>
      <c r="Z419" s="44"/>
      <c r="AA419" s="6">
        <v>0</v>
      </c>
      <c r="AC419" s="6">
        <v>0</v>
      </c>
      <c r="AE419" s="6">
        <f t="shared" si="80"/>
        <v>16424414</v>
      </c>
      <c r="AF419" s="6"/>
      <c r="AG419" s="6">
        <f t="shared" si="73"/>
        <v>23303405</v>
      </c>
    </row>
    <row r="420" spans="1:33" ht="12" customHeight="1">
      <c r="A420" s="10" t="s">
        <v>358</v>
      </c>
      <c r="B420" s="10"/>
      <c r="C420" s="10" t="s">
        <v>37</v>
      </c>
      <c r="E420" s="6">
        <v>1688735</v>
      </c>
      <c r="G420" s="6">
        <v>3138079</v>
      </c>
      <c r="I420" s="6">
        <v>175580</v>
      </c>
      <c r="K420" s="6">
        <f t="shared" si="74"/>
        <v>5002394</v>
      </c>
      <c r="M420" s="6">
        <f>5939449+960763+382619</f>
        <v>7282831</v>
      </c>
      <c r="O420" s="6">
        <v>1788511</v>
      </c>
      <c r="Q420" s="6">
        <v>12969574</v>
      </c>
      <c r="S420" s="6">
        <v>64635</v>
      </c>
      <c r="U420" s="6">
        <v>0</v>
      </c>
      <c r="W420" s="6">
        <v>0</v>
      </c>
      <c r="Y420" s="6">
        <v>103621</v>
      </c>
      <c r="Z420" s="44"/>
      <c r="AA420" s="6">
        <v>0</v>
      </c>
      <c r="AC420" s="6">
        <v>0</v>
      </c>
      <c r="AE420" s="6">
        <f t="shared" si="72"/>
        <v>22209172</v>
      </c>
      <c r="AF420" s="6"/>
      <c r="AG420" s="6">
        <f t="shared" si="73"/>
        <v>27211566</v>
      </c>
    </row>
    <row r="421" spans="1:33" ht="12" hidden="1" customHeight="1">
      <c r="A421" s="10" t="s">
        <v>817</v>
      </c>
      <c r="B421" s="10"/>
      <c r="C421" s="10" t="s">
        <v>71</v>
      </c>
      <c r="E421" s="6">
        <v>0</v>
      </c>
      <c r="G421" s="6">
        <v>0</v>
      </c>
      <c r="I421" s="6">
        <v>0</v>
      </c>
      <c r="K421" s="6">
        <f t="shared" ref="K421" si="81">SUM(E421:J421)</f>
        <v>0</v>
      </c>
      <c r="M421" s="6">
        <v>0</v>
      </c>
      <c r="O421" s="6">
        <v>0</v>
      </c>
      <c r="Q421" s="6">
        <v>0</v>
      </c>
      <c r="S421" s="6">
        <v>0</v>
      </c>
      <c r="U421" s="6">
        <v>0</v>
      </c>
      <c r="W421" s="6">
        <v>0</v>
      </c>
      <c r="Y421" s="6">
        <v>0</v>
      </c>
      <c r="Z421" s="44"/>
      <c r="AA421" s="6">
        <v>0</v>
      </c>
      <c r="AC421" s="6">
        <v>0</v>
      </c>
      <c r="AE421" s="6">
        <f t="shared" ref="AE421" si="82">SUM(M421:AC421)</f>
        <v>0</v>
      </c>
      <c r="AF421" s="6"/>
      <c r="AG421" s="6">
        <f t="shared" ref="AG421" si="83">+AE421+K421</f>
        <v>0</v>
      </c>
    </row>
    <row r="422" spans="1:33" ht="12" customHeight="1">
      <c r="A422" s="10" t="s">
        <v>631</v>
      </c>
      <c r="B422" s="10"/>
      <c r="C422" s="10" t="s">
        <v>32</v>
      </c>
      <c r="E422" s="6">
        <v>718854</v>
      </c>
      <c r="G422" s="6">
        <v>3069670</v>
      </c>
      <c r="I422" s="6">
        <v>400000</v>
      </c>
      <c r="K422" s="6">
        <f t="shared" si="74"/>
        <v>4188524</v>
      </c>
      <c r="M422" s="6">
        <v>14607648</v>
      </c>
      <c r="O422" s="6">
        <v>0</v>
      </c>
      <c r="Q422" s="6">
        <v>10919697</v>
      </c>
      <c r="S422" s="6">
        <v>3671</v>
      </c>
      <c r="U422" s="6">
        <v>382953</v>
      </c>
      <c r="W422" s="6">
        <v>183443</v>
      </c>
      <c r="Y422" s="6">
        <v>258446</v>
      </c>
      <c r="Z422" s="44"/>
      <c r="AA422" s="6">
        <v>0</v>
      </c>
      <c r="AC422" s="6">
        <v>0</v>
      </c>
      <c r="AE422" s="6">
        <f t="shared" si="72"/>
        <v>26355858</v>
      </c>
      <c r="AF422" s="6"/>
      <c r="AG422" s="6">
        <f t="shared" si="73"/>
        <v>30544382</v>
      </c>
    </row>
    <row r="423" spans="1:33" ht="12" hidden="1" customHeight="1">
      <c r="A423" s="10" t="s">
        <v>738</v>
      </c>
      <c r="B423" s="10"/>
      <c r="C423" s="10" t="s">
        <v>38</v>
      </c>
      <c r="E423" s="6">
        <v>0</v>
      </c>
      <c r="G423" s="6">
        <v>0</v>
      </c>
      <c r="I423" s="6">
        <v>0</v>
      </c>
      <c r="M423" s="6">
        <v>0</v>
      </c>
      <c r="O423" s="6">
        <v>0</v>
      </c>
      <c r="Q423" s="6">
        <v>0</v>
      </c>
      <c r="S423" s="6">
        <v>0</v>
      </c>
      <c r="U423" s="6">
        <v>0</v>
      </c>
      <c r="W423" s="6">
        <v>0</v>
      </c>
      <c r="Y423" s="6">
        <v>0</v>
      </c>
      <c r="Z423" s="44"/>
      <c r="AA423" s="6">
        <v>0</v>
      </c>
      <c r="AC423" s="6">
        <v>0</v>
      </c>
      <c r="AE423" s="6">
        <f t="shared" si="72"/>
        <v>0</v>
      </c>
      <c r="AF423" s="6"/>
    </row>
    <row r="424" spans="1:33" ht="12" customHeight="1">
      <c r="A424" s="10" t="s">
        <v>328</v>
      </c>
      <c r="B424" s="10"/>
      <c r="C424" s="10" t="s">
        <v>32</v>
      </c>
      <c r="E424" s="6">
        <v>4824726</v>
      </c>
      <c r="G424" s="6">
        <v>8032996</v>
      </c>
      <c r="I424" s="6">
        <v>0</v>
      </c>
      <c r="K424" s="6">
        <f t="shared" si="74"/>
        <v>12857722</v>
      </c>
      <c r="M424" s="6">
        <f>21255588+2574878+4174592</f>
        <v>28005058</v>
      </c>
      <c r="O424" s="6">
        <v>0</v>
      </c>
      <c r="Q424" s="6">
        <v>26470882</v>
      </c>
      <c r="S424" s="6">
        <v>28397</v>
      </c>
      <c r="U424" s="6">
        <v>9619710</v>
      </c>
      <c r="W424" s="6">
        <v>155153</v>
      </c>
      <c r="Y424" s="6">
        <v>293441</v>
      </c>
      <c r="Z424" s="44"/>
      <c r="AA424" s="6">
        <v>0</v>
      </c>
      <c r="AC424" s="6">
        <v>0</v>
      </c>
      <c r="AE424" s="6">
        <f t="shared" si="72"/>
        <v>64572641</v>
      </c>
      <c r="AF424" s="6"/>
      <c r="AG424" s="6">
        <f t="shared" si="73"/>
        <v>77430363</v>
      </c>
    </row>
    <row r="425" spans="1:33" ht="12" customHeight="1">
      <c r="A425" s="10" t="s">
        <v>435</v>
      </c>
      <c r="B425" s="10"/>
      <c r="C425" s="10" t="s">
        <v>50</v>
      </c>
      <c r="E425" s="6">
        <v>1071894</v>
      </c>
      <c r="G425" s="6">
        <v>1447428</v>
      </c>
      <c r="I425" s="6">
        <v>0</v>
      </c>
      <c r="K425" s="6">
        <f t="shared" si="74"/>
        <v>2519322</v>
      </c>
      <c r="M425" s="6">
        <f>14054315+466860+1792487</f>
        <v>16313662</v>
      </c>
      <c r="O425" s="6">
        <v>0</v>
      </c>
      <c r="Q425" s="6">
        <v>7339837</v>
      </c>
      <c r="S425" s="6">
        <v>22849</v>
      </c>
      <c r="U425" s="6">
        <v>0</v>
      </c>
      <c r="W425" s="6">
        <v>0</v>
      </c>
      <c r="Y425" s="6">
        <v>107227</v>
      </c>
      <c r="Z425" s="44"/>
      <c r="AA425" s="6">
        <v>0</v>
      </c>
      <c r="AC425" s="6">
        <v>0</v>
      </c>
      <c r="AE425" s="6">
        <f t="shared" si="72"/>
        <v>23783575</v>
      </c>
      <c r="AF425" s="6"/>
      <c r="AG425" s="6">
        <f t="shared" si="73"/>
        <v>26302897</v>
      </c>
    </row>
    <row r="426" spans="1:33" ht="12" customHeight="1">
      <c r="A426" s="10" t="s">
        <v>389</v>
      </c>
      <c r="B426" s="10"/>
      <c r="C426" s="10" t="s">
        <v>44</v>
      </c>
      <c r="E426" s="6">
        <v>598750</v>
      </c>
      <c r="G426" s="6">
        <v>1783759</v>
      </c>
      <c r="I426" s="6">
        <v>0</v>
      </c>
      <c r="K426" s="6">
        <f t="shared" si="74"/>
        <v>2382509</v>
      </c>
      <c r="M426" s="6">
        <f>4405466+323957+235871</f>
        <v>4965294</v>
      </c>
      <c r="O426" s="6">
        <v>3720958</v>
      </c>
      <c r="Q426" s="6">
        <v>4234687</v>
      </c>
      <c r="S426" s="6">
        <v>718</v>
      </c>
      <c r="U426" s="6">
        <v>0</v>
      </c>
      <c r="W426" s="6">
        <v>0</v>
      </c>
      <c r="Y426" s="6">
        <v>268179</v>
      </c>
      <c r="Z426" s="44"/>
      <c r="AA426" s="6">
        <v>0</v>
      </c>
      <c r="AC426" s="6">
        <v>0</v>
      </c>
      <c r="AE426" s="6">
        <f t="shared" si="72"/>
        <v>13189836</v>
      </c>
      <c r="AF426" s="6"/>
      <c r="AG426" s="6">
        <f t="shared" si="73"/>
        <v>15572345</v>
      </c>
    </row>
    <row r="427" spans="1:33" ht="12" hidden="1" customHeight="1">
      <c r="A427" s="11" t="s">
        <v>614</v>
      </c>
      <c r="B427" s="10"/>
      <c r="C427" s="10" t="s">
        <v>60</v>
      </c>
      <c r="E427" s="6">
        <v>0</v>
      </c>
      <c r="G427" s="6">
        <v>0</v>
      </c>
      <c r="I427" s="6">
        <v>0</v>
      </c>
      <c r="K427" s="6">
        <f t="shared" si="74"/>
        <v>0</v>
      </c>
      <c r="M427" s="6">
        <v>0</v>
      </c>
      <c r="O427" s="6">
        <v>0</v>
      </c>
      <c r="Q427" s="6">
        <v>0</v>
      </c>
      <c r="S427" s="6">
        <v>0</v>
      </c>
      <c r="U427" s="6">
        <v>0</v>
      </c>
      <c r="W427" s="6">
        <v>0</v>
      </c>
      <c r="Y427" s="6">
        <v>0</v>
      </c>
      <c r="Z427" s="44"/>
      <c r="AA427" s="6">
        <v>0</v>
      </c>
      <c r="AC427" s="6">
        <v>0</v>
      </c>
      <c r="AE427" s="6">
        <f t="shared" si="72"/>
        <v>0</v>
      </c>
      <c r="AF427" s="6"/>
      <c r="AG427" s="6">
        <f t="shared" si="73"/>
        <v>0</v>
      </c>
    </row>
    <row r="428" spans="1:33" ht="12" customHeight="1">
      <c r="A428" s="10" t="s">
        <v>284</v>
      </c>
      <c r="B428" s="10"/>
      <c r="C428" s="10" t="s">
        <v>23</v>
      </c>
      <c r="E428" s="6">
        <v>10112508</v>
      </c>
      <c r="G428" s="6">
        <v>5537182</v>
      </c>
      <c r="I428" s="6">
        <v>0</v>
      </c>
      <c r="K428" s="6">
        <f t="shared" si="74"/>
        <v>15649690</v>
      </c>
      <c r="M428" s="6">
        <v>146530622</v>
      </c>
      <c r="O428" s="6">
        <v>0</v>
      </c>
      <c r="Q428" s="6">
        <v>26184272</v>
      </c>
      <c r="S428" s="6">
        <v>318524</v>
      </c>
      <c r="U428" s="6">
        <v>11507041</v>
      </c>
      <c r="W428" s="6">
        <v>0</v>
      </c>
      <c r="Y428" s="6">
        <v>637852</v>
      </c>
      <c r="Z428" s="44"/>
      <c r="AA428" s="6">
        <v>0</v>
      </c>
      <c r="AC428" s="6">
        <v>0</v>
      </c>
      <c r="AE428" s="6">
        <f t="shared" si="72"/>
        <v>185178311</v>
      </c>
      <c r="AF428" s="6"/>
      <c r="AG428" s="6">
        <f t="shared" si="73"/>
        <v>200828001</v>
      </c>
    </row>
    <row r="429" spans="1:33" ht="12" customHeight="1">
      <c r="A429" s="10" t="s">
        <v>273</v>
      </c>
      <c r="B429" s="10"/>
      <c r="C429" s="10" t="s">
        <v>20</v>
      </c>
      <c r="E429" s="6">
        <v>2180382</v>
      </c>
      <c r="G429" s="6">
        <v>1973534</v>
      </c>
      <c r="I429" s="6">
        <v>0</v>
      </c>
      <c r="K429" s="6">
        <f t="shared" si="74"/>
        <v>4153916</v>
      </c>
      <c r="M429" s="6">
        <f>22548726+190563+2016499+1021219</f>
        <v>25777007</v>
      </c>
      <c r="O429" s="6">
        <v>0</v>
      </c>
      <c r="Q429" s="6">
        <v>14673950</v>
      </c>
      <c r="S429" s="6">
        <v>42046</v>
      </c>
      <c r="U429" s="6">
        <v>0</v>
      </c>
      <c r="W429" s="6">
        <v>0</v>
      </c>
      <c r="Y429" s="6">
        <v>0</v>
      </c>
      <c r="Z429" s="44"/>
      <c r="AA429" s="6">
        <v>0</v>
      </c>
      <c r="AC429" s="6">
        <v>0</v>
      </c>
      <c r="AE429" s="6">
        <f t="shared" si="72"/>
        <v>40493003</v>
      </c>
      <c r="AF429" s="6"/>
      <c r="AG429" s="6">
        <f t="shared" si="73"/>
        <v>44646919</v>
      </c>
    </row>
    <row r="430" spans="1:33" ht="12" customHeight="1">
      <c r="A430" s="10" t="s">
        <v>470</v>
      </c>
      <c r="B430" s="10"/>
      <c r="C430" s="10" t="s">
        <v>110</v>
      </c>
      <c r="E430" s="6">
        <v>1898082</v>
      </c>
      <c r="G430" s="6">
        <v>924824</v>
      </c>
      <c r="I430" s="6">
        <v>159300</v>
      </c>
      <c r="K430" s="6">
        <f t="shared" si="74"/>
        <v>2982206</v>
      </c>
      <c r="M430" s="6">
        <f>8289885+1149465+241703</f>
        <v>9681053</v>
      </c>
      <c r="O430" s="6">
        <v>0</v>
      </c>
      <c r="Q430" s="6">
        <v>5562994</v>
      </c>
      <c r="S430" s="6">
        <v>44289</v>
      </c>
      <c r="U430" s="6">
        <v>34696</v>
      </c>
      <c r="W430" s="6">
        <v>0</v>
      </c>
      <c r="Y430" s="6">
        <v>26099</v>
      </c>
      <c r="Z430" s="44"/>
      <c r="AA430" s="6">
        <v>0</v>
      </c>
      <c r="AC430" s="6">
        <v>0</v>
      </c>
      <c r="AE430" s="6">
        <f t="shared" si="72"/>
        <v>15349131</v>
      </c>
      <c r="AF430" s="6"/>
      <c r="AG430" s="6">
        <f t="shared" si="73"/>
        <v>18331337</v>
      </c>
    </row>
    <row r="431" spans="1:33" ht="12" customHeight="1">
      <c r="A431" s="10" t="s">
        <v>274</v>
      </c>
      <c r="B431" s="10"/>
      <c r="C431" s="10" t="s">
        <v>20</v>
      </c>
      <c r="E431" s="6">
        <v>4050111</v>
      </c>
      <c r="G431" s="6">
        <v>1946204</v>
      </c>
      <c r="I431" s="6">
        <v>0</v>
      </c>
      <c r="K431" s="6">
        <f t="shared" si="74"/>
        <v>5996315</v>
      </c>
      <c r="M431" s="6">
        <f>37410095+2354901+530506</f>
        <v>40295502</v>
      </c>
      <c r="O431" s="6">
        <v>0</v>
      </c>
      <c r="Q431" s="6">
        <v>8146313</v>
      </c>
      <c r="S431" s="6">
        <v>317792</v>
      </c>
      <c r="U431" s="6">
        <v>0</v>
      </c>
      <c r="W431" s="6">
        <v>0</v>
      </c>
      <c r="Y431" s="6">
        <v>17154</v>
      </c>
      <c r="Z431" s="44"/>
      <c r="AA431" s="6">
        <v>0</v>
      </c>
      <c r="AC431" s="6">
        <v>0</v>
      </c>
      <c r="AE431" s="6">
        <f t="shared" si="72"/>
        <v>48776761</v>
      </c>
      <c r="AF431" s="6"/>
      <c r="AG431" s="6">
        <f t="shared" si="73"/>
        <v>54773076</v>
      </c>
    </row>
    <row r="432" spans="1:33" ht="12" customHeight="1">
      <c r="A432" s="10" t="s">
        <v>391</v>
      </c>
      <c r="B432" s="10"/>
      <c r="C432" s="10" t="s">
        <v>115</v>
      </c>
      <c r="E432" s="6">
        <v>2783219</v>
      </c>
      <c r="G432" s="6">
        <v>4437593</v>
      </c>
      <c r="I432" s="6">
        <v>0</v>
      </c>
      <c r="K432" s="6">
        <f t="shared" si="74"/>
        <v>7220812</v>
      </c>
      <c r="M432" s="6">
        <f>17505327+2002425+821718</f>
        <v>20329470</v>
      </c>
      <c r="O432" s="6">
        <v>0</v>
      </c>
      <c r="Q432" s="6">
        <v>16415338</v>
      </c>
      <c r="S432" s="6">
        <v>53347</v>
      </c>
      <c r="U432" s="6">
        <v>187454</v>
      </c>
      <c r="W432" s="6">
        <v>0</v>
      </c>
      <c r="Y432" s="6">
        <v>67496</v>
      </c>
      <c r="Z432" s="44"/>
      <c r="AA432" s="6">
        <v>0</v>
      </c>
      <c r="AC432" s="6">
        <v>0</v>
      </c>
      <c r="AE432" s="6">
        <f t="shared" si="72"/>
        <v>37053105</v>
      </c>
      <c r="AF432" s="6"/>
      <c r="AG432" s="6">
        <f t="shared" si="73"/>
        <v>44273917</v>
      </c>
    </row>
    <row r="433" spans="1:33" ht="12" hidden="1" customHeight="1">
      <c r="A433" s="10" t="s">
        <v>818</v>
      </c>
      <c r="B433" s="10"/>
      <c r="C433" s="10" t="s">
        <v>71</v>
      </c>
      <c r="E433" s="6">
        <v>0</v>
      </c>
      <c r="G433" s="6">
        <v>0</v>
      </c>
      <c r="I433" s="6">
        <v>0</v>
      </c>
      <c r="K433" s="6">
        <f t="shared" si="74"/>
        <v>0</v>
      </c>
      <c r="M433" s="6">
        <v>0</v>
      </c>
      <c r="O433" s="6">
        <v>0</v>
      </c>
      <c r="Q433" s="6">
        <v>0</v>
      </c>
      <c r="S433" s="6">
        <v>0</v>
      </c>
      <c r="U433" s="6">
        <v>0</v>
      </c>
      <c r="W433" s="6">
        <v>0</v>
      </c>
      <c r="Y433" s="6">
        <v>0</v>
      </c>
      <c r="Z433" s="44"/>
      <c r="AA433" s="6">
        <v>0</v>
      </c>
      <c r="AC433" s="6">
        <v>0</v>
      </c>
      <c r="AE433" s="6">
        <f t="shared" si="72"/>
        <v>0</v>
      </c>
      <c r="AF433" s="6"/>
      <c r="AG433" s="6">
        <f t="shared" si="73"/>
        <v>0</v>
      </c>
    </row>
    <row r="434" spans="1:33" ht="12" hidden="1" customHeight="1">
      <c r="A434" s="10" t="s">
        <v>883</v>
      </c>
      <c r="B434" s="10"/>
      <c r="C434" s="10" t="s">
        <v>62</v>
      </c>
      <c r="E434" s="6">
        <v>0</v>
      </c>
      <c r="G434" s="6">
        <v>0</v>
      </c>
      <c r="I434" s="6">
        <v>0</v>
      </c>
      <c r="K434" s="6">
        <f t="shared" si="74"/>
        <v>0</v>
      </c>
      <c r="M434" s="6">
        <v>0</v>
      </c>
      <c r="O434" s="6">
        <v>0</v>
      </c>
      <c r="Q434" s="6">
        <v>0</v>
      </c>
      <c r="S434" s="6">
        <v>0</v>
      </c>
      <c r="U434" s="6">
        <v>0</v>
      </c>
      <c r="W434" s="6">
        <v>0</v>
      </c>
      <c r="Y434" s="6">
        <v>0</v>
      </c>
      <c r="Z434" s="44"/>
      <c r="AA434" s="6">
        <v>0</v>
      </c>
      <c r="AC434" s="6">
        <v>0</v>
      </c>
      <c r="AE434" s="6">
        <f t="shared" si="72"/>
        <v>0</v>
      </c>
      <c r="AF434" s="6"/>
      <c r="AG434" s="6">
        <f t="shared" si="73"/>
        <v>0</v>
      </c>
    </row>
    <row r="435" spans="1:33" ht="12" customHeight="1">
      <c r="A435" s="10" t="s">
        <v>557</v>
      </c>
      <c r="B435" s="10"/>
      <c r="C435" s="10" t="s">
        <v>72</v>
      </c>
      <c r="E435" s="6">
        <v>1049167</v>
      </c>
      <c r="G435" s="6">
        <v>1759740</v>
      </c>
      <c r="I435" s="6">
        <v>4337</v>
      </c>
      <c r="K435" s="6">
        <f t="shared" si="74"/>
        <v>2813244</v>
      </c>
      <c r="M435" s="6">
        <f>3592983+938019+85267</f>
        <v>4616269</v>
      </c>
      <c r="O435" s="6">
        <v>2377577</v>
      </c>
      <c r="Q435" s="6">
        <v>5649784</v>
      </c>
      <c r="S435" s="6">
        <v>12623</v>
      </c>
      <c r="U435" s="6">
        <v>0</v>
      </c>
      <c r="W435" s="6">
        <v>7427</v>
      </c>
      <c r="Y435" s="6">
        <v>133195</v>
      </c>
      <c r="Z435" s="44"/>
      <c r="AA435" s="6">
        <v>0</v>
      </c>
      <c r="AC435" s="6">
        <v>0</v>
      </c>
      <c r="AE435" s="6">
        <f t="shared" si="72"/>
        <v>12796875</v>
      </c>
      <c r="AF435" s="6"/>
      <c r="AG435" s="6">
        <f t="shared" si="73"/>
        <v>15610119</v>
      </c>
    </row>
    <row r="436" spans="1:33" ht="12" customHeight="1">
      <c r="A436" s="10" t="s">
        <v>392</v>
      </c>
      <c r="B436" s="10"/>
      <c r="C436" s="10" t="s">
        <v>115</v>
      </c>
      <c r="E436" s="6">
        <v>343074</v>
      </c>
      <c r="G436" s="6">
        <v>621281</v>
      </c>
      <c r="I436" s="6">
        <v>0</v>
      </c>
      <c r="K436" s="6">
        <f t="shared" si="74"/>
        <v>964355</v>
      </c>
      <c r="M436" s="6">
        <f>9639569+404301+453642</f>
        <v>10497512</v>
      </c>
      <c r="O436" s="6">
        <v>0</v>
      </c>
      <c r="Q436" s="6">
        <v>3232554</v>
      </c>
      <c r="S436" s="6">
        <v>6383</v>
      </c>
      <c r="U436" s="6">
        <v>0</v>
      </c>
      <c r="W436" s="6">
        <v>0</v>
      </c>
      <c r="Y436" s="6">
        <v>125892</v>
      </c>
      <c r="Z436" s="44"/>
      <c r="AA436" s="6">
        <v>0</v>
      </c>
      <c r="AC436" s="6">
        <v>0</v>
      </c>
      <c r="AE436" s="6">
        <f t="shared" si="72"/>
        <v>13862341</v>
      </c>
      <c r="AF436" s="6"/>
      <c r="AG436" s="6">
        <f t="shared" si="73"/>
        <v>14826696</v>
      </c>
    </row>
    <row r="437" spans="1:33" ht="12" hidden="1" customHeight="1">
      <c r="A437" s="11" t="s">
        <v>710</v>
      </c>
      <c r="B437" s="10"/>
      <c r="C437" s="10" t="s">
        <v>467</v>
      </c>
      <c r="E437" s="6">
        <v>0</v>
      </c>
      <c r="G437" s="6">
        <v>0</v>
      </c>
      <c r="I437" s="6">
        <v>0</v>
      </c>
      <c r="K437" s="6">
        <f t="shared" si="74"/>
        <v>0</v>
      </c>
      <c r="M437" s="6">
        <v>0</v>
      </c>
      <c r="O437" s="6">
        <v>0</v>
      </c>
      <c r="Q437" s="6">
        <v>0</v>
      </c>
      <c r="S437" s="6">
        <v>0</v>
      </c>
      <c r="U437" s="6">
        <v>0</v>
      </c>
      <c r="W437" s="6">
        <v>0</v>
      </c>
      <c r="Y437" s="6">
        <v>0</v>
      </c>
      <c r="Z437" s="44"/>
      <c r="AA437" s="6">
        <v>0</v>
      </c>
      <c r="AC437" s="6">
        <v>0</v>
      </c>
      <c r="AE437" s="6">
        <f t="shared" si="72"/>
        <v>0</v>
      </c>
      <c r="AF437" s="6"/>
      <c r="AG437" s="6">
        <f t="shared" si="73"/>
        <v>0</v>
      </c>
    </row>
    <row r="438" spans="1:33" ht="12" hidden="1" customHeight="1">
      <c r="A438" s="11" t="s">
        <v>819</v>
      </c>
      <c r="B438" s="10"/>
      <c r="C438" s="10" t="s">
        <v>467</v>
      </c>
      <c r="E438" s="6">
        <v>0</v>
      </c>
      <c r="G438" s="6">
        <v>0</v>
      </c>
      <c r="I438" s="6">
        <v>0</v>
      </c>
      <c r="K438" s="6">
        <f t="shared" si="74"/>
        <v>0</v>
      </c>
      <c r="M438" s="6">
        <v>0</v>
      </c>
      <c r="O438" s="6">
        <v>0</v>
      </c>
      <c r="Q438" s="6">
        <v>0</v>
      </c>
      <c r="S438" s="6">
        <v>0</v>
      </c>
      <c r="U438" s="6">
        <v>0</v>
      </c>
      <c r="W438" s="6">
        <v>0</v>
      </c>
      <c r="Y438" s="6">
        <v>0</v>
      </c>
      <c r="Z438" s="44"/>
      <c r="AA438" s="6">
        <v>0</v>
      </c>
      <c r="AC438" s="6">
        <v>0</v>
      </c>
      <c r="AE438" s="6">
        <f t="shared" si="72"/>
        <v>0</v>
      </c>
      <c r="AF438" s="6"/>
      <c r="AG438" s="6">
        <f t="shared" si="73"/>
        <v>0</v>
      </c>
    </row>
    <row r="439" spans="1:33" ht="12" hidden="1" customHeight="1">
      <c r="A439" s="10" t="s">
        <v>820</v>
      </c>
      <c r="B439" s="10"/>
      <c r="C439" s="10" t="s">
        <v>41</v>
      </c>
      <c r="E439" s="6">
        <v>0</v>
      </c>
      <c r="G439" s="6">
        <v>0</v>
      </c>
      <c r="I439" s="6">
        <v>0</v>
      </c>
      <c r="K439" s="6">
        <f t="shared" si="74"/>
        <v>0</v>
      </c>
      <c r="M439" s="6">
        <v>0</v>
      </c>
      <c r="O439" s="6">
        <v>0</v>
      </c>
      <c r="Q439" s="6">
        <v>0</v>
      </c>
      <c r="S439" s="6">
        <v>0</v>
      </c>
      <c r="U439" s="6">
        <v>0</v>
      </c>
      <c r="W439" s="6">
        <v>0</v>
      </c>
      <c r="Y439" s="6">
        <v>0</v>
      </c>
      <c r="Z439" s="44"/>
      <c r="AA439" s="6">
        <v>0</v>
      </c>
      <c r="AC439" s="6">
        <v>0</v>
      </c>
      <c r="AE439" s="6">
        <f t="shared" si="72"/>
        <v>0</v>
      </c>
      <c r="AF439" s="6"/>
      <c r="AG439" s="6">
        <f t="shared" si="73"/>
        <v>0</v>
      </c>
    </row>
    <row r="440" spans="1:33" ht="12" hidden="1" customHeight="1">
      <c r="A440" s="10" t="s">
        <v>784</v>
      </c>
      <c r="B440" s="10"/>
      <c r="C440" s="10" t="s">
        <v>41</v>
      </c>
      <c r="E440" s="6">
        <v>0</v>
      </c>
      <c r="G440" s="6">
        <v>0</v>
      </c>
      <c r="I440" s="6">
        <v>0</v>
      </c>
      <c r="K440" s="6">
        <f t="shared" si="74"/>
        <v>0</v>
      </c>
      <c r="M440" s="6">
        <v>0</v>
      </c>
      <c r="O440" s="6">
        <v>0</v>
      </c>
      <c r="Q440" s="6">
        <v>0</v>
      </c>
      <c r="S440" s="6">
        <v>0</v>
      </c>
      <c r="U440" s="6">
        <v>0</v>
      </c>
      <c r="W440" s="6">
        <v>0</v>
      </c>
      <c r="Y440" s="6">
        <v>0</v>
      </c>
      <c r="Z440" s="44"/>
      <c r="AA440" s="6">
        <v>0</v>
      </c>
      <c r="AC440" s="6">
        <v>0</v>
      </c>
      <c r="AE440" s="6">
        <f t="shared" si="72"/>
        <v>0</v>
      </c>
      <c r="AF440" s="6"/>
      <c r="AG440" s="6">
        <f t="shared" si="73"/>
        <v>0</v>
      </c>
    </row>
    <row r="441" spans="1:33" ht="12" customHeight="1">
      <c r="A441" s="10" t="s">
        <v>475</v>
      </c>
      <c r="B441" s="10"/>
      <c r="C441" s="10" t="s">
        <v>58</v>
      </c>
      <c r="E441" s="6">
        <v>912052</v>
      </c>
      <c r="G441" s="6">
        <v>1412476</v>
      </c>
      <c r="I441" s="6">
        <v>0</v>
      </c>
      <c r="K441" s="6">
        <f t="shared" si="74"/>
        <v>2324528</v>
      </c>
      <c r="M441" s="6">
        <f>1351543+87805+23879+112160</f>
        <v>1575387</v>
      </c>
      <c r="O441" s="6">
        <v>0</v>
      </c>
      <c r="Q441" s="6">
        <v>7211441</v>
      </c>
      <c r="S441" s="6">
        <v>3981</v>
      </c>
      <c r="U441" s="6">
        <v>0</v>
      </c>
      <c r="W441" s="6">
        <v>0</v>
      </c>
      <c r="Y441" s="6">
        <f>7500+65983</f>
        <v>73483</v>
      </c>
      <c r="Z441" s="44"/>
      <c r="AA441" s="6">
        <v>0</v>
      </c>
      <c r="AC441" s="6">
        <v>0</v>
      </c>
      <c r="AE441" s="6">
        <f t="shared" si="72"/>
        <v>8864292</v>
      </c>
      <c r="AF441" s="6"/>
      <c r="AG441" s="6">
        <f t="shared" si="73"/>
        <v>11188820</v>
      </c>
    </row>
    <row r="442" spans="1:33" ht="12" hidden="1" customHeight="1">
      <c r="A442" s="10" t="s">
        <v>686</v>
      </c>
      <c r="B442" s="10"/>
      <c r="C442" s="10" t="s">
        <v>467</v>
      </c>
      <c r="E442" s="6">
        <v>0</v>
      </c>
      <c r="G442" s="6">
        <v>0</v>
      </c>
      <c r="I442" s="6">
        <v>0</v>
      </c>
      <c r="K442" s="6">
        <f t="shared" si="74"/>
        <v>0</v>
      </c>
      <c r="M442" s="6">
        <v>0</v>
      </c>
      <c r="O442" s="6">
        <v>0</v>
      </c>
      <c r="Q442" s="6">
        <v>0</v>
      </c>
      <c r="S442" s="6">
        <v>0</v>
      </c>
      <c r="U442" s="6">
        <v>0</v>
      </c>
      <c r="W442" s="6">
        <v>0</v>
      </c>
      <c r="Y442" s="6">
        <v>0</v>
      </c>
      <c r="Z442" s="44"/>
      <c r="AA442" s="6">
        <v>0</v>
      </c>
      <c r="AC442" s="6">
        <v>0</v>
      </c>
      <c r="AE442" s="6">
        <f t="shared" si="72"/>
        <v>0</v>
      </c>
      <c r="AF442" s="6"/>
      <c r="AG442" s="6">
        <f t="shared" si="73"/>
        <v>0</v>
      </c>
    </row>
    <row r="443" spans="1:33" ht="12" hidden="1" customHeight="1">
      <c r="A443" s="10" t="s">
        <v>687</v>
      </c>
      <c r="B443" s="10"/>
      <c r="C443" s="10" t="s">
        <v>422</v>
      </c>
      <c r="E443" s="6">
        <v>0</v>
      </c>
      <c r="G443" s="6">
        <v>0</v>
      </c>
      <c r="I443" s="6">
        <v>0</v>
      </c>
      <c r="K443" s="6">
        <f t="shared" si="74"/>
        <v>0</v>
      </c>
      <c r="M443" s="6">
        <v>0</v>
      </c>
      <c r="O443" s="6">
        <v>0</v>
      </c>
      <c r="Q443" s="6">
        <v>0</v>
      </c>
      <c r="S443" s="6">
        <v>0</v>
      </c>
      <c r="U443" s="6">
        <v>0</v>
      </c>
      <c r="W443" s="6">
        <v>0</v>
      </c>
      <c r="Y443" s="6">
        <v>0</v>
      </c>
      <c r="Z443" s="44"/>
      <c r="AA443" s="6">
        <v>0</v>
      </c>
      <c r="AC443" s="6">
        <v>0</v>
      </c>
      <c r="AE443" s="6">
        <f t="shared" si="72"/>
        <v>0</v>
      </c>
      <c r="AF443" s="6"/>
      <c r="AG443" s="6">
        <f t="shared" si="73"/>
        <v>0</v>
      </c>
    </row>
    <row r="444" spans="1:33" ht="12" customHeight="1">
      <c r="A444" s="10" t="s">
        <v>275</v>
      </c>
      <c r="B444" s="10"/>
      <c r="C444" s="10" t="s">
        <v>20</v>
      </c>
      <c r="E444" s="6">
        <v>5996194</v>
      </c>
      <c r="G444" s="6">
        <v>11646881</v>
      </c>
      <c r="I444" s="6">
        <v>1083611</v>
      </c>
      <c r="K444" s="6">
        <f t="shared" si="74"/>
        <v>18726686</v>
      </c>
      <c r="M444" s="6">
        <f>87409996+5145116</f>
        <v>92555112</v>
      </c>
      <c r="O444" s="6">
        <v>0</v>
      </c>
      <c r="Q444" s="6">
        <v>41861064</v>
      </c>
      <c r="S444" s="6">
        <v>36282</v>
      </c>
      <c r="U444" s="6">
        <v>319555</v>
      </c>
      <c r="W444" s="6">
        <v>0</v>
      </c>
      <c r="Y444" s="6">
        <v>890506</v>
      </c>
      <c r="Z444" s="44"/>
      <c r="AA444" s="6">
        <v>0</v>
      </c>
      <c r="AC444" s="6">
        <v>2399130</v>
      </c>
      <c r="AE444" s="6">
        <f t="shared" si="72"/>
        <v>138061649</v>
      </c>
      <c r="AF444" s="6"/>
      <c r="AG444" s="6">
        <f t="shared" si="73"/>
        <v>156788335</v>
      </c>
    </row>
    <row r="445" spans="1:33" ht="12" customHeight="1">
      <c r="A445" s="10" t="s">
        <v>347</v>
      </c>
      <c r="B445" s="10"/>
      <c r="C445" s="10" t="s">
        <v>34</v>
      </c>
      <c r="E445" s="6">
        <v>1018238</v>
      </c>
      <c r="G445" s="6">
        <v>1074244</v>
      </c>
      <c r="I445" s="6">
        <v>0</v>
      </c>
      <c r="K445" s="6">
        <f t="shared" si="74"/>
        <v>2092482</v>
      </c>
      <c r="M445" s="6">
        <f>2608183+137151+398176+42315</f>
        <v>3185825</v>
      </c>
      <c r="O445" s="6">
        <v>1811887</v>
      </c>
      <c r="Q445" s="6">
        <v>4933317</v>
      </c>
      <c r="S445" s="6">
        <v>7569</v>
      </c>
      <c r="U445" s="6">
        <v>0</v>
      </c>
      <c r="W445" s="6">
        <v>0</v>
      </c>
      <c r="Y445" s="6">
        <v>4397</v>
      </c>
      <c r="Z445" s="44"/>
      <c r="AA445" s="6">
        <v>0</v>
      </c>
      <c r="AC445" s="6">
        <v>0</v>
      </c>
      <c r="AE445" s="6">
        <f t="shared" si="72"/>
        <v>9942995</v>
      </c>
      <c r="AF445" s="6"/>
      <c r="AG445" s="6">
        <f t="shared" si="73"/>
        <v>12035477</v>
      </c>
    </row>
    <row r="446" spans="1:33" ht="12" hidden="1" customHeight="1">
      <c r="A446" s="10" t="s">
        <v>775</v>
      </c>
      <c r="B446" s="10"/>
      <c r="C446" s="10" t="s">
        <v>450</v>
      </c>
      <c r="E446" s="6">
        <v>0</v>
      </c>
      <c r="G446" s="6">
        <v>0</v>
      </c>
      <c r="I446" s="6">
        <v>0</v>
      </c>
      <c r="K446" s="6">
        <f t="shared" si="74"/>
        <v>0</v>
      </c>
      <c r="M446" s="6">
        <v>0</v>
      </c>
      <c r="O446" s="6">
        <v>0</v>
      </c>
      <c r="Q446" s="6">
        <v>0</v>
      </c>
      <c r="S446" s="6">
        <v>0</v>
      </c>
      <c r="U446" s="6">
        <v>0</v>
      </c>
      <c r="W446" s="6">
        <v>0</v>
      </c>
      <c r="Y446" s="6">
        <v>0</v>
      </c>
      <c r="Z446" s="44"/>
      <c r="AA446" s="6">
        <v>0</v>
      </c>
      <c r="AC446" s="6">
        <v>0</v>
      </c>
      <c r="AE446" s="6">
        <f>SUM(M446:AC446)</f>
        <v>0</v>
      </c>
      <c r="AF446" s="6"/>
      <c r="AG446" s="6">
        <f t="shared" si="73"/>
        <v>0</v>
      </c>
    </row>
    <row r="447" spans="1:33" ht="12" customHeight="1">
      <c r="A447" s="10" t="s">
        <v>289</v>
      </c>
      <c r="B447" s="10"/>
      <c r="C447" s="10" t="s">
        <v>24</v>
      </c>
      <c r="E447" s="6">
        <v>4223821</v>
      </c>
      <c r="G447" s="6">
        <v>1438704</v>
      </c>
      <c r="I447" s="6">
        <v>750077</v>
      </c>
      <c r="K447" s="6">
        <f t="shared" si="74"/>
        <v>6412602</v>
      </c>
      <c r="M447" s="6">
        <f>9981977+2243223</f>
        <v>12225200</v>
      </c>
      <c r="O447" s="6">
        <v>0</v>
      </c>
      <c r="Q447" s="6">
        <v>7300486</v>
      </c>
      <c r="S447" s="6">
        <v>11333</v>
      </c>
      <c r="U447" s="6">
        <v>0</v>
      </c>
      <c r="W447" s="6">
        <v>0</v>
      </c>
      <c r="Y447" s="6">
        <v>470741</v>
      </c>
      <c r="Z447" s="44"/>
      <c r="AA447" s="6">
        <v>0</v>
      </c>
      <c r="AC447" s="6">
        <v>0</v>
      </c>
      <c r="AE447" s="6">
        <f t="shared" si="72"/>
        <v>20007760</v>
      </c>
      <c r="AF447" s="6"/>
      <c r="AG447" s="6">
        <f t="shared" si="73"/>
        <v>26420362</v>
      </c>
    </row>
    <row r="448" spans="1:33" ht="12" hidden="1" customHeight="1">
      <c r="A448" s="10" t="s">
        <v>688</v>
      </c>
      <c r="B448" s="10"/>
      <c r="C448" s="10" t="s">
        <v>10</v>
      </c>
      <c r="E448" s="6">
        <v>0</v>
      </c>
      <c r="G448" s="6">
        <v>0</v>
      </c>
      <c r="I448" s="6">
        <v>0</v>
      </c>
      <c r="K448" s="6">
        <f t="shared" si="74"/>
        <v>0</v>
      </c>
      <c r="M448" s="6">
        <v>0</v>
      </c>
      <c r="O448" s="6">
        <v>0</v>
      </c>
      <c r="Q448" s="6">
        <v>0</v>
      </c>
      <c r="S448" s="6">
        <v>0</v>
      </c>
      <c r="U448" s="6">
        <v>0</v>
      </c>
      <c r="W448" s="6">
        <v>0</v>
      </c>
      <c r="Y448" s="6">
        <v>0</v>
      </c>
      <c r="Z448" s="44"/>
      <c r="AA448" s="6">
        <v>0</v>
      </c>
      <c r="AC448" s="6">
        <v>0</v>
      </c>
      <c r="AE448" s="6">
        <f t="shared" si="72"/>
        <v>0</v>
      </c>
      <c r="AF448" s="6"/>
      <c r="AG448" s="6">
        <f t="shared" si="73"/>
        <v>0</v>
      </c>
    </row>
    <row r="449" spans="1:33" ht="12" customHeight="1">
      <c r="A449" s="10" t="s">
        <v>202</v>
      </c>
      <c r="B449" s="10"/>
      <c r="C449" s="10" t="s">
        <v>41</v>
      </c>
      <c r="E449" s="6">
        <v>1147753</v>
      </c>
      <c r="G449" s="6">
        <v>799147</v>
      </c>
      <c r="I449" s="6">
        <v>0</v>
      </c>
      <c r="K449" s="6">
        <f>SUM(E449:J449)</f>
        <v>1946900</v>
      </c>
      <c r="M449" s="6">
        <f>12880846+1086264</f>
        <v>13967110</v>
      </c>
      <c r="O449" s="6">
        <v>0</v>
      </c>
      <c r="Q449" s="6">
        <v>11138411</v>
      </c>
      <c r="S449" s="6">
        <v>157977</v>
      </c>
      <c r="U449" s="6">
        <v>0</v>
      </c>
      <c r="W449" s="6">
        <v>0</v>
      </c>
      <c r="Y449" s="6">
        <v>338628</v>
      </c>
      <c r="Z449" s="44"/>
      <c r="AA449" s="6">
        <v>0</v>
      </c>
      <c r="AC449" s="6">
        <v>0</v>
      </c>
      <c r="AE449" s="6">
        <f>SUM(M449:AC449)</f>
        <v>25602126</v>
      </c>
      <c r="AF449" s="6"/>
      <c r="AG449" s="6">
        <f>+AE449+K449</f>
        <v>27549026</v>
      </c>
    </row>
    <row r="450" spans="1:33" ht="12" customHeight="1">
      <c r="A450" s="10" t="s">
        <v>202</v>
      </c>
      <c r="B450" s="10"/>
      <c r="C450" s="10" t="s">
        <v>62</v>
      </c>
      <c r="E450" s="6">
        <v>3644525</v>
      </c>
      <c r="G450" s="6">
        <v>3132701</v>
      </c>
      <c r="I450" s="6">
        <v>0</v>
      </c>
      <c r="K450" s="6">
        <f>SUM(E450:J450)</f>
        <v>6777226</v>
      </c>
      <c r="M450" s="6">
        <f>16454229+711608</f>
        <v>17165837</v>
      </c>
      <c r="O450" s="6">
        <v>0</v>
      </c>
      <c r="Q450" s="6">
        <v>19677658</v>
      </c>
      <c r="S450" s="6">
        <v>254326</v>
      </c>
      <c r="U450" s="6">
        <v>0</v>
      </c>
      <c r="W450" s="6">
        <v>0</v>
      </c>
      <c r="Y450" s="6">
        <v>435501</v>
      </c>
      <c r="Z450" s="44"/>
      <c r="AA450" s="6">
        <v>0</v>
      </c>
      <c r="AC450" s="6">
        <v>0</v>
      </c>
      <c r="AE450" s="6">
        <f>SUM(M450:AC450)</f>
        <v>37533322</v>
      </c>
      <c r="AF450" s="6"/>
      <c r="AG450" s="6">
        <f>+AE450+K450</f>
        <v>44310548</v>
      </c>
    </row>
    <row r="451" spans="1:33" ht="12" customHeight="1">
      <c r="A451" s="10" t="s">
        <v>776</v>
      </c>
      <c r="B451" s="10"/>
      <c r="C451" s="10" t="s">
        <v>72</v>
      </c>
      <c r="E451" s="6">
        <v>3106450</v>
      </c>
      <c r="G451" s="6">
        <v>2240552</v>
      </c>
      <c r="I451" s="6">
        <v>31902</v>
      </c>
      <c r="K451" s="6">
        <f>SUM(E451:J451)</f>
        <v>5378904</v>
      </c>
      <c r="M451" s="6">
        <f>17720520+2382657+1363348</f>
        <v>21466525</v>
      </c>
      <c r="O451" s="6">
        <v>5462416</v>
      </c>
      <c r="Q451" s="6">
        <v>12266676</v>
      </c>
      <c r="S451" s="6">
        <v>10071</v>
      </c>
      <c r="U451" s="6">
        <v>463995</v>
      </c>
      <c r="W451" s="6">
        <v>0</v>
      </c>
      <c r="Y451" s="6">
        <v>163179</v>
      </c>
      <c r="Z451" s="44"/>
      <c r="AA451" s="6">
        <v>0</v>
      </c>
      <c r="AC451" s="6">
        <v>0</v>
      </c>
      <c r="AE451" s="6">
        <f>SUM(M451:AC451)</f>
        <v>39832862</v>
      </c>
      <c r="AF451" s="6"/>
      <c r="AG451" s="6">
        <f>+AE451+K451</f>
        <v>45211766</v>
      </c>
    </row>
    <row r="452" spans="1:33" ht="12" hidden="1" customHeight="1">
      <c r="A452" s="11" t="s">
        <v>896</v>
      </c>
      <c r="B452" s="10"/>
      <c r="C452" s="10" t="s">
        <v>28</v>
      </c>
      <c r="E452" s="6">
        <v>0</v>
      </c>
      <c r="G452" s="6">
        <v>0</v>
      </c>
      <c r="I452" s="6">
        <v>0</v>
      </c>
      <c r="K452" s="6">
        <f>SUM(E452:J452)</f>
        <v>0</v>
      </c>
      <c r="M452" s="6">
        <v>0</v>
      </c>
      <c r="O452" s="6">
        <v>0</v>
      </c>
      <c r="Q452" s="6">
        <v>0</v>
      </c>
      <c r="S452" s="6">
        <v>0</v>
      </c>
      <c r="U452" s="6">
        <v>0</v>
      </c>
      <c r="W452" s="6">
        <v>0</v>
      </c>
      <c r="Y452" s="6">
        <v>0</v>
      </c>
      <c r="Z452" s="44"/>
      <c r="AA452" s="6">
        <v>0</v>
      </c>
      <c r="AC452" s="6">
        <v>0</v>
      </c>
      <c r="AE452" s="6">
        <f>SUM(M452:AC452)</f>
        <v>0</v>
      </c>
      <c r="AF452" s="6"/>
      <c r="AG452" s="6">
        <f>+AE452+K452</f>
        <v>0</v>
      </c>
    </row>
    <row r="453" spans="1:33" ht="12" customHeight="1">
      <c r="A453" s="10" t="s">
        <v>296</v>
      </c>
      <c r="B453" s="10"/>
      <c r="C453" s="10" t="s">
        <v>25</v>
      </c>
      <c r="E453" s="6">
        <v>5144274</v>
      </c>
      <c r="G453" s="6">
        <v>7346928</v>
      </c>
      <c r="I453" s="6">
        <v>0</v>
      </c>
      <c r="K453" s="6">
        <f>SUM(E453:J453)</f>
        <v>12491202</v>
      </c>
      <c r="M453" s="6">
        <f>29651216+350108+12190336</f>
        <v>42191660</v>
      </c>
      <c r="O453" s="6">
        <v>14182466</v>
      </c>
      <c r="Q453" s="6">
        <v>45157451</v>
      </c>
      <c r="S453" s="6">
        <v>91970</v>
      </c>
      <c r="U453" s="6">
        <v>152625</v>
      </c>
      <c r="W453" s="6">
        <v>0</v>
      </c>
      <c r="Y453" s="6">
        <v>142219</v>
      </c>
      <c r="Z453" s="44"/>
      <c r="AA453" s="6">
        <v>0</v>
      </c>
      <c r="AC453" s="6">
        <v>0</v>
      </c>
      <c r="AE453" s="6">
        <f>SUM(M453:AC453)</f>
        <v>101918391</v>
      </c>
      <c r="AF453" s="6"/>
      <c r="AG453" s="6">
        <f>+AE453+K453</f>
        <v>114409593</v>
      </c>
    </row>
    <row r="454" spans="1:33" s="6" customFormat="1" ht="12" hidden="1" customHeight="1">
      <c r="A454" s="11" t="s">
        <v>821</v>
      </c>
      <c r="B454" s="11"/>
      <c r="C454" s="11" t="s">
        <v>28</v>
      </c>
      <c r="E454" s="6">
        <v>0</v>
      </c>
      <c r="G454" s="6">
        <v>0</v>
      </c>
      <c r="I454" s="6">
        <v>0</v>
      </c>
      <c r="K454" s="6">
        <f t="shared" ref="K454:K487" si="84">SUM(E454:J454)</f>
        <v>0</v>
      </c>
      <c r="M454" s="6">
        <v>0</v>
      </c>
      <c r="O454" s="6">
        <v>0</v>
      </c>
      <c r="Q454" s="6">
        <v>0</v>
      </c>
      <c r="S454" s="6">
        <v>0</v>
      </c>
      <c r="U454" s="6">
        <v>0</v>
      </c>
      <c r="W454" s="6">
        <v>0</v>
      </c>
      <c r="Y454" s="6">
        <v>0</v>
      </c>
      <c r="Z454" s="44"/>
      <c r="AA454" s="6">
        <v>0</v>
      </c>
      <c r="AC454" s="6">
        <v>0</v>
      </c>
      <c r="AE454" s="6">
        <f t="shared" ref="AE454:AE521" si="85">SUM(M454:AC454)</f>
        <v>0</v>
      </c>
      <c r="AG454" s="6">
        <f t="shared" ref="AG454:AG521" si="86">+AE454+K454</f>
        <v>0</v>
      </c>
    </row>
    <row r="455" spans="1:33" ht="12" customHeight="1">
      <c r="A455" s="10" t="s">
        <v>425</v>
      </c>
      <c r="B455" s="10"/>
      <c r="C455" s="10" t="s">
        <v>48</v>
      </c>
      <c r="E455" s="6">
        <v>689498</v>
      </c>
      <c r="G455" s="6">
        <v>3452569</v>
      </c>
      <c r="I455" s="6">
        <v>25793854</v>
      </c>
      <c r="K455" s="6">
        <f t="shared" si="84"/>
        <v>29935921</v>
      </c>
      <c r="M455" s="6">
        <f>9013333+144359+2065576+930571</f>
        <v>12153839</v>
      </c>
      <c r="O455" s="6">
        <v>4922054</v>
      </c>
      <c r="Q455" s="6">
        <v>14362224</v>
      </c>
      <c r="S455" s="6">
        <v>95818</v>
      </c>
      <c r="U455" s="6">
        <v>0</v>
      </c>
      <c r="W455" s="6">
        <v>0</v>
      </c>
      <c r="Y455" s="6">
        <v>436494</v>
      </c>
      <c r="Z455" s="44"/>
      <c r="AA455" s="6">
        <v>0</v>
      </c>
      <c r="AC455" s="6">
        <v>0</v>
      </c>
      <c r="AE455" s="6">
        <f t="shared" si="85"/>
        <v>31970429</v>
      </c>
      <c r="AF455" s="6"/>
      <c r="AG455" s="6">
        <f t="shared" si="86"/>
        <v>61906350</v>
      </c>
    </row>
    <row r="456" spans="1:33" s="6" customFormat="1" ht="12" customHeight="1">
      <c r="A456" s="11" t="s">
        <v>306</v>
      </c>
      <c r="B456" s="11"/>
      <c r="C456" s="11" t="s">
        <v>62</v>
      </c>
      <c r="D456" s="8"/>
      <c r="E456" s="6">
        <v>3443280</v>
      </c>
      <c r="G456" s="6">
        <v>7116550</v>
      </c>
      <c r="I456" s="6">
        <v>166152</v>
      </c>
      <c r="K456" s="6">
        <f t="shared" si="84"/>
        <v>10725982</v>
      </c>
      <c r="M456" s="6">
        <f>25694069+3243563</f>
        <v>28937632</v>
      </c>
      <c r="O456" s="6">
        <v>0</v>
      </c>
      <c r="Q456" s="6">
        <v>18751423</v>
      </c>
      <c r="S456" s="6">
        <v>27698</v>
      </c>
      <c r="U456" s="6">
        <v>0</v>
      </c>
      <c r="W456" s="6">
        <v>0</v>
      </c>
      <c r="Y456" s="6">
        <v>64600</v>
      </c>
      <c r="Z456" s="44"/>
      <c r="AA456" s="6">
        <v>0</v>
      </c>
      <c r="AC456" s="6">
        <v>0</v>
      </c>
      <c r="AE456" s="6">
        <f t="shared" si="85"/>
        <v>47781353</v>
      </c>
      <c r="AG456" s="6">
        <f t="shared" si="86"/>
        <v>58507335</v>
      </c>
    </row>
    <row r="457" spans="1:33" ht="12" customHeight="1">
      <c r="A457" s="10" t="s">
        <v>411</v>
      </c>
      <c r="B457" s="10"/>
      <c r="C457" s="10" t="s">
        <v>46</v>
      </c>
      <c r="E457" s="6">
        <v>2678118</v>
      </c>
      <c r="G457" s="6">
        <v>770938</v>
      </c>
      <c r="I457" s="6">
        <v>0</v>
      </c>
      <c r="K457" s="6">
        <f t="shared" si="84"/>
        <v>3449056</v>
      </c>
      <c r="M457" s="6">
        <f>3998830+236587</f>
        <v>4235417</v>
      </c>
      <c r="O457" s="6">
        <v>0</v>
      </c>
      <c r="Q457" s="6">
        <v>4479976</v>
      </c>
      <c r="S457" s="6">
        <v>19981</v>
      </c>
      <c r="U457" s="6">
        <v>0</v>
      </c>
      <c r="W457" s="6">
        <v>0</v>
      </c>
      <c r="Y457" s="6">
        <f>20772+91272</f>
        <v>112044</v>
      </c>
      <c r="Z457" s="44"/>
      <c r="AA457" s="6">
        <v>0</v>
      </c>
      <c r="AC457" s="6">
        <v>0</v>
      </c>
      <c r="AE457" s="6">
        <f t="shared" si="85"/>
        <v>8847418</v>
      </c>
      <c r="AF457" s="6"/>
      <c r="AG457" s="6">
        <f t="shared" si="86"/>
        <v>12296474</v>
      </c>
    </row>
    <row r="458" spans="1:33" ht="12" customHeight="1">
      <c r="A458" s="10" t="s">
        <v>471</v>
      </c>
      <c r="B458" s="10"/>
      <c r="C458" s="10" t="s">
        <v>110</v>
      </c>
      <c r="E458" s="6">
        <v>694412</v>
      </c>
      <c r="G458" s="6">
        <v>1571893</v>
      </c>
      <c r="I458" s="6">
        <v>1186</v>
      </c>
      <c r="K458" s="6">
        <f t="shared" si="84"/>
        <v>2267491</v>
      </c>
      <c r="M458" s="6">
        <f>942388+13062+52820</f>
        <v>1008270</v>
      </c>
      <c r="O458" s="6">
        <v>901786</v>
      </c>
      <c r="Q458" s="6">
        <v>4877813</v>
      </c>
      <c r="S458" s="6">
        <v>8341</v>
      </c>
      <c r="U458" s="6">
        <v>0</v>
      </c>
      <c r="W458" s="6">
        <v>0</v>
      </c>
      <c r="Y458" s="6">
        <v>0</v>
      </c>
      <c r="Z458" s="44"/>
      <c r="AA458" s="6">
        <v>0</v>
      </c>
      <c r="AC458" s="6">
        <v>0</v>
      </c>
      <c r="AE458" s="6">
        <f t="shared" si="85"/>
        <v>6796210</v>
      </c>
      <c r="AF458" s="6"/>
      <c r="AG458" s="6">
        <f t="shared" si="86"/>
        <v>9063701</v>
      </c>
    </row>
    <row r="459" spans="1:33" ht="12" customHeight="1">
      <c r="A459" s="10" t="s">
        <v>724</v>
      </c>
      <c r="B459" s="10"/>
      <c r="C459" s="10" t="s">
        <v>45</v>
      </c>
      <c r="E459" s="6">
        <v>1201782</v>
      </c>
      <c r="G459" s="6">
        <v>1451361</v>
      </c>
      <c r="I459" s="6">
        <v>0</v>
      </c>
      <c r="K459" s="6">
        <f t="shared" si="84"/>
        <v>2653143</v>
      </c>
      <c r="M459" s="6">
        <f>10522497+881855+443332</f>
        <v>11847684</v>
      </c>
      <c r="O459" s="6">
        <v>0</v>
      </c>
      <c r="Q459" s="6">
        <v>7277075</v>
      </c>
      <c r="S459" s="6">
        <v>4282</v>
      </c>
      <c r="U459" s="6">
        <v>0</v>
      </c>
      <c r="W459" s="6">
        <v>0</v>
      </c>
      <c r="Y459" s="6">
        <v>15497</v>
      </c>
      <c r="Z459" s="44"/>
      <c r="AA459" s="6">
        <v>0</v>
      </c>
      <c r="AC459" s="6">
        <v>0</v>
      </c>
      <c r="AE459" s="6">
        <f t="shared" si="85"/>
        <v>19144538</v>
      </c>
      <c r="AF459" s="6"/>
      <c r="AG459" s="6">
        <f t="shared" si="86"/>
        <v>21797681</v>
      </c>
    </row>
    <row r="460" spans="1:33" ht="12" hidden="1" customHeight="1">
      <c r="A460" s="10" t="s">
        <v>822</v>
      </c>
      <c r="B460" s="10"/>
      <c r="C460" s="10" t="s">
        <v>53</v>
      </c>
      <c r="E460" s="6">
        <v>0</v>
      </c>
      <c r="G460" s="6">
        <v>0</v>
      </c>
      <c r="I460" s="6">
        <v>0</v>
      </c>
      <c r="K460" s="6">
        <f t="shared" si="84"/>
        <v>0</v>
      </c>
      <c r="M460" s="6">
        <v>0</v>
      </c>
      <c r="O460" s="6">
        <v>0</v>
      </c>
      <c r="Q460" s="6">
        <v>0</v>
      </c>
      <c r="S460" s="6">
        <v>0</v>
      </c>
      <c r="U460" s="6">
        <v>0</v>
      </c>
      <c r="W460" s="6">
        <v>0</v>
      </c>
      <c r="Y460" s="6">
        <v>0</v>
      </c>
      <c r="Z460" s="44"/>
      <c r="AA460" s="6">
        <v>0</v>
      </c>
      <c r="AC460" s="6">
        <v>0</v>
      </c>
      <c r="AE460" s="6">
        <f t="shared" si="85"/>
        <v>0</v>
      </c>
      <c r="AF460" s="6"/>
      <c r="AG460" s="6">
        <f t="shared" si="86"/>
        <v>0</v>
      </c>
    </row>
    <row r="461" spans="1:33" ht="12" customHeight="1">
      <c r="A461" s="10" t="s">
        <v>484</v>
      </c>
      <c r="B461" s="10"/>
      <c r="C461" s="10" t="s">
        <v>59</v>
      </c>
      <c r="E461" s="6">
        <v>1512808</v>
      </c>
      <c r="G461" s="6">
        <v>7440064</v>
      </c>
      <c r="I461" s="6">
        <v>8846</v>
      </c>
      <c r="K461" s="6">
        <f t="shared" si="84"/>
        <v>8961718</v>
      </c>
      <c r="M461" s="6">
        <f>4238222+835829+458603</f>
        <v>5532654</v>
      </c>
      <c r="O461" s="6">
        <v>0</v>
      </c>
      <c r="Q461" s="6">
        <v>16668432</v>
      </c>
      <c r="S461" s="6">
        <v>17287</v>
      </c>
      <c r="U461" s="6">
        <v>0</v>
      </c>
      <c r="W461" s="6">
        <v>16055</v>
      </c>
      <c r="Y461" s="6">
        <v>47249</v>
      </c>
      <c r="Z461" s="44"/>
      <c r="AA461" s="6">
        <v>0</v>
      </c>
      <c r="AC461" s="6">
        <v>0</v>
      </c>
      <c r="AE461" s="6">
        <f t="shared" si="85"/>
        <v>22281677</v>
      </c>
      <c r="AF461" s="6"/>
      <c r="AG461" s="6">
        <f t="shared" si="86"/>
        <v>31243395</v>
      </c>
    </row>
    <row r="462" spans="1:33" ht="12" hidden="1" customHeight="1">
      <c r="A462" s="10" t="s">
        <v>689</v>
      </c>
      <c r="B462" s="10"/>
      <c r="C462" s="10" t="s">
        <v>57</v>
      </c>
      <c r="E462" s="6">
        <v>0</v>
      </c>
      <c r="G462" s="6">
        <v>0</v>
      </c>
      <c r="I462" s="6">
        <v>0</v>
      </c>
      <c r="K462" s="6">
        <f t="shared" si="84"/>
        <v>0</v>
      </c>
      <c r="M462" s="6">
        <v>0</v>
      </c>
      <c r="O462" s="6">
        <v>0</v>
      </c>
      <c r="Q462" s="6">
        <v>0</v>
      </c>
      <c r="S462" s="6">
        <v>0</v>
      </c>
      <c r="U462" s="6">
        <v>0</v>
      </c>
      <c r="W462" s="6">
        <v>0</v>
      </c>
      <c r="Y462" s="6">
        <v>0</v>
      </c>
      <c r="Z462" s="44"/>
      <c r="AA462" s="6">
        <v>0</v>
      </c>
      <c r="AC462" s="6">
        <v>0</v>
      </c>
      <c r="AE462" s="6">
        <f t="shared" si="85"/>
        <v>0</v>
      </c>
      <c r="AF462" s="6"/>
      <c r="AG462" s="6">
        <f t="shared" si="86"/>
        <v>0</v>
      </c>
    </row>
    <row r="463" spans="1:33" ht="12" customHeight="1">
      <c r="A463" s="10" t="s">
        <v>329</v>
      </c>
      <c r="B463" s="10"/>
      <c r="C463" s="10" t="s">
        <v>32</v>
      </c>
      <c r="E463" s="6">
        <v>6228761</v>
      </c>
      <c r="G463" s="6">
        <v>8586992</v>
      </c>
      <c r="I463" s="6">
        <v>0</v>
      </c>
      <c r="K463" s="6">
        <f t="shared" si="84"/>
        <v>14815753</v>
      </c>
      <c r="M463" s="6">
        <f>36405387+4088506+1943899</f>
        <v>42437792</v>
      </c>
      <c r="O463" s="6">
        <v>0</v>
      </c>
      <c r="Q463" s="6">
        <v>27503063</v>
      </c>
      <c r="S463" s="6">
        <v>724883</v>
      </c>
      <c r="U463" s="6">
        <v>318935</v>
      </c>
      <c r="W463" s="6">
        <v>51695</v>
      </c>
      <c r="Y463" s="6">
        <v>466442</v>
      </c>
      <c r="Z463" s="44"/>
      <c r="AA463" s="6">
        <v>0</v>
      </c>
      <c r="AC463" s="6">
        <v>0</v>
      </c>
      <c r="AE463" s="6">
        <f t="shared" si="85"/>
        <v>71502810</v>
      </c>
      <c r="AF463" s="6"/>
      <c r="AG463" s="6">
        <f t="shared" si="86"/>
        <v>86318563</v>
      </c>
    </row>
    <row r="464" spans="1:33" ht="12" hidden="1" customHeight="1">
      <c r="A464" s="10" t="s">
        <v>823</v>
      </c>
      <c r="B464" s="11"/>
      <c r="C464" s="11" t="s">
        <v>53</v>
      </c>
      <c r="E464" s="6">
        <v>0</v>
      </c>
      <c r="G464" s="6">
        <v>0</v>
      </c>
      <c r="I464" s="6">
        <v>0</v>
      </c>
      <c r="K464" s="6">
        <f t="shared" ref="K464" si="87">SUM(E464:J464)</f>
        <v>0</v>
      </c>
      <c r="M464" s="6">
        <v>0</v>
      </c>
      <c r="O464" s="6">
        <v>0</v>
      </c>
      <c r="Q464" s="6">
        <v>0</v>
      </c>
      <c r="S464" s="6">
        <v>0</v>
      </c>
      <c r="U464" s="6">
        <v>0</v>
      </c>
      <c r="W464" s="6">
        <v>0</v>
      </c>
      <c r="Y464" s="6">
        <v>0</v>
      </c>
      <c r="Z464" s="44"/>
      <c r="AA464" s="6">
        <v>0</v>
      </c>
      <c r="AC464" s="6">
        <v>0</v>
      </c>
      <c r="AE464" s="6">
        <f t="shared" ref="AE464" si="88">SUM(M464:AC464)</f>
        <v>0</v>
      </c>
      <c r="AF464" s="6"/>
      <c r="AG464" s="6">
        <f t="shared" ref="AG464" si="89">+AE464+K464</f>
        <v>0</v>
      </c>
    </row>
    <row r="465" spans="1:33" ht="12" hidden="1" customHeight="1">
      <c r="A465" s="10" t="s">
        <v>824</v>
      </c>
      <c r="B465" s="10"/>
      <c r="C465" s="10" t="s">
        <v>12</v>
      </c>
      <c r="E465" s="6">
        <v>0</v>
      </c>
      <c r="G465" s="6">
        <v>0</v>
      </c>
      <c r="I465" s="6">
        <v>0</v>
      </c>
      <c r="K465" s="6">
        <f t="shared" si="84"/>
        <v>0</v>
      </c>
      <c r="M465" s="6">
        <v>0</v>
      </c>
      <c r="O465" s="6">
        <v>0</v>
      </c>
      <c r="Q465" s="6">
        <v>0</v>
      </c>
      <c r="S465" s="6">
        <v>0</v>
      </c>
      <c r="U465" s="6">
        <v>0</v>
      </c>
      <c r="W465" s="6">
        <v>0</v>
      </c>
      <c r="Y465" s="6">
        <v>0</v>
      </c>
      <c r="Z465" s="44"/>
      <c r="AA465" s="6">
        <v>0</v>
      </c>
      <c r="AC465" s="6">
        <v>0</v>
      </c>
      <c r="AE465" s="6">
        <f t="shared" si="85"/>
        <v>0</v>
      </c>
      <c r="AF465" s="6"/>
      <c r="AG465" s="6">
        <f t="shared" si="86"/>
        <v>0</v>
      </c>
    </row>
    <row r="466" spans="1:33" s="28" customFormat="1" ht="12" customHeight="1">
      <c r="A466" s="27" t="s">
        <v>632</v>
      </c>
      <c r="B466" s="27"/>
      <c r="C466" s="27" t="s">
        <v>56</v>
      </c>
      <c r="E466" s="6">
        <v>1223146</v>
      </c>
      <c r="F466" s="6"/>
      <c r="G466" s="6">
        <v>4461619</v>
      </c>
      <c r="H466" s="6"/>
      <c r="I466" s="6">
        <v>0</v>
      </c>
      <c r="J466" s="6"/>
      <c r="K466" s="6">
        <f t="shared" si="84"/>
        <v>5684765</v>
      </c>
      <c r="L466" s="6"/>
      <c r="M466" s="6">
        <f>8942087+951462+183233+243286</f>
        <v>10320068</v>
      </c>
      <c r="N466" s="6"/>
      <c r="O466" s="6">
        <v>0</v>
      </c>
      <c r="P466" s="6"/>
      <c r="Q466" s="6">
        <v>14293167</v>
      </c>
      <c r="R466" s="6"/>
      <c r="S466" s="6">
        <v>15432</v>
      </c>
      <c r="T466" s="6"/>
      <c r="U466" s="6">
        <v>96043</v>
      </c>
      <c r="V466" s="6"/>
      <c r="W466" s="6">
        <v>0</v>
      </c>
      <c r="X466" s="6"/>
      <c r="Y466" s="6">
        <f>7400+49863</f>
        <v>57263</v>
      </c>
      <c r="Z466" s="44"/>
      <c r="AA466" s="6">
        <v>0</v>
      </c>
      <c r="AB466" s="6"/>
      <c r="AC466" s="6">
        <v>-602700</v>
      </c>
      <c r="AD466" s="6"/>
      <c r="AE466" s="6">
        <f t="shared" si="85"/>
        <v>24179273</v>
      </c>
      <c r="AF466" s="6"/>
      <c r="AG466" s="6">
        <f t="shared" si="86"/>
        <v>29864038</v>
      </c>
    </row>
    <row r="467" spans="1:33" ht="12" customHeight="1">
      <c r="A467" s="10" t="s">
        <v>330</v>
      </c>
      <c r="B467" s="10"/>
      <c r="C467" s="10" t="s">
        <v>32</v>
      </c>
      <c r="E467" s="6">
        <v>2074981</v>
      </c>
      <c r="G467" s="6">
        <v>2036103</v>
      </c>
      <c r="I467" s="6">
        <v>0</v>
      </c>
      <c r="K467" s="6">
        <f t="shared" si="84"/>
        <v>4111084</v>
      </c>
      <c r="M467" s="6">
        <v>8091226</v>
      </c>
      <c r="O467" s="6">
        <v>0</v>
      </c>
      <c r="Q467" s="6">
        <v>5557889</v>
      </c>
      <c r="S467" s="6">
        <v>11156</v>
      </c>
      <c r="U467" s="6">
        <v>0</v>
      </c>
      <c r="W467" s="6">
        <v>30034</v>
      </c>
      <c r="Y467" s="6">
        <f>3500+46147</f>
        <v>49647</v>
      </c>
      <c r="Z467" s="44"/>
      <c r="AA467" s="6">
        <v>0</v>
      </c>
      <c r="AC467" s="6">
        <v>0</v>
      </c>
      <c r="AE467" s="6">
        <f t="shared" si="85"/>
        <v>13739952</v>
      </c>
      <c r="AF467" s="6"/>
      <c r="AG467" s="6">
        <f t="shared" si="86"/>
        <v>17851036</v>
      </c>
    </row>
    <row r="468" spans="1:33" ht="12" customHeight="1">
      <c r="A468" s="10" t="s">
        <v>513</v>
      </c>
      <c r="B468" s="10"/>
      <c r="C468" s="10" t="s">
        <v>63</v>
      </c>
      <c r="E468" s="6">
        <v>1734216</v>
      </c>
      <c r="G468" s="6">
        <v>1238964</v>
      </c>
      <c r="I468" s="6">
        <v>120500</v>
      </c>
      <c r="K468" s="6">
        <f t="shared" si="84"/>
        <v>3093680</v>
      </c>
      <c r="M468" s="6">
        <f>24749675+1231525+1159539</f>
        <v>27140739</v>
      </c>
      <c r="O468" s="6">
        <v>0</v>
      </c>
      <c r="Q468" s="6">
        <v>6823097</v>
      </c>
      <c r="S468" s="6">
        <v>67770</v>
      </c>
      <c r="U468" s="6">
        <v>0</v>
      </c>
      <c r="W468" s="6">
        <v>0</v>
      </c>
      <c r="Y468" s="6">
        <v>7683</v>
      </c>
      <c r="Z468" s="44"/>
      <c r="AA468" s="6">
        <v>0</v>
      </c>
      <c r="AC468" s="6">
        <v>0</v>
      </c>
      <c r="AE468" s="6">
        <f t="shared" si="85"/>
        <v>34039289</v>
      </c>
      <c r="AF468" s="6"/>
      <c r="AG468" s="6">
        <f t="shared" si="86"/>
        <v>37132969</v>
      </c>
    </row>
    <row r="469" spans="1:33" ht="12" hidden="1" customHeight="1">
      <c r="A469" s="10" t="s">
        <v>825</v>
      </c>
      <c r="B469" s="10"/>
      <c r="C469" s="10" t="s">
        <v>27</v>
      </c>
      <c r="E469" s="6">
        <v>0</v>
      </c>
      <c r="G469" s="6">
        <v>0</v>
      </c>
      <c r="I469" s="6">
        <v>0</v>
      </c>
      <c r="K469" s="6">
        <f t="shared" si="84"/>
        <v>0</v>
      </c>
      <c r="M469" s="6">
        <v>0</v>
      </c>
      <c r="O469" s="6">
        <v>0</v>
      </c>
      <c r="Q469" s="6">
        <v>0</v>
      </c>
      <c r="S469" s="6">
        <v>0</v>
      </c>
      <c r="U469" s="6">
        <v>0</v>
      </c>
      <c r="W469" s="6">
        <v>0</v>
      </c>
      <c r="Y469" s="6">
        <v>0</v>
      </c>
      <c r="Z469" s="44"/>
      <c r="AA469" s="6">
        <v>0</v>
      </c>
      <c r="AC469" s="6">
        <v>0</v>
      </c>
      <c r="AE469" s="6">
        <f t="shared" si="85"/>
        <v>0</v>
      </c>
      <c r="AF469" s="6"/>
      <c r="AG469" s="6">
        <f t="shared" si="86"/>
        <v>0</v>
      </c>
    </row>
    <row r="470" spans="1:33" ht="12" customHeight="1">
      <c r="A470" s="10" t="s">
        <v>276</v>
      </c>
      <c r="B470" s="10"/>
      <c r="C470" s="10" t="s">
        <v>20</v>
      </c>
      <c r="E470" s="6">
        <v>317620</v>
      </c>
      <c r="G470" s="6">
        <v>316481</v>
      </c>
      <c r="I470" s="6">
        <v>21107</v>
      </c>
      <c r="K470" s="6">
        <f t="shared" si="84"/>
        <v>655208</v>
      </c>
      <c r="M470" s="6">
        <f>8120359+96188</f>
        <v>8216547</v>
      </c>
      <c r="O470" s="6">
        <v>0</v>
      </c>
      <c r="Q470" s="6">
        <v>3354637</v>
      </c>
      <c r="S470" s="6">
        <v>1996</v>
      </c>
      <c r="U470" s="6">
        <v>0</v>
      </c>
      <c r="W470" s="6">
        <v>0</v>
      </c>
      <c r="Y470" s="6">
        <v>8471</v>
      </c>
      <c r="Z470" s="44"/>
      <c r="AA470" s="6">
        <v>0</v>
      </c>
      <c r="AC470" s="6">
        <v>0</v>
      </c>
      <c r="AE470" s="6">
        <f t="shared" si="85"/>
        <v>11581651</v>
      </c>
      <c r="AF470" s="6"/>
      <c r="AG470" s="6">
        <f t="shared" si="86"/>
        <v>12236859</v>
      </c>
    </row>
    <row r="471" spans="1:33" ht="12" customHeight="1">
      <c r="A471" s="10" t="s">
        <v>412</v>
      </c>
      <c r="B471" s="10"/>
      <c r="C471" s="10" t="s">
        <v>46</v>
      </c>
      <c r="E471" s="6">
        <v>1740821</v>
      </c>
      <c r="G471" s="6">
        <v>534849</v>
      </c>
      <c r="I471" s="6">
        <v>0</v>
      </c>
      <c r="K471" s="6">
        <f t="shared" si="84"/>
        <v>2275670</v>
      </c>
      <c r="M471" s="6">
        <v>2769556</v>
      </c>
      <c r="O471" s="6">
        <v>0</v>
      </c>
      <c r="Q471" s="6">
        <v>3618673</v>
      </c>
      <c r="S471" s="6">
        <v>9176</v>
      </c>
      <c r="U471" s="6">
        <v>98288</v>
      </c>
      <c r="W471" s="6">
        <v>0</v>
      </c>
      <c r="Y471" s="6">
        <v>40792</v>
      </c>
      <c r="Z471" s="44"/>
      <c r="AA471" s="6">
        <v>0</v>
      </c>
      <c r="AC471" s="6">
        <v>0</v>
      </c>
      <c r="AE471" s="6">
        <f t="shared" si="85"/>
        <v>6536485</v>
      </c>
      <c r="AF471" s="6"/>
      <c r="AG471" s="6">
        <f t="shared" si="86"/>
        <v>8812155</v>
      </c>
    </row>
    <row r="472" spans="1:33" ht="12" hidden="1" customHeight="1">
      <c r="A472" s="11" t="s">
        <v>897</v>
      </c>
      <c r="B472" s="10"/>
      <c r="C472" s="10" t="s">
        <v>339</v>
      </c>
      <c r="E472" s="6">
        <v>0</v>
      </c>
      <c r="G472" s="6">
        <v>0</v>
      </c>
      <c r="I472" s="6">
        <v>0</v>
      </c>
      <c r="K472" s="6">
        <f t="shared" si="84"/>
        <v>0</v>
      </c>
      <c r="M472" s="6">
        <v>0</v>
      </c>
      <c r="O472" s="6">
        <v>0</v>
      </c>
      <c r="Q472" s="6">
        <v>0</v>
      </c>
      <c r="S472" s="6">
        <v>0</v>
      </c>
      <c r="U472" s="6">
        <v>0</v>
      </c>
      <c r="W472" s="6">
        <v>0</v>
      </c>
      <c r="Y472" s="6">
        <v>0</v>
      </c>
      <c r="Z472" s="44"/>
      <c r="AA472" s="6">
        <v>0</v>
      </c>
      <c r="AC472" s="6">
        <v>0</v>
      </c>
      <c r="AE472" s="6">
        <f t="shared" si="85"/>
        <v>0</v>
      </c>
      <c r="AF472" s="6"/>
      <c r="AG472" s="6">
        <f t="shared" si="86"/>
        <v>0</v>
      </c>
    </row>
    <row r="473" spans="1:33" ht="12" customHeight="1">
      <c r="A473" s="10" t="s">
        <v>254</v>
      </c>
      <c r="B473" s="10"/>
      <c r="C473" s="10" t="s">
        <v>19</v>
      </c>
      <c r="E473" s="6">
        <v>814780</v>
      </c>
      <c r="G473" s="6">
        <v>1676215</v>
      </c>
      <c r="I473" s="6">
        <v>0</v>
      </c>
      <c r="K473" s="6">
        <f t="shared" si="84"/>
        <v>2490995</v>
      </c>
      <c r="M473" s="6">
        <f>2621775+241735+52582</f>
        <v>2916092</v>
      </c>
      <c r="O473" s="6">
        <v>0</v>
      </c>
      <c r="Q473" s="6">
        <v>7129523</v>
      </c>
      <c r="S473" s="6">
        <v>9334</v>
      </c>
      <c r="U473" s="6">
        <v>0</v>
      </c>
      <c r="W473" s="6">
        <v>0</v>
      </c>
      <c r="Y473" s="6">
        <v>9281</v>
      </c>
      <c r="Z473" s="44"/>
      <c r="AA473" s="6">
        <v>0</v>
      </c>
      <c r="AC473" s="6">
        <v>0</v>
      </c>
      <c r="AE473" s="6">
        <f t="shared" si="85"/>
        <v>10064230</v>
      </c>
      <c r="AF473" s="6"/>
      <c r="AG473" s="6">
        <f t="shared" si="86"/>
        <v>12555225</v>
      </c>
    </row>
    <row r="474" spans="1:33" ht="12" hidden="1" customHeight="1">
      <c r="A474" s="10" t="s">
        <v>826</v>
      </c>
      <c r="B474" s="10"/>
      <c r="C474" s="10" t="s">
        <v>77</v>
      </c>
      <c r="E474" s="6">
        <v>0</v>
      </c>
      <c r="G474" s="6">
        <v>0</v>
      </c>
      <c r="I474" s="6">
        <v>0</v>
      </c>
      <c r="K474" s="6">
        <f t="shared" si="84"/>
        <v>0</v>
      </c>
      <c r="M474" s="6">
        <v>0</v>
      </c>
      <c r="O474" s="6">
        <v>0</v>
      </c>
      <c r="Q474" s="6">
        <v>0</v>
      </c>
      <c r="S474" s="6">
        <v>0</v>
      </c>
      <c r="U474" s="6">
        <v>0</v>
      </c>
      <c r="W474" s="6">
        <v>0</v>
      </c>
      <c r="Y474" s="6">
        <v>0</v>
      </c>
      <c r="Z474" s="44"/>
      <c r="AA474" s="6">
        <v>0</v>
      </c>
      <c r="AC474" s="6">
        <v>0</v>
      </c>
      <c r="AE474" s="6">
        <f t="shared" si="85"/>
        <v>0</v>
      </c>
      <c r="AF474" s="6"/>
      <c r="AG474" s="6">
        <f t="shared" si="86"/>
        <v>0</v>
      </c>
    </row>
    <row r="475" spans="1:33" ht="12" hidden="1" customHeight="1">
      <c r="A475" s="10" t="s">
        <v>827</v>
      </c>
      <c r="B475" s="10"/>
      <c r="C475" s="10" t="s">
        <v>71</v>
      </c>
      <c r="E475" s="6">
        <v>0</v>
      </c>
      <c r="G475" s="6">
        <v>0</v>
      </c>
      <c r="I475" s="6">
        <v>0</v>
      </c>
      <c r="K475" s="6">
        <f t="shared" si="84"/>
        <v>0</v>
      </c>
      <c r="M475" s="6">
        <v>0</v>
      </c>
      <c r="O475" s="6">
        <v>0</v>
      </c>
      <c r="Q475" s="6">
        <v>0</v>
      </c>
      <c r="S475" s="6">
        <v>0</v>
      </c>
      <c r="U475" s="6">
        <v>0</v>
      </c>
      <c r="W475" s="6">
        <v>0</v>
      </c>
      <c r="Y475" s="6">
        <v>0</v>
      </c>
      <c r="Z475" s="44"/>
      <c r="AA475" s="6">
        <v>0</v>
      </c>
      <c r="AC475" s="6">
        <v>0</v>
      </c>
      <c r="AE475" s="6">
        <f t="shared" si="85"/>
        <v>0</v>
      </c>
      <c r="AF475" s="6"/>
      <c r="AG475" s="6">
        <f t="shared" si="86"/>
        <v>0</v>
      </c>
    </row>
    <row r="476" spans="1:33" ht="12" customHeight="1">
      <c r="A476" s="10" t="s">
        <v>413</v>
      </c>
      <c r="B476" s="10"/>
      <c r="C476" s="10" t="s">
        <v>46</v>
      </c>
      <c r="E476" s="6">
        <v>3918695</v>
      </c>
      <c r="G476" s="6">
        <v>1815175</v>
      </c>
      <c r="I476" s="6">
        <v>0</v>
      </c>
      <c r="K476" s="6">
        <f t="shared" si="84"/>
        <v>5733870</v>
      </c>
      <c r="M476" s="6">
        <f>5488340+95819+1044362</f>
        <v>6628521</v>
      </c>
      <c r="O476" s="6">
        <v>0</v>
      </c>
      <c r="Q476" s="6">
        <v>6044736</v>
      </c>
      <c r="S476" s="6">
        <v>21312</v>
      </c>
      <c r="U476" s="6">
        <v>232376</v>
      </c>
      <c r="W476" s="6">
        <v>10305</v>
      </c>
      <c r="Y476" s="6">
        <v>167788</v>
      </c>
      <c r="Z476" s="44"/>
      <c r="AA476" s="6">
        <v>0</v>
      </c>
      <c r="AC476" s="6">
        <v>0</v>
      </c>
      <c r="AE476" s="6">
        <f t="shared" si="85"/>
        <v>13105038</v>
      </c>
      <c r="AF476" s="6"/>
      <c r="AG476" s="6">
        <f t="shared" si="86"/>
        <v>18838908</v>
      </c>
    </row>
    <row r="477" spans="1:33" s="28" customFormat="1" ht="12" customHeight="1">
      <c r="A477" s="10" t="s">
        <v>255</v>
      </c>
      <c r="B477" s="27"/>
      <c r="C477" s="27" t="s">
        <v>19</v>
      </c>
      <c r="E477" s="6">
        <v>1488476</v>
      </c>
      <c r="F477" s="6"/>
      <c r="G477" s="6">
        <v>2580109</v>
      </c>
      <c r="H477" s="6"/>
      <c r="I477" s="6">
        <v>0</v>
      </c>
      <c r="J477" s="6"/>
      <c r="K477" s="6">
        <f t="shared" si="84"/>
        <v>4068585</v>
      </c>
      <c r="L477" s="6"/>
      <c r="M477" s="6">
        <f>8903357+503099</f>
        <v>9406456</v>
      </c>
      <c r="N477" s="6"/>
      <c r="O477" s="6">
        <v>0</v>
      </c>
      <c r="P477" s="6"/>
      <c r="Q477" s="6">
        <v>9923283</v>
      </c>
      <c r="R477" s="6"/>
      <c r="S477" s="6">
        <v>37376</v>
      </c>
      <c r="T477" s="6"/>
      <c r="U477" s="6">
        <v>0</v>
      </c>
      <c r="V477" s="6"/>
      <c r="W477" s="6">
        <v>0</v>
      </c>
      <c r="X477" s="6"/>
      <c r="Y477" s="6">
        <v>122489</v>
      </c>
      <c r="Z477" s="44"/>
      <c r="AA477" s="6">
        <v>0</v>
      </c>
      <c r="AB477" s="6"/>
      <c r="AC477" s="6">
        <v>0</v>
      </c>
      <c r="AD477" s="6"/>
      <c r="AE477" s="6">
        <f t="shared" si="85"/>
        <v>19489604</v>
      </c>
      <c r="AF477" s="6"/>
      <c r="AG477" s="6">
        <f t="shared" si="86"/>
        <v>23558189</v>
      </c>
    </row>
    <row r="478" spans="1:33" ht="12" hidden="1" customHeight="1">
      <c r="A478" s="10" t="s">
        <v>828</v>
      </c>
      <c r="B478" s="10"/>
      <c r="C478" s="10" t="s">
        <v>339</v>
      </c>
      <c r="E478" s="6">
        <v>0</v>
      </c>
      <c r="G478" s="6">
        <v>0</v>
      </c>
      <c r="I478" s="6">
        <v>0</v>
      </c>
      <c r="K478" s="6">
        <f t="shared" si="84"/>
        <v>0</v>
      </c>
      <c r="M478" s="6">
        <v>0</v>
      </c>
      <c r="O478" s="6">
        <v>0</v>
      </c>
      <c r="Q478" s="6">
        <v>0</v>
      </c>
      <c r="S478" s="6">
        <v>0</v>
      </c>
      <c r="U478" s="6">
        <v>0</v>
      </c>
      <c r="W478" s="6">
        <v>0</v>
      </c>
      <c r="Y478" s="6">
        <v>0</v>
      </c>
      <c r="Z478" s="44"/>
      <c r="AA478" s="6">
        <v>0</v>
      </c>
      <c r="AC478" s="6">
        <v>0</v>
      </c>
      <c r="AE478" s="6">
        <f t="shared" si="85"/>
        <v>0</v>
      </c>
      <c r="AF478" s="6"/>
      <c r="AG478" s="6">
        <f t="shared" si="86"/>
        <v>0</v>
      </c>
    </row>
    <row r="479" spans="1:33" ht="12" customHeight="1">
      <c r="A479" s="10" t="s">
        <v>379</v>
      </c>
      <c r="B479" s="10"/>
      <c r="C479" s="10" t="s">
        <v>41</v>
      </c>
      <c r="E479" s="28">
        <v>1778425</v>
      </c>
      <c r="F479" s="28"/>
      <c r="G479" s="28">
        <v>1765160</v>
      </c>
      <c r="H479" s="28"/>
      <c r="I479" s="28">
        <v>0</v>
      </c>
      <c r="J479" s="28"/>
      <c r="K479" s="28">
        <f t="shared" si="84"/>
        <v>3543585</v>
      </c>
      <c r="L479" s="28"/>
      <c r="M479" s="28">
        <f>21323420+653851+1267318+2581393</f>
        <v>25825982</v>
      </c>
      <c r="N479" s="28"/>
      <c r="O479" s="28">
        <v>0</v>
      </c>
      <c r="P479" s="28"/>
      <c r="Q479" s="28">
        <v>12914086</v>
      </c>
      <c r="R479" s="28"/>
      <c r="S479" s="28">
        <v>8650</v>
      </c>
      <c r="T479" s="28"/>
      <c r="U479" s="28">
        <v>100634</v>
      </c>
      <c r="V479" s="28"/>
      <c r="W479" s="28">
        <v>0</v>
      </c>
      <c r="X479" s="28"/>
      <c r="Y479" s="28">
        <f>184542+651791</f>
        <v>836333</v>
      </c>
      <c r="Z479" s="56"/>
      <c r="AA479" s="28">
        <v>4400</v>
      </c>
      <c r="AB479" s="28"/>
      <c r="AC479" s="28">
        <v>0</v>
      </c>
      <c r="AD479" s="28"/>
      <c r="AE479" s="28">
        <f t="shared" si="85"/>
        <v>39690085</v>
      </c>
      <c r="AF479" s="28"/>
      <c r="AG479" s="28">
        <f t="shared" si="86"/>
        <v>43233670</v>
      </c>
    </row>
    <row r="480" spans="1:33" ht="12" customHeight="1">
      <c r="A480" s="10" t="s">
        <v>379</v>
      </c>
      <c r="B480" s="10"/>
      <c r="C480" s="10" t="s">
        <v>43</v>
      </c>
      <c r="E480" s="6">
        <v>709243</v>
      </c>
      <c r="G480" s="6">
        <v>843815</v>
      </c>
      <c r="I480" s="6">
        <v>0</v>
      </c>
      <c r="K480" s="6">
        <f t="shared" si="84"/>
        <v>1553058</v>
      </c>
      <c r="M480" s="6">
        <f>864584+180513+51960+12957</f>
        <v>1110014</v>
      </c>
      <c r="O480" s="6">
        <v>1303473</v>
      </c>
      <c r="Q480" s="6">
        <v>3837916</v>
      </c>
      <c r="S480" s="6">
        <v>8103</v>
      </c>
      <c r="U480" s="6">
        <v>0</v>
      </c>
      <c r="W480" s="6">
        <v>0</v>
      </c>
      <c r="Y480" s="6">
        <v>38929</v>
      </c>
      <c r="Z480" s="44"/>
      <c r="AA480" s="6">
        <v>0</v>
      </c>
      <c r="AC480" s="6">
        <v>0</v>
      </c>
      <c r="AE480" s="6">
        <f t="shared" si="85"/>
        <v>6298435</v>
      </c>
      <c r="AF480" s="6"/>
      <c r="AG480" s="6">
        <f t="shared" si="86"/>
        <v>7851493</v>
      </c>
    </row>
    <row r="481" spans="1:33" ht="12" customHeight="1">
      <c r="A481" s="10" t="s">
        <v>370</v>
      </c>
      <c r="B481" s="10"/>
      <c r="C481" s="10" t="s">
        <v>366</v>
      </c>
      <c r="E481" s="6">
        <v>1013274</v>
      </c>
      <c r="G481" s="6">
        <v>3370678</v>
      </c>
      <c r="I481" s="6">
        <v>0</v>
      </c>
      <c r="K481" s="6">
        <f t="shared" si="84"/>
        <v>4383952</v>
      </c>
      <c r="M481" s="6">
        <f>2360789+42130</f>
        <v>2402919</v>
      </c>
      <c r="O481" s="6">
        <v>0</v>
      </c>
      <c r="Q481" s="6">
        <v>13071745</v>
      </c>
      <c r="S481" s="6">
        <v>16910</v>
      </c>
      <c r="U481" s="6">
        <v>0</v>
      </c>
      <c r="W481" s="6">
        <v>0</v>
      </c>
      <c r="Y481" s="6">
        <v>34114</v>
      </c>
      <c r="Z481" s="44"/>
      <c r="AA481" s="6">
        <v>0</v>
      </c>
      <c r="AC481" s="6">
        <v>0</v>
      </c>
      <c r="AE481" s="6">
        <f t="shared" si="85"/>
        <v>15525688</v>
      </c>
      <c r="AF481" s="6"/>
      <c r="AG481" s="6">
        <f t="shared" si="86"/>
        <v>19909640</v>
      </c>
    </row>
    <row r="482" spans="1:33" ht="12" customHeight="1">
      <c r="A482" s="11" t="s">
        <v>713</v>
      </c>
      <c r="B482" s="10"/>
      <c r="C482" s="10" t="s">
        <v>20</v>
      </c>
      <c r="E482" s="6">
        <v>1157524</v>
      </c>
      <c r="G482" s="6">
        <v>2636280</v>
      </c>
      <c r="I482" s="6">
        <v>0</v>
      </c>
      <c r="K482" s="6">
        <f t="shared" si="84"/>
        <v>3793804</v>
      </c>
      <c r="M482" s="6">
        <f>25455709+3876812</f>
        <v>29332521</v>
      </c>
      <c r="O482" s="6">
        <v>0</v>
      </c>
      <c r="Q482" s="6">
        <v>6828628</v>
      </c>
      <c r="S482" s="6">
        <v>168027</v>
      </c>
      <c r="U482" s="6">
        <v>0</v>
      </c>
      <c r="W482" s="6">
        <v>0</v>
      </c>
      <c r="Y482" s="6">
        <v>249790</v>
      </c>
      <c r="Z482" s="44"/>
      <c r="AA482" s="6">
        <v>0</v>
      </c>
      <c r="AC482" s="6">
        <v>0</v>
      </c>
      <c r="AE482" s="6">
        <f t="shared" si="85"/>
        <v>36578966</v>
      </c>
      <c r="AF482" s="6"/>
      <c r="AG482" s="6">
        <f t="shared" si="86"/>
        <v>40372770</v>
      </c>
    </row>
    <row r="483" spans="1:33" ht="12" customHeight="1">
      <c r="A483" s="10" t="s">
        <v>321</v>
      </c>
      <c r="B483" s="10"/>
      <c r="C483" s="10" t="s">
        <v>31</v>
      </c>
      <c r="E483" s="6">
        <v>1073787</v>
      </c>
      <c r="G483" s="6">
        <v>3965887</v>
      </c>
      <c r="I483" s="6">
        <v>190884</v>
      </c>
      <c r="K483" s="6">
        <f t="shared" si="84"/>
        <v>5230558</v>
      </c>
      <c r="M483" s="6">
        <v>4505524</v>
      </c>
      <c r="O483" s="6">
        <v>0</v>
      </c>
      <c r="Q483" s="6">
        <v>10117912</v>
      </c>
      <c r="S483" s="6">
        <v>7289</v>
      </c>
      <c r="U483" s="6">
        <v>0</v>
      </c>
      <c r="W483" s="6">
        <v>0</v>
      </c>
      <c r="Y483" s="6">
        <v>26743</v>
      </c>
      <c r="Z483" s="44"/>
      <c r="AA483" s="6">
        <v>0</v>
      </c>
      <c r="AC483" s="6">
        <v>0</v>
      </c>
      <c r="AE483" s="6">
        <f t="shared" si="85"/>
        <v>14657468</v>
      </c>
      <c r="AF483" s="6"/>
      <c r="AG483" s="6">
        <f t="shared" si="86"/>
        <v>19888026</v>
      </c>
    </row>
    <row r="484" spans="1:33" ht="12" customHeight="1">
      <c r="A484" s="10" t="s">
        <v>462</v>
      </c>
      <c r="B484" s="10"/>
      <c r="C484" s="10" t="s">
        <v>56</v>
      </c>
      <c r="E484" s="6">
        <v>698208</v>
      </c>
      <c r="G484" s="6">
        <v>820881</v>
      </c>
      <c r="I484" s="6">
        <v>0</v>
      </c>
      <c r="K484" s="6">
        <f t="shared" si="84"/>
        <v>1519089</v>
      </c>
      <c r="M484" s="6">
        <f>5110933+39001+286221</f>
        <v>5436155</v>
      </c>
      <c r="O484" s="6">
        <v>0</v>
      </c>
      <c r="Q484" s="6">
        <v>5148298</v>
      </c>
      <c r="S484" s="6">
        <v>2795</v>
      </c>
      <c r="U484" s="6">
        <v>0</v>
      </c>
      <c r="W484" s="6">
        <v>0</v>
      </c>
      <c r="Y484" s="6">
        <v>52911</v>
      </c>
      <c r="Z484" s="44"/>
      <c r="AA484" s="6">
        <v>0</v>
      </c>
      <c r="AC484" s="6">
        <v>0</v>
      </c>
      <c r="AE484" s="6">
        <f t="shared" si="85"/>
        <v>10640159</v>
      </c>
      <c r="AF484" s="6"/>
      <c r="AG484" s="6">
        <f t="shared" si="86"/>
        <v>12159248</v>
      </c>
    </row>
    <row r="485" spans="1:33" ht="12" customHeight="1">
      <c r="A485" s="10" t="s">
        <v>714</v>
      </c>
      <c r="B485" s="10"/>
      <c r="C485" s="10" t="s">
        <v>221</v>
      </c>
      <c r="E485" s="6">
        <v>1623512</v>
      </c>
      <c r="G485" s="6">
        <v>1982339</v>
      </c>
      <c r="I485" s="6">
        <v>0</v>
      </c>
      <c r="K485" s="6">
        <f t="shared" si="84"/>
        <v>3605851</v>
      </c>
      <c r="M485" s="6">
        <f>8833635+1472468+259814</f>
        <v>10565917</v>
      </c>
      <c r="O485" s="6">
        <v>2660345</v>
      </c>
      <c r="Q485" s="6">
        <v>11438492</v>
      </c>
      <c r="S485" s="6">
        <v>25120</v>
      </c>
      <c r="U485" s="6">
        <v>0</v>
      </c>
      <c r="W485" s="6">
        <v>0</v>
      </c>
      <c r="Y485" s="6">
        <v>289961</v>
      </c>
      <c r="Z485" s="44"/>
      <c r="AA485" s="6">
        <v>0</v>
      </c>
      <c r="AC485" s="6">
        <v>0</v>
      </c>
      <c r="AE485" s="6">
        <f t="shared" si="85"/>
        <v>24979835</v>
      </c>
      <c r="AF485" s="6"/>
      <c r="AG485" s="6">
        <f t="shared" si="86"/>
        <v>28585686</v>
      </c>
    </row>
    <row r="486" spans="1:33" ht="12" customHeight="1">
      <c r="A486" s="10" t="s">
        <v>777</v>
      </c>
      <c r="B486" s="10"/>
      <c r="C486" s="10" t="s">
        <v>72</v>
      </c>
      <c r="E486" s="6">
        <v>919761</v>
      </c>
      <c r="G486" s="6">
        <v>1740916</v>
      </c>
      <c r="I486" s="6">
        <v>0</v>
      </c>
      <c r="K486" s="6">
        <f t="shared" si="84"/>
        <v>2660677</v>
      </c>
      <c r="M486" s="6">
        <v>10431284</v>
      </c>
      <c r="O486" s="6">
        <v>0</v>
      </c>
      <c r="Q486" s="6">
        <v>7833274</v>
      </c>
      <c r="S486" s="6">
        <v>43851</v>
      </c>
      <c r="U486" s="6">
        <v>735841</v>
      </c>
      <c r="W486" s="6">
        <v>1502089</v>
      </c>
      <c r="Y486" s="6">
        <v>195327</v>
      </c>
      <c r="Z486" s="44"/>
      <c r="AA486" s="6">
        <v>0</v>
      </c>
      <c r="AC486" s="6">
        <v>0</v>
      </c>
      <c r="AE486" s="6">
        <f t="shared" si="85"/>
        <v>20741666</v>
      </c>
      <c r="AF486" s="6"/>
      <c r="AG486" s="6">
        <f t="shared" si="86"/>
        <v>23402343</v>
      </c>
    </row>
    <row r="487" spans="1:33" ht="12" customHeight="1">
      <c r="A487" s="10" t="s">
        <v>492</v>
      </c>
      <c r="B487" s="10"/>
      <c r="C487" s="10" t="s">
        <v>61</v>
      </c>
      <c r="E487" s="6">
        <v>649277</v>
      </c>
      <c r="G487" s="6">
        <v>470875</v>
      </c>
      <c r="I487" s="6">
        <v>0</v>
      </c>
      <c r="K487" s="6">
        <f t="shared" si="84"/>
        <v>1120152</v>
      </c>
      <c r="M487" s="6">
        <f>923320+487491+18872</f>
        <v>1429683</v>
      </c>
      <c r="O487" s="6">
        <v>336504</v>
      </c>
      <c r="Q487" s="6">
        <v>2303995</v>
      </c>
      <c r="S487" s="6">
        <v>4920</v>
      </c>
      <c r="U487" s="6">
        <v>0</v>
      </c>
      <c r="W487" s="6">
        <v>2146</v>
      </c>
      <c r="Y487" s="6">
        <v>11659</v>
      </c>
      <c r="Z487" s="44"/>
      <c r="AA487" s="6">
        <v>0</v>
      </c>
      <c r="AC487" s="6">
        <v>0</v>
      </c>
      <c r="AE487" s="6">
        <f t="shared" si="85"/>
        <v>4088907</v>
      </c>
      <c r="AF487" s="6"/>
      <c r="AG487" s="6">
        <f t="shared" si="86"/>
        <v>5209059</v>
      </c>
    </row>
    <row r="488" spans="1:33" ht="12" customHeight="1">
      <c r="A488" s="10" t="s">
        <v>607</v>
      </c>
      <c r="B488" s="10"/>
      <c r="C488" s="10" t="s">
        <v>112</v>
      </c>
      <c r="E488" s="6">
        <v>1590417</v>
      </c>
      <c r="G488" s="6">
        <v>2649405</v>
      </c>
      <c r="I488" s="6">
        <v>26762</v>
      </c>
      <c r="K488" s="6">
        <f t="shared" ref="K488:K537" si="90">SUM(E488:J488)</f>
        <v>4266584</v>
      </c>
      <c r="M488" s="6">
        <f>8410016+533751</f>
        <v>8943767</v>
      </c>
      <c r="O488" s="6">
        <v>4331</v>
      </c>
      <c r="Q488" s="6">
        <f>9090524</f>
        <v>9090524</v>
      </c>
      <c r="S488" s="6">
        <v>2449</v>
      </c>
      <c r="U488" s="6">
        <v>0</v>
      </c>
      <c r="W488" s="6">
        <v>0</v>
      </c>
      <c r="Y488" s="6">
        <v>197854</v>
      </c>
      <c r="Z488" s="44"/>
      <c r="AA488" s="6">
        <v>0</v>
      </c>
      <c r="AC488" s="6">
        <v>0</v>
      </c>
      <c r="AE488" s="6">
        <f t="shared" si="85"/>
        <v>18238925</v>
      </c>
      <c r="AF488" s="6"/>
      <c r="AG488" s="6">
        <f t="shared" si="86"/>
        <v>22505509</v>
      </c>
    </row>
    <row r="489" spans="1:33" ht="12" customHeight="1">
      <c r="A489" s="10" t="s">
        <v>290</v>
      </c>
      <c r="B489" s="10"/>
      <c r="C489" s="10" t="s">
        <v>24</v>
      </c>
      <c r="E489" s="6">
        <v>1692431</v>
      </c>
      <c r="G489" s="6">
        <v>11012287</v>
      </c>
      <c r="I489" s="6">
        <v>0</v>
      </c>
      <c r="K489" s="6">
        <f t="shared" si="90"/>
        <v>12704718</v>
      </c>
      <c r="M489" s="6">
        <f>16789561+873259</f>
        <v>17662820</v>
      </c>
      <c r="O489" s="6">
        <v>0</v>
      </c>
      <c r="Q489" s="6">
        <v>19187047</v>
      </c>
      <c r="S489" s="6">
        <v>40283</v>
      </c>
      <c r="U489" s="6">
        <v>96880</v>
      </c>
      <c r="W489" s="6">
        <v>83824</v>
      </c>
      <c r="Y489" s="6">
        <v>377483</v>
      </c>
      <c r="Z489" s="44"/>
      <c r="AA489" s="6">
        <v>0</v>
      </c>
      <c r="AC489" s="6">
        <v>0</v>
      </c>
      <c r="AE489" s="6">
        <f t="shared" si="85"/>
        <v>37448337</v>
      </c>
      <c r="AF489" s="6"/>
      <c r="AG489" s="6">
        <f t="shared" si="86"/>
        <v>50153055</v>
      </c>
    </row>
    <row r="490" spans="1:33" ht="12" customHeight="1">
      <c r="A490" s="10" t="s">
        <v>504</v>
      </c>
      <c r="B490" s="10"/>
      <c r="C490" s="10" t="s">
        <v>62</v>
      </c>
      <c r="E490" s="6">
        <v>1274968</v>
      </c>
      <c r="G490" s="6">
        <v>2763406</v>
      </c>
      <c r="I490" s="6">
        <v>45911</v>
      </c>
      <c r="K490" s="6">
        <f t="shared" si="90"/>
        <v>4084285</v>
      </c>
      <c r="M490" s="6">
        <f>3008530+635161+50558+121803</f>
        <v>3816052</v>
      </c>
      <c r="O490" s="6">
        <v>0</v>
      </c>
      <c r="Q490" s="6">
        <v>7664301</v>
      </c>
      <c r="S490" s="6">
        <v>9091</v>
      </c>
      <c r="U490" s="6">
        <v>0</v>
      </c>
      <c r="W490" s="6">
        <v>0</v>
      </c>
      <c r="Y490" s="6">
        <v>91919</v>
      </c>
      <c r="Z490" s="44"/>
      <c r="AA490" s="6">
        <v>0</v>
      </c>
      <c r="AC490" s="6">
        <v>0</v>
      </c>
      <c r="AE490" s="6">
        <f t="shared" si="85"/>
        <v>11581363</v>
      </c>
      <c r="AF490" s="6"/>
      <c r="AG490" s="6">
        <f t="shared" si="86"/>
        <v>15665648</v>
      </c>
    </row>
    <row r="491" spans="1:33" ht="12" customHeight="1">
      <c r="A491" s="10" t="s">
        <v>456</v>
      </c>
      <c r="B491" s="10"/>
      <c r="C491" s="10" t="s">
        <v>55</v>
      </c>
      <c r="E491" s="6">
        <v>920656</v>
      </c>
      <c r="G491" s="6">
        <v>2194065</v>
      </c>
      <c r="I491" s="6">
        <v>0</v>
      </c>
      <c r="K491" s="6">
        <f t="shared" si="90"/>
        <v>3114721</v>
      </c>
      <c r="M491" s="6">
        <f>2070258+43936</f>
        <v>2114194</v>
      </c>
      <c r="O491" s="6">
        <v>0</v>
      </c>
      <c r="Q491" s="6">
        <v>11052435</v>
      </c>
      <c r="S491" s="6">
        <v>16637</v>
      </c>
      <c r="U491" s="6">
        <v>0</v>
      </c>
      <c r="W491" s="6">
        <v>300</v>
      </c>
      <c r="Y491" s="6">
        <v>101626</v>
      </c>
      <c r="Z491" s="44"/>
      <c r="AA491" s="6">
        <v>0</v>
      </c>
      <c r="AC491" s="6">
        <v>0</v>
      </c>
      <c r="AE491" s="6">
        <f t="shared" si="85"/>
        <v>13285192</v>
      </c>
      <c r="AF491" s="6"/>
      <c r="AG491" s="6">
        <f t="shared" si="86"/>
        <v>16399913</v>
      </c>
    </row>
    <row r="492" spans="1:33" ht="12" customHeight="1">
      <c r="A492" s="10" t="s">
        <v>405</v>
      </c>
      <c r="B492" s="10"/>
      <c r="C492" s="10" t="s">
        <v>45</v>
      </c>
      <c r="E492" s="6">
        <v>497522</v>
      </c>
      <c r="G492" s="6">
        <v>611442</v>
      </c>
      <c r="I492" s="6">
        <v>0</v>
      </c>
      <c r="K492" s="6">
        <f t="shared" si="90"/>
        <v>1108964</v>
      </c>
      <c r="M492" s="6">
        <f>1036183+160298+78075+16785</f>
        <v>1291341</v>
      </c>
      <c r="O492" s="6">
        <v>454527</v>
      </c>
      <c r="Q492" s="6">
        <v>4395224</v>
      </c>
      <c r="S492" s="6">
        <v>915</v>
      </c>
      <c r="U492" s="6">
        <v>0</v>
      </c>
      <c r="W492" s="6">
        <v>0</v>
      </c>
      <c r="Y492" s="6">
        <v>49448</v>
      </c>
      <c r="Z492" s="44"/>
      <c r="AA492" s="6">
        <v>0</v>
      </c>
      <c r="AC492" s="6">
        <v>0</v>
      </c>
      <c r="AE492" s="6">
        <f t="shared" si="85"/>
        <v>6191455</v>
      </c>
      <c r="AF492" s="6"/>
      <c r="AG492" s="6">
        <f t="shared" si="86"/>
        <v>7300419</v>
      </c>
    </row>
    <row r="493" spans="1:33" ht="12" customHeight="1">
      <c r="A493" s="10" t="s">
        <v>487</v>
      </c>
      <c r="B493" s="10"/>
      <c r="C493" s="10" t="s">
        <v>60</v>
      </c>
      <c r="E493" s="6">
        <v>1201202</v>
      </c>
      <c r="G493" s="6">
        <v>917526</v>
      </c>
      <c r="I493" s="6">
        <v>0</v>
      </c>
      <c r="K493" s="6">
        <f t="shared" si="90"/>
        <v>2118728</v>
      </c>
      <c r="M493" s="6">
        <f>1504759+27876+598406</f>
        <v>2131041</v>
      </c>
      <c r="O493" s="6">
        <v>1091091</v>
      </c>
      <c r="Q493" s="6">
        <v>3972043</v>
      </c>
      <c r="S493" s="6">
        <v>6020</v>
      </c>
      <c r="U493" s="6">
        <v>0</v>
      </c>
      <c r="W493" s="6">
        <v>0</v>
      </c>
      <c r="Y493" s="6">
        <v>12640</v>
      </c>
      <c r="Z493" s="44"/>
      <c r="AA493" s="6">
        <v>0</v>
      </c>
      <c r="AC493" s="6">
        <v>0</v>
      </c>
      <c r="AE493" s="6">
        <f t="shared" si="85"/>
        <v>7212835</v>
      </c>
      <c r="AF493" s="6"/>
      <c r="AG493" s="6">
        <f t="shared" si="86"/>
        <v>9331563</v>
      </c>
    </row>
    <row r="494" spans="1:33" ht="12" customHeight="1">
      <c r="A494" s="10" t="s">
        <v>217</v>
      </c>
      <c r="B494" s="10"/>
      <c r="C494" s="10" t="s">
        <v>15</v>
      </c>
      <c r="E494" s="6">
        <v>1309423</v>
      </c>
      <c r="G494" s="6">
        <v>706418</v>
      </c>
      <c r="I494" s="6">
        <v>11000</v>
      </c>
      <c r="K494" s="6">
        <f t="shared" si="90"/>
        <v>2026841</v>
      </c>
      <c r="M494" s="6">
        <f>1784989+265953</f>
        <v>2050942</v>
      </c>
      <c r="O494" s="6">
        <v>0</v>
      </c>
      <c r="Q494" s="6">
        <v>2626322</v>
      </c>
      <c r="S494" s="6">
        <v>27921</v>
      </c>
      <c r="U494" s="6">
        <v>0</v>
      </c>
      <c r="W494" s="6">
        <v>4751</v>
      </c>
      <c r="Y494" s="6">
        <v>32670</v>
      </c>
      <c r="Z494" s="44"/>
      <c r="AA494" s="6">
        <v>0</v>
      </c>
      <c r="AC494" s="6">
        <v>0</v>
      </c>
      <c r="AE494" s="6">
        <f t="shared" si="85"/>
        <v>4742606</v>
      </c>
      <c r="AF494" s="6"/>
      <c r="AG494" s="6">
        <f t="shared" si="86"/>
        <v>6769447</v>
      </c>
    </row>
    <row r="495" spans="1:33" ht="12" customHeight="1">
      <c r="A495" s="10" t="s">
        <v>715</v>
      </c>
      <c r="B495" s="10"/>
      <c r="C495" s="10" t="s">
        <v>20</v>
      </c>
      <c r="E495" s="6">
        <v>2670982</v>
      </c>
      <c r="G495" s="6">
        <v>6297944</v>
      </c>
      <c r="I495" s="6">
        <v>41965</v>
      </c>
      <c r="K495" s="6">
        <f t="shared" si="90"/>
        <v>9010891</v>
      </c>
      <c r="M495" s="6">
        <f>64805875+2658043</f>
        <v>67463918</v>
      </c>
      <c r="O495" s="6">
        <v>0</v>
      </c>
      <c r="Q495" s="6">
        <v>23319363</v>
      </c>
      <c r="S495" s="6">
        <v>193986</v>
      </c>
      <c r="U495" s="6">
        <v>0</v>
      </c>
      <c r="W495" s="6">
        <v>0</v>
      </c>
      <c r="Y495" s="6">
        <v>514201</v>
      </c>
      <c r="Z495" s="44"/>
      <c r="AA495" s="6">
        <v>0</v>
      </c>
      <c r="AC495" s="6">
        <v>0</v>
      </c>
      <c r="AE495" s="6">
        <f t="shared" si="85"/>
        <v>91491468</v>
      </c>
      <c r="AF495" s="6"/>
      <c r="AG495" s="6">
        <f t="shared" si="86"/>
        <v>100502359</v>
      </c>
    </row>
    <row r="496" spans="1:33" ht="12" hidden="1" customHeight="1">
      <c r="A496" s="10" t="s">
        <v>700</v>
      </c>
      <c r="B496" s="10"/>
      <c r="C496" s="10" t="s">
        <v>10</v>
      </c>
      <c r="E496" s="6">
        <v>0</v>
      </c>
      <c r="G496" s="6">
        <v>0</v>
      </c>
      <c r="I496" s="6">
        <v>0</v>
      </c>
      <c r="K496" s="6">
        <f t="shared" si="90"/>
        <v>0</v>
      </c>
      <c r="M496" s="6">
        <v>0</v>
      </c>
      <c r="O496" s="6">
        <v>0</v>
      </c>
      <c r="Q496" s="6">
        <v>0</v>
      </c>
      <c r="S496" s="6">
        <v>0</v>
      </c>
      <c r="U496" s="6">
        <v>0</v>
      </c>
      <c r="W496" s="6">
        <v>0</v>
      </c>
      <c r="Y496" s="6">
        <v>0</v>
      </c>
      <c r="Z496" s="44"/>
      <c r="AA496" s="6">
        <v>0</v>
      </c>
      <c r="AC496" s="6">
        <v>0</v>
      </c>
      <c r="AE496" s="6">
        <f t="shared" si="85"/>
        <v>0</v>
      </c>
      <c r="AF496" s="6"/>
      <c r="AG496" s="6">
        <f t="shared" si="86"/>
        <v>0</v>
      </c>
    </row>
    <row r="497" spans="1:33" ht="12" customHeight="1">
      <c r="A497" s="10" t="s">
        <v>789</v>
      </c>
      <c r="B497" s="10"/>
      <c r="C497" s="10" t="s">
        <v>44</v>
      </c>
      <c r="E497" s="6">
        <v>1489053</v>
      </c>
      <c r="G497" s="6">
        <v>1551724</v>
      </c>
      <c r="I497" s="6">
        <v>0</v>
      </c>
      <c r="K497" s="6">
        <f t="shared" si="90"/>
        <v>3040777</v>
      </c>
      <c r="M497" s="6">
        <f>10150463+1101595+293371</f>
        <v>11545429</v>
      </c>
      <c r="O497" s="6">
        <v>0</v>
      </c>
      <c r="Q497" s="6">
        <v>6987936</v>
      </c>
      <c r="S497" s="6">
        <v>34007</v>
      </c>
      <c r="U497" s="6">
        <v>0</v>
      </c>
      <c r="W497" s="6">
        <v>0</v>
      </c>
      <c r="Y497" s="6">
        <v>156724</v>
      </c>
      <c r="Z497" s="44"/>
      <c r="AA497" s="6">
        <v>0</v>
      </c>
      <c r="AC497" s="6">
        <v>0</v>
      </c>
      <c r="AE497" s="6">
        <f t="shared" si="85"/>
        <v>18724096</v>
      </c>
      <c r="AF497" s="6"/>
      <c r="AG497" s="6">
        <f t="shared" si="86"/>
        <v>21764873</v>
      </c>
    </row>
    <row r="498" spans="1:33" ht="12" customHeight="1">
      <c r="A498" s="10" t="s">
        <v>472</v>
      </c>
      <c r="B498" s="10"/>
      <c r="C498" s="10" t="s">
        <v>110</v>
      </c>
      <c r="E498" s="6">
        <v>1199516</v>
      </c>
      <c r="G498" s="6">
        <v>3190453</v>
      </c>
      <c r="I498" s="6">
        <v>118260</v>
      </c>
      <c r="K498" s="6">
        <f t="shared" si="90"/>
        <v>4508229</v>
      </c>
      <c r="M498" s="6">
        <f>4459493+168169+618389+265984</f>
        <v>5512035</v>
      </c>
      <c r="O498" s="6">
        <v>2654725</v>
      </c>
      <c r="Q498" s="6">
        <v>8748525</v>
      </c>
      <c r="S498" s="6">
        <v>20549</v>
      </c>
      <c r="U498" s="6">
        <v>0</v>
      </c>
      <c r="W498" s="6">
        <v>0</v>
      </c>
      <c r="Y498" s="6">
        <v>36534</v>
      </c>
      <c r="Z498" s="44"/>
      <c r="AA498" s="6">
        <v>0</v>
      </c>
      <c r="AC498" s="6">
        <v>0</v>
      </c>
      <c r="AE498" s="6">
        <f t="shared" si="85"/>
        <v>16972368</v>
      </c>
      <c r="AF498" s="6"/>
      <c r="AG498" s="6">
        <f t="shared" si="86"/>
        <v>21480597</v>
      </c>
    </row>
    <row r="499" spans="1:33" ht="12" hidden="1" customHeight="1">
      <c r="A499" s="10" t="s">
        <v>833</v>
      </c>
      <c r="B499" s="10"/>
      <c r="C499" s="10" t="s">
        <v>61</v>
      </c>
      <c r="E499" s="6">
        <v>0</v>
      </c>
      <c r="G499" s="6">
        <v>0</v>
      </c>
      <c r="I499" s="6">
        <v>0</v>
      </c>
      <c r="K499" s="6">
        <f t="shared" si="90"/>
        <v>0</v>
      </c>
      <c r="M499" s="6">
        <v>0</v>
      </c>
      <c r="O499" s="6">
        <v>0</v>
      </c>
      <c r="Q499" s="6">
        <v>0</v>
      </c>
      <c r="S499" s="6">
        <v>0</v>
      </c>
      <c r="U499" s="6">
        <v>0</v>
      </c>
      <c r="W499" s="6">
        <v>0</v>
      </c>
      <c r="Y499" s="6">
        <v>0</v>
      </c>
      <c r="Z499" s="44"/>
      <c r="AA499" s="6">
        <v>0</v>
      </c>
      <c r="AC499" s="6">
        <v>0</v>
      </c>
      <c r="AE499" s="6">
        <f t="shared" si="85"/>
        <v>0</v>
      </c>
      <c r="AF499" s="6"/>
      <c r="AG499" s="6">
        <f t="shared" si="86"/>
        <v>0</v>
      </c>
    </row>
    <row r="500" spans="1:33" ht="12" customHeight="1">
      <c r="A500" s="10" t="s">
        <v>277</v>
      </c>
      <c r="B500" s="10"/>
      <c r="C500" s="10" t="s">
        <v>20</v>
      </c>
      <c r="E500" s="6">
        <v>3276032</v>
      </c>
      <c r="G500" s="6">
        <v>2426549</v>
      </c>
      <c r="I500" s="6">
        <v>0</v>
      </c>
      <c r="K500" s="6">
        <f t="shared" si="90"/>
        <v>5702581</v>
      </c>
      <c r="M500" s="6">
        <f>50880366+2862064+1285312</f>
        <v>55027742</v>
      </c>
      <c r="O500" s="6">
        <v>0</v>
      </c>
      <c r="Q500" s="6">
        <v>17878869</v>
      </c>
      <c r="S500" s="6">
        <v>93448</v>
      </c>
      <c r="U500" s="6">
        <v>1161127</v>
      </c>
      <c r="W500" s="6">
        <v>0</v>
      </c>
      <c r="Y500" s="6">
        <v>469621</v>
      </c>
      <c r="Z500" s="44"/>
      <c r="AA500" s="6">
        <v>0</v>
      </c>
      <c r="AC500" s="6">
        <v>0</v>
      </c>
      <c r="AE500" s="6">
        <f t="shared" si="85"/>
        <v>74630807</v>
      </c>
      <c r="AF500" s="6"/>
      <c r="AG500" s="6">
        <f t="shared" si="86"/>
        <v>80333388</v>
      </c>
    </row>
    <row r="501" spans="1:33" ht="12" customHeight="1">
      <c r="A501" s="10" t="s">
        <v>633</v>
      </c>
      <c r="B501" s="10"/>
      <c r="C501" s="11" t="s">
        <v>37</v>
      </c>
      <c r="E501" s="6">
        <v>572613</v>
      </c>
      <c r="G501" s="6">
        <v>1424729</v>
      </c>
      <c r="I501" s="6">
        <v>0</v>
      </c>
      <c r="K501" s="6">
        <f t="shared" si="90"/>
        <v>1997342</v>
      </c>
      <c r="M501" s="6">
        <f>1311722+125989+26108</f>
        <v>1463819</v>
      </c>
      <c r="O501" s="6">
        <v>990438</v>
      </c>
      <c r="Q501" s="6">
        <v>4516511</v>
      </c>
      <c r="S501" s="6">
        <v>9206</v>
      </c>
      <c r="U501" s="6">
        <v>0</v>
      </c>
      <c r="W501" s="6">
        <v>0</v>
      </c>
      <c r="Y501" s="6">
        <v>31282</v>
      </c>
      <c r="Z501" s="44"/>
      <c r="AA501" s="6">
        <v>0</v>
      </c>
      <c r="AC501" s="6">
        <v>0</v>
      </c>
      <c r="AE501" s="6">
        <f t="shared" si="85"/>
        <v>7011256</v>
      </c>
      <c r="AF501" s="6"/>
      <c r="AG501" s="6">
        <f t="shared" si="86"/>
        <v>9008598</v>
      </c>
    </row>
    <row r="502" spans="1:33" ht="12" customHeight="1">
      <c r="A502" s="10" t="s">
        <v>278</v>
      </c>
      <c r="B502" s="10"/>
      <c r="C502" s="10" t="s">
        <v>20</v>
      </c>
      <c r="E502" s="6">
        <v>2767165</v>
      </c>
      <c r="G502" s="6">
        <v>4756101</v>
      </c>
      <c r="I502" s="6">
        <v>0</v>
      </c>
      <c r="K502" s="6">
        <f t="shared" si="90"/>
        <v>7523266</v>
      </c>
      <c r="M502" s="6">
        <v>44874401</v>
      </c>
      <c r="O502" s="6">
        <v>0</v>
      </c>
      <c r="Q502" s="6">
        <v>14107975</v>
      </c>
      <c r="S502" s="6">
        <v>35651</v>
      </c>
      <c r="U502" s="6">
        <v>562500</v>
      </c>
      <c r="W502" s="6">
        <v>3175</v>
      </c>
      <c r="Y502" s="6">
        <v>893391</v>
      </c>
      <c r="Z502" s="44"/>
      <c r="AA502" s="6">
        <v>0</v>
      </c>
      <c r="AC502" s="6">
        <v>0</v>
      </c>
      <c r="AE502" s="6">
        <f t="shared" si="85"/>
        <v>60477093</v>
      </c>
      <c r="AF502" s="6"/>
      <c r="AG502" s="6">
        <f t="shared" si="86"/>
        <v>68000359</v>
      </c>
    </row>
    <row r="503" spans="1:33" ht="12" customHeight="1">
      <c r="A503" s="10" t="s">
        <v>371</v>
      </c>
      <c r="B503" s="10"/>
      <c r="C503" s="10" t="s">
        <v>366</v>
      </c>
      <c r="E503" s="6">
        <v>373580</v>
      </c>
      <c r="G503" s="6">
        <v>2390008</v>
      </c>
      <c r="I503" s="6">
        <v>0</v>
      </c>
      <c r="K503" s="6">
        <f t="shared" si="90"/>
        <v>2763588</v>
      </c>
      <c r="M503" s="6">
        <f>3514826+695275+69333</f>
        <v>4279434</v>
      </c>
      <c r="O503" s="6">
        <v>0</v>
      </c>
      <c r="Q503" s="6">
        <v>12577522</v>
      </c>
      <c r="S503" s="6">
        <v>2293</v>
      </c>
      <c r="U503" s="6">
        <v>0</v>
      </c>
      <c r="W503" s="6">
        <v>0</v>
      </c>
      <c r="Y503" s="6">
        <v>76291</v>
      </c>
      <c r="Z503" s="44"/>
      <c r="AA503" s="6">
        <v>0</v>
      </c>
      <c r="AC503" s="6">
        <v>0</v>
      </c>
      <c r="AE503" s="6">
        <f t="shared" si="85"/>
        <v>16935540</v>
      </c>
      <c r="AF503" s="6"/>
      <c r="AG503" s="6">
        <f t="shared" si="86"/>
        <v>19699128</v>
      </c>
    </row>
    <row r="504" spans="1:33" ht="12" customHeight="1">
      <c r="A504" s="10" t="s">
        <v>406</v>
      </c>
      <c r="B504" s="10"/>
      <c r="C504" s="10" t="s">
        <v>45</v>
      </c>
      <c r="E504" s="6">
        <v>512957</v>
      </c>
      <c r="G504" s="6">
        <v>904474</v>
      </c>
      <c r="I504" s="6">
        <v>0</v>
      </c>
      <c r="K504" s="6">
        <f t="shared" si="90"/>
        <v>1417431</v>
      </c>
      <c r="M504" s="6">
        <f>4697516+74210+1147183</f>
        <v>5918909</v>
      </c>
      <c r="O504" s="6">
        <v>0</v>
      </c>
      <c r="Q504" s="6">
        <v>5328467</v>
      </c>
      <c r="S504" s="6">
        <v>6127</v>
      </c>
      <c r="U504" s="6">
        <v>0</v>
      </c>
      <c r="W504" s="6">
        <v>0</v>
      </c>
      <c r="Y504" s="6">
        <v>142685</v>
      </c>
      <c r="Z504" s="44"/>
      <c r="AA504" s="6">
        <v>0</v>
      </c>
      <c r="AC504" s="6">
        <v>-1362890</v>
      </c>
      <c r="AE504" s="6">
        <f t="shared" si="85"/>
        <v>10033298</v>
      </c>
      <c r="AF504" s="6"/>
      <c r="AG504" s="6">
        <f t="shared" si="86"/>
        <v>11450729</v>
      </c>
    </row>
    <row r="505" spans="1:33" ht="12" customHeight="1">
      <c r="A505" s="10" t="s">
        <v>463</v>
      </c>
      <c r="B505" s="10"/>
      <c r="C505" s="10" t="s">
        <v>56</v>
      </c>
      <c r="E505" s="6">
        <v>1088623</v>
      </c>
      <c r="G505" s="6">
        <v>1287611</v>
      </c>
      <c r="I505" s="6">
        <v>0</v>
      </c>
      <c r="K505" s="6">
        <f t="shared" si="90"/>
        <v>2376234</v>
      </c>
      <c r="M505" s="6">
        <f>5820510+451563+81334</f>
        <v>6353407</v>
      </c>
      <c r="O505" s="6">
        <v>0</v>
      </c>
      <c r="Q505" s="6">
        <v>11831039</v>
      </c>
      <c r="S505" s="6">
        <v>15202</v>
      </c>
      <c r="U505" s="6">
        <v>0</v>
      </c>
      <c r="W505" s="6">
        <v>0</v>
      </c>
      <c r="Y505" s="6">
        <v>57304</v>
      </c>
      <c r="Z505" s="44"/>
      <c r="AA505" s="6">
        <v>0</v>
      </c>
      <c r="AC505" s="6">
        <v>0</v>
      </c>
      <c r="AE505" s="6">
        <f t="shared" si="85"/>
        <v>18256952</v>
      </c>
      <c r="AF505" s="6"/>
      <c r="AG505" s="6">
        <f t="shared" si="86"/>
        <v>20633186</v>
      </c>
    </row>
    <row r="506" spans="1:33" ht="12" customHeight="1">
      <c r="A506" s="10" t="s">
        <v>463</v>
      </c>
      <c r="B506" s="10"/>
      <c r="C506" s="10" t="s">
        <v>71</v>
      </c>
      <c r="E506" s="6">
        <v>1606462</v>
      </c>
      <c r="G506" s="6">
        <v>2876590</v>
      </c>
      <c r="I506" s="6">
        <v>0</v>
      </c>
      <c r="K506" s="6">
        <f t="shared" si="90"/>
        <v>4483052</v>
      </c>
      <c r="M506" s="6">
        <f>8262651+298097</f>
        <v>8560748</v>
      </c>
      <c r="O506" s="6">
        <v>0</v>
      </c>
      <c r="Q506" s="6">
        <v>5922815</v>
      </c>
      <c r="S506" s="6">
        <v>9292</v>
      </c>
      <c r="U506" s="6">
        <v>0</v>
      </c>
      <c r="W506" s="6">
        <v>0</v>
      </c>
      <c r="Y506" s="6">
        <v>8781</v>
      </c>
      <c r="Z506" s="44"/>
      <c r="AA506" s="6">
        <v>0</v>
      </c>
      <c r="AC506" s="6">
        <v>10400</v>
      </c>
      <c r="AE506" s="6">
        <f t="shared" si="85"/>
        <v>14512036</v>
      </c>
      <c r="AF506" s="6"/>
      <c r="AG506" s="6">
        <f t="shared" si="86"/>
        <v>18995088</v>
      </c>
    </row>
    <row r="507" spans="1:33" ht="12" customHeight="1">
      <c r="A507" s="10" t="s">
        <v>235</v>
      </c>
      <c r="B507" s="10"/>
      <c r="C507" s="10" t="s">
        <v>17</v>
      </c>
      <c r="E507" s="6">
        <v>713972</v>
      </c>
      <c r="G507" s="6">
        <v>808997</v>
      </c>
      <c r="I507" s="6">
        <v>0</v>
      </c>
      <c r="K507" s="6">
        <f t="shared" si="90"/>
        <v>1522969</v>
      </c>
      <c r="M507" s="6">
        <f>1917060+181347</f>
        <v>2098407</v>
      </c>
      <c r="O507" s="6">
        <v>983365</v>
      </c>
      <c r="Q507" s="6">
        <v>3618003</v>
      </c>
      <c r="S507" s="6">
        <v>19741</v>
      </c>
      <c r="U507" s="6">
        <v>0</v>
      </c>
      <c r="W507" s="6">
        <v>0</v>
      </c>
      <c r="Y507" s="6">
        <v>3978</v>
      </c>
      <c r="Z507" s="44"/>
      <c r="AA507" s="6">
        <v>0</v>
      </c>
      <c r="AC507" s="6">
        <v>0</v>
      </c>
      <c r="AE507" s="6">
        <f t="shared" si="85"/>
        <v>6723494</v>
      </c>
      <c r="AF507" s="6"/>
      <c r="AG507" s="6">
        <f t="shared" si="86"/>
        <v>8246463</v>
      </c>
    </row>
    <row r="508" spans="1:33" ht="12" customHeight="1">
      <c r="A508" s="10" t="s">
        <v>235</v>
      </c>
      <c r="B508" s="10"/>
      <c r="C508" s="10" t="s">
        <v>58</v>
      </c>
      <c r="E508" s="6">
        <v>1131424</v>
      </c>
      <c r="G508" s="6">
        <v>1218992</v>
      </c>
      <c r="I508" s="6">
        <v>0</v>
      </c>
      <c r="K508" s="6">
        <f t="shared" si="90"/>
        <v>2350416</v>
      </c>
      <c r="M508" s="6">
        <f>1413296+310405+25086</f>
        <v>1748787</v>
      </c>
      <c r="O508" s="6">
        <v>14958</v>
      </c>
      <c r="Q508" s="6">
        <v>7801525</v>
      </c>
      <c r="S508" s="6">
        <v>23000</v>
      </c>
      <c r="U508" s="6">
        <v>0</v>
      </c>
      <c r="W508" s="6">
        <v>0</v>
      </c>
      <c r="Y508" s="6">
        <v>207597</v>
      </c>
      <c r="Z508" s="44"/>
      <c r="AA508" s="6">
        <v>0</v>
      </c>
      <c r="AC508" s="6">
        <v>22827</v>
      </c>
      <c r="AE508" s="6">
        <f t="shared" si="85"/>
        <v>9818694</v>
      </c>
      <c r="AF508" s="6"/>
      <c r="AG508" s="6">
        <f t="shared" si="86"/>
        <v>12169110</v>
      </c>
    </row>
    <row r="509" spans="1:33">
      <c r="A509" s="10" t="s">
        <v>645</v>
      </c>
      <c r="B509" s="10"/>
      <c r="C509" s="10" t="s">
        <v>112</v>
      </c>
      <c r="E509" s="6">
        <v>709186</v>
      </c>
      <c r="G509" s="6">
        <v>2818450</v>
      </c>
      <c r="I509" s="6">
        <v>0</v>
      </c>
      <c r="K509" s="6">
        <f>SUM(E509:J509)</f>
        <v>3527636</v>
      </c>
      <c r="M509" s="6">
        <f>1598257+226483+28000</f>
        <v>1852740</v>
      </c>
      <c r="O509" s="6">
        <v>0</v>
      </c>
      <c r="Q509" s="6">
        <v>6134461</v>
      </c>
      <c r="S509" s="6">
        <v>13499</v>
      </c>
      <c r="U509" s="6">
        <v>0</v>
      </c>
      <c r="W509" s="6">
        <v>0</v>
      </c>
      <c r="Y509" s="6">
        <v>194109</v>
      </c>
      <c r="Z509" s="44"/>
      <c r="AA509" s="6">
        <v>0</v>
      </c>
      <c r="AC509" s="6">
        <v>0</v>
      </c>
      <c r="AE509" s="6">
        <f t="shared" si="85"/>
        <v>8194809</v>
      </c>
      <c r="AF509" s="6"/>
      <c r="AG509" s="6">
        <f t="shared" si="86"/>
        <v>11722445</v>
      </c>
    </row>
    <row r="510" spans="1:33">
      <c r="A510" s="10" t="s">
        <v>250</v>
      </c>
      <c r="B510" s="10"/>
      <c r="C510" s="10" t="s">
        <v>420</v>
      </c>
      <c r="E510" s="6">
        <v>476072</v>
      </c>
      <c r="G510" s="6">
        <v>1646218</v>
      </c>
      <c r="I510" s="6">
        <v>0</v>
      </c>
      <c r="K510" s="6">
        <f t="shared" si="90"/>
        <v>2122290</v>
      </c>
      <c r="M510" s="6">
        <f>2194770+422768+38864</f>
        <v>2656402</v>
      </c>
      <c r="O510" s="6">
        <v>0</v>
      </c>
      <c r="Q510" s="6">
        <v>3109383</v>
      </c>
      <c r="S510" s="6">
        <v>48762</v>
      </c>
      <c r="U510" s="6">
        <v>0</v>
      </c>
      <c r="W510" s="6">
        <v>12003</v>
      </c>
      <c r="Y510" s="6">
        <v>110754</v>
      </c>
      <c r="Z510" s="44"/>
      <c r="AA510" s="6">
        <v>0</v>
      </c>
      <c r="AC510" s="6">
        <v>0</v>
      </c>
      <c r="AE510" s="6">
        <f t="shared" si="85"/>
        <v>5937304</v>
      </c>
      <c r="AF510" s="6"/>
      <c r="AG510" s="6">
        <f t="shared" si="86"/>
        <v>8059594</v>
      </c>
    </row>
    <row r="511" spans="1:33" hidden="1">
      <c r="A511" s="11" t="s">
        <v>701</v>
      </c>
      <c r="B511" s="11"/>
      <c r="C511" s="11" t="s">
        <v>451</v>
      </c>
      <c r="E511" s="6">
        <v>0</v>
      </c>
      <c r="G511" s="6">
        <v>0</v>
      </c>
      <c r="I511" s="6">
        <v>0</v>
      </c>
      <c r="K511" s="6">
        <f t="shared" si="90"/>
        <v>0</v>
      </c>
      <c r="M511" s="6">
        <v>0</v>
      </c>
      <c r="O511" s="6">
        <v>0</v>
      </c>
      <c r="Q511" s="6">
        <v>0</v>
      </c>
      <c r="S511" s="6">
        <v>0</v>
      </c>
      <c r="U511" s="6">
        <v>0</v>
      </c>
      <c r="W511" s="6">
        <v>0</v>
      </c>
      <c r="Y511" s="6">
        <v>0</v>
      </c>
      <c r="Z511" s="44"/>
      <c r="AA511" s="6">
        <v>0</v>
      </c>
      <c r="AC511" s="6">
        <v>0</v>
      </c>
      <c r="AE511" s="6">
        <f t="shared" si="85"/>
        <v>0</v>
      </c>
      <c r="AF511" s="6"/>
      <c r="AG511" s="6">
        <f t="shared" si="86"/>
        <v>0</v>
      </c>
    </row>
    <row r="512" spans="1:33" ht="12" customHeight="1">
      <c r="A512" s="10" t="s">
        <v>530</v>
      </c>
      <c r="B512" s="10"/>
      <c r="C512" s="10" t="s">
        <v>64</v>
      </c>
      <c r="E512" s="6">
        <v>593753</v>
      </c>
      <c r="G512" s="6">
        <v>420172</v>
      </c>
      <c r="I512" s="6">
        <v>149367</v>
      </c>
      <c r="K512" s="6">
        <f t="shared" si="90"/>
        <v>1163292</v>
      </c>
      <c r="M512" s="6">
        <f>1338980+455303+82244</f>
        <v>1876527</v>
      </c>
      <c r="O512" s="6">
        <v>0</v>
      </c>
      <c r="Q512" s="6">
        <v>3072988</v>
      </c>
      <c r="S512" s="6">
        <v>15336</v>
      </c>
      <c r="U512" s="6">
        <v>0</v>
      </c>
      <c r="W512" s="6">
        <v>0</v>
      </c>
      <c r="Y512" s="6">
        <v>39074</v>
      </c>
      <c r="Z512" s="44"/>
      <c r="AA512" s="6">
        <v>0</v>
      </c>
      <c r="AC512" s="6">
        <v>0</v>
      </c>
      <c r="AE512" s="6">
        <f t="shared" si="85"/>
        <v>5003925</v>
      </c>
      <c r="AF512" s="6"/>
      <c r="AG512" s="6">
        <f t="shared" si="86"/>
        <v>6167217</v>
      </c>
    </row>
    <row r="513" spans="1:33" ht="12" hidden="1" customHeight="1">
      <c r="A513" s="10" t="s">
        <v>829</v>
      </c>
      <c r="B513" s="10"/>
      <c r="C513" s="10" t="s">
        <v>42</v>
      </c>
      <c r="E513" s="6">
        <v>0</v>
      </c>
      <c r="G513" s="6">
        <v>0</v>
      </c>
      <c r="I513" s="6">
        <v>0</v>
      </c>
      <c r="K513" s="6">
        <f t="shared" si="90"/>
        <v>0</v>
      </c>
      <c r="M513" s="6">
        <v>0</v>
      </c>
      <c r="O513" s="6">
        <v>0</v>
      </c>
      <c r="Q513" s="6">
        <v>0</v>
      </c>
      <c r="S513" s="6">
        <v>0</v>
      </c>
      <c r="U513" s="6">
        <v>0</v>
      </c>
      <c r="W513" s="6">
        <v>0</v>
      </c>
      <c r="Y513" s="6">
        <v>0</v>
      </c>
      <c r="Z513" s="44"/>
      <c r="AA513" s="6">
        <v>0</v>
      </c>
      <c r="AC513" s="6">
        <v>0</v>
      </c>
      <c r="AE513" s="6">
        <f t="shared" si="85"/>
        <v>0</v>
      </c>
      <c r="AF513" s="6"/>
      <c r="AG513" s="6">
        <f t="shared" si="86"/>
        <v>0</v>
      </c>
    </row>
    <row r="514" spans="1:33" ht="12" customHeight="1">
      <c r="A514" s="10" t="s">
        <v>331</v>
      </c>
      <c r="B514" s="10"/>
      <c r="C514" s="10" t="s">
        <v>32</v>
      </c>
      <c r="E514" s="6">
        <v>1711867</v>
      </c>
      <c r="G514" s="6">
        <v>3963492</v>
      </c>
      <c r="I514" s="6">
        <v>0</v>
      </c>
      <c r="K514" s="6">
        <f t="shared" si="90"/>
        <v>5675359</v>
      </c>
      <c r="M514" s="6">
        <f>10577807+1153302</f>
        <v>11731109</v>
      </c>
      <c r="O514" s="6">
        <v>3511034</v>
      </c>
      <c r="Q514" s="6">
        <v>14974155</v>
      </c>
      <c r="S514" s="6">
        <v>19911</v>
      </c>
      <c r="U514" s="6">
        <v>285340</v>
      </c>
      <c r="W514" s="6">
        <v>1352</v>
      </c>
      <c r="Y514" s="6">
        <v>293700</v>
      </c>
      <c r="Z514" s="44"/>
      <c r="AA514" s="6">
        <v>0</v>
      </c>
      <c r="AC514" s="6">
        <v>0</v>
      </c>
      <c r="AE514" s="6">
        <f t="shared" si="85"/>
        <v>30816601</v>
      </c>
      <c r="AF514" s="6"/>
      <c r="AG514" s="6">
        <f t="shared" si="86"/>
        <v>36491960</v>
      </c>
    </row>
    <row r="515" spans="1:33" ht="12" customHeight="1">
      <c r="A515" s="10" t="s">
        <v>307</v>
      </c>
      <c r="B515" s="10"/>
      <c r="C515" s="10" t="s">
        <v>27</v>
      </c>
      <c r="E515" s="6">
        <v>4263695</v>
      </c>
      <c r="G515" s="6">
        <v>33141879</v>
      </c>
      <c r="I515" s="6">
        <v>0</v>
      </c>
      <c r="K515" s="6">
        <f t="shared" si="90"/>
        <v>37405574</v>
      </c>
      <c r="M515" s="6">
        <f>95303398+13722961+4177603</f>
        <v>113203962</v>
      </c>
      <c r="O515" s="6">
        <v>0</v>
      </c>
      <c r="Q515" s="6">
        <v>109682717</v>
      </c>
      <c r="S515" s="6">
        <v>287852</v>
      </c>
      <c r="U515" s="6">
        <v>1021635</v>
      </c>
      <c r="W515" s="6">
        <v>0</v>
      </c>
      <c r="Y515" s="6">
        <v>8895860</v>
      </c>
      <c r="Z515" s="44"/>
      <c r="AA515" s="6">
        <v>0</v>
      </c>
      <c r="AC515" s="6">
        <v>0</v>
      </c>
      <c r="AE515" s="6">
        <f t="shared" si="85"/>
        <v>233092026</v>
      </c>
      <c r="AF515" s="6"/>
      <c r="AG515" s="6">
        <f t="shared" si="86"/>
        <v>270497600</v>
      </c>
    </row>
    <row r="516" spans="1:33" ht="12.75" hidden="1" customHeight="1">
      <c r="A516" s="10" t="s">
        <v>702</v>
      </c>
      <c r="B516" s="10"/>
      <c r="C516" s="10" t="s">
        <v>10</v>
      </c>
      <c r="E516" s="6">
        <v>0</v>
      </c>
      <c r="G516" s="6">
        <v>0</v>
      </c>
      <c r="I516" s="6">
        <v>0</v>
      </c>
      <c r="K516" s="6">
        <f t="shared" si="90"/>
        <v>0</v>
      </c>
      <c r="M516" s="6">
        <v>0</v>
      </c>
      <c r="O516" s="6">
        <v>0</v>
      </c>
      <c r="Q516" s="6">
        <v>0</v>
      </c>
      <c r="S516" s="6">
        <v>0</v>
      </c>
      <c r="U516" s="6">
        <v>0</v>
      </c>
      <c r="W516" s="6">
        <v>0</v>
      </c>
      <c r="Y516" s="6">
        <v>0</v>
      </c>
      <c r="Z516" s="44"/>
      <c r="AA516" s="6">
        <v>0</v>
      </c>
      <c r="AC516" s="6">
        <v>0</v>
      </c>
      <c r="AE516" s="6">
        <f t="shared" si="85"/>
        <v>0</v>
      </c>
      <c r="AF516" s="6"/>
      <c r="AG516" s="6">
        <f t="shared" si="86"/>
        <v>0</v>
      </c>
    </row>
    <row r="517" spans="1:33" ht="12.75" customHeight="1">
      <c r="A517" s="10" t="s">
        <v>847</v>
      </c>
      <c r="B517" s="10"/>
      <c r="C517" s="10" t="s">
        <v>69</v>
      </c>
      <c r="E517" s="6">
        <v>3589407</v>
      </c>
      <c r="G517" s="6">
        <v>2076438</v>
      </c>
      <c r="I517" s="6">
        <v>0</v>
      </c>
      <c r="K517" s="6">
        <f t="shared" si="90"/>
        <v>5665845</v>
      </c>
      <c r="M517" s="6">
        <f>27143048+5381300</f>
        <v>32524348</v>
      </c>
      <c r="O517" s="6">
        <v>0</v>
      </c>
      <c r="Q517" s="6">
        <v>14575481</v>
      </c>
      <c r="S517" s="6">
        <v>39049</v>
      </c>
      <c r="U517" s="6">
        <v>0</v>
      </c>
      <c r="W517" s="6">
        <v>0</v>
      </c>
      <c r="Y517" s="6">
        <v>679727</v>
      </c>
      <c r="Z517" s="44"/>
      <c r="AA517" s="6">
        <v>0</v>
      </c>
      <c r="AC517" s="6">
        <v>0</v>
      </c>
      <c r="AE517" s="6">
        <f t="shared" si="85"/>
        <v>47818605</v>
      </c>
      <c r="AF517" s="6"/>
      <c r="AG517" s="6">
        <f t="shared" si="86"/>
        <v>53484450</v>
      </c>
    </row>
    <row r="518" spans="1:33" ht="12" customHeight="1">
      <c r="A518" s="10" t="s">
        <v>629</v>
      </c>
      <c r="B518" s="10"/>
      <c r="C518" s="10" t="s">
        <v>17</v>
      </c>
      <c r="E518" s="6">
        <v>2613729</v>
      </c>
      <c r="G518" s="6">
        <v>21613045</v>
      </c>
      <c r="I518" s="6">
        <v>0</v>
      </c>
      <c r="K518" s="6">
        <f t="shared" si="90"/>
        <v>24226774</v>
      </c>
      <c r="M518" s="6">
        <f>20056407+4105034+197061+233025</f>
        <v>24591527</v>
      </c>
      <c r="O518" s="6">
        <v>0</v>
      </c>
      <c r="Q518" s="6">
        <v>52933220</v>
      </c>
      <c r="S518" s="6">
        <v>284901</v>
      </c>
      <c r="U518" s="6">
        <v>0</v>
      </c>
      <c r="W518" s="6">
        <v>0</v>
      </c>
      <c r="Y518" s="6">
        <v>1063677</v>
      </c>
      <c r="Z518" s="44"/>
      <c r="AA518" s="6">
        <v>0</v>
      </c>
      <c r="AC518" s="6">
        <v>0</v>
      </c>
      <c r="AE518" s="6">
        <f t="shared" si="85"/>
        <v>78873325</v>
      </c>
      <c r="AF518" s="6"/>
      <c r="AG518" s="6">
        <f t="shared" si="86"/>
        <v>103100099</v>
      </c>
    </row>
    <row r="519" spans="1:33" ht="12" customHeight="1">
      <c r="A519" s="10" t="s">
        <v>716</v>
      </c>
      <c r="B519" s="10"/>
      <c r="C519" s="10" t="s">
        <v>115</v>
      </c>
      <c r="E519" s="6">
        <v>2236434</v>
      </c>
      <c r="G519" s="6">
        <v>4775163</v>
      </c>
      <c r="I519" s="6">
        <v>0</v>
      </c>
      <c r="K519" s="6">
        <f t="shared" si="90"/>
        <v>7011597</v>
      </c>
      <c r="M519" s="6">
        <f>23626653+2094809+842666</f>
        <v>26564128</v>
      </c>
      <c r="O519" s="6">
        <v>0</v>
      </c>
      <c r="Q519" s="6">
        <v>10126427</v>
      </c>
      <c r="S519" s="6">
        <v>11056</v>
      </c>
      <c r="U519" s="6">
        <v>111829</v>
      </c>
      <c r="W519" s="6">
        <v>0</v>
      </c>
      <c r="Y519" s="6">
        <v>31291</v>
      </c>
      <c r="Z519" s="44"/>
      <c r="AA519" s="6">
        <v>0</v>
      </c>
      <c r="AC519" s="6">
        <v>0</v>
      </c>
      <c r="AE519" s="6">
        <f t="shared" si="85"/>
        <v>36844731</v>
      </c>
      <c r="AF519" s="6"/>
      <c r="AG519" s="6">
        <f t="shared" si="86"/>
        <v>43856328</v>
      </c>
    </row>
    <row r="520" spans="1:33" ht="12" customHeight="1">
      <c r="A520" s="10" t="s">
        <v>393</v>
      </c>
      <c r="B520" s="10"/>
      <c r="C520" s="10" t="s">
        <v>45</v>
      </c>
      <c r="E520" s="6">
        <v>452711</v>
      </c>
      <c r="G520" s="6">
        <v>1045234</v>
      </c>
      <c r="I520" s="6">
        <v>2781</v>
      </c>
      <c r="K520" s="6">
        <f t="shared" si="90"/>
        <v>1500726</v>
      </c>
      <c r="M520" s="6">
        <f>2849970+299428</f>
        <v>3149398</v>
      </c>
      <c r="O520" s="6">
        <v>1963344</v>
      </c>
      <c r="Q520" s="6">
        <v>4652661</v>
      </c>
      <c r="S520" s="6">
        <v>2108</v>
      </c>
      <c r="U520" s="6">
        <v>0</v>
      </c>
      <c r="W520" s="6">
        <v>0</v>
      </c>
      <c r="Y520" s="6">
        <v>73872</v>
      </c>
      <c r="Z520" s="44"/>
      <c r="AA520" s="6">
        <v>0</v>
      </c>
      <c r="AC520" s="6">
        <v>0</v>
      </c>
      <c r="AE520" s="6">
        <f t="shared" si="85"/>
        <v>9841383</v>
      </c>
      <c r="AF520" s="6"/>
      <c r="AG520" s="6">
        <f t="shared" si="86"/>
        <v>11342109</v>
      </c>
    </row>
    <row r="521" spans="1:33" ht="12" customHeight="1">
      <c r="A521" s="10" t="s">
        <v>393</v>
      </c>
      <c r="B521" s="10"/>
      <c r="C521" s="10" t="s">
        <v>63</v>
      </c>
      <c r="E521" s="6">
        <v>3140872</v>
      </c>
      <c r="G521" s="6">
        <v>2368981</v>
      </c>
      <c r="I521" s="6">
        <v>315553</v>
      </c>
      <c r="K521" s="6">
        <f t="shared" si="90"/>
        <v>5825406</v>
      </c>
      <c r="M521" s="6">
        <f>10466627+1893216+422346</f>
        <v>12782189</v>
      </c>
      <c r="O521" s="6">
        <v>0</v>
      </c>
      <c r="Q521" s="6">
        <v>13071270</v>
      </c>
      <c r="S521" s="6">
        <v>23860</v>
      </c>
      <c r="U521" s="6">
        <v>0</v>
      </c>
      <c r="W521" s="6">
        <v>0</v>
      </c>
      <c r="Y521" s="6">
        <v>67385</v>
      </c>
      <c r="Z521" s="44"/>
      <c r="AA521" s="6">
        <v>0</v>
      </c>
      <c r="AC521" s="6">
        <v>0</v>
      </c>
      <c r="AE521" s="6">
        <f t="shared" si="85"/>
        <v>25944704</v>
      </c>
      <c r="AF521" s="6"/>
      <c r="AG521" s="6">
        <f t="shared" si="86"/>
        <v>31770110</v>
      </c>
    </row>
    <row r="522" spans="1:33" ht="12" customHeight="1">
      <c r="A522" s="10" t="s">
        <v>786</v>
      </c>
      <c r="B522" s="10"/>
      <c r="C522" s="10" t="s">
        <v>32</v>
      </c>
      <c r="E522" s="6">
        <v>1384353</v>
      </c>
      <c r="G522" s="6">
        <v>2245428</v>
      </c>
      <c r="I522" s="6">
        <v>0</v>
      </c>
      <c r="K522" s="6">
        <f t="shared" si="90"/>
        <v>3629781</v>
      </c>
      <c r="M522" s="6">
        <v>4912802</v>
      </c>
      <c r="O522" s="6">
        <v>0</v>
      </c>
      <c r="Q522" s="6">
        <v>6090465</v>
      </c>
      <c r="S522" s="6">
        <v>2044</v>
      </c>
      <c r="U522" s="6">
        <v>0</v>
      </c>
      <c r="W522" s="6">
        <v>7184</v>
      </c>
      <c r="Y522" s="6">
        <v>327520</v>
      </c>
      <c r="Z522" s="44"/>
      <c r="AA522" s="6">
        <v>0</v>
      </c>
      <c r="AC522" s="6">
        <v>0</v>
      </c>
      <c r="AE522" s="6">
        <f t="shared" ref="AE522:AE528" si="91">SUM(M522:AC522)</f>
        <v>11340015</v>
      </c>
      <c r="AF522" s="6"/>
      <c r="AG522" s="6">
        <f t="shared" ref="AG522:AG528" si="92">+AE522+K522</f>
        <v>14969796</v>
      </c>
    </row>
    <row r="523" spans="1:33" ht="12" customHeight="1">
      <c r="A523" s="10" t="s">
        <v>787</v>
      </c>
      <c r="B523" s="10"/>
      <c r="C523" s="10" t="s">
        <v>15</v>
      </c>
      <c r="E523" s="6">
        <v>1750712</v>
      </c>
      <c r="G523" s="6">
        <v>1159418</v>
      </c>
      <c r="I523" s="6">
        <v>0</v>
      </c>
      <c r="K523" s="6">
        <f t="shared" si="90"/>
        <v>2910130</v>
      </c>
      <c r="M523" s="6">
        <f>6393002+906831</f>
        <v>7299833</v>
      </c>
      <c r="O523" s="6">
        <v>0</v>
      </c>
      <c r="Q523" s="6">
        <v>4672323</v>
      </c>
      <c r="S523" s="6">
        <v>4790</v>
      </c>
      <c r="U523" s="6">
        <v>0</v>
      </c>
      <c r="W523" s="6">
        <v>83702</v>
      </c>
      <c r="Y523" s="6">
        <v>59230</v>
      </c>
      <c r="Z523" s="44"/>
      <c r="AA523" s="6">
        <v>0</v>
      </c>
      <c r="AC523" s="6">
        <v>2335</v>
      </c>
      <c r="AE523" s="6">
        <f t="shared" si="91"/>
        <v>12122213</v>
      </c>
      <c r="AF523" s="6"/>
      <c r="AG523" s="6">
        <f t="shared" si="92"/>
        <v>15032343</v>
      </c>
    </row>
    <row r="524" spans="1:33" ht="12" hidden="1" customHeight="1">
      <c r="A524" s="10" t="s">
        <v>703</v>
      </c>
      <c r="B524" s="10"/>
      <c r="C524" s="10" t="s">
        <v>422</v>
      </c>
      <c r="E524" s="6">
        <v>0</v>
      </c>
      <c r="G524" s="6">
        <v>0</v>
      </c>
      <c r="I524" s="6">
        <v>0</v>
      </c>
      <c r="K524" s="6">
        <f t="shared" si="90"/>
        <v>0</v>
      </c>
      <c r="M524" s="6">
        <v>0</v>
      </c>
      <c r="O524" s="6">
        <v>0</v>
      </c>
      <c r="Q524" s="6">
        <v>0</v>
      </c>
      <c r="S524" s="6">
        <v>0</v>
      </c>
      <c r="U524" s="6">
        <v>0</v>
      </c>
      <c r="W524" s="6">
        <v>0</v>
      </c>
      <c r="Y524" s="6">
        <v>0</v>
      </c>
      <c r="Z524" s="44"/>
      <c r="AA524" s="6">
        <v>0</v>
      </c>
      <c r="AC524" s="6">
        <v>0</v>
      </c>
      <c r="AE524" s="6">
        <f t="shared" si="91"/>
        <v>0</v>
      </c>
      <c r="AF524" s="6"/>
      <c r="AG524" s="6">
        <f t="shared" si="92"/>
        <v>0</v>
      </c>
    </row>
    <row r="525" spans="1:33" ht="12" hidden="1" customHeight="1">
      <c r="A525" s="10" t="s">
        <v>704</v>
      </c>
      <c r="B525" s="10"/>
      <c r="C525" s="10" t="s">
        <v>14</v>
      </c>
      <c r="E525" s="6">
        <v>0</v>
      </c>
      <c r="G525" s="6">
        <v>0</v>
      </c>
      <c r="I525" s="6">
        <v>0</v>
      </c>
      <c r="K525" s="6">
        <f t="shared" si="90"/>
        <v>0</v>
      </c>
      <c r="M525" s="6">
        <v>0</v>
      </c>
      <c r="O525" s="6">
        <v>0</v>
      </c>
      <c r="Q525" s="6">
        <v>0</v>
      </c>
      <c r="S525" s="6">
        <v>0</v>
      </c>
      <c r="U525" s="6">
        <v>0</v>
      </c>
      <c r="W525" s="6">
        <v>0</v>
      </c>
      <c r="Y525" s="6">
        <v>0</v>
      </c>
      <c r="Z525" s="44"/>
      <c r="AA525" s="6">
        <v>0</v>
      </c>
      <c r="AC525" s="6">
        <v>0</v>
      </c>
      <c r="AE525" s="6">
        <f t="shared" si="91"/>
        <v>0</v>
      </c>
      <c r="AF525" s="6"/>
      <c r="AG525" s="6">
        <f t="shared" si="92"/>
        <v>0</v>
      </c>
    </row>
    <row r="526" spans="1:33" s="6" customFormat="1" ht="12" customHeight="1">
      <c r="A526" s="11" t="s">
        <v>364</v>
      </c>
      <c r="B526" s="11"/>
      <c r="C526" s="11" t="s">
        <v>39</v>
      </c>
      <c r="D526" s="8"/>
      <c r="E526" s="6">
        <v>3815635</v>
      </c>
      <c r="G526" s="6">
        <v>4784668</v>
      </c>
      <c r="I526" s="6">
        <v>0</v>
      </c>
      <c r="K526" s="6">
        <f t="shared" si="90"/>
        <v>8600303</v>
      </c>
      <c r="M526" s="6">
        <f>2942515+841754+60993</f>
        <v>3845262</v>
      </c>
      <c r="O526" s="6">
        <v>0</v>
      </c>
      <c r="Q526" s="6">
        <v>12300389</v>
      </c>
      <c r="S526" s="6">
        <v>141832</v>
      </c>
      <c r="U526" s="6">
        <v>0</v>
      </c>
      <c r="W526" s="6">
        <v>68419</v>
      </c>
      <c r="Y526" s="6">
        <v>64265</v>
      </c>
      <c r="Z526" s="44"/>
      <c r="AA526" s="6">
        <v>0</v>
      </c>
      <c r="AC526" s="6">
        <v>0</v>
      </c>
      <c r="AE526" s="6">
        <f t="shared" si="91"/>
        <v>16420167</v>
      </c>
      <c r="AG526" s="6">
        <f t="shared" si="92"/>
        <v>25020470</v>
      </c>
    </row>
    <row r="527" spans="1:33" ht="12" customHeight="1">
      <c r="A527" s="10" t="s">
        <v>514</v>
      </c>
      <c r="B527" s="10"/>
      <c r="C527" s="10" t="s">
        <v>63</v>
      </c>
      <c r="E527" s="6">
        <v>3618083</v>
      </c>
      <c r="G527" s="6">
        <v>3510397</v>
      </c>
      <c r="I527" s="6">
        <v>0</v>
      </c>
      <c r="K527" s="6">
        <f t="shared" si="90"/>
        <v>7128480</v>
      </c>
      <c r="M527" s="6">
        <f>30625517+526388</f>
        <v>31151905</v>
      </c>
      <c r="O527" s="6">
        <v>0</v>
      </c>
      <c r="Q527" s="6">
        <v>18068848</v>
      </c>
      <c r="S527" s="6">
        <v>51581</v>
      </c>
      <c r="U527" s="6">
        <v>219623</v>
      </c>
      <c r="W527" s="6">
        <v>0</v>
      </c>
      <c r="Y527" s="6">
        <v>194042</v>
      </c>
      <c r="Z527" s="44"/>
      <c r="AA527" s="6">
        <v>0</v>
      </c>
      <c r="AC527" s="6">
        <v>0</v>
      </c>
      <c r="AE527" s="6">
        <f t="shared" si="91"/>
        <v>49685999</v>
      </c>
      <c r="AF527" s="6"/>
      <c r="AG527" s="6">
        <f t="shared" si="92"/>
        <v>56814479</v>
      </c>
    </row>
    <row r="528" spans="1:33" ht="12" hidden="1" customHeight="1">
      <c r="A528" s="11" t="s">
        <v>705</v>
      </c>
      <c r="B528" s="10"/>
      <c r="C528" s="10" t="s">
        <v>65</v>
      </c>
      <c r="E528" s="6">
        <v>0</v>
      </c>
      <c r="G528" s="6">
        <v>0</v>
      </c>
      <c r="I528" s="6">
        <v>0</v>
      </c>
      <c r="K528" s="6">
        <f t="shared" si="90"/>
        <v>0</v>
      </c>
      <c r="M528" s="6">
        <v>0</v>
      </c>
      <c r="O528" s="6">
        <v>0</v>
      </c>
      <c r="Q528" s="6">
        <v>0</v>
      </c>
      <c r="S528" s="6">
        <v>0</v>
      </c>
      <c r="U528" s="6">
        <v>0</v>
      </c>
      <c r="W528" s="6">
        <v>0</v>
      </c>
      <c r="Y528" s="6">
        <v>0</v>
      </c>
      <c r="Z528" s="44"/>
      <c r="AA528" s="6">
        <v>0</v>
      </c>
      <c r="AC528" s="6">
        <v>0</v>
      </c>
      <c r="AE528" s="6">
        <f t="shared" si="91"/>
        <v>0</v>
      </c>
      <c r="AF528" s="6"/>
      <c r="AG528" s="6">
        <f t="shared" si="92"/>
        <v>0</v>
      </c>
    </row>
    <row r="529" spans="1:33" s="6" customFormat="1" ht="12" customHeight="1">
      <c r="A529" s="11" t="s">
        <v>464</v>
      </c>
      <c r="B529" s="11"/>
      <c r="C529" s="11" t="s">
        <v>56</v>
      </c>
      <c r="E529" s="6">
        <v>979419</v>
      </c>
      <c r="G529" s="6">
        <v>1035775</v>
      </c>
      <c r="I529" s="6">
        <v>658675</v>
      </c>
      <c r="K529" s="6">
        <f t="shared" si="90"/>
        <v>2673869</v>
      </c>
      <c r="M529" s="6">
        <f>12729915+1049534+578710</f>
        <v>14358159</v>
      </c>
      <c r="O529" s="6">
        <v>0</v>
      </c>
      <c r="Q529" s="6">
        <v>7751698</v>
      </c>
      <c r="S529" s="6">
        <v>2114</v>
      </c>
      <c r="U529" s="6">
        <v>470027</v>
      </c>
      <c r="W529" s="6">
        <v>0</v>
      </c>
      <c r="Y529" s="6">
        <v>90161</v>
      </c>
      <c r="Z529" s="44"/>
      <c r="AA529" s="6">
        <v>0</v>
      </c>
      <c r="AC529" s="6">
        <v>0</v>
      </c>
      <c r="AE529" s="6">
        <f t="shared" ref="AE529:AE575" si="93">SUM(M529:AC529)</f>
        <v>22672159</v>
      </c>
      <c r="AG529" s="6">
        <f t="shared" ref="AG529:AG575" si="94">+AE529+K529</f>
        <v>25346028</v>
      </c>
    </row>
    <row r="530" spans="1:33" ht="12" customHeight="1">
      <c r="A530" s="10" t="s">
        <v>279</v>
      </c>
      <c r="B530" s="10"/>
      <c r="C530" s="10" t="s">
        <v>20</v>
      </c>
      <c r="E530" s="6">
        <v>2823165</v>
      </c>
      <c r="G530" s="6">
        <v>3360987</v>
      </c>
      <c r="I530" s="6">
        <v>0</v>
      </c>
      <c r="K530" s="6">
        <f t="shared" si="90"/>
        <v>6184152</v>
      </c>
      <c r="M530" s="6">
        <f>48655796+2951675+1037544</f>
        <v>52645015</v>
      </c>
      <c r="O530" s="6">
        <v>0</v>
      </c>
      <c r="Q530" s="6">
        <v>21631697</v>
      </c>
      <c r="S530" s="6">
        <v>1043</v>
      </c>
      <c r="U530" s="6">
        <v>0</v>
      </c>
      <c r="W530" s="6">
        <v>0</v>
      </c>
      <c r="Y530" s="6">
        <v>1093336</v>
      </c>
      <c r="Z530" s="44"/>
      <c r="AA530" s="6">
        <v>0</v>
      </c>
      <c r="AC530" s="6">
        <v>0</v>
      </c>
      <c r="AE530" s="6">
        <f t="shared" si="93"/>
        <v>75371091</v>
      </c>
      <c r="AF530" s="6"/>
      <c r="AG530" s="6">
        <f t="shared" si="94"/>
        <v>81555243</v>
      </c>
    </row>
    <row r="531" spans="1:33" ht="12" customHeight="1">
      <c r="A531" s="10" t="s">
        <v>407</v>
      </c>
      <c r="B531" s="10"/>
      <c r="C531" s="10" t="s">
        <v>45</v>
      </c>
      <c r="E531" s="6">
        <v>1775209</v>
      </c>
      <c r="G531" s="6">
        <v>2347679</v>
      </c>
      <c r="I531" s="6">
        <v>0</v>
      </c>
      <c r="K531" s="6">
        <f t="shared" si="90"/>
        <v>4122888</v>
      </c>
      <c r="M531" s="6">
        <f>4244126+452211+52083</f>
        <v>4748420</v>
      </c>
      <c r="O531" s="6">
        <v>0</v>
      </c>
      <c r="Q531" s="6">
        <v>11504352</v>
      </c>
      <c r="S531" s="6">
        <v>9263</v>
      </c>
      <c r="U531" s="6">
        <v>0</v>
      </c>
      <c r="W531" s="6">
        <v>0</v>
      </c>
      <c r="Y531" s="6">
        <v>51704</v>
      </c>
      <c r="Z531" s="44"/>
      <c r="AA531" s="6">
        <v>0</v>
      </c>
      <c r="AC531" s="6">
        <v>0</v>
      </c>
      <c r="AE531" s="6">
        <f t="shared" si="93"/>
        <v>16313739</v>
      </c>
      <c r="AF531" s="6"/>
      <c r="AG531" s="6">
        <f t="shared" si="94"/>
        <v>20436627</v>
      </c>
    </row>
    <row r="532" spans="1:33" ht="12" hidden="1" customHeight="1">
      <c r="A532" s="11" t="s">
        <v>898</v>
      </c>
      <c r="B532" s="10"/>
      <c r="C532" s="10" t="s">
        <v>552</v>
      </c>
      <c r="E532" s="6">
        <v>0</v>
      </c>
      <c r="G532" s="6">
        <v>0</v>
      </c>
      <c r="I532" s="6">
        <v>0</v>
      </c>
      <c r="K532" s="6">
        <f t="shared" si="90"/>
        <v>0</v>
      </c>
      <c r="M532" s="6">
        <v>0</v>
      </c>
      <c r="O532" s="6">
        <v>0</v>
      </c>
      <c r="Q532" s="6">
        <v>0</v>
      </c>
      <c r="S532" s="6">
        <v>0</v>
      </c>
      <c r="U532" s="6">
        <v>0</v>
      </c>
      <c r="W532" s="6">
        <v>0</v>
      </c>
      <c r="Y532" s="6">
        <v>0</v>
      </c>
      <c r="Z532" s="44"/>
      <c r="AA532" s="6">
        <v>0</v>
      </c>
      <c r="AC532" s="6">
        <v>0</v>
      </c>
      <c r="AE532" s="6">
        <f t="shared" si="93"/>
        <v>0</v>
      </c>
      <c r="AF532" s="6"/>
      <c r="AG532" s="6">
        <f t="shared" si="94"/>
        <v>0</v>
      </c>
    </row>
    <row r="533" spans="1:33" ht="12" hidden="1" customHeight="1">
      <c r="A533" s="11" t="s">
        <v>899</v>
      </c>
      <c r="B533" s="10"/>
      <c r="C533" s="10" t="s">
        <v>28</v>
      </c>
      <c r="E533" s="6">
        <v>0</v>
      </c>
      <c r="G533" s="6">
        <v>0</v>
      </c>
      <c r="I533" s="6">
        <v>0</v>
      </c>
      <c r="K533" s="6">
        <f t="shared" si="90"/>
        <v>0</v>
      </c>
      <c r="M533" s="6">
        <v>0</v>
      </c>
      <c r="O533" s="6">
        <v>0</v>
      </c>
      <c r="Q533" s="6">
        <v>0</v>
      </c>
      <c r="S533" s="6">
        <v>0</v>
      </c>
      <c r="U533" s="6">
        <v>0</v>
      </c>
      <c r="W533" s="6">
        <v>0</v>
      </c>
      <c r="Y533" s="6">
        <v>0</v>
      </c>
      <c r="Z533" s="44"/>
      <c r="AA533" s="6">
        <v>0</v>
      </c>
      <c r="AC533" s="6">
        <v>0</v>
      </c>
      <c r="AE533" s="6">
        <f t="shared" si="93"/>
        <v>0</v>
      </c>
      <c r="AF533" s="6"/>
      <c r="AG533" s="6">
        <f t="shared" si="94"/>
        <v>0</v>
      </c>
    </row>
    <row r="534" spans="1:33" ht="12" customHeight="1">
      <c r="A534" s="10" t="s">
        <v>628</v>
      </c>
      <c r="B534" s="10"/>
      <c r="C534" s="10" t="s">
        <v>49</v>
      </c>
      <c r="E534" s="6">
        <v>645040</v>
      </c>
      <c r="G534" s="6">
        <v>3946732</v>
      </c>
      <c r="I534" s="6">
        <v>96023</v>
      </c>
      <c r="K534" s="6">
        <f t="shared" si="90"/>
        <v>4687795</v>
      </c>
      <c r="M534" s="6">
        <f>9296552+2845145+168993+178857</f>
        <v>12489547</v>
      </c>
      <c r="O534" s="6">
        <v>0</v>
      </c>
      <c r="Q534" s="6">
        <v>16232768</v>
      </c>
      <c r="S534" s="6">
        <v>195501</v>
      </c>
      <c r="U534" s="6">
        <v>0</v>
      </c>
      <c r="W534" s="6">
        <v>28234</v>
      </c>
      <c r="Y534" s="6">
        <v>170276</v>
      </c>
      <c r="Z534" s="44"/>
      <c r="AA534" s="6">
        <v>0</v>
      </c>
      <c r="AC534" s="6">
        <v>0</v>
      </c>
      <c r="AE534" s="6">
        <f t="shared" si="93"/>
        <v>29116326</v>
      </c>
      <c r="AF534" s="6"/>
      <c r="AG534" s="6">
        <f t="shared" si="94"/>
        <v>33804121</v>
      </c>
    </row>
    <row r="535" spans="1:33" ht="12" customHeight="1">
      <c r="A535" s="10" t="s">
        <v>834</v>
      </c>
      <c r="B535" s="10"/>
      <c r="C535" s="10" t="s">
        <v>32</v>
      </c>
      <c r="E535" s="6">
        <v>3257746</v>
      </c>
      <c r="G535" s="6">
        <v>4302929</v>
      </c>
      <c r="I535" s="6">
        <v>0</v>
      </c>
      <c r="K535" s="6">
        <f t="shared" si="90"/>
        <v>7560675</v>
      </c>
      <c r="M535" s="6">
        <f>53751335+3705418</f>
        <v>57456753</v>
      </c>
      <c r="O535" s="6">
        <v>0</v>
      </c>
      <c r="Q535" s="6">
        <v>19521843</v>
      </c>
      <c r="S535" s="6">
        <v>286627</v>
      </c>
      <c r="U535" s="6">
        <v>1891038</v>
      </c>
      <c r="W535" s="6">
        <v>21642</v>
      </c>
      <c r="Y535" s="6">
        <v>210988</v>
      </c>
      <c r="Z535" s="44"/>
      <c r="AA535" s="6">
        <v>0</v>
      </c>
      <c r="AC535" s="6">
        <v>0</v>
      </c>
      <c r="AE535" s="6">
        <f t="shared" si="93"/>
        <v>79388891</v>
      </c>
      <c r="AF535" s="6"/>
      <c r="AG535" s="6">
        <f t="shared" si="94"/>
        <v>86949566</v>
      </c>
    </row>
    <row r="536" spans="1:33" ht="12" customHeight="1">
      <c r="A536" s="10" t="s">
        <v>394</v>
      </c>
      <c r="B536" s="10"/>
      <c r="C536" s="10" t="s">
        <v>115</v>
      </c>
      <c r="E536" s="6">
        <v>3285518</v>
      </c>
      <c r="G536" s="6">
        <v>5312090</v>
      </c>
      <c r="I536" s="6">
        <v>0</v>
      </c>
      <c r="K536" s="6">
        <f t="shared" si="90"/>
        <v>8597608</v>
      </c>
      <c r="M536" s="6">
        <f>51929769+7216887+365998</f>
        <v>59512654</v>
      </c>
      <c r="O536" s="6">
        <v>0</v>
      </c>
      <c r="Q536" s="6">
        <v>23302354</v>
      </c>
      <c r="S536" s="6">
        <v>50031</v>
      </c>
      <c r="U536" s="6">
        <v>619100</v>
      </c>
      <c r="W536" s="6">
        <v>0</v>
      </c>
      <c r="Y536" s="6">
        <f>233909+75727</f>
        <v>309636</v>
      </c>
      <c r="Z536" s="44"/>
      <c r="AA536" s="6">
        <v>0</v>
      </c>
      <c r="AC536" s="6">
        <v>0</v>
      </c>
      <c r="AE536" s="6">
        <f t="shared" si="93"/>
        <v>83793775</v>
      </c>
      <c r="AF536" s="6"/>
      <c r="AG536" s="6">
        <f t="shared" si="94"/>
        <v>92391383</v>
      </c>
    </row>
    <row r="537" spans="1:33" ht="12" customHeight="1">
      <c r="A537" s="10" t="s">
        <v>372</v>
      </c>
      <c r="B537" s="10"/>
      <c r="C537" s="10" t="s">
        <v>366</v>
      </c>
      <c r="E537" s="6">
        <v>804475</v>
      </c>
      <c r="G537" s="6">
        <v>964812</v>
      </c>
      <c r="I537" s="6">
        <v>0</v>
      </c>
      <c r="K537" s="6">
        <f t="shared" si="90"/>
        <v>1769287</v>
      </c>
      <c r="M537" s="6">
        <f>1123062+18099+35807</f>
        <v>1176968</v>
      </c>
      <c r="O537" s="6">
        <v>0</v>
      </c>
      <c r="Q537" s="6">
        <v>5979302</v>
      </c>
      <c r="S537" s="6">
        <v>25249</v>
      </c>
      <c r="U537" s="6">
        <v>0</v>
      </c>
      <c r="W537" s="6">
        <v>0</v>
      </c>
      <c r="Y537" s="6">
        <v>40896</v>
      </c>
      <c r="Z537" s="44"/>
      <c r="AA537" s="6">
        <v>0</v>
      </c>
      <c r="AC537" s="6">
        <v>0</v>
      </c>
      <c r="AE537" s="6">
        <f t="shared" si="93"/>
        <v>7222415</v>
      </c>
      <c r="AF537" s="6"/>
      <c r="AG537" s="6">
        <f t="shared" si="94"/>
        <v>8991702</v>
      </c>
    </row>
    <row r="538" spans="1:33" ht="12" customHeight="1">
      <c r="A538" s="10" t="s">
        <v>717</v>
      </c>
      <c r="B538" s="10"/>
      <c r="C538" s="10" t="s">
        <v>221</v>
      </c>
      <c r="E538" s="6">
        <v>1977910</v>
      </c>
      <c r="G538" s="6">
        <v>2362941</v>
      </c>
      <c r="I538" s="6">
        <v>0</v>
      </c>
      <c r="K538" s="6">
        <f t="shared" ref="K538:K595" si="95">SUM(E538:J538)</f>
        <v>4340851</v>
      </c>
      <c r="M538" s="6">
        <f>15323255+3790411+1219829</f>
        <v>20333495</v>
      </c>
      <c r="O538" s="6">
        <v>5230981</v>
      </c>
      <c r="Q538" s="6">
        <v>11096189</v>
      </c>
      <c r="S538" s="6">
        <v>5624</v>
      </c>
      <c r="U538" s="6">
        <v>0</v>
      </c>
      <c r="W538" s="6">
        <v>0</v>
      </c>
      <c r="Y538" s="6">
        <v>727587</v>
      </c>
      <c r="Z538" s="44"/>
      <c r="AA538" s="6">
        <v>0</v>
      </c>
      <c r="AC538" s="6">
        <v>0</v>
      </c>
      <c r="AE538" s="6">
        <f t="shared" si="93"/>
        <v>37393876</v>
      </c>
      <c r="AF538" s="6"/>
      <c r="AG538" s="6">
        <f t="shared" si="94"/>
        <v>41734727</v>
      </c>
    </row>
    <row r="539" spans="1:33" ht="12" customHeight="1">
      <c r="A539" s="10" t="s">
        <v>515</v>
      </c>
      <c r="B539" s="10"/>
      <c r="C539" s="10" t="s">
        <v>63</v>
      </c>
      <c r="E539" s="6">
        <v>1598382</v>
      </c>
      <c r="G539" s="6">
        <v>1455580</v>
      </c>
      <c r="I539" s="6">
        <v>350218</v>
      </c>
      <c r="K539" s="6">
        <f t="shared" si="95"/>
        <v>3404180</v>
      </c>
      <c r="M539" s="6">
        <f>13682226+313559+1672773</f>
        <v>15668558</v>
      </c>
      <c r="O539" s="6">
        <v>0</v>
      </c>
      <c r="Q539" s="6">
        <v>10727296</v>
      </c>
      <c r="S539" s="6">
        <v>7649</v>
      </c>
      <c r="U539" s="6">
        <v>0</v>
      </c>
      <c r="W539" s="6">
        <v>0</v>
      </c>
      <c r="Y539" s="6">
        <v>74582</v>
      </c>
      <c r="Z539" s="44"/>
      <c r="AA539" s="6">
        <v>0</v>
      </c>
      <c r="AC539" s="6">
        <v>0</v>
      </c>
      <c r="AE539" s="6">
        <f t="shared" si="93"/>
        <v>26478085</v>
      </c>
      <c r="AF539" s="6"/>
      <c r="AG539" s="6">
        <f t="shared" si="94"/>
        <v>29882265</v>
      </c>
    </row>
    <row r="540" spans="1:33" ht="12" customHeight="1">
      <c r="A540" s="10" t="s">
        <v>454</v>
      </c>
      <c r="B540" s="10"/>
      <c r="C540" s="10" t="s">
        <v>54</v>
      </c>
      <c r="E540" s="6">
        <v>1813043</v>
      </c>
      <c r="G540" s="6">
        <v>3380640</v>
      </c>
      <c r="I540" s="6">
        <v>0</v>
      </c>
      <c r="K540" s="6">
        <f t="shared" si="95"/>
        <v>5193683</v>
      </c>
      <c r="M540" s="6">
        <f>6268948+2086067+708696</f>
        <v>9063711</v>
      </c>
      <c r="O540" s="6">
        <f>3387300+168355</f>
        <v>3555655</v>
      </c>
      <c r="Q540" s="6">
        <v>16052879</v>
      </c>
      <c r="S540" s="6">
        <v>59335</v>
      </c>
      <c r="U540" s="6">
        <v>6801</v>
      </c>
      <c r="W540" s="6">
        <v>0</v>
      </c>
      <c r="Y540" s="6">
        <v>57283</v>
      </c>
      <c r="Z540" s="44"/>
      <c r="AA540" s="6">
        <v>0</v>
      </c>
      <c r="AC540" s="6">
        <v>0</v>
      </c>
      <c r="AE540" s="6">
        <f t="shared" si="93"/>
        <v>28795664</v>
      </c>
      <c r="AF540" s="6"/>
      <c r="AG540" s="6">
        <f t="shared" si="94"/>
        <v>33989347</v>
      </c>
    </row>
    <row r="541" spans="1:33" ht="12" customHeight="1">
      <c r="A541" s="10" t="s">
        <v>236</v>
      </c>
      <c r="B541" s="10"/>
      <c r="C541" s="10" t="s">
        <v>17</v>
      </c>
      <c r="E541" s="6">
        <v>2663743</v>
      </c>
      <c r="G541" s="6">
        <v>3362036</v>
      </c>
      <c r="I541" s="6">
        <v>43302</v>
      </c>
      <c r="K541" s="6">
        <f t="shared" si="95"/>
        <v>6069081</v>
      </c>
      <c r="M541" s="6">
        <f>5937757+459077+608131+87291</f>
        <v>7092256</v>
      </c>
      <c r="O541" s="6">
        <v>0</v>
      </c>
      <c r="Q541" s="6">
        <v>16890776</v>
      </c>
      <c r="S541" s="6">
        <v>8952</v>
      </c>
      <c r="U541" s="6">
        <v>0</v>
      </c>
      <c r="W541" s="6">
        <v>0</v>
      </c>
      <c r="Y541" s="6">
        <v>62268</v>
      </c>
      <c r="Z541" s="44"/>
      <c r="AA541" s="6">
        <v>0</v>
      </c>
      <c r="AC541" s="6">
        <v>0</v>
      </c>
      <c r="AE541" s="6">
        <f t="shared" si="93"/>
        <v>24054252</v>
      </c>
      <c r="AF541" s="6"/>
      <c r="AG541" s="6">
        <f t="shared" si="94"/>
        <v>30123333</v>
      </c>
    </row>
    <row r="542" spans="1:33" ht="12" customHeight="1">
      <c r="A542" s="11" t="s">
        <v>725</v>
      </c>
      <c r="B542" s="10"/>
      <c r="C542" s="10" t="s">
        <v>32</v>
      </c>
      <c r="E542" s="6">
        <v>1104083</v>
      </c>
      <c r="G542" s="6">
        <v>1302408</v>
      </c>
      <c r="I542" s="6">
        <v>0</v>
      </c>
      <c r="K542" s="6">
        <f t="shared" si="95"/>
        <v>2406491</v>
      </c>
      <c r="M542" s="6">
        <f>10691177+252452+1334893</f>
        <v>12278522</v>
      </c>
      <c r="O542" s="6">
        <v>0</v>
      </c>
      <c r="Q542" s="6">
        <v>7635587</v>
      </c>
      <c r="S542" s="6">
        <v>108314</v>
      </c>
      <c r="U542" s="6">
        <v>2504808</v>
      </c>
      <c r="W542" s="6">
        <v>57475</v>
      </c>
      <c r="Y542" s="6">
        <v>233680</v>
      </c>
      <c r="Z542" s="44"/>
      <c r="AA542" s="6">
        <v>0</v>
      </c>
      <c r="AC542" s="6">
        <v>0</v>
      </c>
      <c r="AE542" s="6">
        <f t="shared" si="93"/>
        <v>22818386</v>
      </c>
      <c r="AF542" s="6"/>
      <c r="AG542" s="6">
        <f t="shared" si="94"/>
        <v>25224877</v>
      </c>
    </row>
    <row r="543" spans="1:33" ht="12" customHeight="1">
      <c r="A543" s="10" t="s">
        <v>488</v>
      </c>
      <c r="B543" s="10"/>
      <c r="C543" s="10" t="s">
        <v>60</v>
      </c>
      <c r="E543" s="6">
        <v>2152335</v>
      </c>
      <c r="G543" s="6">
        <v>3721181</v>
      </c>
      <c r="I543" s="6">
        <v>100285</v>
      </c>
      <c r="K543" s="6">
        <f t="shared" si="95"/>
        <v>5973801</v>
      </c>
      <c r="M543" s="6">
        <f>9008292+130994+707017+169951</f>
        <v>10016254</v>
      </c>
      <c r="O543" s="6">
        <v>0</v>
      </c>
      <c r="Q543" s="6">
        <v>10526314</v>
      </c>
      <c r="S543" s="6">
        <v>2950</v>
      </c>
      <c r="U543" s="6">
        <v>44966</v>
      </c>
      <c r="W543" s="6">
        <v>0</v>
      </c>
      <c r="Y543" s="6">
        <f>100000+55474</f>
        <v>155474</v>
      </c>
      <c r="Z543" s="44"/>
      <c r="AA543" s="6">
        <v>0</v>
      </c>
      <c r="AC543" s="6">
        <v>0</v>
      </c>
      <c r="AE543" s="6">
        <f t="shared" si="93"/>
        <v>20745958</v>
      </c>
      <c r="AF543" s="6"/>
      <c r="AG543" s="6">
        <f t="shared" si="94"/>
        <v>26719759</v>
      </c>
    </row>
    <row r="544" spans="1:33" ht="12" customHeight="1">
      <c r="A544" s="10" t="s">
        <v>778</v>
      </c>
      <c r="B544" s="10"/>
      <c r="C544" s="10" t="s">
        <v>48</v>
      </c>
      <c r="E544" s="6">
        <v>2111721</v>
      </c>
      <c r="G544" s="6">
        <v>1198938</v>
      </c>
      <c r="I544" s="6">
        <v>0</v>
      </c>
      <c r="K544" s="6">
        <f t="shared" si="95"/>
        <v>3310659</v>
      </c>
      <c r="M544" s="6">
        <f>10305384+1422250+549978</f>
        <v>12277612</v>
      </c>
      <c r="O544" s="6">
        <v>0</v>
      </c>
      <c r="Q544" s="6">
        <v>9811179</v>
      </c>
      <c r="S544" s="6">
        <v>8128</v>
      </c>
      <c r="U544" s="6">
        <v>0</v>
      </c>
      <c r="W544" s="6">
        <v>0</v>
      </c>
      <c r="Y544" s="6">
        <v>269182</v>
      </c>
      <c r="Z544" s="44"/>
      <c r="AA544" s="6">
        <v>0</v>
      </c>
      <c r="AC544" s="6">
        <v>0</v>
      </c>
      <c r="AE544" s="6">
        <f t="shared" si="93"/>
        <v>22366101</v>
      </c>
      <c r="AF544" s="6"/>
      <c r="AG544" s="6">
        <f t="shared" si="94"/>
        <v>25676760</v>
      </c>
    </row>
    <row r="545" spans="1:33" ht="12" customHeight="1">
      <c r="A545" s="10" t="s">
        <v>395</v>
      </c>
      <c r="B545" s="10"/>
      <c r="C545" s="10" t="s">
        <v>115</v>
      </c>
      <c r="E545" s="6">
        <v>12034686</v>
      </c>
      <c r="G545" s="6">
        <v>46905184</v>
      </c>
      <c r="I545" s="6">
        <v>13271422</v>
      </c>
      <c r="K545" s="6">
        <f t="shared" si="95"/>
        <v>72211292</v>
      </c>
      <c r="M545" s="6">
        <f>74414156+1026037+9098250</f>
        <v>84538443</v>
      </c>
      <c r="O545" s="6">
        <v>0</v>
      </c>
      <c r="Q545" s="6">
        <v>231488421</v>
      </c>
      <c r="S545" s="6">
        <v>336955</v>
      </c>
      <c r="U545" s="6">
        <v>0</v>
      </c>
      <c r="W545" s="6">
        <v>0</v>
      </c>
      <c r="Y545" s="6">
        <v>9765</v>
      </c>
      <c r="Z545" s="44"/>
      <c r="AA545" s="6">
        <v>0</v>
      </c>
      <c r="AC545" s="6">
        <v>0</v>
      </c>
      <c r="AE545" s="6">
        <f t="shared" si="93"/>
        <v>316373584</v>
      </c>
      <c r="AF545" s="6"/>
      <c r="AG545" s="6">
        <f t="shared" si="94"/>
        <v>388584876</v>
      </c>
    </row>
    <row r="546" spans="1:33" ht="12" hidden="1" customHeight="1">
      <c r="A546" s="11" t="s">
        <v>894</v>
      </c>
      <c r="B546" s="11"/>
      <c r="C546" s="11" t="s">
        <v>115</v>
      </c>
      <c r="E546" s="6">
        <v>0</v>
      </c>
      <c r="G546" s="6">
        <v>0</v>
      </c>
      <c r="I546" s="6">
        <v>0</v>
      </c>
      <c r="K546" s="6">
        <f t="shared" si="95"/>
        <v>0</v>
      </c>
      <c r="M546" s="6">
        <v>0</v>
      </c>
      <c r="O546" s="6">
        <v>0</v>
      </c>
      <c r="Q546" s="6">
        <v>0</v>
      </c>
      <c r="S546" s="6">
        <v>0</v>
      </c>
      <c r="U546" s="6">
        <v>0</v>
      </c>
      <c r="W546" s="6">
        <v>0</v>
      </c>
      <c r="Y546" s="6">
        <v>0</v>
      </c>
      <c r="Z546" s="44"/>
      <c r="AA546" s="6">
        <v>0</v>
      </c>
      <c r="AC546" s="6">
        <v>0</v>
      </c>
      <c r="AE546" s="6">
        <f t="shared" si="93"/>
        <v>0</v>
      </c>
      <c r="AF546" s="6"/>
      <c r="AG546" s="6">
        <f t="shared" si="94"/>
        <v>0</v>
      </c>
    </row>
    <row r="547" spans="1:33" ht="12" customHeight="1">
      <c r="A547" s="11" t="s">
        <v>726</v>
      </c>
      <c r="B547" s="10"/>
      <c r="C547" s="10" t="s">
        <v>39</v>
      </c>
      <c r="E547" s="6">
        <v>1010025</v>
      </c>
      <c r="G547" s="6">
        <v>1106242</v>
      </c>
      <c r="I547" s="6">
        <v>0</v>
      </c>
      <c r="K547" s="6">
        <f t="shared" si="95"/>
        <v>2116267</v>
      </c>
      <c r="M547" s="6">
        <f>1289013+322528+27097</f>
        <v>1638638</v>
      </c>
      <c r="O547" s="6">
        <v>0</v>
      </c>
      <c r="Q547" s="6">
        <v>2227084</v>
      </c>
      <c r="S547" s="6">
        <v>75911</v>
      </c>
      <c r="U547" s="6">
        <v>0</v>
      </c>
      <c r="W547" s="6">
        <v>85197</v>
      </c>
      <c r="Y547" s="6">
        <f>50000+2128-157</f>
        <v>51971</v>
      </c>
      <c r="Z547" s="44"/>
      <c r="AA547" s="6">
        <v>0</v>
      </c>
      <c r="AC547" s="6">
        <v>0</v>
      </c>
      <c r="AE547" s="6">
        <f t="shared" si="93"/>
        <v>4078801</v>
      </c>
      <c r="AF547" s="6"/>
      <c r="AG547" s="6">
        <f t="shared" si="94"/>
        <v>6195068</v>
      </c>
    </row>
    <row r="548" spans="1:33" ht="12" customHeight="1">
      <c r="A548" s="10" t="s">
        <v>229</v>
      </c>
      <c r="B548" s="10"/>
      <c r="C548" s="10" t="s">
        <v>228</v>
      </c>
      <c r="E548" s="6">
        <v>1008053</v>
      </c>
      <c r="G548" s="6">
        <v>1142369</v>
      </c>
      <c r="I548" s="6">
        <v>37881</v>
      </c>
      <c r="K548" s="6">
        <f t="shared" si="95"/>
        <v>2188303</v>
      </c>
      <c r="M548" s="6">
        <f>1475789+26982+181309</f>
        <v>1684080</v>
      </c>
      <c r="O548" s="6">
        <v>1692420</v>
      </c>
      <c r="Q548" s="6">
        <v>5078974</v>
      </c>
      <c r="S548" s="6">
        <v>2280</v>
      </c>
      <c r="U548" s="6">
        <v>0</v>
      </c>
      <c r="W548" s="6">
        <v>0</v>
      </c>
      <c r="Y548" s="6">
        <v>25743</v>
      </c>
      <c r="Z548" s="44"/>
      <c r="AA548" s="6">
        <v>0</v>
      </c>
      <c r="AC548" s="6">
        <v>0</v>
      </c>
      <c r="AE548" s="6">
        <f t="shared" si="93"/>
        <v>8483497</v>
      </c>
      <c r="AF548" s="6"/>
      <c r="AG548" s="6">
        <f t="shared" si="94"/>
        <v>10671800</v>
      </c>
    </row>
    <row r="549" spans="1:33" s="28" customFormat="1" ht="12" customHeight="1">
      <c r="A549" s="27" t="s">
        <v>466</v>
      </c>
      <c r="B549" s="27"/>
      <c r="C549" s="27" t="s">
        <v>57</v>
      </c>
      <c r="E549" s="6">
        <v>655492</v>
      </c>
      <c r="F549" s="6"/>
      <c r="G549" s="6">
        <v>822141</v>
      </c>
      <c r="H549" s="6"/>
      <c r="I549" s="6">
        <v>0</v>
      </c>
      <c r="J549" s="6"/>
      <c r="K549" s="6">
        <f t="shared" si="95"/>
        <v>1477633</v>
      </c>
      <c r="L549" s="6"/>
      <c r="M549" s="6">
        <f>3324986+118713</f>
        <v>3443699</v>
      </c>
      <c r="N549" s="6"/>
      <c r="O549" s="6">
        <v>0</v>
      </c>
      <c r="P549" s="6"/>
      <c r="Q549" s="6">
        <v>4425608</v>
      </c>
      <c r="R549" s="6"/>
      <c r="S549" s="6">
        <v>16242</v>
      </c>
      <c r="T549" s="6"/>
      <c r="U549" s="6">
        <v>0</v>
      </c>
      <c r="V549" s="6"/>
      <c r="W549" s="6">
        <v>3333</v>
      </c>
      <c r="X549" s="6"/>
      <c r="Y549" s="6">
        <v>21514</v>
      </c>
      <c r="Z549" s="44"/>
      <c r="AA549" s="6">
        <v>0</v>
      </c>
      <c r="AB549" s="6"/>
      <c r="AC549" s="6">
        <v>0</v>
      </c>
      <c r="AD549" s="6"/>
      <c r="AE549" s="6">
        <f t="shared" si="93"/>
        <v>7910396</v>
      </c>
      <c r="AF549" s="6"/>
      <c r="AG549" s="6">
        <f t="shared" si="94"/>
        <v>9388029</v>
      </c>
    </row>
    <row r="550" spans="1:33" ht="12" customHeight="1">
      <c r="A550" s="10" t="s">
        <v>212</v>
      </c>
      <c r="B550" s="10"/>
      <c r="C550" s="10" t="s">
        <v>13</v>
      </c>
      <c r="E550" s="6">
        <v>890832</v>
      </c>
      <c r="G550" s="6">
        <v>2495729</v>
      </c>
      <c r="I550" s="6">
        <v>0</v>
      </c>
      <c r="K550" s="6">
        <f t="shared" si="95"/>
        <v>3386561</v>
      </c>
      <c r="M550" s="6">
        <f>766344+57255+12056</f>
        <v>835655</v>
      </c>
      <c r="O550" s="6">
        <v>0</v>
      </c>
      <c r="Q550" s="6">
        <v>7113563</v>
      </c>
      <c r="S550" s="6">
        <v>2453</v>
      </c>
      <c r="U550" s="6">
        <v>0</v>
      </c>
      <c r="W550" s="6">
        <v>18861</v>
      </c>
      <c r="Y550" s="6">
        <f>59429+11634</f>
        <v>71063</v>
      </c>
      <c r="Z550" s="44"/>
      <c r="AA550" s="6">
        <v>0</v>
      </c>
      <c r="AC550" s="6">
        <v>0</v>
      </c>
      <c r="AE550" s="6">
        <f t="shared" si="93"/>
        <v>8041595</v>
      </c>
      <c r="AF550" s="6"/>
      <c r="AG550" s="6">
        <f t="shared" si="94"/>
        <v>11428156</v>
      </c>
    </row>
    <row r="551" spans="1:33" ht="12" customHeight="1">
      <c r="A551" s="10" t="s">
        <v>446</v>
      </c>
      <c r="B551" s="10"/>
      <c r="C551" s="10" t="s">
        <v>51</v>
      </c>
      <c r="E551" s="6">
        <v>2234558</v>
      </c>
      <c r="G551" s="6">
        <v>2271840</v>
      </c>
      <c r="I551" s="6">
        <v>25486</v>
      </c>
      <c r="K551" s="6">
        <f t="shared" si="95"/>
        <v>4531884</v>
      </c>
      <c r="M551" s="6">
        <f>8480906+1534963+164409</f>
        <v>10180278</v>
      </c>
      <c r="O551" s="6">
        <v>0</v>
      </c>
      <c r="Q551" s="6">
        <v>15981763</v>
      </c>
      <c r="S551" s="6">
        <v>83861</v>
      </c>
      <c r="U551" s="6">
        <v>538039</v>
      </c>
      <c r="W551" s="6">
        <v>0</v>
      </c>
      <c r="Y551" s="6">
        <v>344399</v>
      </c>
      <c r="Z551" s="44"/>
      <c r="AA551" s="6">
        <v>0</v>
      </c>
      <c r="AC551" s="6">
        <v>0</v>
      </c>
      <c r="AE551" s="6">
        <f t="shared" si="93"/>
        <v>27128340</v>
      </c>
      <c r="AF551" s="6"/>
      <c r="AG551" s="6">
        <f t="shared" si="94"/>
        <v>31660224</v>
      </c>
    </row>
    <row r="552" spans="1:33" ht="12" hidden="1" customHeight="1">
      <c r="A552" s="10" t="s">
        <v>690</v>
      </c>
      <c r="B552" s="10"/>
      <c r="C552" s="10" t="s">
        <v>21</v>
      </c>
      <c r="E552" s="6">
        <v>0</v>
      </c>
      <c r="G552" s="6">
        <v>0</v>
      </c>
      <c r="I552" s="6">
        <v>0</v>
      </c>
      <c r="K552" s="6">
        <f t="shared" si="95"/>
        <v>0</v>
      </c>
      <c r="M552" s="6">
        <v>0</v>
      </c>
      <c r="O552" s="6">
        <v>0</v>
      </c>
      <c r="Q552" s="6">
        <v>0</v>
      </c>
      <c r="S552" s="6">
        <v>0</v>
      </c>
      <c r="U552" s="6">
        <v>0</v>
      </c>
      <c r="W552" s="6">
        <v>0</v>
      </c>
      <c r="Y552" s="6">
        <v>0</v>
      </c>
      <c r="Z552" s="44"/>
      <c r="AA552" s="6">
        <v>0</v>
      </c>
      <c r="AC552" s="6">
        <v>0</v>
      </c>
      <c r="AE552" s="6">
        <f t="shared" si="93"/>
        <v>0</v>
      </c>
      <c r="AF552" s="6"/>
      <c r="AG552" s="6">
        <f t="shared" si="94"/>
        <v>0</v>
      </c>
    </row>
    <row r="553" spans="1:33" ht="12" hidden="1" customHeight="1">
      <c r="A553" s="10" t="s">
        <v>835</v>
      </c>
      <c r="B553" s="10"/>
      <c r="C553" s="10" t="s">
        <v>71</v>
      </c>
      <c r="E553" s="6">
        <v>0</v>
      </c>
      <c r="G553" s="6">
        <v>0</v>
      </c>
      <c r="I553" s="6">
        <v>0</v>
      </c>
      <c r="K553" s="6">
        <f t="shared" si="95"/>
        <v>0</v>
      </c>
      <c r="M553" s="6">
        <v>0</v>
      </c>
      <c r="O553" s="6">
        <v>0</v>
      </c>
      <c r="Q553" s="6">
        <v>0</v>
      </c>
      <c r="S553" s="6">
        <v>0</v>
      </c>
      <c r="U553" s="6">
        <v>0</v>
      </c>
      <c r="W553" s="6">
        <v>0</v>
      </c>
      <c r="Y553" s="6">
        <v>0</v>
      </c>
      <c r="Z553" s="44"/>
      <c r="AA553" s="6">
        <v>0</v>
      </c>
      <c r="AC553" s="6">
        <v>0</v>
      </c>
      <c r="AE553" s="6">
        <f t="shared" si="93"/>
        <v>0</v>
      </c>
      <c r="AF553" s="6"/>
      <c r="AG553" s="6">
        <f t="shared" si="94"/>
        <v>0</v>
      </c>
    </row>
    <row r="554" spans="1:33" ht="12" customHeight="1">
      <c r="A554" s="10" t="s">
        <v>436</v>
      </c>
      <c r="B554" s="10"/>
      <c r="C554" s="10" t="s">
        <v>50</v>
      </c>
      <c r="E554" s="6">
        <v>696742</v>
      </c>
      <c r="G554" s="6">
        <v>7213787</v>
      </c>
      <c r="I554" s="6">
        <v>0</v>
      </c>
      <c r="K554" s="6">
        <f t="shared" si="95"/>
        <v>7910529</v>
      </c>
      <c r="M554" s="6">
        <f>8486452+107103+1743466+537660</f>
        <v>10874681</v>
      </c>
      <c r="O554" s="6">
        <v>0</v>
      </c>
      <c r="Q554" s="6">
        <v>21025020</v>
      </c>
      <c r="S554" s="6">
        <v>150211</v>
      </c>
      <c r="U554" s="6">
        <v>32677</v>
      </c>
      <c r="W554" s="6">
        <v>0</v>
      </c>
      <c r="Y554" s="6">
        <v>970652</v>
      </c>
      <c r="Z554" s="44"/>
      <c r="AA554" s="6">
        <v>0</v>
      </c>
      <c r="AC554" s="6">
        <v>0</v>
      </c>
      <c r="AE554" s="6">
        <f t="shared" si="93"/>
        <v>33053241</v>
      </c>
      <c r="AF554" s="6"/>
      <c r="AG554" s="6">
        <f t="shared" si="94"/>
        <v>40963770</v>
      </c>
    </row>
    <row r="555" spans="1:33" ht="12" customHeight="1">
      <c r="A555" s="10" t="s">
        <v>426</v>
      </c>
      <c r="B555" s="10"/>
      <c r="C555" s="10" t="s">
        <v>48</v>
      </c>
      <c r="E555" s="6">
        <v>2983458</v>
      </c>
      <c r="G555" s="6">
        <v>3875182</v>
      </c>
      <c r="I555" s="6">
        <v>21060</v>
      </c>
      <c r="K555" s="6">
        <f t="shared" si="95"/>
        <v>6879700</v>
      </c>
      <c r="M555" s="6">
        <f>14160593+454395+1357849+604439</f>
        <v>16577276</v>
      </c>
      <c r="O555" s="6">
        <v>9501186</v>
      </c>
      <c r="Q555" s="6">
        <v>15767975</v>
      </c>
      <c r="S555" s="6">
        <v>79563</v>
      </c>
      <c r="U555" s="6">
        <v>0</v>
      </c>
      <c r="W555" s="6">
        <v>0</v>
      </c>
      <c r="Y555" s="6">
        <v>441848</v>
      </c>
      <c r="Z555" s="44"/>
      <c r="AA555" s="6">
        <v>0</v>
      </c>
      <c r="AC555" s="6">
        <v>0</v>
      </c>
      <c r="AE555" s="6">
        <f t="shared" si="93"/>
        <v>42367848</v>
      </c>
      <c r="AF555" s="6"/>
      <c r="AG555" s="6">
        <f t="shared" si="94"/>
        <v>49247548</v>
      </c>
    </row>
    <row r="556" spans="1:33" ht="12" customHeight="1">
      <c r="A556" s="10" t="s">
        <v>538</v>
      </c>
      <c r="B556" s="10"/>
      <c r="C556" s="10" t="s">
        <v>65</v>
      </c>
      <c r="E556" s="6">
        <v>833194</v>
      </c>
      <c r="G556" s="6">
        <v>1608573</v>
      </c>
      <c r="I556" s="6">
        <v>0</v>
      </c>
      <c r="K556" s="6">
        <f t="shared" si="95"/>
        <v>2441767</v>
      </c>
      <c r="M556" s="6">
        <f>5103947+513359</f>
        <v>5617306</v>
      </c>
      <c r="O556" s="6">
        <v>0</v>
      </c>
      <c r="Q556" s="6">
        <v>5818920</v>
      </c>
      <c r="S556" s="6">
        <v>77344</v>
      </c>
      <c r="U556" s="6">
        <v>0</v>
      </c>
      <c r="W556" s="6">
        <v>0</v>
      </c>
      <c r="Y556" s="6">
        <v>12768</v>
      </c>
      <c r="Z556" s="44"/>
      <c r="AA556" s="6">
        <v>0</v>
      </c>
      <c r="AC556" s="6">
        <v>0</v>
      </c>
      <c r="AE556" s="6">
        <f t="shared" si="93"/>
        <v>11526338</v>
      </c>
      <c r="AF556" s="6"/>
      <c r="AG556" s="6">
        <f t="shared" si="94"/>
        <v>13968105</v>
      </c>
    </row>
    <row r="557" spans="1:33" ht="12" customHeight="1">
      <c r="A557" s="10" t="s">
        <v>505</v>
      </c>
      <c r="B557" s="10"/>
      <c r="C557" s="10" t="s">
        <v>62</v>
      </c>
      <c r="E557" s="6">
        <v>1562921</v>
      </c>
      <c r="G557" s="6">
        <v>1100736</v>
      </c>
      <c r="I557" s="6">
        <v>0</v>
      </c>
      <c r="K557" s="6">
        <f t="shared" si="95"/>
        <v>2663657</v>
      </c>
      <c r="M557" s="6">
        <f>4499160+733784</f>
        <v>5232944</v>
      </c>
      <c r="O557" s="6">
        <v>0</v>
      </c>
      <c r="Q557" s="6">
        <v>6643690</v>
      </c>
      <c r="S557" s="6">
        <v>10487</v>
      </c>
      <c r="U557" s="6">
        <v>0</v>
      </c>
      <c r="W557" s="6">
        <v>4396</v>
      </c>
      <c r="Y557" s="6">
        <v>18220</v>
      </c>
      <c r="Z557" s="44"/>
      <c r="AA557" s="6">
        <v>0</v>
      </c>
      <c r="AC557" s="6">
        <v>0</v>
      </c>
      <c r="AE557" s="6">
        <f t="shared" si="93"/>
        <v>11909737</v>
      </c>
      <c r="AF557" s="6"/>
      <c r="AG557" s="6">
        <f t="shared" si="94"/>
        <v>14573394</v>
      </c>
    </row>
    <row r="558" spans="1:33" ht="12" hidden="1" customHeight="1">
      <c r="A558" s="10" t="s">
        <v>695</v>
      </c>
      <c r="B558" s="10"/>
      <c r="C558" s="10" t="s">
        <v>57</v>
      </c>
      <c r="E558" s="6">
        <v>0</v>
      </c>
      <c r="G558" s="6">
        <v>0</v>
      </c>
      <c r="I558" s="6">
        <v>0</v>
      </c>
      <c r="K558" s="6">
        <f t="shared" si="95"/>
        <v>0</v>
      </c>
      <c r="M558" s="6">
        <v>0</v>
      </c>
      <c r="O558" s="6">
        <v>0</v>
      </c>
      <c r="Q558" s="6">
        <v>0</v>
      </c>
      <c r="S558" s="6">
        <v>0</v>
      </c>
      <c r="U558" s="6">
        <v>0</v>
      </c>
      <c r="W558" s="6">
        <v>0</v>
      </c>
      <c r="Y558" s="6">
        <v>0</v>
      </c>
      <c r="Z558" s="44"/>
      <c r="AA558" s="6">
        <v>0</v>
      </c>
      <c r="AC558" s="6">
        <v>0</v>
      </c>
      <c r="AE558" s="6">
        <f t="shared" si="93"/>
        <v>0</v>
      </c>
      <c r="AF558" s="6"/>
      <c r="AG558" s="6">
        <f t="shared" si="94"/>
        <v>0</v>
      </c>
    </row>
    <row r="559" spans="1:33" ht="12" customHeight="1">
      <c r="A559" s="10" t="s">
        <v>516</v>
      </c>
      <c r="B559" s="10"/>
      <c r="C559" s="10" t="s">
        <v>63</v>
      </c>
      <c r="E559" s="6">
        <v>2417890</v>
      </c>
      <c r="G559" s="6">
        <v>1873348</v>
      </c>
      <c r="I559" s="6">
        <v>0</v>
      </c>
      <c r="K559" s="6">
        <f t="shared" si="95"/>
        <v>4291238</v>
      </c>
      <c r="M559" s="6">
        <f>23483020+1894214+1609440</f>
        <v>26986674</v>
      </c>
      <c r="O559" s="6">
        <v>0</v>
      </c>
      <c r="Q559" s="6">
        <v>14813873</v>
      </c>
      <c r="S559" s="6">
        <v>34627</v>
      </c>
      <c r="U559" s="6">
        <v>96607</v>
      </c>
      <c r="W559" s="6">
        <v>0</v>
      </c>
      <c r="Y559" s="6">
        <v>97604</v>
      </c>
      <c r="Z559" s="44"/>
      <c r="AA559" s="6">
        <v>0</v>
      </c>
      <c r="AC559" s="6">
        <v>0</v>
      </c>
      <c r="AE559" s="6">
        <f t="shared" si="93"/>
        <v>42029385</v>
      </c>
      <c r="AF559" s="6"/>
      <c r="AG559" s="6">
        <f t="shared" si="94"/>
        <v>46320623</v>
      </c>
    </row>
    <row r="560" spans="1:33" ht="12" hidden="1" customHeight="1">
      <c r="A560" s="10" t="s">
        <v>836</v>
      </c>
      <c r="B560" s="10"/>
      <c r="C560" s="10" t="s">
        <v>15</v>
      </c>
      <c r="E560" s="6">
        <v>0</v>
      </c>
      <c r="G560" s="6">
        <v>0</v>
      </c>
      <c r="I560" s="6">
        <v>0</v>
      </c>
      <c r="K560" s="6">
        <f t="shared" si="95"/>
        <v>0</v>
      </c>
      <c r="M560" s="6">
        <v>0</v>
      </c>
      <c r="O560" s="6">
        <v>0</v>
      </c>
      <c r="Q560" s="6">
        <v>0</v>
      </c>
      <c r="S560" s="6">
        <v>0</v>
      </c>
      <c r="U560" s="6">
        <v>0</v>
      </c>
      <c r="W560" s="6">
        <v>0</v>
      </c>
      <c r="Y560" s="6">
        <v>0</v>
      </c>
      <c r="Z560" s="44"/>
      <c r="AA560" s="6">
        <v>0</v>
      </c>
      <c r="AC560" s="6">
        <v>0</v>
      </c>
      <c r="AE560" s="6">
        <f t="shared" si="93"/>
        <v>0</v>
      </c>
      <c r="AF560" s="6"/>
      <c r="AG560" s="6">
        <f t="shared" si="94"/>
        <v>0</v>
      </c>
    </row>
    <row r="561" spans="1:33" ht="12" customHeight="1">
      <c r="A561" s="10" t="s">
        <v>476</v>
      </c>
      <c r="B561" s="10"/>
      <c r="C561" s="10" t="s">
        <v>58</v>
      </c>
      <c r="E561" s="6">
        <v>3686974</v>
      </c>
      <c r="G561" s="6">
        <v>1929369</v>
      </c>
      <c r="I561" s="6">
        <v>0</v>
      </c>
      <c r="K561" s="6">
        <f t="shared" si="95"/>
        <v>5616343</v>
      </c>
      <c r="M561" s="6">
        <f>2743892+241107+49026</f>
        <v>3034025</v>
      </c>
      <c r="O561" s="6">
        <v>1136296</v>
      </c>
      <c r="Q561" s="6">
        <v>10183623</v>
      </c>
      <c r="S561" s="6">
        <v>151573</v>
      </c>
      <c r="U561" s="6">
        <v>0</v>
      </c>
      <c r="W561" s="6">
        <v>0</v>
      </c>
      <c r="Y561" s="6">
        <v>76550</v>
      </c>
      <c r="Z561" s="44"/>
      <c r="AA561" s="6">
        <v>0</v>
      </c>
      <c r="AC561" s="6">
        <v>0</v>
      </c>
      <c r="AE561" s="6">
        <f t="shared" si="93"/>
        <v>14582067</v>
      </c>
      <c r="AF561" s="6"/>
      <c r="AG561" s="6">
        <f t="shared" si="94"/>
        <v>20198410</v>
      </c>
    </row>
    <row r="562" spans="1:33" ht="12" customHeight="1">
      <c r="A562" s="10" t="s">
        <v>251</v>
      </c>
      <c r="B562" s="10"/>
      <c r="C562" s="10" t="s">
        <v>112</v>
      </c>
      <c r="E562" s="6">
        <v>1424661</v>
      </c>
      <c r="G562" s="6">
        <v>1516450</v>
      </c>
      <c r="I562" s="6">
        <v>0</v>
      </c>
      <c r="K562" s="6">
        <f t="shared" si="95"/>
        <v>2941111</v>
      </c>
      <c r="M562" s="6">
        <f>2400121+278068</f>
        <v>2678189</v>
      </c>
      <c r="O562" s="6">
        <v>780367</v>
      </c>
      <c r="Q562" s="6">
        <v>6312406</v>
      </c>
      <c r="S562" s="6">
        <v>211057</v>
      </c>
      <c r="U562" s="6">
        <v>0</v>
      </c>
      <c r="W562" s="6">
        <v>0</v>
      </c>
      <c r="Y562" s="6">
        <v>15889</v>
      </c>
      <c r="Z562" s="44"/>
      <c r="AA562" s="6">
        <v>0</v>
      </c>
      <c r="AC562" s="6">
        <v>0</v>
      </c>
      <c r="AE562" s="6">
        <f t="shared" si="93"/>
        <v>9997908</v>
      </c>
      <c r="AF562" s="6"/>
      <c r="AG562" s="6">
        <f t="shared" si="94"/>
        <v>12939019</v>
      </c>
    </row>
    <row r="563" spans="1:33" ht="12" customHeight="1">
      <c r="A563" s="10" t="s">
        <v>308</v>
      </c>
      <c r="B563" s="10"/>
      <c r="C563" s="10" t="s">
        <v>27</v>
      </c>
      <c r="E563" s="28">
        <v>5552243</v>
      </c>
      <c r="F563" s="28"/>
      <c r="G563" s="28">
        <v>2583111</v>
      </c>
      <c r="H563" s="28"/>
      <c r="I563" s="28">
        <v>0</v>
      </c>
      <c r="J563" s="28"/>
      <c r="K563" s="28">
        <f t="shared" si="95"/>
        <v>8135354</v>
      </c>
      <c r="L563" s="28"/>
      <c r="M563" s="28">
        <v>68228542</v>
      </c>
      <c r="N563" s="28"/>
      <c r="O563" s="28">
        <v>0</v>
      </c>
      <c r="P563" s="28"/>
      <c r="Q563" s="28">
        <v>13652059</v>
      </c>
      <c r="R563" s="28"/>
      <c r="S563" s="28">
        <v>182817</v>
      </c>
      <c r="T563" s="28"/>
      <c r="U563" s="28">
        <v>938761</v>
      </c>
      <c r="V563" s="28"/>
      <c r="W563" s="28">
        <v>0</v>
      </c>
      <c r="X563" s="28"/>
      <c r="Y563" s="28">
        <v>695668</v>
      </c>
      <c r="Z563" s="56"/>
      <c r="AA563" s="28">
        <v>0</v>
      </c>
      <c r="AB563" s="28"/>
      <c r="AC563" s="28">
        <v>0</v>
      </c>
      <c r="AD563" s="28"/>
      <c r="AE563" s="28">
        <f t="shared" si="93"/>
        <v>83697847</v>
      </c>
      <c r="AF563" s="28"/>
      <c r="AG563" s="28">
        <f t="shared" si="94"/>
        <v>91833201</v>
      </c>
    </row>
    <row r="564" spans="1:33" ht="12" hidden="1" customHeight="1">
      <c r="A564" s="10" t="s">
        <v>779</v>
      </c>
      <c r="B564" s="10"/>
      <c r="C564" s="10" t="s">
        <v>558</v>
      </c>
      <c r="E564" s="6">
        <v>0</v>
      </c>
      <c r="G564" s="6">
        <v>0</v>
      </c>
      <c r="I564" s="6">
        <v>0</v>
      </c>
      <c r="K564" s="6">
        <f t="shared" si="95"/>
        <v>0</v>
      </c>
      <c r="M564" s="6">
        <v>0</v>
      </c>
      <c r="O564" s="6">
        <v>0</v>
      </c>
      <c r="Q564" s="6">
        <v>0</v>
      </c>
      <c r="S564" s="6">
        <v>0</v>
      </c>
      <c r="U564" s="6">
        <v>0</v>
      </c>
      <c r="W564" s="6">
        <v>0</v>
      </c>
      <c r="Y564" s="6">
        <v>0</v>
      </c>
      <c r="Z564" s="44"/>
      <c r="AA564" s="6">
        <v>0</v>
      </c>
      <c r="AC564" s="6">
        <v>0</v>
      </c>
      <c r="AE564" s="6">
        <f t="shared" si="93"/>
        <v>0</v>
      </c>
      <c r="AF564" s="6"/>
      <c r="AG564" s="6">
        <f t="shared" si="94"/>
        <v>0</v>
      </c>
    </row>
    <row r="565" spans="1:33" ht="12" hidden="1" customHeight="1">
      <c r="A565" s="10" t="s">
        <v>696</v>
      </c>
      <c r="B565" s="10"/>
      <c r="C565" s="10" t="s">
        <v>339</v>
      </c>
      <c r="E565" s="6">
        <v>0</v>
      </c>
      <c r="G565" s="6">
        <v>0</v>
      </c>
      <c r="I565" s="6">
        <v>0</v>
      </c>
      <c r="K565" s="6">
        <f t="shared" si="95"/>
        <v>0</v>
      </c>
      <c r="M565" s="6">
        <v>0</v>
      </c>
      <c r="O565" s="6">
        <v>0</v>
      </c>
      <c r="Q565" s="6">
        <v>0</v>
      </c>
      <c r="S565" s="6">
        <v>0</v>
      </c>
      <c r="U565" s="6">
        <v>0</v>
      </c>
      <c r="W565" s="6">
        <v>0</v>
      </c>
      <c r="Y565" s="6">
        <v>0</v>
      </c>
      <c r="Z565" s="44"/>
      <c r="AA565" s="6">
        <v>0</v>
      </c>
      <c r="AC565" s="6">
        <v>0</v>
      </c>
      <c r="AE565" s="6">
        <f t="shared" si="93"/>
        <v>0</v>
      </c>
      <c r="AF565" s="6"/>
      <c r="AG565" s="6">
        <f t="shared" si="94"/>
        <v>0</v>
      </c>
    </row>
    <row r="566" spans="1:33" s="28" customFormat="1" ht="12" hidden="1" customHeight="1">
      <c r="A566" s="11" t="s">
        <v>895</v>
      </c>
      <c r="B566" s="27"/>
      <c r="C566" s="27" t="s">
        <v>228</v>
      </c>
      <c r="E566" s="6">
        <v>0</v>
      </c>
      <c r="F566" s="6"/>
      <c r="G566" s="6">
        <v>0</v>
      </c>
      <c r="H566" s="6"/>
      <c r="I566" s="6">
        <v>0</v>
      </c>
      <c r="J566" s="6"/>
      <c r="K566" s="6">
        <f t="shared" si="95"/>
        <v>0</v>
      </c>
      <c r="L566" s="6"/>
      <c r="M566" s="6">
        <v>0</v>
      </c>
      <c r="N566" s="6"/>
      <c r="O566" s="6">
        <v>0</v>
      </c>
      <c r="P566" s="6"/>
      <c r="Q566" s="6">
        <v>0</v>
      </c>
      <c r="R566" s="6"/>
      <c r="S566" s="6">
        <v>0</v>
      </c>
      <c r="T566" s="6"/>
      <c r="U566" s="6">
        <v>0</v>
      </c>
      <c r="V566" s="6"/>
      <c r="W566" s="6">
        <v>0</v>
      </c>
      <c r="X566" s="6"/>
      <c r="Y566" s="6">
        <v>0</v>
      </c>
      <c r="Z566" s="44"/>
      <c r="AA566" s="6">
        <v>0</v>
      </c>
      <c r="AB566" s="6"/>
      <c r="AC566" s="6">
        <v>0</v>
      </c>
      <c r="AD566" s="6"/>
      <c r="AE566" s="6">
        <f t="shared" si="93"/>
        <v>0</v>
      </c>
      <c r="AF566" s="6"/>
      <c r="AG566" s="6">
        <f t="shared" si="94"/>
        <v>0</v>
      </c>
    </row>
    <row r="567" spans="1:33" ht="12" hidden="1" customHeight="1">
      <c r="A567" s="10" t="s">
        <v>697</v>
      </c>
      <c r="B567" s="10"/>
      <c r="C567" s="10" t="s">
        <v>59</v>
      </c>
      <c r="E567" s="6">
        <v>0</v>
      </c>
      <c r="G567" s="6">
        <v>0</v>
      </c>
      <c r="I567" s="6">
        <v>0</v>
      </c>
      <c r="K567" s="6">
        <f t="shared" si="95"/>
        <v>0</v>
      </c>
      <c r="M567" s="6">
        <v>0</v>
      </c>
      <c r="O567" s="6">
        <v>0</v>
      </c>
      <c r="Q567" s="6">
        <v>0</v>
      </c>
      <c r="S567" s="6">
        <v>0</v>
      </c>
      <c r="U567" s="6">
        <v>0</v>
      </c>
      <c r="W567" s="6">
        <v>0</v>
      </c>
      <c r="Y567" s="6">
        <v>0</v>
      </c>
      <c r="Z567" s="44"/>
      <c r="AA567" s="6">
        <v>0</v>
      </c>
      <c r="AC567" s="6">
        <v>0</v>
      </c>
      <c r="AE567" s="6">
        <f t="shared" si="93"/>
        <v>0</v>
      </c>
      <c r="AF567" s="6"/>
      <c r="AG567" s="6">
        <f t="shared" si="94"/>
        <v>0</v>
      </c>
    </row>
    <row r="568" spans="1:33" ht="12" customHeight="1">
      <c r="A568" s="10" t="s">
        <v>437</v>
      </c>
      <c r="B568" s="10"/>
      <c r="C568" s="10" t="s">
        <v>50</v>
      </c>
      <c r="E568" s="6">
        <v>1047512</v>
      </c>
      <c r="G568" s="6">
        <v>1548149</v>
      </c>
      <c r="I568" s="6">
        <v>0</v>
      </c>
      <c r="K568" s="6">
        <f t="shared" si="95"/>
        <v>2595661</v>
      </c>
      <c r="M568" s="6">
        <f>4248994+719791</f>
        <v>4968785</v>
      </c>
      <c r="O568" s="6">
        <v>3286634</v>
      </c>
      <c r="Q568" s="6">
        <v>8212803</v>
      </c>
      <c r="S568" s="6">
        <v>20106</v>
      </c>
      <c r="U568" s="6">
        <v>0</v>
      </c>
      <c r="W568" s="6">
        <v>0</v>
      </c>
      <c r="Y568" s="6">
        <v>117960</v>
      </c>
      <c r="Z568" s="44"/>
      <c r="AA568" s="6">
        <v>0</v>
      </c>
      <c r="AC568" s="6">
        <v>0</v>
      </c>
      <c r="AE568" s="6">
        <f t="shared" si="93"/>
        <v>16606288</v>
      </c>
      <c r="AF568" s="6"/>
      <c r="AG568" s="6">
        <f t="shared" si="94"/>
        <v>19201949</v>
      </c>
    </row>
    <row r="569" spans="1:33" ht="12" customHeight="1">
      <c r="A569" s="10" t="s">
        <v>338</v>
      </c>
      <c r="B569" s="10"/>
      <c r="C569" s="10" t="s">
        <v>33</v>
      </c>
      <c r="E569" s="6">
        <v>1304502</v>
      </c>
      <c r="G569" s="6">
        <v>449528</v>
      </c>
      <c r="I569" s="6">
        <v>0</v>
      </c>
      <c r="K569" s="6">
        <f t="shared" si="95"/>
        <v>1754030</v>
      </c>
      <c r="M569" s="6">
        <f>6064405+830150+289622</f>
        <v>7184177</v>
      </c>
      <c r="O569" s="6">
        <v>0</v>
      </c>
      <c r="Q569" s="6">
        <v>3552225</v>
      </c>
      <c r="S569" s="6">
        <v>33371</v>
      </c>
      <c r="U569" s="6">
        <v>107659</v>
      </c>
      <c r="W569" s="6">
        <v>17466</v>
      </c>
      <c r="Y569" s="6">
        <v>48775</v>
      </c>
      <c r="Z569" s="44"/>
      <c r="AA569" s="6">
        <v>0</v>
      </c>
      <c r="AC569" s="6">
        <v>0</v>
      </c>
      <c r="AE569" s="6">
        <f t="shared" si="93"/>
        <v>10943673</v>
      </c>
      <c r="AF569" s="6"/>
      <c r="AG569" s="6">
        <f t="shared" si="94"/>
        <v>12697703</v>
      </c>
    </row>
    <row r="570" spans="1:33" ht="12" hidden="1" customHeight="1">
      <c r="A570" s="10" t="s">
        <v>830</v>
      </c>
      <c r="B570" s="10"/>
      <c r="C570" s="10" t="s">
        <v>67</v>
      </c>
      <c r="E570" s="6">
        <v>0</v>
      </c>
      <c r="G570" s="6">
        <v>0</v>
      </c>
      <c r="I570" s="6">
        <v>0</v>
      </c>
      <c r="K570" s="6">
        <f t="shared" si="95"/>
        <v>0</v>
      </c>
      <c r="M570" s="6">
        <v>0</v>
      </c>
      <c r="O570" s="6">
        <v>0</v>
      </c>
      <c r="Q570" s="6">
        <v>0</v>
      </c>
      <c r="S570" s="6">
        <v>0</v>
      </c>
      <c r="U570" s="6">
        <v>0</v>
      </c>
      <c r="W570" s="6">
        <v>0</v>
      </c>
      <c r="Y570" s="6">
        <v>0</v>
      </c>
      <c r="Z570" s="44"/>
      <c r="AA570" s="6">
        <v>0</v>
      </c>
      <c r="AC570" s="6">
        <v>0</v>
      </c>
      <c r="AE570" s="6">
        <f t="shared" si="93"/>
        <v>0</v>
      </c>
      <c r="AF570" s="6"/>
      <c r="AG570" s="6">
        <f t="shared" si="94"/>
        <v>0</v>
      </c>
    </row>
    <row r="571" spans="1:33" ht="12" customHeight="1">
      <c r="A571" s="10" t="s">
        <v>438</v>
      </c>
      <c r="B571" s="10"/>
      <c r="C571" s="10" t="s">
        <v>50</v>
      </c>
      <c r="E571" s="6">
        <v>2173032</v>
      </c>
      <c r="G571" s="6">
        <v>2387015</v>
      </c>
      <c r="I571" s="6">
        <v>85600</v>
      </c>
      <c r="K571" s="6">
        <f t="shared" si="95"/>
        <v>4645647</v>
      </c>
      <c r="M571" s="6">
        <f>18564918+3221788</f>
        <v>21786706</v>
      </c>
      <c r="O571" s="6">
        <v>0</v>
      </c>
      <c r="Q571" s="6">
        <v>9560768</v>
      </c>
      <c r="S571" s="6">
        <v>75846</v>
      </c>
      <c r="U571" s="6">
        <v>584391</v>
      </c>
      <c r="W571" s="6">
        <v>0</v>
      </c>
      <c r="Y571" s="6">
        <v>48817</v>
      </c>
      <c r="Z571" s="44"/>
      <c r="AA571" s="6">
        <v>0</v>
      </c>
      <c r="AC571" s="6">
        <v>0</v>
      </c>
      <c r="AE571" s="6">
        <f t="shared" si="93"/>
        <v>32056528</v>
      </c>
      <c r="AF571" s="6"/>
      <c r="AG571" s="6">
        <f t="shared" si="94"/>
        <v>36702175</v>
      </c>
    </row>
    <row r="572" spans="1:33" ht="12" hidden="1" customHeight="1">
      <c r="A572" s="10" t="s">
        <v>698</v>
      </c>
      <c r="B572" s="10"/>
      <c r="C572" s="10" t="s">
        <v>33</v>
      </c>
      <c r="E572" s="6">
        <v>0</v>
      </c>
      <c r="G572" s="6">
        <v>0</v>
      </c>
      <c r="I572" s="6">
        <v>0</v>
      </c>
      <c r="K572" s="6">
        <f t="shared" si="95"/>
        <v>0</v>
      </c>
      <c r="M572" s="6">
        <v>0</v>
      </c>
      <c r="O572" s="6">
        <v>0</v>
      </c>
      <c r="Q572" s="6">
        <v>0</v>
      </c>
      <c r="S572" s="6">
        <v>0</v>
      </c>
      <c r="U572" s="6">
        <v>0</v>
      </c>
      <c r="W572" s="6">
        <v>0</v>
      </c>
      <c r="Y572" s="6">
        <v>0</v>
      </c>
      <c r="Z572" s="44"/>
      <c r="AA572" s="6">
        <v>0</v>
      </c>
      <c r="AC572" s="6">
        <v>0</v>
      </c>
      <c r="AE572" s="6">
        <f t="shared" si="93"/>
        <v>0</v>
      </c>
      <c r="AF572" s="6"/>
      <c r="AG572" s="6">
        <f t="shared" si="94"/>
        <v>0</v>
      </c>
    </row>
    <row r="573" spans="1:33" ht="12" customHeight="1">
      <c r="A573" s="10" t="s">
        <v>291</v>
      </c>
      <c r="B573" s="10"/>
      <c r="C573" s="10" t="s">
        <v>24</v>
      </c>
      <c r="E573" s="6">
        <v>1392698</v>
      </c>
      <c r="G573" s="6">
        <v>1627711</v>
      </c>
      <c r="I573" s="6">
        <v>0</v>
      </c>
      <c r="K573" s="6">
        <f t="shared" si="95"/>
        <v>3020409</v>
      </c>
      <c r="M573" s="6">
        <f>14299249+191861</f>
        <v>14491110</v>
      </c>
      <c r="O573" s="6">
        <v>0</v>
      </c>
      <c r="Q573" s="6">
        <v>7033994</v>
      </c>
      <c r="S573" s="6">
        <v>100180</v>
      </c>
      <c r="U573" s="6">
        <v>0</v>
      </c>
      <c r="W573" s="6">
        <v>0</v>
      </c>
      <c r="Y573" s="6">
        <v>311824</v>
      </c>
      <c r="Z573" s="44"/>
      <c r="AA573" s="6">
        <v>0</v>
      </c>
      <c r="AC573" s="6">
        <v>0</v>
      </c>
      <c r="AE573" s="6">
        <f t="shared" si="93"/>
        <v>21937108</v>
      </c>
      <c r="AF573" s="6"/>
      <c r="AG573" s="6">
        <f t="shared" si="94"/>
        <v>24957517</v>
      </c>
    </row>
    <row r="574" spans="1:33" ht="12" hidden="1" customHeight="1">
      <c r="A574" s="10" t="s">
        <v>699</v>
      </c>
      <c r="B574" s="10"/>
      <c r="C574" s="10" t="s">
        <v>21</v>
      </c>
      <c r="E574" s="6">
        <v>0</v>
      </c>
      <c r="G574" s="6">
        <v>0</v>
      </c>
      <c r="I574" s="6">
        <v>0</v>
      </c>
      <c r="M574" s="6">
        <v>0</v>
      </c>
      <c r="O574" s="6">
        <v>0</v>
      </c>
      <c r="Q574" s="6">
        <v>0</v>
      </c>
      <c r="S574" s="6">
        <v>0</v>
      </c>
      <c r="U574" s="6">
        <v>0</v>
      </c>
      <c r="W574" s="6">
        <v>0</v>
      </c>
      <c r="Y574" s="6">
        <v>0</v>
      </c>
      <c r="Z574" s="44"/>
      <c r="AA574" s="6">
        <v>0</v>
      </c>
      <c r="AC574" s="6">
        <v>0</v>
      </c>
      <c r="AE574" s="6">
        <f t="shared" si="93"/>
        <v>0</v>
      </c>
      <c r="AF574" s="6"/>
    </row>
    <row r="575" spans="1:33" ht="12" customHeight="1">
      <c r="A575" s="10" t="s">
        <v>542</v>
      </c>
      <c r="B575" s="10"/>
      <c r="C575" s="10" t="s">
        <v>68</v>
      </c>
      <c r="E575" s="6">
        <v>1135590</v>
      </c>
      <c r="G575" s="6">
        <v>5553746</v>
      </c>
      <c r="I575" s="6">
        <v>0</v>
      </c>
      <c r="K575" s="6">
        <f t="shared" si="95"/>
        <v>6689336</v>
      </c>
      <c r="M575" s="6">
        <f>4377103+77713+856402</f>
        <v>5311218</v>
      </c>
      <c r="O575" s="6">
        <v>0</v>
      </c>
      <c r="Q575" s="6">
        <v>15257708</v>
      </c>
      <c r="S575" s="6">
        <v>46164</v>
      </c>
      <c r="U575" s="6">
        <v>616224</v>
      </c>
      <c r="W575" s="6">
        <v>2500</v>
      </c>
      <c r="Y575" s="6">
        <f>7630+159595</f>
        <v>167225</v>
      </c>
      <c r="Z575" s="44"/>
      <c r="AA575" s="6">
        <v>0</v>
      </c>
      <c r="AC575" s="6">
        <v>0</v>
      </c>
      <c r="AE575" s="6">
        <f t="shared" si="93"/>
        <v>21401039</v>
      </c>
      <c r="AF575" s="6"/>
      <c r="AG575" s="6">
        <f t="shared" si="94"/>
        <v>28090375</v>
      </c>
    </row>
    <row r="576" spans="1:33" ht="12" customHeight="1">
      <c r="A576" s="10" t="s">
        <v>419</v>
      </c>
      <c r="B576" s="10"/>
      <c r="C576" s="10" t="s">
        <v>47</v>
      </c>
      <c r="E576" s="6">
        <v>2865187</v>
      </c>
      <c r="G576" s="6">
        <v>3423483</v>
      </c>
      <c r="I576" s="6">
        <v>1093228</v>
      </c>
      <c r="K576" s="6">
        <f t="shared" si="95"/>
        <v>7381898</v>
      </c>
      <c r="M576" s="6">
        <f>17347980+5373638</f>
        <v>22721618</v>
      </c>
      <c r="O576" s="6">
        <v>0</v>
      </c>
      <c r="Q576" s="6">
        <f>17976263+1912739+387949</f>
        <v>20276951</v>
      </c>
      <c r="S576" s="6">
        <v>100019</v>
      </c>
      <c r="U576" s="6">
        <v>156176</v>
      </c>
      <c r="W576" s="6">
        <v>0</v>
      </c>
      <c r="Y576" s="6">
        <v>132911</v>
      </c>
      <c r="Z576" s="44"/>
      <c r="AA576" s="6">
        <v>0</v>
      </c>
      <c r="AC576" s="6">
        <v>-7967594</v>
      </c>
      <c r="AE576" s="6">
        <f t="shared" ref="AE576:AE595" si="96">SUM(M576:AC576)</f>
        <v>35420081</v>
      </c>
      <c r="AF576" s="6"/>
      <c r="AG576" s="6">
        <f t="shared" ref="AG576:AG595" si="97">+AE576+K576</f>
        <v>42801979</v>
      </c>
    </row>
    <row r="577" spans="1:33" ht="12" hidden="1" customHeight="1">
      <c r="A577" s="11" t="s">
        <v>875</v>
      </c>
      <c r="B577" s="11"/>
      <c r="C577" s="11" t="s">
        <v>25</v>
      </c>
      <c r="E577" s="6">
        <v>0</v>
      </c>
      <c r="G577" s="6">
        <v>0</v>
      </c>
      <c r="I577" s="6">
        <v>0</v>
      </c>
      <c r="K577" s="6">
        <f t="shared" ref="K577:K579" si="98">SUM(E577:J577)</f>
        <v>0</v>
      </c>
      <c r="M577" s="6">
        <v>0</v>
      </c>
      <c r="O577" s="6">
        <v>0</v>
      </c>
      <c r="Q577" s="6">
        <v>0</v>
      </c>
      <c r="S577" s="6">
        <v>0</v>
      </c>
      <c r="U577" s="6">
        <v>0</v>
      </c>
      <c r="W577" s="6">
        <v>0</v>
      </c>
      <c r="Y577" s="6">
        <v>0</v>
      </c>
      <c r="Z577" s="44"/>
      <c r="AA577" s="6">
        <v>0</v>
      </c>
      <c r="AC577" s="6">
        <v>0</v>
      </c>
      <c r="AE577" s="6">
        <f t="shared" ref="AE577:AE579" si="99">SUM(M577:AC577)</f>
        <v>0</v>
      </c>
      <c r="AF577" s="6"/>
      <c r="AG577" s="6">
        <f t="shared" ref="AG577:AG579" si="100">+AE577+K577</f>
        <v>0</v>
      </c>
    </row>
    <row r="578" spans="1:33" ht="12" hidden="1" customHeight="1">
      <c r="A578" s="11" t="s">
        <v>876</v>
      </c>
      <c r="B578" s="11"/>
      <c r="C578" s="11" t="s">
        <v>14</v>
      </c>
      <c r="E578" s="6">
        <v>0</v>
      </c>
      <c r="G578" s="6">
        <v>0</v>
      </c>
      <c r="I578" s="6">
        <v>0</v>
      </c>
      <c r="K578" s="6">
        <f t="shared" si="98"/>
        <v>0</v>
      </c>
      <c r="M578" s="6">
        <v>0</v>
      </c>
      <c r="O578" s="6">
        <v>0</v>
      </c>
      <c r="Q578" s="6">
        <v>0</v>
      </c>
      <c r="S578" s="6">
        <v>0</v>
      </c>
      <c r="U578" s="6">
        <v>0</v>
      </c>
      <c r="W578" s="6">
        <v>0</v>
      </c>
      <c r="Y578" s="6">
        <v>0</v>
      </c>
      <c r="Z578" s="44"/>
      <c r="AA578" s="6">
        <v>0</v>
      </c>
      <c r="AC578" s="6">
        <v>0</v>
      </c>
      <c r="AE578" s="6">
        <f t="shared" si="99"/>
        <v>0</v>
      </c>
      <c r="AF578" s="6"/>
      <c r="AG578" s="6">
        <f t="shared" si="100"/>
        <v>0</v>
      </c>
    </row>
    <row r="579" spans="1:33" ht="12" hidden="1" customHeight="1">
      <c r="A579" s="10" t="s">
        <v>877</v>
      </c>
      <c r="B579" s="10"/>
      <c r="C579" s="10" t="s">
        <v>63</v>
      </c>
      <c r="G579" s="6">
        <v>0</v>
      </c>
      <c r="I579" s="6">
        <v>0</v>
      </c>
      <c r="K579" s="6">
        <f t="shared" si="98"/>
        <v>0</v>
      </c>
      <c r="M579" s="6">
        <v>0</v>
      </c>
      <c r="O579" s="6">
        <v>0</v>
      </c>
      <c r="Q579" s="6">
        <v>0</v>
      </c>
      <c r="S579" s="6">
        <v>0</v>
      </c>
      <c r="U579" s="6">
        <v>0</v>
      </c>
      <c r="W579" s="6">
        <v>0</v>
      </c>
      <c r="Y579" s="6">
        <v>0</v>
      </c>
      <c r="Z579" s="44"/>
      <c r="AA579" s="6">
        <v>0</v>
      </c>
      <c r="AC579" s="6">
        <v>0</v>
      </c>
      <c r="AE579" s="6">
        <f t="shared" si="99"/>
        <v>0</v>
      </c>
      <c r="AF579" s="6"/>
      <c r="AG579" s="6">
        <f t="shared" si="100"/>
        <v>0</v>
      </c>
    </row>
    <row r="580" spans="1:33" ht="12" customHeight="1">
      <c r="A580" s="10" t="s">
        <v>531</v>
      </c>
      <c r="B580" s="10"/>
      <c r="C580" s="10" t="s">
        <v>64</v>
      </c>
      <c r="E580" s="6">
        <v>2473741</v>
      </c>
      <c r="G580" s="6">
        <v>16151260</v>
      </c>
      <c r="I580" s="6">
        <v>0</v>
      </c>
      <c r="K580" s="6">
        <f t="shared" si="95"/>
        <v>18625001</v>
      </c>
      <c r="M580" s="6">
        <f>11963264+131951+1842443+131622</f>
        <v>14069280</v>
      </c>
      <c r="O580" s="6">
        <v>0</v>
      </c>
      <c r="Q580" s="6">
        <v>42114408</v>
      </c>
      <c r="S580" s="6">
        <v>604644</v>
      </c>
      <c r="U580" s="6">
        <v>0</v>
      </c>
      <c r="W580" s="6">
        <v>0</v>
      </c>
      <c r="Y580" s="6">
        <v>294820</v>
      </c>
      <c r="Z580" s="44"/>
      <c r="AA580" s="6">
        <v>0</v>
      </c>
      <c r="AC580" s="6">
        <v>0</v>
      </c>
      <c r="AE580" s="6">
        <f t="shared" si="96"/>
        <v>57083152</v>
      </c>
      <c r="AF580" s="6"/>
      <c r="AG580" s="6">
        <f t="shared" si="97"/>
        <v>75708153</v>
      </c>
    </row>
    <row r="581" spans="1:33" ht="12" customHeight="1">
      <c r="A581" s="10" t="s">
        <v>549</v>
      </c>
      <c r="B581" s="10"/>
      <c r="C581" s="10" t="s">
        <v>70</v>
      </c>
      <c r="E581" s="6">
        <v>1476595</v>
      </c>
      <c r="G581" s="6">
        <v>2511718</v>
      </c>
      <c r="I581" s="6">
        <v>37722</v>
      </c>
      <c r="K581" s="6">
        <f t="shared" si="95"/>
        <v>4026035</v>
      </c>
      <c r="M581" s="6">
        <v>5850830</v>
      </c>
      <c r="O581" s="6">
        <v>0</v>
      </c>
      <c r="Q581" s="6">
        <v>11913422</v>
      </c>
      <c r="S581" s="6">
        <v>61612</v>
      </c>
      <c r="U581" s="6">
        <v>0</v>
      </c>
      <c r="W581" s="6">
        <v>0</v>
      </c>
      <c r="Y581" s="6">
        <v>65172</v>
      </c>
      <c r="Z581" s="44"/>
      <c r="AA581" s="6">
        <v>0</v>
      </c>
      <c r="AC581" s="6">
        <v>0</v>
      </c>
      <c r="AE581" s="6">
        <f t="shared" si="96"/>
        <v>17891036</v>
      </c>
      <c r="AF581" s="6"/>
      <c r="AG581" s="6">
        <f t="shared" si="97"/>
        <v>21917071</v>
      </c>
    </row>
    <row r="582" spans="1:33" ht="12" customHeight="1">
      <c r="A582" s="10" t="s">
        <v>280</v>
      </c>
      <c r="B582" s="10"/>
      <c r="C582" s="10" t="s">
        <v>20</v>
      </c>
      <c r="E582" s="6">
        <v>517214</v>
      </c>
      <c r="G582" s="6">
        <v>3305112</v>
      </c>
      <c r="I582" s="6">
        <v>0</v>
      </c>
      <c r="K582" s="6">
        <f t="shared" si="95"/>
        <v>3822326</v>
      </c>
      <c r="M582" s="6">
        <f>17123573+1830507+509319+116588</f>
        <v>19579987</v>
      </c>
      <c r="O582" s="6">
        <v>0</v>
      </c>
      <c r="Q582" s="6">
        <v>14565145</v>
      </c>
      <c r="S582" s="6">
        <v>29701</v>
      </c>
      <c r="U582" s="6">
        <v>0</v>
      </c>
      <c r="W582" s="6">
        <v>0</v>
      </c>
      <c r="Y582" s="6">
        <v>339614</v>
      </c>
      <c r="Z582" s="44"/>
      <c r="AA582" s="6">
        <v>0</v>
      </c>
      <c r="AC582" s="6">
        <v>0</v>
      </c>
      <c r="AE582" s="6">
        <f t="shared" si="96"/>
        <v>34514447</v>
      </c>
      <c r="AF582" s="6"/>
      <c r="AG582" s="6">
        <f t="shared" si="97"/>
        <v>38336773</v>
      </c>
    </row>
    <row r="583" spans="1:33" ht="12" customHeight="1">
      <c r="A583" s="10" t="s">
        <v>298</v>
      </c>
      <c r="B583" s="10"/>
      <c r="C583" s="10" t="s">
        <v>26</v>
      </c>
      <c r="E583" s="6">
        <v>1673611</v>
      </c>
      <c r="G583" s="6">
        <v>4223486</v>
      </c>
      <c r="I583" s="6">
        <v>0</v>
      </c>
      <c r="K583" s="6">
        <f t="shared" si="95"/>
        <v>5897097</v>
      </c>
      <c r="M583" s="6">
        <f>3994158+83787+1166775+370405</f>
        <v>5615125</v>
      </c>
      <c r="O583" s="6">
        <v>0</v>
      </c>
      <c r="Q583" s="6">
        <v>11356363</v>
      </c>
      <c r="S583" s="6">
        <v>10567</v>
      </c>
      <c r="U583" s="6">
        <v>19426</v>
      </c>
      <c r="W583" s="6">
        <v>14943</v>
      </c>
      <c r="Y583" s="6">
        <v>97565</v>
      </c>
      <c r="Z583" s="44"/>
      <c r="AA583" s="6">
        <v>0</v>
      </c>
      <c r="AC583" s="6">
        <v>0</v>
      </c>
      <c r="AE583" s="6">
        <f t="shared" si="96"/>
        <v>17113989</v>
      </c>
      <c r="AF583" s="6"/>
      <c r="AG583" s="6">
        <f t="shared" si="97"/>
        <v>23011086</v>
      </c>
    </row>
    <row r="584" spans="1:33" ht="12" customHeight="1">
      <c r="A584" s="10" t="s">
        <v>396</v>
      </c>
      <c r="B584" s="10"/>
      <c r="C584" s="10" t="s">
        <v>115</v>
      </c>
      <c r="E584" s="6">
        <v>2613700</v>
      </c>
      <c r="G584" s="6">
        <v>9135004</v>
      </c>
      <c r="I584" s="6">
        <v>0</v>
      </c>
      <c r="K584" s="6">
        <f t="shared" si="95"/>
        <v>11748704</v>
      </c>
      <c r="M584" s="6">
        <f>33421923+554387+1261100</f>
        <v>35237410</v>
      </c>
      <c r="O584" s="6">
        <v>0</v>
      </c>
      <c r="Q584" s="6">
        <v>29524735</v>
      </c>
      <c r="S584" s="6">
        <v>82812</v>
      </c>
      <c r="U584" s="6">
        <v>3727980</v>
      </c>
      <c r="W584" s="6">
        <v>0</v>
      </c>
      <c r="Y584" s="6">
        <v>792484</v>
      </c>
      <c r="Z584" s="44"/>
      <c r="AA584" s="6">
        <v>0</v>
      </c>
      <c r="AC584" s="6">
        <v>0</v>
      </c>
      <c r="AE584" s="6">
        <f t="shared" si="96"/>
        <v>69365421</v>
      </c>
      <c r="AF584" s="6"/>
      <c r="AG584" s="6">
        <f t="shared" si="97"/>
        <v>81114125</v>
      </c>
    </row>
    <row r="585" spans="1:33" ht="12" customHeight="1">
      <c r="A585" s="10" t="s">
        <v>485</v>
      </c>
      <c r="B585" s="10"/>
      <c r="C585" s="10" t="s">
        <v>59</v>
      </c>
      <c r="E585" s="6">
        <v>1695077</v>
      </c>
      <c r="G585" s="6">
        <v>2832882</v>
      </c>
      <c r="I585" s="6">
        <v>0</v>
      </c>
      <c r="K585" s="6">
        <f t="shared" si="95"/>
        <v>4527959</v>
      </c>
      <c r="M585" s="6">
        <f>1399602+24309+171140</f>
        <v>1595051</v>
      </c>
      <c r="O585" s="6">
        <v>0</v>
      </c>
      <c r="Q585" s="6">
        <v>9752155</v>
      </c>
      <c r="S585" s="6">
        <v>21120</v>
      </c>
      <c r="U585" s="6">
        <v>0</v>
      </c>
      <c r="W585" s="6">
        <v>0</v>
      </c>
      <c r="Y585" s="6">
        <v>162155</v>
      </c>
      <c r="Z585" s="44"/>
      <c r="AA585" s="6">
        <v>0</v>
      </c>
      <c r="AC585" s="6">
        <v>0</v>
      </c>
      <c r="AE585" s="6">
        <f t="shared" si="96"/>
        <v>11530481</v>
      </c>
      <c r="AF585" s="6"/>
      <c r="AG585" s="6">
        <f t="shared" si="97"/>
        <v>16058440</v>
      </c>
    </row>
    <row r="586" spans="1:33" ht="12" customHeight="1">
      <c r="A586" s="10" t="s">
        <v>465</v>
      </c>
      <c r="B586" s="10"/>
      <c r="C586" s="10" t="s">
        <v>56</v>
      </c>
      <c r="E586" s="6">
        <v>714423</v>
      </c>
      <c r="G586" s="6">
        <v>1661930</v>
      </c>
      <c r="I586" s="6">
        <v>3513</v>
      </c>
      <c r="K586" s="6">
        <f t="shared" si="95"/>
        <v>2379866</v>
      </c>
      <c r="M586" s="6">
        <f>2864608+55859+846987</f>
        <v>3767454</v>
      </c>
      <c r="O586" s="6">
        <v>0</v>
      </c>
      <c r="Q586" s="6">
        <v>5961518</v>
      </c>
      <c r="S586" s="6">
        <v>3223</v>
      </c>
      <c r="U586" s="6">
        <v>0</v>
      </c>
      <c r="W586" s="6">
        <v>0</v>
      </c>
      <c r="Y586" s="6">
        <v>41043</v>
      </c>
      <c r="Z586" s="44"/>
      <c r="AA586" s="6">
        <v>0</v>
      </c>
      <c r="AC586" s="6">
        <v>0</v>
      </c>
      <c r="AE586" s="6">
        <f t="shared" si="96"/>
        <v>9773238</v>
      </c>
      <c r="AF586" s="6"/>
      <c r="AG586" s="6">
        <f t="shared" si="97"/>
        <v>12153104</v>
      </c>
    </row>
    <row r="587" spans="1:33" ht="12" customHeight="1">
      <c r="A587" s="10" t="s">
        <v>780</v>
      </c>
      <c r="B587" s="10"/>
      <c r="C587" s="10" t="s">
        <v>28</v>
      </c>
      <c r="E587" s="6">
        <v>1354446</v>
      </c>
      <c r="G587" s="6">
        <v>1866421</v>
      </c>
      <c r="I587" s="6">
        <v>0</v>
      </c>
      <c r="K587" s="6">
        <f t="shared" si="95"/>
        <v>3220867</v>
      </c>
      <c r="M587" s="6">
        <f>4670236+1876951+81030+154398</f>
        <v>6782615</v>
      </c>
      <c r="O587" s="6">
        <v>0</v>
      </c>
      <c r="Q587" s="6">
        <v>8707340</v>
      </c>
      <c r="S587" s="6">
        <v>24437</v>
      </c>
      <c r="U587" s="6">
        <v>0</v>
      </c>
      <c r="W587" s="6">
        <v>0</v>
      </c>
      <c r="Y587" s="6">
        <v>114218</v>
      </c>
      <c r="Z587" s="44"/>
      <c r="AA587" s="6">
        <v>0</v>
      </c>
      <c r="AC587" s="6">
        <v>-224313</v>
      </c>
      <c r="AE587" s="6">
        <f t="shared" si="96"/>
        <v>15404297</v>
      </c>
      <c r="AF587" s="6"/>
      <c r="AG587" s="6">
        <f t="shared" si="97"/>
        <v>18625164</v>
      </c>
    </row>
    <row r="588" spans="1:33" ht="12" customHeight="1">
      <c r="A588" s="10" t="s">
        <v>457</v>
      </c>
      <c r="B588" s="10"/>
      <c r="C588" s="10" t="s">
        <v>55</v>
      </c>
      <c r="E588" s="6">
        <v>1175923</v>
      </c>
      <c r="G588" s="6">
        <v>3651518</v>
      </c>
      <c r="I588" s="6">
        <v>51597</v>
      </c>
      <c r="K588" s="6">
        <f t="shared" si="95"/>
        <v>4879038</v>
      </c>
      <c r="M588" s="6">
        <f>3243416+581738+60181</f>
        <v>3885335</v>
      </c>
      <c r="O588" s="6">
        <v>0</v>
      </c>
      <c r="Q588" s="6">
        <v>10722690</v>
      </c>
      <c r="S588" s="6">
        <v>13845</v>
      </c>
      <c r="U588" s="6">
        <v>0</v>
      </c>
      <c r="W588" s="6">
        <v>0</v>
      </c>
      <c r="Y588" s="6">
        <v>78699</v>
      </c>
      <c r="Z588" s="44"/>
      <c r="AA588" s="6">
        <v>0</v>
      </c>
      <c r="AC588" s="6">
        <v>375000</v>
      </c>
      <c r="AE588" s="6">
        <f t="shared" si="96"/>
        <v>15075569</v>
      </c>
      <c r="AF588" s="6"/>
      <c r="AG588" s="6">
        <f t="shared" si="97"/>
        <v>19954607</v>
      </c>
    </row>
    <row r="589" spans="1:33" ht="12" hidden="1" customHeight="1">
      <c r="A589" s="10" t="s">
        <v>708</v>
      </c>
      <c r="B589" s="10"/>
      <c r="C589" s="10" t="s">
        <v>69</v>
      </c>
      <c r="E589" s="6">
        <v>0</v>
      </c>
      <c r="G589" s="6">
        <v>0</v>
      </c>
      <c r="I589" s="6">
        <v>0</v>
      </c>
      <c r="K589" s="6">
        <f t="shared" si="95"/>
        <v>0</v>
      </c>
      <c r="M589" s="6">
        <v>0</v>
      </c>
      <c r="O589" s="6">
        <v>0</v>
      </c>
      <c r="Q589" s="6">
        <v>0</v>
      </c>
      <c r="S589" s="6">
        <v>0</v>
      </c>
      <c r="U589" s="6">
        <v>0</v>
      </c>
      <c r="W589" s="6">
        <v>0</v>
      </c>
      <c r="Y589" s="6">
        <v>0</v>
      </c>
      <c r="Z589" s="44"/>
      <c r="AA589" s="6">
        <v>0</v>
      </c>
      <c r="AC589" s="6">
        <v>0</v>
      </c>
      <c r="AE589" s="6">
        <f t="shared" si="96"/>
        <v>0</v>
      </c>
      <c r="AF589" s="6"/>
      <c r="AG589" s="6">
        <f t="shared" si="97"/>
        <v>0</v>
      </c>
    </row>
    <row r="590" spans="1:33" ht="12" hidden="1" customHeight="1">
      <c r="A590" s="10" t="s">
        <v>803</v>
      </c>
      <c r="B590" s="10"/>
      <c r="C590" s="10" t="s">
        <v>450</v>
      </c>
      <c r="E590" s="6">
        <v>0</v>
      </c>
      <c r="G590" s="6">
        <v>0</v>
      </c>
      <c r="I590" s="6">
        <v>0</v>
      </c>
      <c r="K590" s="6">
        <f t="shared" si="95"/>
        <v>0</v>
      </c>
      <c r="M590" s="6">
        <v>0</v>
      </c>
      <c r="O590" s="6">
        <v>0</v>
      </c>
      <c r="Q590" s="6">
        <v>0</v>
      </c>
      <c r="S590" s="6">
        <v>0</v>
      </c>
      <c r="U590" s="6">
        <v>0</v>
      </c>
      <c r="W590" s="6">
        <v>0</v>
      </c>
      <c r="Y590" s="6">
        <v>0</v>
      </c>
      <c r="Z590" s="44"/>
      <c r="AA590" s="6">
        <v>0</v>
      </c>
      <c r="AC590" s="6">
        <v>0</v>
      </c>
      <c r="AE590" s="6">
        <f t="shared" si="96"/>
        <v>0</v>
      </c>
      <c r="AF590" s="6"/>
      <c r="AG590" s="6">
        <f t="shared" si="97"/>
        <v>0</v>
      </c>
    </row>
    <row r="591" spans="1:33" ht="12" hidden="1" customHeight="1">
      <c r="A591" s="10" t="s">
        <v>646</v>
      </c>
      <c r="B591" s="10"/>
      <c r="C591" s="10" t="s">
        <v>14</v>
      </c>
      <c r="E591" s="6">
        <v>0</v>
      </c>
      <c r="G591" s="6">
        <v>0</v>
      </c>
      <c r="I591" s="6">
        <v>0</v>
      </c>
      <c r="K591" s="6">
        <f t="shared" si="95"/>
        <v>0</v>
      </c>
      <c r="M591" s="6">
        <v>0</v>
      </c>
      <c r="O591" s="6">
        <v>0</v>
      </c>
      <c r="Q591" s="6">
        <v>0</v>
      </c>
      <c r="S591" s="6">
        <v>0</v>
      </c>
      <c r="U591" s="6">
        <v>0</v>
      </c>
      <c r="W591" s="6">
        <v>0</v>
      </c>
      <c r="Y591" s="6">
        <v>0</v>
      </c>
      <c r="Z591" s="44"/>
      <c r="AA591" s="6">
        <v>0</v>
      </c>
      <c r="AC591" s="6">
        <v>0</v>
      </c>
      <c r="AE591" s="6">
        <f t="shared" si="96"/>
        <v>0</v>
      </c>
      <c r="AF591" s="6"/>
      <c r="AG591" s="6">
        <f t="shared" si="97"/>
        <v>0</v>
      </c>
    </row>
    <row r="592" spans="1:33" ht="12" customHeight="1">
      <c r="A592" s="10" t="s">
        <v>532</v>
      </c>
      <c r="B592" s="10"/>
      <c r="C592" s="10" t="s">
        <v>64</v>
      </c>
      <c r="E592" s="6">
        <v>1843738</v>
      </c>
      <c r="G592" s="6">
        <v>1003690</v>
      </c>
      <c r="I592" s="6">
        <v>6544</v>
      </c>
      <c r="K592" s="6">
        <f t="shared" si="95"/>
        <v>2853972</v>
      </c>
      <c r="M592" s="6">
        <f>2294723+111188</f>
        <v>2405911</v>
      </c>
      <c r="O592" s="6">
        <v>0</v>
      </c>
      <c r="Q592" s="6">
        <v>4049254</v>
      </c>
      <c r="S592" s="6">
        <v>7066</v>
      </c>
      <c r="U592" s="6">
        <v>0</v>
      </c>
      <c r="W592" s="6">
        <v>0</v>
      </c>
      <c r="Y592" s="6">
        <v>36977</v>
      </c>
      <c r="Z592" s="44"/>
      <c r="AA592" s="6">
        <v>0</v>
      </c>
      <c r="AC592" s="6">
        <v>0</v>
      </c>
      <c r="AE592" s="6">
        <f t="shared" si="96"/>
        <v>6499208</v>
      </c>
      <c r="AF592" s="6"/>
      <c r="AG592" s="6">
        <f t="shared" si="97"/>
        <v>9353180</v>
      </c>
    </row>
    <row r="593" spans="1:35" ht="12" customHeight="1">
      <c r="A593" s="10" t="s">
        <v>781</v>
      </c>
      <c r="B593" s="10"/>
      <c r="C593" s="10" t="s">
        <v>44</v>
      </c>
      <c r="E593" s="6">
        <v>944888</v>
      </c>
      <c r="G593" s="6">
        <v>1255097</v>
      </c>
      <c r="I593" s="6">
        <v>34421</v>
      </c>
      <c r="K593" s="6">
        <f t="shared" si="95"/>
        <v>2234406</v>
      </c>
      <c r="M593" s="6">
        <v>4092162</v>
      </c>
      <c r="O593" s="6">
        <v>1756436</v>
      </c>
      <c r="Q593" s="6">
        <v>6278943</v>
      </c>
      <c r="S593" s="6">
        <v>6564</v>
      </c>
      <c r="U593" s="6">
        <v>5120</v>
      </c>
      <c r="W593" s="6">
        <v>0</v>
      </c>
      <c r="Y593" s="6">
        <v>35993</v>
      </c>
      <c r="Z593" s="44"/>
      <c r="AA593" s="6">
        <v>0</v>
      </c>
      <c r="AC593" s="6">
        <v>0</v>
      </c>
      <c r="AE593" s="6">
        <f t="shared" si="96"/>
        <v>12175218</v>
      </c>
      <c r="AF593" s="6"/>
      <c r="AG593" s="6">
        <f t="shared" si="97"/>
        <v>14409624</v>
      </c>
    </row>
    <row r="594" spans="1:35" ht="12" customHeight="1">
      <c r="A594" s="10" t="s">
        <v>361</v>
      </c>
      <c r="B594" s="10"/>
      <c r="C594" s="10" t="s">
        <v>38</v>
      </c>
      <c r="E594" s="6">
        <v>701649</v>
      </c>
      <c r="G594" s="6">
        <v>2849704</v>
      </c>
      <c r="I594" s="6">
        <v>6232</v>
      </c>
      <c r="K594" s="6">
        <f t="shared" si="95"/>
        <v>3557585</v>
      </c>
      <c r="M594" s="6">
        <f>1899032+186864+36134</f>
        <v>2122030</v>
      </c>
      <c r="O594" s="6">
        <v>0</v>
      </c>
      <c r="Q594" s="6">
        <v>10810001</v>
      </c>
      <c r="S594" s="6">
        <v>15025</v>
      </c>
      <c r="U594" s="6">
        <v>0</v>
      </c>
      <c r="W594" s="6">
        <v>0</v>
      </c>
      <c r="Y594" s="6">
        <f>1857284+113769</f>
        <v>1971053</v>
      </c>
      <c r="Z594" s="44"/>
      <c r="AA594" s="6">
        <v>0</v>
      </c>
      <c r="AC594" s="6">
        <v>0</v>
      </c>
      <c r="AE594" s="6">
        <f t="shared" si="96"/>
        <v>14918109</v>
      </c>
      <c r="AF594" s="6"/>
      <c r="AG594" s="6">
        <f t="shared" si="97"/>
        <v>18475694</v>
      </c>
    </row>
    <row r="595" spans="1:35" ht="12" customHeight="1">
      <c r="A595" s="10" t="s">
        <v>252</v>
      </c>
      <c r="B595" s="10"/>
      <c r="C595" s="10" t="s">
        <v>112</v>
      </c>
      <c r="E595" s="6">
        <v>789028</v>
      </c>
      <c r="G595" s="6">
        <v>1644505</v>
      </c>
      <c r="I595" s="6">
        <v>0</v>
      </c>
      <c r="K595" s="6">
        <f t="shared" si="95"/>
        <v>2433533</v>
      </c>
      <c r="M595" s="6">
        <f>757143+114701+95605+14652</f>
        <v>982101</v>
      </c>
      <c r="O595" s="6">
        <v>0</v>
      </c>
      <c r="Q595" s="6">
        <v>5719276</v>
      </c>
      <c r="S595" s="6">
        <v>29861</v>
      </c>
      <c r="U595" s="6">
        <v>0</v>
      </c>
      <c r="W595" s="6">
        <v>0</v>
      </c>
      <c r="Y595" s="6">
        <v>3575</v>
      </c>
      <c r="Z595" s="44"/>
      <c r="AA595" s="6">
        <v>0</v>
      </c>
      <c r="AC595" s="6">
        <v>0</v>
      </c>
      <c r="AE595" s="6">
        <f t="shared" si="96"/>
        <v>6734813</v>
      </c>
      <c r="AF595" s="6"/>
      <c r="AG595" s="6">
        <f t="shared" si="97"/>
        <v>9168346</v>
      </c>
    </row>
    <row r="596" spans="1:35">
      <c r="A596" s="10" t="s">
        <v>408</v>
      </c>
      <c r="B596" s="10"/>
      <c r="C596" s="10" t="s">
        <v>45</v>
      </c>
      <c r="E596" s="6">
        <v>2673305</v>
      </c>
      <c r="G596" s="6">
        <v>2536320</v>
      </c>
      <c r="I596" s="6">
        <v>2000</v>
      </c>
      <c r="K596" s="6">
        <f t="shared" ref="K596:K602" si="101">SUM(E596:J596)</f>
        <v>5211625</v>
      </c>
      <c r="M596" s="6">
        <f>4207687+80788+548204</f>
        <v>4836679</v>
      </c>
      <c r="O596" s="6">
        <v>0</v>
      </c>
      <c r="Q596" s="6">
        <v>10998156</v>
      </c>
      <c r="S596" s="6">
        <v>18025</v>
      </c>
      <c r="U596" s="6">
        <v>0</v>
      </c>
      <c r="W596" s="6">
        <v>0</v>
      </c>
      <c r="Y596" s="6">
        <v>406441</v>
      </c>
      <c r="Z596" s="44"/>
      <c r="AA596" s="6">
        <v>0</v>
      </c>
      <c r="AC596" s="6">
        <v>0</v>
      </c>
      <c r="AE596" s="6">
        <f t="shared" ref="AE596:AE602" si="102">SUM(M596:AC596)</f>
        <v>16259301</v>
      </c>
      <c r="AF596" s="6"/>
      <c r="AG596" s="6">
        <f t="shared" ref="AG596:AG602" si="103">+AE596+K596</f>
        <v>21470926</v>
      </c>
    </row>
    <row r="597" spans="1:35">
      <c r="A597" s="10" t="s">
        <v>707</v>
      </c>
      <c r="B597" s="10"/>
      <c r="C597" s="10" t="s">
        <v>50</v>
      </c>
      <c r="E597" s="6">
        <v>1100447</v>
      </c>
      <c r="G597" s="6">
        <v>4715658</v>
      </c>
      <c r="I597" s="6">
        <v>162000</v>
      </c>
      <c r="K597" s="6">
        <f t="shared" si="101"/>
        <v>5978105</v>
      </c>
      <c r="M597" s="6">
        <f>15957177+678903</f>
        <v>16636080</v>
      </c>
      <c r="O597" s="6">
        <v>0</v>
      </c>
      <c r="Q597" s="6">
        <v>18172395</v>
      </c>
      <c r="S597" s="6">
        <v>299141</v>
      </c>
      <c r="U597" s="6">
        <v>38007</v>
      </c>
      <c r="W597" s="6">
        <v>0</v>
      </c>
      <c r="Y597" s="6">
        <v>165535</v>
      </c>
      <c r="Z597" s="44"/>
      <c r="AA597" s="6">
        <v>0</v>
      </c>
      <c r="AC597" s="6">
        <v>0</v>
      </c>
      <c r="AE597" s="6">
        <f t="shared" si="102"/>
        <v>35311158</v>
      </c>
      <c r="AF597" s="6"/>
      <c r="AG597" s="6">
        <f t="shared" si="103"/>
        <v>41289263</v>
      </c>
    </row>
    <row r="598" spans="1:35" ht="12" customHeight="1">
      <c r="A598" s="10" t="s">
        <v>241</v>
      </c>
      <c r="B598" s="10"/>
      <c r="C598" s="10" t="s">
        <v>113</v>
      </c>
      <c r="E598" s="6">
        <v>2776065</v>
      </c>
      <c r="G598" s="6">
        <v>6901926</v>
      </c>
      <c r="I598" s="6">
        <v>0</v>
      </c>
      <c r="K598" s="6">
        <f t="shared" si="101"/>
        <v>9677991</v>
      </c>
      <c r="M598" s="6">
        <f>28405729+2055205+3878112</f>
        <v>34339046</v>
      </c>
      <c r="O598" s="6">
        <v>0</v>
      </c>
      <c r="Q598" s="6">
        <v>30602918</v>
      </c>
      <c r="S598" s="6">
        <v>231</v>
      </c>
      <c r="U598" s="6">
        <v>0</v>
      </c>
      <c r="W598" s="6">
        <v>0</v>
      </c>
      <c r="Y598" s="6">
        <v>878673</v>
      </c>
      <c r="Z598" s="44"/>
      <c r="AA598" s="6">
        <v>0</v>
      </c>
      <c r="AC598" s="6">
        <v>0</v>
      </c>
      <c r="AE598" s="6">
        <f t="shared" si="102"/>
        <v>65820868</v>
      </c>
      <c r="AF598" s="6"/>
      <c r="AG598" s="6">
        <f t="shared" si="103"/>
        <v>75498859</v>
      </c>
    </row>
    <row r="599" spans="1:35" s="6" customFormat="1" ht="12" customHeight="1">
      <c r="A599" s="11" t="s">
        <v>316</v>
      </c>
      <c r="B599" s="11"/>
      <c r="C599" s="11" t="s">
        <v>30</v>
      </c>
      <c r="D599" s="8"/>
      <c r="E599" s="6">
        <v>2509579</v>
      </c>
      <c r="G599" s="6">
        <v>1623130</v>
      </c>
      <c r="I599" s="6">
        <v>0</v>
      </c>
      <c r="K599" s="6">
        <f t="shared" si="101"/>
        <v>4132709</v>
      </c>
      <c r="M599" s="6">
        <f>17773567+2126810+303437</f>
        <v>20203814</v>
      </c>
      <c r="O599" s="6">
        <v>0</v>
      </c>
      <c r="Q599" s="6">
        <v>6663911</v>
      </c>
      <c r="S599" s="6">
        <v>81413</v>
      </c>
      <c r="U599" s="6">
        <v>0</v>
      </c>
      <c r="W599" s="6">
        <v>0</v>
      </c>
      <c r="Y599" s="6">
        <v>48893</v>
      </c>
      <c r="Z599" s="44"/>
      <c r="AA599" s="6">
        <v>0</v>
      </c>
      <c r="AC599" s="6">
        <v>0</v>
      </c>
      <c r="AE599" s="6">
        <f t="shared" si="102"/>
        <v>26998031</v>
      </c>
      <c r="AG599" s="6">
        <f t="shared" si="103"/>
        <v>31130740</v>
      </c>
      <c r="AH599" s="8"/>
    </row>
    <row r="600" spans="1:35" ht="12" customHeight="1">
      <c r="A600" s="10" t="s">
        <v>354</v>
      </c>
      <c r="B600" s="10"/>
      <c r="C600" s="10" t="s">
        <v>36</v>
      </c>
      <c r="E600" s="6">
        <v>1361341</v>
      </c>
      <c r="G600" s="6">
        <v>2535311</v>
      </c>
      <c r="I600" s="6">
        <v>0</v>
      </c>
      <c r="K600" s="6">
        <f t="shared" si="101"/>
        <v>3896652</v>
      </c>
      <c r="M600" s="6">
        <f>8460709+1006036+410393</f>
        <v>9877138</v>
      </c>
      <c r="O600" s="6">
        <v>0</v>
      </c>
      <c r="Q600" s="6">
        <v>11475677</v>
      </c>
      <c r="S600" s="6">
        <v>53385</v>
      </c>
      <c r="U600" s="6">
        <v>0</v>
      </c>
      <c r="W600" s="6">
        <v>0</v>
      </c>
      <c r="Y600" s="6">
        <v>41960</v>
      </c>
      <c r="Z600" s="44"/>
      <c r="AA600" s="6">
        <v>0</v>
      </c>
      <c r="AC600" s="6">
        <v>0</v>
      </c>
      <c r="AE600" s="6">
        <f t="shared" si="102"/>
        <v>21448160</v>
      </c>
      <c r="AF600" s="6"/>
      <c r="AG600" s="6">
        <f t="shared" si="103"/>
        <v>25344812</v>
      </c>
    </row>
    <row r="601" spans="1:35" ht="12" customHeight="1">
      <c r="A601" s="10" t="s">
        <v>230</v>
      </c>
      <c r="B601" s="10"/>
      <c r="C601" s="10" t="s">
        <v>228</v>
      </c>
      <c r="E601" s="6">
        <v>1893195</v>
      </c>
      <c r="G601" s="6">
        <v>1165202</v>
      </c>
      <c r="I601" s="6">
        <v>0</v>
      </c>
      <c r="K601" s="6">
        <f t="shared" si="101"/>
        <v>3058397</v>
      </c>
      <c r="M601" s="6">
        <f>1595092+99668</f>
        <v>1694760</v>
      </c>
      <c r="O601" s="6">
        <v>1816024</v>
      </c>
      <c r="Q601" s="6">
        <v>5419100</v>
      </c>
      <c r="S601" s="6">
        <v>5871</v>
      </c>
      <c r="U601" s="6">
        <v>0</v>
      </c>
      <c r="W601" s="6">
        <v>0</v>
      </c>
      <c r="Y601" s="6">
        <v>128758</v>
      </c>
      <c r="Z601" s="44"/>
      <c r="AA601" s="6">
        <v>0</v>
      </c>
      <c r="AC601" s="6">
        <v>0</v>
      </c>
      <c r="AE601" s="6">
        <f t="shared" si="102"/>
        <v>9064513</v>
      </c>
      <c r="AF601" s="6"/>
      <c r="AG601" s="6">
        <f t="shared" si="103"/>
        <v>12122910</v>
      </c>
    </row>
    <row r="602" spans="1:35" ht="12" customHeight="1">
      <c r="A602" s="10" t="s">
        <v>447</v>
      </c>
      <c r="B602" s="10"/>
      <c r="C602" s="10" t="s">
        <v>51</v>
      </c>
      <c r="E602" s="6">
        <v>1777420</v>
      </c>
      <c r="G602" s="6">
        <v>2309685</v>
      </c>
      <c r="I602" s="6">
        <v>115805</v>
      </c>
      <c r="K602" s="6">
        <f t="shared" si="101"/>
        <v>4202910</v>
      </c>
      <c r="M602" s="6">
        <f>7494299+1979194</f>
        <v>9473493</v>
      </c>
      <c r="O602" s="6">
        <v>0</v>
      </c>
      <c r="Q602" s="6">
        <v>6736335</v>
      </c>
      <c r="S602" s="6">
        <v>40618</v>
      </c>
      <c r="U602" s="6">
        <v>267787</v>
      </c>
      <c r="W602" s="6">
        <v>0</v>
      </c>
      <c r="Y602" s="6">
        <f>1500+43108</f>
        <v>44608</v>
      </c>
      <c r="Z602" s="44"/>
      <c r="AA602" s="6">
        <v>0</v>
      </c>
      <c r="AC602" s="6">
        <v>0</v>
      </c>
      <c r="AE602" s="6">
        <f t="shared" si="102"/>
        <v>16562841</v>
      </c>
      <c r="AF602" s="6"/>
      <c r="AG602" s="6">
        <f t="shared" si="103"/>
        <v>20765751</v>
      </c>
    </row>
    <row r="603" spans="1:35" s="6" customFormat="1" ht="12" customHeight="1">
      <c r="A603" s="11" t="s">
        <v>220</v>
      </c>
      <c r="B603" s="11"/>
      <c r="C603" s="11" t="s">
        <v>77</v>
      </c>
      <c r="E603" s="6">
        <v>1931548</v>
      </c>
      <c r="G603" s="6">
        <v>4785087</v>
      </c>
      <c r="I603" s="6">
        <v>0</v>
      </c>
      <c r="K603" s="6">
        <f t="shared" ref="K603:K630" si="104">SUM(E603:J603)</f>
        <v>6716635</v>
      </c>
      <c r="M603" s="6">
        <f>4342422+600867+84908</f>
        <v>5028197</v>
      </c>
      <c r="O603" s="6">
        <v>0</v>
      </c>
      <c r="Q603" s="6">
        <v>18627278</v>
      </c>
      <c r="S603" s="6">
        <v>10197</v>
      </c>
      <c r="U603" s="6">
        <v>104257</v>
      </c>
      <c r="W603" s="6">
        <v>0</v>
      </c>
      <c r="Y603" s="6">
        <v>76508</v>
      </c>
      <c r="Z603" s="44"/>
      <c r="AA603" s="6">
        <v>0</v>
      </c>
      <c r="AC603" s="6">
        <v>0</v>
      </c>
      <c r="AE603" s="6">
        <f t="shared" ref="AE603:AE630" si="105">SUM(M603:AC603)</f>
        <v>23846437</v>
      </c>
      <c r="AG603" s="6">
        <f t="shared" ref="AG603:AG630" si="106">+AE603+K603</f>
        <v>30563072</v>
      </c>
    </row>
    <row r="604" spans="1:35" ht="12" customHeight="1">
      <c r="A604" s="10" t="s">
        <v>458</v>
      </c>
      <c r="B604" s="10"/>
      <c r="C604" s="10" t="s">
        <v>55</v>
      </c>
      <c r="E604" s="6">
        <v>357121</v>
      </c>
      <c r="G604" s="6">
        <v>1672948</v>
      </c>
      <c r="I604" s="6">
        <v>0</v>
      </c>
      <c r="K604" s="6">
        <f t="shared" si="104"/>
        <v>2030069</v>
      </c>
      <c r="M604" s="6">
        <f>801861+86599+12254</f>
        <v>900714</v>
      </c>
      <c r="O604" s="6">
        <v>0</v>
      </c>
      <c r="Q604" s="6">
        <v>6414995</v>
      </c>
      <c r="S604" s="6">
        <v>17003</v>
      </c>
      <c r="U604" s="6">
        <v>0</v>
      </c>
      <c r="W604" s="6">
        <v>1455</v>
      </c>
      <c r="Y604" s="6">
        <v>6222</v>
      </c>
      <c r="Z604" s="44"/>
      <c r="AA604" s="6">
        <v>0</v>
      </c>
      <c r="AC604" s="6">
        <v>0</v>
      </c>
      <c r="AE604" s="6">
        <f t="shared" si="105"/>
        <v>7340389</v>
      </c>
      <c r="AF604" s="6"/>
      <c r="AG604" s="6">
        <f t="shared" si="106"/>
        <v>9370458</v>
      </c>
      <c r="AI604" s="6"/>
    </row>
    <row r="605" spans="1:35" ht="12" customHeight="1">
      <c r="A605" s="10" t="s">
        <v>359</v>
      </c>
      <c r="B605" s="10"/>
      <c r="C605" s="10" t="s">
        <v>37</v>
      </c>
      <c r="E605" s="6">
        <v>1218380</v>
      </c>
      <c r="G605" s="6">
        <v>1252815</v>
      </c>
      <c r="I605" s="6">
        <v>0</v>
      </c>
      <c r="K605" s="6">
        <f t="shared" si="104"/>
        <v>2471195</v>
      </c>
      <c r="M605" s="6">
        <f>2266759+45931+273056</f>
        <v>2585746</v>
      </c>
      <c r="O605" s="6">
        <v>1978519</v>
      </c>
      <c r="Q605" s="6">
        <v>5882972</v>
      </c>
      <c r="S605" s="6">
        <v>9168</v>
      </c>
      <c r="U605" s="6">
        <v>0</v>
      </c>
      <c r="W605" s="6">
        <v>0</v>
      </c>
      <c r="Y605" s="6">
        <v>50792</v>
      </c>
      <c r="Z605" s="44"/>
      <c r="AA605" s="6">
        <v>0</v>
      </c>
      <c r="AC605" s="6">
        <v>0</v>
      </c>
      <c r="AE605" s="6">
        <f t="shared" si="105"/>
        <v>10507197</v>
      </c>
      <c r="AF605" s="6"/>
      <c r="AG605" s="6">
        <f t="shared" si="106"/>
        <v>12978392</v>
      </c>
    </row>
    <row r="606" spans="1:35" ht="12" customHeight="1">
      <c r="A606" s="10" t="s">
        <v>359</v>
      </c>
      <c r="B606" s="10"/>
      <c r="C606" s="10" t="s">
        <v>45</v>
      </c>
      <c r="E606" s="6">
        <v>1133769</v>
      </c>
      <c r="G606" s="6">
        <v>636849</v>
      </c>
      <c r="I606" s="6">
        <v>0</v>
      </c>
      <c r="K606" s="6">
        <f t="shared" si="104"/>
        <v>1770618</v>
      </c>
      <c r="M606" s="6">
        <f>2575219+586446+149781+46027</f>
        <v>3357473</v>
      </c>
      <c r="O606" s="6">
        <v>0</v>
      </c>
      <c r="Q606" s="6">
        <v>3305329</v>
      </c>
      <c r="S606" s="6">
        <v>24214</v>
      </c>
      <c r="U606" s="6">
        <v>0</v>
      </c>
      <c r="W606" s="6">
        <v>0</v>
      </c>
      <c r="Y606" s="6">
        <v>102320</v>
      </c>
      <c r="Z606" s="44"/>
      <c r="AA606" s="6">
        <v>0</v>
      </c>
      <c r="AC606" s="6">
        <v>273818</v>
      </c>
      <c r="AE606" s="6">
        <f t="shared" si="105"/>
        <v>7063154</v>
      </c>
      <c r="AF606" s="6"/>
      <c r="AG606" s="6">
        <f t="shared" si="106"/>
        <v>8833772</v>
      </c>
    </row>
    <row r="607" spans="1:35" ht="12" customHeight="1">
      <c r="A607" s="10" t="s">
        <v>309</v>
      </c>
      <c r="B607" s="10"/>
      <c r="C607" s="10" t="s">
        <v>27</v>
      </c>
      <c r="E607" s="6">
        <v>6377287</v>
      </c>
      <c r="G607" s="6">
        <v>13775709</v>
      </c>
      <c r="I607" s="6">
        <v>3800</v>
      </c>
      <c r="K607" s="6">
        <f t="shared" si="104"/>
        <v>20156796</v>
      </c>
      <c r="M607" s="6">
        <f>93253033+8098833+8102942</f>
        <v>109454808</v>
      </c>
      <c r="O607" s="6">
        <v>0</v>
      </c>
      <c r="Q607" s="6">
        <v>45138161</v>
      </c>
      <c r="S607" s="6">
        <v>35235</v>
      </c>
      <c r="U607" s="6">
        <v>2385150</v>
      </c>
      <c r="W607" s="6">
        <v>0</v>
      </c>
      <c r="Y607" s="6">
        <f>933687+374973</f>
        <v>1308660</v>
      </c>
      <c r="Z607" s="44"/>
      <c r="AA607" s="6">
        <v>0</v>
      </c>
      <c r="AC607" s="6">
        <v>0</v>
      </c>
      <c r="AE607" s="6">
        <f t="shared" si="105"/>
        <v>158322014</v>
      </c>
      <c r="AF607" s="6"/>
      <c r="AG607" s="6">
        <f t="shared" si="106"/>
        <v>178478810</v>
      </c>
    </row>
    <row r="608" spans="1:35" ht="12" customHeight="1">
      <c r="A608" s="10" t="s">
        <v>455</v>
      </c>
      <c r="B608" s="10"/>
      <c r="C608" s="10" t="s">
        <v>54</v>
      </c>
      <c r="E608" s="6">
        <v>1066240</v>
      </c>
      <c r="G608" s="6">
        <v>1468198</v>
      </c>
      <c r="I608" s="6">
        <v>0</v>
      </c>
      <c r="K608" s="6">
        <f t="shared" si="104"/>
        <v>2534438</v>
      </c>
      <c r="M608" s="6">
        <f>4006805+92230+532087+558267</f>
        <v>5189389</v>
      </c>
      <c r="O608" s="6">
        <v>0</v>
      </c>
      <c r="Q608" s="6">
        <v>8291132</v>
      </c>
      <c r="S608" s="6">
        <v>44120</v>
      </c>
      <c r="U608" s="6">
        <v>507166</v>
      </c>
      <c r="W608" s="6">
        <v>1720</v>
      </c>
      <c r="Y608" s="6">
        <v>246071</v>
      </c>
      <c r="Z608" s="44"/>
      <c r="AA608" s="6">
        <v>0</v>
      </c>
      <c r="AC608" s="6">
        <v>0</v>
      </c>
      <c r="AE608" s="6">
        <f t="shared" si="105"/>
        <v>14279598</v>
      </c>
      <c r="AF608" s="6"/>
      <c r="AG608" s="6">
        <f t="shared" si="106"/>
        <v>16814036</v>
      </c>
    </row>
    <row r="609" spans="1:33" ht="12" customHeight="1">
      <c r="A609" s="10" t="s">
        <v>281</v>
      </c>
      <c r="B609" s="10"/>
      <c r="C609" s="10" t="s">
        <v>20</v>
      </c>
      <c r="E609" s="6">
        <v>2402131</v>
      </c>
      <c r="G609" s="6">
        <v>4382889</v>
      </c>
      <c r="I609" s="6">
        <v>0</v>
      </c>
      <c r="K609" s="6">
        <f t="shared" si="104"/>
        <v>6785020</v>
      </c>
      <c r="M609" s="6">
        <f>39089032+6890778</f>
        <v>45979810</v>
      </c>
      <c r="O609" s="6">
        <v>0</v>
      </c>
      <c r="Q609" s="6">
        <v>9901584</v>
      </c>
      <c r="S609" s="6">
        <v>392826</v>
      </c>
      <c r="U609" s="6">
        <v>0</v>
      </c>
      <c r="W609" s="6">
        <v>0</v>
      </c>
      <c r="Y609" s="6">
        <v>127830</v>
      </c>
      <c r="Z609" s="44"/>
      <c r="AA609" s="6">
        <v>0</v>
      </c>
      <c r="AC609" s="6">
        <v>0</v>
      </c>
      <c r="AE609" s="6">
        <f t="shared" si="105"/>
        <v>56402050</v>
      </c>
      <c r="AF609" s="6"/>
      <c r="AG609" s="6">
        <f t="shared" si="106"/>
        <v>63187070</v>
      </c>
    </row>
    <row r="610" spans="1:33" ht="12" customHeight="1">
      <c r="A610" s="10" t="s">
        <v>486</v>
      </c>
      <c r="B610" s="10"/>
      <c r="C610" s="10" t="s">
        <v>59</v>
      </c>
      <c r="E610" s="6">
        <v>2563870</v>
      </c>
      <c r="G610" s="6">
        <v>2015598</v>
      </c>
      <c r="I610" s="6">
        <v>26600</v>
      </c>
      <c r="K610" s="6">
        <f t="shared" si="104"/>
        <v>4606068</v>
      </c>
      <c r="M610" s="6">
        <f>2695093+570801+194590+55253</f>
        <v>3515737</v>
      </c>
      <c r="O610" s="6">
        <v>0</v>
      </c>
      <c r="Q610" s="6">
        <v>6479778</v>
      </c>
      <c r="S610" s="6">
        <v>42038</v>
      </c>
      <c r="U610" s="6">
        <v>0</v>
      </c>
      <c r="W610" s="6">
        <v>10561</v>
      </c>
      <c r="Y610" s="6">
        <v>33385</v>
      </c>
      <c r="Z610" s="44"/>
      <c r="AA610" s="6">
        <v>0</v>
      </c>
      <c r="AC610" s="6">
        <v>0</v>
      </c>
      <c r="AE610" s="6">
        <f t="shared" si="105"/>
        <v>10081499</v>
      </c>
      <c r="AF610" s="6"/>
      <c r="AG610" s="6">
        <f t="shared" si="106"/>
        <v>14687567</v>
      </c>
    </row>
    <row r="611" spans="1:33" ht="12" customHeight="1">
      <c r="A611" s="10" t="s">
        <v>310</v>
      </c>
      <c r="B611" s="10"/>
      <c r="C611" s="10" t="s">
        <v>27</v>
      </c>
      <c r="E611" s="6">
        <v>614479</v>
      </c>
      <c r="G611" s="6">
        <v>6055996</v>
      </c>
      <c r="I611" s="6">
        <v>0</v>
      </c>
      <c r="K611" s="6">
        <f t="shared" si="104"/>
        <v>6670475</v>
      </c>
      <c r="M611" s="6">
        <f>8881576+2055512+108235</f>
        <v>11045323</v>
      </c>
      <c r="O611" s="6">
        <v>0</v>
      </c>
      <c r="Q611" s="6">
        <v>18941719</v>
      </c>
      <c r="S611" s="6">
        <v>212273</v>
      </c>
      <c r="U611" s="6">
        <v>1023983</v>
      </c>
      <c r="W611" s="6">
        <v>0</v>
      </c>
      <c r="Y611" s="6">
        <v>396021</v>
      </c>
      <c r="Z611" s="44"/>
      <c r="AA611" s="6">
        <v>0</v>
      </c>
      <c r="AC611" s="6">
        <v>0</v>
      </c>
      <c r="AE611" s="6">
        <f t="shared" si="105"/>
        <v>31619319</v>
      </c>
      <c r="AF611" s="6"/>
      <c r="AG611" s="6">
        <f t="shared" si="106"/>
        <v>38289794</v>
      </c>
    </row>
    <row r="612" spans="1:33" ht="12" hidden="1" customHeight="1">
      <c r="A612" s="10" t="s">
        <v>622</v>
      </c>
      <c r="B612" s="10"/>
      <c r="C612" s="10" t="s">
        <v>41</v>
      </c>
      <c r="E612" s="6">
        <v>0</v>
      </c>
      <c r="G612" s="6">
        <v>0</v>
      </c>
      <c r="I612" s="6">
        <v>0</v>
      </c>
      <c r="K612" s="6">
        <f t="shared" si="104"/>
        <v>0</v>
      </c>
      <c r="M612" s="6">
        <v>0</v>
      </c>
      <c r="O612" s="6">
        <v>0</v>
      </c>
      <c r="Q612" s="6">
        <v>0</v>
      </c>
      <c r="S612" s="6">
        <v>0</v>
      </c>
      <c r="U612" s="6">
        <v>0</v>
      </c>
      <c r="W612" s="6">
        <v>0</v>
      </c>
      <c r="Y612" s="6">
        <v>0</v>
      </c>
      <c r="Z612" s="44"/>
      <c r="AA612" s="6">
        <v>0</v>
      </c>
      <c r="AC612" s="6">
        <v>0</v>
      </c>
      <c r="AE612" s="6">
        <f t="shared" si="105"/>
        <v>0</v>
      </c>
      <c r="AF612" s="6"/>
      <c r="AG612" s="6">
        <f t="shared" si="106"/>
        <v>0</v>
      </c>
    </row>
    <row r="613" spans="1:33" ht="12" customHeight="1">
      <c r="A613" s="10" t="s">
        <v>360</v>
      </c>
      <c r="B613" s="10"/>
      <c r="C613" s="10" t="s">
        <v>37</v>
      </c>
      <c r="E613" s="6">
        <v>816063</v>
      </c>
      <c r="G613" s="6">
        <v>3076443</v>
      </c>
      <c r="I613" s="6">
        <v>78006</v>
      </c>
      <c r="K613" s="6">
        <f t="shared" si="104"/>
        <v>3970512</v>
      </c>
      <c r="M613" s="6">
        <f>4117543+541874+133474</f>
        <v>4792891</v>
      </c>
      <c r="O613" s="6">
        <v>271515</v>
      </c>
      <c r="Q613" s="6">
        <f>9864133+29868330</f>
        <v>39732463</v>
      </c>
      <c r="S613" s="6">
        <v>7513</v>
      </c>
      <c r="U613" s="6">
        <v>0</v>
      </c>
      <c r="W613" s="6">
        <v>0</v>
      </c>
      <c r="Y613" s="6">
        <v>159612</v>
      </c>
      <c r="Z613" s="44"/>
      <c r="AA613" s="6">
        <v>0</v>
      </c>
      <c r="AC613" s="6">
        <v>0</v>
      </c>
      <c r="AE613" s="6">
        <f t="shared" si="105"/>
        <v>44963994</v>
      </c>
      <c r="AF613" s="6"/>
      <c r="AG613" s="6">
        <f t="shared" si="106"/>
        <v>48934506</v>
      </c>
    </row>
    <row r="614" spans="1:33" ht="12" hidden="1" customHeight="1">
      <c r="A614" s="11" t="s">
        <v>893</v>
      </c>
      <c r="B614" s="10"/>
      <c r="C614" s="10" t="s">
        <v>113</v>
      </c>
      <c r="E614" s="6">
        <v>0</v>
      </c>
      <c r="G614" s="6">
        <v>0</v>
      </c>
      <c r="I614" s="6">
        <v>0</v>
      </c>
      <c r="K614" s="6">
        <f t="shared" si="104"/>
        <v>0</v>
      </c>
      <c r="M614" s="6">
        <v>0</v>
      </c>
      <c r="O614" s="6">
        <v>0</v>
      </c>
      <c r="Q614" s="6">
        <v>0</v>
      </c>
      <c r="S614" s="6">
        <v>0</v>
      </c>
      <c r="U614" s="6">
        <v>0</v>
      </c>
      <c r="W614" s="6">
        <v>0</v>
      </c>
      <c r="Y614" s="6">
        <v>0</v>
      </c>
      <c r="Z614" s="44"/>
      <c r="AA614" s="6">
        <v>0</v>
      </c>
      <c r="AC614" s="6">
        <v>0</v>
      </c>
      <c r="AE614" s="6">
        <f t="shared" si="105"/>
        <v>0</v>
      </c>
      <c r="AF614" s="6"/>
      <c r="AG614" s="6">
        <f t="shared" si="106"/>
        <v>0</v>
      </c>
    </row>
    <row r="615" spans="1:33" ht="12" customHeight="1">
      <c r="A615" s="10" t="s">
        <v>365</v>
      </c>
      <c r="B615" s="10"/>
      <c r="C615" s="10" t="s">
        <v>41</v>
      </c>
      <c r="E615" s="6">
        <v>4318837</v>
      </c>
      <c r="G615" s="6">
        <v>6992802</v>
      </c>
      <c r="I615" s="6">
        <v>46161</v>
      </c>
      <c r="K615" s="6">
        <f t="shared" si="104"/>
        <v>11357800</v>
      </c>
      <c r="M615" s="6">
        <f>54583448+1660683+114051</f>
        <v>56358182</v>
      </c>
      <c r="O615" s="6">
        <v>0</v>
      </c>
      <c r="Q615" s="6">
        <v>25130787</v>
      </c>
      <c r="S615" s="6">
        <v>37484</v>
      </c>
      <c r="U615" s="6">
        <v>0</v>
      </c>
      <c r="W615" s="6">
        <v>0</v>
      </c>
      <c r="Y615" s="6">
        <v>451498</v>
      </c>
      <c r="Z615" s="44"/>
      <c r="AA615" s="6">
        <v>0</v>
      </c>
      <c r="AC615" s="6">
        <v>0</v>
      </c>
      <c r="AE615" s="6">
        <f t="shared" si="105"/>
        <v>81977951</v>
      </c>
      <c r="AF615" s="6"/>
      <c r="AG615" s="6">
        <f t="shared" si="106"/>
        <v>93335751</v>
      </c>
    </row>
    <row r="616" spans="1:33" ht="12" customHeight="1">
      <c r="A616" s="10" t="s">
        <v>245</v>
      </c>
      <c r="B616" s="10"/>
      <c r="C616" s="10" t="s">
        <v>18</v>
      </c>
      <c r="E616" s="6">
        <v>1472328</v>
      </c>
      <c r="G616" s="6">
        <v>3886609</v>
      </c>
      <c r="I616" s="6">
        <v>0</v>
      </c>
      <c r="K616" s="6">
        <f t="shared" si="104"/>
        <v>5358937</v>
      </c>
      <c r="M616" s="6">
        <f>9399038+170179+1180748+109481</f>
        <v>10859446</v>
      </c>
      <c r="O616" s="6">
        <v>3718477</v>
      </c>
      <c r="Q616" s="6">
        <v>9600112</v>
      </c>
      <c r="S616" s="6">
        <v>7711</v>
      </c>
      <c r="U616" s="6">
        <v>0</v>
      </c>
      <c r="W616" s="6">
        <v>0</v>
      </c>
      <c r="Y616" s="6">
        <v>21219</v>
      </c>
      <c r="Z616" s="44"/>
      <c r="AA616" s="6">
        <v>0</v>
      </c>
      <c r="AC616" s="6">
        <v>0</v>
      </c>
      <c r="AE616" s="6">
        <f t="shared" si="105"/>
        <v>24206965</v>
      </c>
      <c r="AF616" s="6"/>
      <c r="AG616" s="6">
        <f t="shared" si="106"/>
        <v>29565902</v>
      </c>
    </row>
    <row r="617" spans="1:33" ht="12" customHeight="1">
      <c r="A617" s="10" t="s">
        <v>782</v>
      </c>
      <c r="B617" s="10"/>
      <c r="C617" s="10" t="s">
        <v>56</v>
      </c>
      <c r="E617" s="6">
        <v>441943</v>
      </c>
      <c r="G617" s="6">
        <v>1822105</v>
      </c>
      <c r="I617" s="6">
        <v>0</v>
      </c>
      <c r="K617" s="6">
        <f t="shared" si="104"/>
        <v>2264048</v>
      </c>
      <c r="M617" s="6">
        <f>1352627+57623+17635</f>
        <v>1427885</v>
      </c>
      <c r="O617" s="6">
        <v>0</v>
      </c>
      <c r="Q617" s="6">
        <v>5397960</v>
      </c>
      <c r="S617" s="6">
        <v>10390</v>
      </c>
      <c r="U617" s="6">
        <v>6840</v>
      </c>
      <c r="W617" s="6">
        <v>0</v>
      </c>
      <c r="Y617" s="6">
        <v>52335</v>
      </c>
      <c r="Z617" s="44"/>
      <c r="AA617" s="6">
        <v>0</v>
      </c>
      <c r="AC617" s="6">
        <v>0</v>
      </c>
      <c r="AE617" s="6">
        <f t="shared" si="105"/>
        <v>6895410</v>
      </c>
      <c r="AF617" s="6"/>
      <c r="AG617" s="6">
        <f t="shared" si="106"/>
        <v>9159458</v>
      </c>
    </row>
    <row r="618" spans="1:33" ht="12" customHeight="1">
      <c r="A618" s="10" t="s">
        <v>332</v>
      </c>
      <c r="B618" s="10"/>
      <c r="C618" s="10" t="s">
        <v>32</v>
      </c>
      <c r="E618" s="6">
        <v>2326705</v>
      </c>
      <c r="G618" s="6">
        <v>6554077</v>
      </c>
      <c r="I618" s="6">
        <v>0</v>
      </c>
      <c r="K618" s="6">
        <f t="shared" si="104"/>
        <v>8880782</v>
      </c>
      <c r="M618" s="6">
        <f>24117875+781046</f>
        <v>24898921</v>
      </c>
      <c r="O618" s="6">
        <v>0</v>
      </c>
      <c r="Q618" s="6">
        <v>16474351</v>
      </c>
      <c r="S618" s="6">
        <v>12823</v>
      </c>
      <c r="U618" s="6">
        <v>491051</v>
      </c>
      <c r="W618" s="6">
        <v>0</v>
      </c>
      <c r="Y618" s="6">
        <v>727051</v>
      </c>
      <c r="Z618" s="44"/>
      <c r="AA618" s="6">
        <v>0</v>
      </c>
      <c r="AC618" s="6">
        <v>0</v>
      </c>
      <c r="AE618" s="6">
        <f t="shared" si="105"/>
        <v>42604197</v>
      </c>
      <c r="AF618" s="6"/>
      <c r="AG618" s="6">
        <f t="shared" si="106"/>
        <v>51484979</v>
      </c>
    </row>
    <row r="619" spans="1:33" ht="12" customHeight="1">
      <c r="A619" s="10" t="s">
        <v>550</v>
      </c>
      <c r="B619" s="10"/>
      <c r="C619" s="10" t="s">
        <v>70</v>
      </c>
      <c r="E619" s="6">
        <v>543431</v>
      </c>
      <c r="G619" s="6">
        <v>706562</v>
      </c>
      <c r="I619" s="6">
        <v>0</v>
      </c>
      <c r="K619" s="6">
        <f t="shared" si="104"/>
        <v>1249993</v>
      </c>
      <c r="M619" s="6">
        <f>4398873+433951</f>
        <v>4832824</v>
      </c>
      <c r="O619" s="6">
        <v>0</v>
      </c>
      <c r="Q619" s="6">
        <v>2049076</v>
      </c>
      <c r="S619" s="6">
        <v>54031</v>
      </c>
      <c r="U619" s="6">
        <v>0</v>
      </c>
      <c r="W619" s="6">
        <v>78165</v>
      </c>
      <c r="Y619" s="6">
        <f>53228+66</f>
        <v>53294</v>
      </c>
      <c r="Z619" s="44"/>
      <c r="AA619" s="6">
        <v>0</v>
      </c>
      <c r="AC619" s="6">
        <v>0</v>
      </c>
      <c r="AE619" s="6">
        <f t="shared" si="105"/>
        <v>7067390</v>
      </c>
      <c r="AF619" s="6"/>
      <c r="AG619" s="6">
        <f t="shared" si="106"/>
        <v>8317383</v>
      </c>
    </row>
    <row r="620" spans="1:33" ht="12" customHeight="1">
      <c r="A620" s="10" t="s">
        <v>478</v>
      </c>
      <c r="B620" s="10"/>
      <c r="C620" s="10" t="s">
        <v>79</v>
      </c>
      <c r="E620" s="6">
        <v>834628</v>
      </c>
      <c r="G620" s="6">
        <v>1132738</v>
      </c>
      <c r="I620" s="6">
        <v>0</v>
      </c>
      <c r="K620" s="6">
        <f t="shared" si="104"/>
        <v>1967366</v>
      </c>
      <c r="M620" s="6">
        <f>3715154+478634</f>
        <v>4193788</v>
      </c>
      <c r="O620" s="6">
        <v>0</v>
      </c>
      <c r="Q620" s="6">
        <v>4187244</v>
      </c>
      <c r="S620" s="6">
        <v>2677</v>
      </c>
      <c r="U620" s="6">
        <v>0</v>
      </c>
      <c r="W620" s="6">
        <v>0</v>
      </c>
      <c r="Y620" s="6">
        <v>450</v>
      </c>
      <c r="Z620" s="44"/>
      <c r="AA620" s="6">
        <v>0</v>
      </c>
      <c r="AC620" s="6">
        <v>0</v>
      </c>
      <c r="AE620" s="6">
        <f t="shared" si="105"/>
        <v>8384159</v>
      </c>
      <c r="AF620" s="6"/>
      <c r="AG620" s="6">
        <f t="shared" si="106"/>
        <v>10351525</v>
      </c>
    </row>
    <row r="621" spans="1:33" ht="12" customHeight="1">
      <c r="A621" s="10" t="s">
        <v>517</v>
      </c>
      <c r="B621" s="10"/>
      <c r="C621" s="10" t="s">
        <v>63</v>
      </c>
      <c r="E621" s="6">
        <v>1730677</v>
      </c>
      <c r="G621" s="6">
        <v>1588935</v>
      </c>
      <c r="I621" s="6">
        <v>0</v>
      </c>
      <c r="K621" s="6">
        <f t="shared" si="104"/>
        <v>3319612</v>
      </c>
      <c r="M621" s="6">
        <f>13894606+1310221+346965</f>
        <v>15551792</v>
      </c>
      <c r="O621" s="6">
        <v>0</v>
      </c>
      <c r="Q621" s="6">
        <v>5404519</v>
      </c>
      <c r="S621" s="6">
        <v>9360</v>
      </c>
      <c r="U621" s="6">
        <v>227445</v>
      </c>
      <c r="W621" s="6">
        <v>0</v>
      </c>
      <c r="Y621" s="6">
        <v>27092</v>
      </c>
      <c r="Z621" s="44"/>
      <c r="AA621" s="6">
        <v>0</v>
      </c>
      <c r="AC621" s="6">
        <v>0</v>
      </c>
      <c r="AE621" s="6">
        <f t="shared" si="105"/>
        <v>21220208</v>
      </c>
      <c r="AF621" s="6"/>
      <c r="AG621" s="6">
        <f t="shared" si="106"/>
        <v>24539820</v>
      </c>
    </row>
    <row r="622" spans="1:33" ht="12" customHeight="1">
      <c r="A622" s="10" t="s">
        <v>623</v>
      </c>
      <c r="B622" s="10"/>
      <c r="C622" s="10" t="s">
        <v>71</v>
      </c>
      <c r="E622" s="6">
        <v>1151358</v>
      </c>
      <c r="G622" s="6">
        <v>3148830</v>
      </c>
      <c r="I622" s="6">
        <v>0</v>
      </c>
      <c r="K622" s="6">
        <f t="shared" si="104"/>
        <v>4300188</v>
      </c>
      <c r="M622" s="6">
        <f>26449583+2697091+480792</f>
        <v>29627466</v>
      </c>
      <c r="O622" s="6">
        <v>0</v>
      </c>
      <c r="Q622" s="6">
        <v>16750513</v>
      </c>
      <c r="S622" s="6">
        <v>93985</v>
      </c>
      <c r="U622" s="6">
        <v>0</v>
      </c>
      <c r="W622" s="6">
        <v>0</v>
      </c>
      <c r="Y622" s="6">
        <v>44036</v>
      </c>
      <c r="Z622" s="44"/>
      <c r="AA622" s="6">
        <v>0</v>
      </c>
      <c r="AC622" s="6">
        <v>0</v>
      </c>
      <c r="AE622" s="6">
        <f t="shared" si="105"/>
        <v>46516000</v>
      </c>
      <c r="AF622" s="6"/>
      <c r="AG622" s="6">
        <f t="shared" si="106"/>
        <v>50816188</v>
      </c>
    </row>
    <row r="623" spans="1:33" ht="12" customHeight="1">
      <c r="A623" s="10" t="s">
        <v>311</v>
      </c>
      <c r="B623" s="10"/>
      <c r="C623" s="10" t="s">
        <v>27</v>
      </c>
      <c r="E623" s="6">
        <v>5051652</v>
      </c>
      <c r="G623" s="6">
        <v>5637083</v>
      </c>
      <c r="I623" s="6">
        <v>0</v>
      </c>
      <c r="K623" s="6">
        <f t="shared" si="104"/>
        <v>10688735</v>
      </c>
      <c r="M623" s="6">
        <f>82382453+6038076</f>
        <v>88420529</v>
      </c>
      <c r="O623" s="6">
        <v>0</v>
      </c>
      <c r="Q623" s="6">
        <v>36551716</v>
      </c>
      <c r="S623" s="6">
        <v>294842</v>
      </c>
      <c r="U623" s="6">
        <v>0</v>
      </c>
      <c r="W623" s="6">
        <v>0</v>
      </c>
      <c r="Y623" s="6">
        <v>768401</v>
      </c>
      <c r="Z623" s="44"/>
      <c r="AA623" s="6">
        <v>0</v>
      </c>
      <c r="AC623" s="6">
        <v>0</v>
      </c>
      <c r="AE623" s="6">
        <f t="shared" si="105"/>
        <v>126035488</v>
      </c>
      <c r="AF623" s="6"/>
      <c r="AG623" s="6">
        <f t="shared" si="106"/>
        <v>136724223</v>
      </c>
    </row>
    <row r="624" spans="1:33" ht="12" customHeight="1">
      <c r="A624" s="10" t="s">
        <v>260</v>
      </c>
      <c r="B624" s="10"/>
      <c r="C624" s="10" t="s">
        <v>111</v>
      </c>
      <c r="E624" s="6">
        <v>1298875</v>
      </c>
      <c r="G624" s="6">
        <v>1299504</v>
      </c>
      <c r="I624" s="6">
        <v>0</v>
      </c>
      <c r="K624" s="6">
        <f t="shared" si="104"/>
        <v>2598379</v>
      </c>
      <c r="M624" s="6">
        <f>3351285+631727</f>
        <v>3983012</v>
      </c>
      <c r="O624" s="6">
        <v>0</v>
      </c>
      <c r="Q624" s="6">
        <v>5551020</v>
      </c>
      <c r="S624" s="6">
        <v>15261</v>
      </c>
      <c r="U624" s="6">
        <v>0</v>
      </c>
      <c r="W624" s="6">
        <v>0</v>
      </c>
      <c r="Y624" s="6">
        <v>40349</v>
      </c>
      <c r="Z624" s="44"/>
      <c r="AA624" s="6">
        <v>0</v>
      </c>
      <c r="AC624" s="6">
        <v>0</v>
      </c>
      <c r="AE624" s="6">
        <f t="shared" si="105"/>
        <v>9589642</v>
      </c>
      <c r="AF624" s="6"/>
      <c r="AG624" s="6">
        <f t="shared" si="106"/>
        <v>12188021</v>
      </c>
    </row>
    <row r="625" spans="1:33" ht="12" customHeight="1">
      <c r="A625" s="10" t="s">
        <v>333</v>
      </c>
      <c r="B625" s="10"/>
      <c r="C625" s="10" t="s">
        <v>32</v>
      </c>
      <c r="E625" s="6">
        <v>1408184</v>
      </c>
      <c r="G625" s="6">
        <v>791880</v>
      </c>
      <c r="I625" s="6">
        <v>0</v>
      </c>
      <c r="K625" s="6">
        <f t="shared" si="104"/>
        <v>2200064</v>
      </c>
      <c r="M625" s="6">
        <f>8391202+1470254+395890</f>
        <v>10257346</v>
      </c>
      <c r="O625" s="6">
        <v>6207483</v>
      </c>
      <c r="Q625" s="6">
        <v>6575244</v>
      </c>
      <c r="S625" s="6">
        <v>117744</v>
      </c>
      <c r="U625" s="6">
        <v>0</v>
      </c>
      <c r="W625" s="6">
        <v>112796</v>
      </c>
      <c r="Y625" s="6">
        <v>138195</v>
      </c>
      <c r="Z625" s="44"/>
      <c r="AA625" s="6">
        <v>0</v>
      </c>
      <c r="AC625" s="6">
        <v>0</v>
      </c>
      <c r="AE625" s="6">
        <f t="shared" si="105"/>
        <v>23408808</v>
      </c>
      <c r="AF625" s="6"/>
      <c r="AG625" s="6">
        <f t="shared" si="106"/>
        <v>25608872</v>
      </c>
    </row>
    <row r="626" spans="1:33" ht="12" customHeight="1">
      <c r="A626" s="10" t="s">
        <v>884</v>
      </c>
      <c r="B626" s="10"/>
      <c r="C626" s="10" t="s">
        <v>114</v>
      </c>
      <c r="E626" s="6">
        <v>1883721</v>
      </c>
      <c r="G626" s="6">
        <v>8738565</v>
      </c>
      <c r="I626" s="6">
        <v>0</v>
      </c>
      <c r="K626" s="6">
        <f t="shared" ref="K626" si="107">SUM(E626:J626)</f>
        <v>10622286</v>
      </c>
      <c r="M626" s="6">
        <f>17403111+339361+275948</f>
        <v>18018420</v>
      </c>
      <c r="O626" s="6">
        <v>3194973</v>
      </c>
      <c r="Q626" s="6">
        <v>21354311</v>
      </c>
      <c r="S626" s="6">
        <v>106036</v>
      </c>
      <c r="U626" s="6">
        <v>31924</v>
      </c>
      <c r="W626" s="6">
        <v>0</v>
      </c>
      <c r="Y626" s="6">
        <f>15737+595024</f>
        <v>610761</v>
      </c>
      <c r="Z626" s="44"/>
      <c r="AA626" s="6">
        <v>0</v>
      </c>
      <c r="AC626" s="6">
        <v>1139809</v>
      </c>
      <c r="AE626" s="6">
        <f t="shared" ref="AE626" si="108">SUM(M626:AC626)</f>
        <v>44456234</v>
      </c>
      <c r="AF626" s="6"/>
      <c r="AG626" s="6">
        <f t="shared" ref="AG626" si="109">+AE626+K626</f>
        <v>55078520</v>
      </c>
    </row>
    <row r="627" spans="1:33" ht="12" customHeight="1">
      <c r="A627" s="10" t="s">
        <v>783</v>
      </c>
      <c r="B627" s="10"/>
      <c r="C627" s="10" t="s">
        <v>114</v>
      </c>
      <c r="E627" s="6">
        <v>1069569</v>
      </c>
      <c r="G627" s="6">
        <v>628655</v>
      </c>
      <c r="I627" s="6">
        <v>20000</v>
      </c>
      <c r="K627" s="6">
        <f t="shared" si="104"/>
        <v>1718224</v>
      </c>
      <c r="M627" s="6">
        <f>3768938+142024+315239</f>
        <v>4226201</v>
      </c>
      <c r="O627" s="6">
        <v>1348785</v>
      </c>
      <c r="Q627" s="6">
        <v>1723969</v>
      </c>
      <c r="S627" s="6">
        <v>8117</v>
      </c>
      <c r="U627" s="6">
        <v>0</v>
      </c>
      <c r="W627" s="6">
        <v>0</v>
      </c>
      <c r="Y627" s="6">
        <v>19796</v>
      </c>
      <c r="Z627" s="44"/>
      <c r="AA627" s="6">
        <v>0</v>
      </c>
      <c r="AC627" s="6">
        <v>0</v>
      </c>
      <c r="AE627" s="6">
        <f t="shared" si="105"/>
        <v>7326868</v>
      </c>
      <c r="AF627" s="6"/>
      <c r="AG627" s="6">
        <f t="shared" si="106"/>
        <v>9045092</v>
      </c>
    </row>
    <row r="628" spans="1:33" ht="12" customHeight="1">
      <c r="A628" s="10" t="s">
        <v>409</v>
      </c>
      <c r="B628" s="10"/>
      <c r="C628" s="10" t="s">
        <v>45</v>
      </c>
      <c r="E628" s="6">
        <v>1431653</v>
      </c>
      <c r="G628" s="6">
        <v>20381573</v>
      </c>
      <c r="I628" s="6">
        <v>945135</v>
      </c>
      <c r="K628" s="6">
        <f t="shared" si="104"/>
        <v>22758361</v>
      </c>
      <c r="M628" s="6">
        <f>20183236+1627119+200008</f>
        <v>22010363</v>
      </c>
      <c r="O628" s="6">
        <v>0</v>
      </c>
      <c r="Q628" s="6">
        <f>85528436+305856</f>
        <v>85834292</v>
      </c>
      <c r="S628" s="6">
        <v>48612</v>
      </c>
      <c r="U628" s="6">
        <v>0</v>
      </c>
      <c r="W628" s="6">
        <v>0</v>
      </c>
      <c r="Y628" s="6">
        <v>439181</v>
      </c>
      <c r="Z628" s="44"/>
      <c r="AA628" s="6">
        <v>0</v>
      </c>
      <c r="AC628" s="6">
        <v>0</v>
      </c>
      <c r="AE628" s="6">
        <f t="shared" si="105"/>
        <v>108332448</v>
      </c>
      <c r="AF628" s="6"/>
      <c r="AG628" s="6">
        <f t="shared" si="106"/>
        <v>131090809</v>
      </c>
    </row>
    <row r="629" spans="1:33" ht="12" customHeight="1">
      <c r="A629" s="10" t="s">
        <v>477</v>
      </c>
      <c r="B629" s="10"/>
      <c r="C629" s="10" t="s">
        <v>58</v>
      </c>
      <c r="E629" s="6">
        <v>1367870</v>
      </c>
      <c r="G629" s="6">
        <v>1767956</v>
      </c>
      <c r="I629" s="6">
        <v>0</v>
      </c>
      <c r="K629" s="6">
        <f t="shared" si="104"/>
        <v>3135826</v>
      </c>
      <c r="M629" s="6">
        <f>3295850+277638+57163</f>
        <v>3630651</v>
      </c>
      <c r="O629" s="6">
        <v>3212</v>
      </c>
      <c r="Q629" s="6">
        <v>6964989</v>
      </c>
      <c r="S629" s="6">
        <v>10021</v>
      </c>
      <c r="U629" s="6">
        <v>0</v>
      </c>
      <c r="W629" s="6">
        <v>0</v>
      </c>
      <c r="Y629" s="6">
        <v>87616</v>
      </c>
      <c r="Z629" s="44"/>
      <c r="AA629" s="6">
        <v>0</v>
      </c>
      <c r="AC629" s="6">
        <v>0</v>
      </c>
      <c r="AE629" s="6">
        <f t="shared" si="105"/>
        <v>10696489</v>
      </c>
      <c r="AF629" s="6"/>
      <c r="AG629" s="6">
        <f t="shared" si="106"/>
        <v>13832315</v>
      </c>
    </row>
    <row r="630" spans="1:33" ht="12" customHeight="1">
      <c r="A630" s="10" t="s">
        <v>448</v>
      </c>
      <c r="B630" s="10"/>
      <c r="C630" s="10" t="s">
        <v>51</v>
      </c>
      <c r="E630" s="6">
        <v>2396108</v>
      </c>
      <c r="G630" s="6">
        <v>7498869</v>
      </c>
      <c r="I630" s="6">
        <v>46802</v>
      </c>
      <c r="K630" s="6">
        <f t="shared" si="104"/>
        <v>9941779</v>
      </c>
      <c r="M630" s="6">
        <f>7500528+1849991+151545</f>
        <v>9502064</v>
      </c>
      <c r="O630" s="6">
        <v>0</v>
      </c>
      <c r="Q630" s="6">
        <v>24412188</v>
      </c>
      <c r="S630" s="6">
        <v>33911</v>
      </c>
      <c r="U630" s="6">
        <v>508</v>
      </c>
      <c r="W630" s="6">
        <v>0</v>
      </c>
      <c r="Y630" s="6">
        <f>4000+159135</f>
        <v>163135</v>
      </c>
      <c r="Z630" s="44"/>
      <c r="AA630" s="6">
        <v>0</v>
      </c>
      <c r="AC630" s="6">
        <v>0</v>
      </c>
      <c r="AE630" s="6">
        <f t="shared" si="105"/>
        <v>34111806</v>
      </c>
      <c r="AF630" s="6"/>
      <c r="AG630" s="6">
        <f t="shared" si="106"/>
        <v>44053585</v>
      </c>
    </row>
    <row r="631" spans="1:33" ht="12" customHeight="1">
      <c r="A631" s="10"/>
      <c r="B631" s="10"/>
      <c r="C631" s="10"/>
      <c r="Z631" s="44"/>
      <c r="AF631" s="6"/>
    </row>
    <row r="632" spans="1:33" ht="12" customHeight="1">
      <c r="Z632" s="44"/>
      <c r="AF632" s="6"/>
    </row>
    <row r="633" spans="1:33" ht="12" customHeight="1">
      <c r="Z633" s="44"/>
      <c r="AF633" s="6"/>
    </row>
    <row r="634" spans="1:33" ht="12" customHeight="1"/>
    <row r="635" spans="1:33" ht="12" customHeight="1"/>
    <row r="636" spans="1:33" ht="12" customHeight="1"/>
    <row r="637" spans="1:33" ht="12" customHeight="1"/>
    <row r="638" spans="1:33" ht="12" customHeight="1"/>
    <row r="639" spans="1:33" ht="12" customHeight="1"/>
    <row r="640" spans="1:33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</sheetData>
  <mergeCells count="4">
    <mergeCell ref="M5:O5"/>
    <mergeCell ref="M4:O4"/>
    <mergeCell ref="Q4:Y4"/>
    <mergeCell ref="Q5:Y5"/>
  </mergeCells>
  <phoneticPr fontId="3" type="noConversion"/>
  <printOptions horizontalCentered="1"/>
  <pageMargins left="0.9" right="0.75" top="0.5" bottom="0.5" header="0.25" footer="0.25"/>
  <pageSetup scale="77" firstPageNumber="24" fitToWidth="2" fitToHeight="0" pageOrder="overThenDown" orientation="portrait" useFirstPageNumber="1" r:id="rId1"/>
  <headerFooter alignWithMargins="0"/>
  <colBreaks count="1" manualBreakCount="1">
    <brk id="15" max="62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38"/>
  <sheetViews>
    <sheetView view="pageBreakPreview" zoomScaleNormal="100" zoomScaleSheetLayoutView="100" workbookViewId="0">
      <pane xSplit="3" ySplit="9" topLeftCell="D10" activePane="bottomRight" state="frozen"/>
      <selection activeCell="I605" sqref="I605"/>
      <selection pane="topRight" activeCell="I605" sqref="I605"/>
      <selection pane="bottomLeft" activeCell="I605" sqref="I605"/>
      <selection pane="bottomRight" activeCell="D10" sqref="D10"/>
    </sheetView>
  </sheetViews>
  <sheetFormatPr defaultColWidth="9.140625" defaultRowHeight="12"/>
  <cols>
    <col min="1" max="1" width="32" style="6" customWidth="1"/>
    <col min="2" max="2" width="1.7109375" style="6" customWidth="1"/>
    <col min="3" max="3" width="11.7109375" style="6" customWidth="1"/>
    <col min="4" max="4" width="1.7109375" style="6" customWidth="1"/>
    <col min="5" max="5" width="10.140625" style="6" bestFit="1" customWidth="1"/>
    <col min="6" max="6" width="1.7109375" style="6" customWidth="1"/>
    <col min="7" max="7" width="10.140625" style="6" bestFit="1" customWidth="1"/>
    <col min="8" max="8" width="1.7109375" style="6" customWidth="1"/>
    <col min="9" max="9" width="11.7109375" style="6" customWidth="1"/>
    <col min="10" max="10" width="1.7109375" style="6" customWidth="1"/>
    <col min="11" max="11" width="10.7109375" style="6" customWidth="1"/>
    <col min="12" max="12" width="1.7109375" style="6" customWidth="1"/>
    <col min="13" max="13" width="9.28515625" style="6" bestFit="1" customWidth="1"/>
    <col min="14" max="14" width="1.7109375" style="6" customWidth="1"/>
    <col min="15" max="15" width="11.7109375" style="6" customWidth="1"/>
    <col min="16" max="16" width="1.7109375" style="6" customWidth="1"/>
    <col min="17" max="17" width="11.7109375" style="6" customWidth="1"/>
    <col min="18" max="18" width="1.42578125" style="6" customWidth="1"/>
    <col min="19" max="19" width="11.7109375" style="6" customWidth="1"/>
    <col min="20" max="20" width="1.7109375" style="6" customWidth="1"/>
    <col min="21" max="21" width="11.7109375" style="6" customWidth="1"/>
    <col min="22" max="22" width="1.7109375" style="6" customWidth="1"/>
    <col min="23" max="23" width="9.28515625" style="6" bestFit="1" customWidth="1"/>
    <col min="24" max="24" width="1.7109375" style="6" customWidth="1"/>
    <col min="25" max="25" width="8.42578125" style="6" bestFit="1" customWidth="1"/>
    <col min="26" max="26" width="1.7109375" style="6" customWidth="1"/>
    <col min="27" max="27" width="11.7109375" style="6" customWidth="1"/>
    <col min="28" max="28" width="1.7109375" style="6" customWidth="1"/>
    <col min="29" max="29" width="11.7109375" style="6" customWidth="1"/>
    <col min="30" max="30" width="1.7109375" style="6" customWidth="1"/>
    <col min="31" max="31" width="11.7109375" style="6" customWidth="1"/>
    <col min="32" max="32" width="1.7109375" style="6" customWidth="1"/>
    <col min="33" max="33" width="41.85546875" style="6" customWidth="1"/>
    <col min="34" max="34" width="1.7109375" style="6" customWidth="1"/>
    <col min="35" max="35" width="13.7109375" style="6" customWidth="1"/>
    <col min="36" max="36" width="1.7109375" style="6" customWidth="1"/>
    <col min="37" max="37" width="9.28515625" style="6" bestFit="1" customWidth="1"/>
    <col min="38" max="38" width="1.7109375" style="6" customWidth="1"/>
    <col min="39" max="39" width="9.28515625" style="6" bestFit="1" customWidth="1"/>
    <col min="40" max="40" width="1.7109375" style="6" customWidth="1"/>
    <col min="41" max="41" width="11" style="6" bestFit="1" customWidth="1"/>
    <col min="42" max="42" width="1.7109375" style="6" customWidth="1"/>
    <col min="43" max="43" width="9.28515625" style="6" bestFit="1" customWidth="1"/>
    <col min="44" max="44" width="1.7109375" style="6" customWidth="1"/>
    <col min="45" max="45" width="11.7109375" style="6" hidden="1" customWidth="1"/>
    <col min="46" max="46" width="1.42578125" style="6" hidden="1" customWidth="1"/>
    <col min="47" max="47" width="10.85546875" style="6" bestFit="1" customWidth="1"/>
    <col min="48" max="48" width="1.7109375" style="6" customWidth="1"/>
    <col min="49" max="49" width="12.140625" style="6" customWidth="1"/>
    <col min="50" max="50" width="1.7109375" style="6" customWidth="1"/>
    <col min="51" max="51" width="11.7109375" style="6" customWidth="1"/>
    <col min="52" max="52" width="1.7109375" style="6" customWidth="1"/>
    <col min="53" max="53" width="11.7109375" style="6" customWidth="1"/>
    <col min="54" max="54" width="1.7109375" style="6" customWidth="1"/>
    <col min="55" max="55" width="11.7109375" style="6" customWidth="1"/>
    <col min="56" max="56" width="1.7109375" style="6" customWidth="1"/>
    <col min="57" max="57" width="11.7109375" style="6" hidden="1" customWidth="1"/>
    <col min="58" max="16384" width="9.140625" style="6"/>
  </cols>
  <sheetData>
    <row r="1" spans="1:57">
      <c r="A1" s="65" t="s">
        <v>124</v>
      </c>
      <c r="B1" s="65"/>
      <c r="C1" s="65"/>
      <c r="D1" s="65"/>
      <c r="E1" s="65"/>
      <c r="F1" s="65"/>
      <c r="G1" s="65"/>
      <c r="H1" s="65"/>
      <c r="I1" s="65"/>
      <c r="J1" s="65"/>
      <c r="L1" s="52"/>
      <c r="AG1" s="65" t="s">
        <v>124</v>
      </c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</row>
    <row r="2" spans="1:57">
      <c r="A2" s="13" t="s">
        <v>852</v>
      </c>
      <c r="B2" s="13"/>
      <c r="C2" s="13"/>
      <c r="AG2" s="13" t="s">
        <v>852</v>
      </c>
      <c r="AH2" s="13"/>
      <c r="AI2" s="13"/>
      <c r="AJ2" s="13"/>
      <c r="AS2" s="57" t="s">
        <v>570</v>
      </c>
    </row>
    <row r="3" spans="1:57">
      <c r="A3" s="13"/>
      <c r="AG3" s="13"/>
      <c r="AS3" s="57" t="s">
        <v>571</v>
      </c>
    </row>
    <row r="4" spans="1:57">
      <c r="A4" s="13" t="s">
        <v>169</v>
      </c>
      <c r="B4" s="13"/>
      <c r="C4" s="13"/>
      <c r="AG4" s="13" t="s">
        <v>169</v>
      </c>
      <c r="AH4" s="13"/>
      <c r="AI4" s="13"/>
      <c r="AJ4" s="13"/>
      <c r="AS4" s="57" t="s">
        <v>572</v>
      </c>
    </row>
    <row r="6" spans="1:57">
      <c r="A6" s="45" t="s">
        <v>728</v>
      </c>
      <c r="B6" s="13"/>
      <c r="C6" s="13"/>
      <c r="E6" s="16" t="s">
        <v>143</v>
      </c>
      <c r="F6" s="16"/>
      <c r="G6" s="16"/>
      <c r="H6" s="16"/>
      <c r="I6" s="16"/>
      <c r="J6" s="16"/>
      <c r="K6" s="16"/>
      <c r="L6" s="16"/>
      <c r="M6" s="16"/>
      <c r="O6" s="16" t="s">
        <v>144</v>
      </c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G6" s="45" t="s">
        <v>728</v>
      </c>
      <c r="AH6" s="13"/>
      <c r="AI6" s="13"/>
      <c r="AJ6" s="13"/>
      <c r="AK6" s="16" t="s">
        <v>156</v>
      </c>
      <c r="AL6" s="16"/>
      <c r="AM6" s="16"/>
      <c r="AS6" s="14" t="s">
        <v>561</v>
      </c>
      <c r="BE6" s="14" t="s">
        <v>100</v>
      </c>
    </row>
    <row r="7" spans="1:57" ht="12" customHeight="1">
      <c r="A7" s="45"/>
      <c r="K7" s="14"/>
      <c r="M7" s="14"/>
      <c r="AA7" s="14" t="s">
        <v>151</v>
      </c>
      <c r="AG7" s="45"/>
      <c r="AS7" s="14" t="s">
        <v>562</v>
      </c>
      <c r="AY7" s="14"/>
      <c r="AZ7" s="14"/>
      <c r="BA7" s="14" t="s">
        <v>100</v>
      </c>
      <c r="BB7" s="14"/>
      <c r="BC7" s="14" t="s">
        <v>100</v>
      </c>
      <c r="BE7" s="14" t="s">
        <v>167</v>
      </c>
    </row>
    <row r="8" spans="1:57">
      <c r="B8" s="54"/>
      <c r="C8" s="54"/>
      <c r="E8" s="54"/>
      <c r="F8" s="54"/>
      <c r="G8" s="54"/>
      <c r="H8" s="54"/>
      <c r="I8" s="54"/>
      <c r="J8" s="54"/>
      <c r="K8" s="54" t="s">
        <v>859</v>
      </c>
      <c r="L8" s="54"/>
      <c r="M8" s="54"/>
      <c r="N8" s="54"/>
      <c r="O8" s="54"/>
      <c r="P8" s="54"/>
      <c r="Q8" s="54" t="s">
        <v>145</v>
      </c>
      <c r="R8" s="54"/>
      <c r="S8" s="54" t="s">
        <v>147</v>
      </c>
      <c r="T8" s="54"/>
      <c r="U8" s="54"/>
      <c r="V8" s="54"/>
      <c r="W8" s="54"/>
      <c r="X8" s="54"/>
      <c r="Y8" s="54"/>
      <c r="Z8" s="54"/>
      <c r="AA8" s="54" t="s">
        <v>152</v>
      </c>
      <c r="AB8" s="54"/>
      <c r="AC8" s="54" t="s">
        <v>154</v>
      </c>
      <c r="AD8" s="54"/>
      <c r="AE8" s="54"/>
      <c r="AF8" s="54"/>
      <c r="AH8" s="54"/>
      <c r="AI8" s="54"/>
      <c r="AJ8" s="54"/>
      <c r="AK8" s="14" t="s">
        <v>157</v>
      </c>
      <c r="AL8" s="14"/>
      <c r="AM8" s="14"/>
      <c r="AN8" s="14"/>
      <c r="AO8" s="14" t="s">
        <v>159</v>
      </c>
      <c r="AP8" s="14"/>
      <c r="AQ8" s="14"/>
      <c r="AR8" s="14"/>
      <c r="AS8" s="14" t="s">
        <v>563</v>
      </c>
      <c r="AT8" s="14"/>
      <c r="AU8" s="14" t="s">
        <v>577</v>
      </c>
      <c r="AV8" s="14"/>
      <c r="AW8" s="54" t="s">
        <v>3</v>
      </c>
      <c r="AX8" s="14"/>
      <c r="AY8" s="14" t="s">
        <v>119</v>
      </c>
      <c r="AZ8" s="14"/>
      <c r="BA8" s="54" t="s">
        <v>163</v>
      </c>
      <c r="BB8" s="14"/>
      <c r="BC8" s="14" t="s">
        <v>165</v>
      </c>
      <c r="BE8" s="14" t="s">
        <v>168</v>
      </c>
    </row>
    <row r="9" spans="1:57">
      <c r="A9" s="53" t="s">
        <v>199</v>
      </c>
      <c r="B9" s="14"/>
      <c r="C9" s="53" t="s">
        <v>4</v>
      </c>
      <c r="E9" s="1" t="s">
        <v>853</v>
      </c>
      <c r="G9" s="1" t="s">
        <v>2</v>
      </c>
      <c r="I9" s="1" t="s">
        <v>142</v>
      </c>
      <c r="K9" s="1" t="s">
        <v>841</v>
      </c>
      <c r="M9" s="1" t="s">
        <v>82</v>
      </c>
      <c r="O9" s="1" t="s">
        <v>854</v>
      </c>
      <c r="Q9" s="1" t="s">
        <v>146</v>
      </c>
      <c r="S9" s="1" t="s">
        <v>148</v>
      </c>
      <c r="U9" s="1" t="s">
        <v>149</v>
      </c>
      <c r="W9" s="1" t="s">
        <v>150</v>
      </c>
      <c r="X9" s="54"/>
      <c r="Y9" s="53" t="s">
        <v>559</v>
      </c>
      <c r="AA9" s="1" t="s">
        <v>153</v>
      </c>
      <c r="AB9" s="54"/>
      <c r="AC9" s="53" t="s">
        <v>155</v>
      </c>
      <c r="AD9" s="54"/>
      <c r="AE9" s="53" t="s">
        <v>560</v>
      </c>
      <c r="AG9" s="53" t="s">
        <v>199</v>
      </c>
      <c r="AH9" s="14"/>
      <c r="AI9" s="53" t="s">
        <v>4</v>
      </c>
      <c r="AJ9" s="53"/>
      <c r="AK9" s="53" t="s">
        <v>158</v>
      </c>
      <c r="AM9" s="53" t="s">
        <v>82</v>
      </c>
      <c r="AN9" s="54"/>
      <c r="AO9" s="53" t="s">
        <v>160</v>
      </c>
      <c r="AP9" s="54"/>
      <c r="AQ9" s="53" t="s">
        <v>161</v>
      </c>
      <c r="AR9" s="54"/>
      <c r="AS9" s="53" t="s">
        <v>564</v>
      </c>
      <c r="AT9" s="54"/>
      <c r="AU9" s="53" t="s">
        <v>122</v>
      </c>
      <c r="AV9" s="54"/>
      <c r="AW9" s="53" t="s">
        <v>122</v>
      </c>
      <c r="AX9" s="54"/>
      <c r="AY9" s="53" t="s">
        <v>100</v>
      </c>
      <c r="AZ9" s="14"/>
      <c r="BA9" s="53" t="s">
        <v>164</v>
      </c>
      <c r="BB9" s="14"/>
      <c r="BC9" s="53" t="s">
        <v>166</v>
      </c>
      <c r="BE9" s="53" t="s">
        <v>135</v>
      </c>
    </row>
    <row r="10" spans="1:57" ht="12.75" customHeight="1">
      <c r="A10" s="11"/>
      <c r="B10" s="11"/>
      <c r="C10" s="11"/>
      <c r="E10" s="54"/>
      <c r="G10" s="54"/>
      <c r="I10" s="54"/>
      <c r="K10" s="54"/>
      <c r="M10" s="54"/>
      <c r="O10" s="54"/>
      <c r="Q10" s="54"/>
      <c r="S10" s="54"/>
      <c r="U10" s="54"/>
      <c r="W10" s="54"/>
      <c r="X10" s="54"/>
      <c r="Y10" s="54"/>
      <c r="AA10" s="54"/>
      <c r="AB10" s="54"/>
      <c r="AC10" s="54"/>
      <c r="AD10" s="54"/>
      <c r="AE10" s="54"/>
      <c r="AG10" s="11"/>
      <c r="AH10" s="11"/>
      <c r="AI10" s="11"/>
      <c r="AJ10" s="11"/>
      <c r="AK10" s="54"/>
      <c r="AM10" s="54"/>
      <c r="AO10" s="54"/>
      <c r="AQ10" s="54"/>
      <c r="AS10" s="54"/>
      <c r="AU10" s="54"/>
      <c r="BA10" s="54"/>
    </row>
    <row r="11" spans="1:57" hidden="1">
      <c r="A11" s="11" t="s">
        <v>862</v>
      </c>
      <c r="B11" s="11"/>
      <c r="C11" s="11" t="s">
        <v>339</v>
      </c>
      <c r="AG11" s="11" t="s">
        <v>862</v>
      </c>
      <c r="AH11" s="11"/>
      <c r="AI11" s="11" t="s">
        <v>339</v>
      </c>
      <c r="AJ11" s="11"/>
      <c r="AU11" s="6">
        <v>0</v>
      </c>
      <c r="AW11" s="6">
        <f t="shared" ref="AW11" si="0">SUM(E11:AV11)</f>
        <v>0</v>
      </c>
      <c r="AY11" s="6">
        <f>+'St of Activites - GA Rev'!AG11-'St of Activities - GA Exp'!AW11</f>
        <v>0</v>
      </c>
      <c r="BC11" s="6">
        <f t="shared" ref="BC11" si="1">+AY11+BA11</f>
        <v>0</v>
      </c>
      <c r="BE11" s="6">
        <f>+'St of Net Assets - GA'!Y11-'St of Activities - GA Exp'!BC11</f>
        <v>0</v>
      </c>
    </row>
    <row r="12" spans="1:57" s="28" customFormat="1">
      <c r="A12" s="27" t="s">
        <v>788</v>
      </c>
      <c r="B12" s="27"/>
      <c r="C12" s="27" t="s">
        <v>200</v>
      </c>
      <c r="E12" s="28">
        <v>16114774</v>
      </c>
      <c r="G12" s="28">
        <v>4953500</v>
      </c>
      <c r="I12" s="28">
        <v>1654724</v>
      </c>
      <c r="K12" s="28">
        <v>378934</v>
      </c>
      <c r="M12" s="28">
        <v>500709</v>
      </c>
      <c r="O12" s="28">
        <v>1556778</v>
      </c>
      <c r="Q12" s="28">
        <v>2794668</v>
      </c>
      <c r="S12" s="28">
        <v>83258</v>
      </c>
      <c r="U12" s="28">
        <v>2389462</v>
      </c>
      <c r="W12" s="28">
        <v>1079988</v>
      </c>
      <c r="Y12" s="28">
        <v>249953</v>
      </c>
      <c r="AA12" s="28">
        <v>3299208</v>
      </c>
      <c r="AC12" s="28">
        <v>2732167</v>
      </c>
      <c r="AE12" s="28">
        <v>275734</v>
      </c>
      <c r="AG12" s="27" t="s">
        <v>788</v>
      </c>
      <c r="AH12" s="27"/>
      <c r="AI12" s="27" t="s">
        <v>200</v>
      </c>
      <c r="AJ12" s="27"/>
      <c r="AK12" s="28">
        <v>0</v>
      </c>
      <c r="AM12" s="28">
        <v>2039419</v>
      </c>
      <c r="AO12" s="28">
        <v>454922</v>
      </c>
      <c r="AQ12" s="28">
        <v>1450969</v>
      </c>
      <c r="AU12" s="28">
        <v>0</v>
      </c>
      <c r="AW12" s="28">
        <f>SUM(E12:AV12)</f>
        <v>42009167</v>
      </c>
      <c r="AY12" s="28">
        <f>+'St of Activites - GA Rev'!AG12-'St of Activities - GA Exp'!AW12</f>
        <v>4662520</v>
      </c>
      <c r="BA12" s="28">
        <v>75885632</v>
      </c>
      <c r="BC12" s="28">
        <f>+AY12+BA12</f>
        <v>80548152</v>
      </c>
      <c r="BE12" s="28">
        <f>+'St of Net Assets - GA'!Y12-'St of Activities - GA Exp'!BC12</f>
        <v>0</v>
      </c>
    </row>
    <row r="13" spans="1:57">
      <c r="A13" s="11" t="s">
        <v>587</v>
      </c>
      <c r="B13" s="11"/>
      <c r="C13" s="11" t="s">
        <v>58</v>
      </c>
      <c r="E13" s="6">
        <v>5374830</v>
      </c>
      <c r="G13" s="6">
        <v>1280626</v>
      </c>
      <c r="I13" s="6">
        <v>6620</v>
      </c>
      <c r="K13" s="6">
        <v>0</v>
      </c>
      <c r="M13" s="6">
        <v>988994</v>
      </c>
      <c r="O13" s="6">
        <v>473510</v>
      </c>
      <c r="Q13" s="6">
        <v>684020</v>
      </c>
      <c r="S13" s="6">
        <v>56770</v>
      </c>
      <c r="U13" s="6">
        <v>906213</v>
      </c>
      <c r="W13" s="6">
        <v>333793</v>
      </c>
      <c r="Y13" s="6">
        <v>0</v>
      </c>
      <c r="AA13" s="6">
        <v>830489</v>
      </c>
      <c r="AC13" s="6">
        <v>922237</v>
      </c>
      <c r="AE13" s="6">
        <v>183787</v>
      </c>
      <c r="AG13" s="11" t="s">
        <v>587</v>
      </c>
      <c r="AH13" s="11"/>
      <c r="AI13" s="11" t="s">
        <v>58</v>
      </c>
      <c r="AJ13" s="11"/>
      <c r="AK13" s="6">
        <v>0</v>
      </c>
      <c r="AM13" s="6">
        <v>457552</v>
      </c>
      <c r="AO13" s="6">
        <v>363275</v>
      </c>
      <c r="AQ13" s="6">
        <v>126957</v>
      </c>
      <c r="AU13" s="6">
        <v>0</v>
      </c>
      <c r="AW13" s="6">
        <f t="shared" ref="AW13:AW83" si="2">SUM(E13:AV13)</f>
        <v>12989673</v>
      </c>
      <c r="AY13" s="6">
        <f>+'St of Activites - GA Rev'!AG13-'St of Activities - GA Exp'!AW13</f>
        <v>-681401</v>
      </c>
      <c r="BA13" s="6">
        <v>22001222</v>
      </c>
      <c r="BC13" s="6">
        <f t="shared" ref="BC13:BC83" si="3">+AY13+BA13</f>
        <v>21319821</v>
      </c>
      <c r="BE13" s="6">
        <f>+'St of Net Assets - GA'!Y13-'St of Activities - GA Exp'!BC13</f>
        <v>0</v>
      </c>
    </row>
    <row r="14" spans="1:57">
      <c r="A14" s="11" t="s">
        <v>506</v>
      </c>
      <c r="B14" s="11"/>
      <c r="C14" s="11" t="s">
        <v>63</v>
      </c>
      <c r="E14" s="6">
        <v>155163311</v>
      </c>
      <c r="G14" s="6">
        <v>41144527</v>
      </c>
      <c r="I14" s="6">
        <v>11992099</v>
      </c>
      <c r="K14" s="6">
        <v>749996</v>
      </c>
      <c r="M14" s="6">
        <v>6063071</v>
      </c>
      <c r="O14" s="6">
        <v>21312221</v>
      </c>
      <c r="Q14" s="6">
        <v>22890592</v>
      </c>
      <c r="S14" s="6">
        <v>102637</v>
      </c>
      <c r="U14" s="6">
        <v>22823427</v>
      </c>
      <c r="W14" s="6">
        <v>3701197</v>
      </c>
      <c r="Y14" s="6">
        <v>2594043</v>
      </c>
      <c r="AA14" s="6">
        <v>31277299</v>
      </c>
      <c r="AC14" s="6">
        <v>12706962</v>
      </c>
      <c r="AE14" s="6">
        <v>9848496</v>
      </c>
      <c r="AG14" s="11" t="s">
        <v>506</v>
      </c>
      <c r="AH14" s="11"/>
      <c r="AI14" s="11" t="s">
        <v>63</v>
      </c>
      <c r="AJ14" s="11"/>
      <c r="AK14" s="6">
        <v>10817535</v>
      </c>
      <c r="AM14" s="6">
        <v>3556588</v>
      </c>
      <c r="AO14" s="6">
        <v>3554065</v>
      </c>
      <c r="AQ14" s="6">
        <v>0</v>
      </c>
      <c r="AU14" s="6">
        <v>0</v>
      </c>
      <c r="AW14" s="6">
        <f t="shared" si="2"/>
        <v>360298066</v>
      </c>
      <c r="AY14" s="6">
        <f>+'St of Activites - GA Rev'!AG14-'St of Activities - GA Exp'!AW14</f>
        <v>23397740</v>
      </c>
      <c r="BA14" s="6">
        <v>314723406</v>
      </c>
      <c r="BC14" s="6">
        <f t="shared" si="3"/>
        <v>338121146</v>
      </c>
      <c r="BE14" s="6">
        <f>+'St of Net Assets - GA'!Y14-'St of Activities - GA Exp'!BC14</f>
        <v>0</v>
      </c>
    </row>
    <row r="15" spans="1:57" ht="12" hidden="1" customHeight="1">
      <c r="A15" s="11" t="s">
        <v>617</v>
      </c>
      <c r="B15" s="11"/>
      <c r="C15" s="11" t="s">
        <v>13</v>
      </c>
      <c r="AG15" s="11" t="s">
        <v>617</v>
      </c>
      <c r="AH15" s="11"/>
      <c r="AI15" s="11" t="s">
        <v>13</v>
      </c>
      <c r="AJ15" s="11"/>
      <c r="AW15" s="6">
        <f t="shared" si="2"/>
        <v>0</v>
      </c>
      <c r="AY15" s="6">
        <f>+'St of Activites - GA Rev'!AG15-'St of Activities - GA Exp'!AW15</f>
        <v>0</v>
      </c>
      <c r="BC15" s="6">
        <f t="shared" si="3"/>
        <v>0</v>
      </c>
      <c r="BE15" s="6">
        <f>+'St of Net Assets - GA'!Y15-'St of Activities - GA Exp'!BC15</f>
        <v>0</v>
      </c>
    </row>
    <row r="16" spans="1:57" ht="12" hidden="1" customHeight="1">
      <c r="A16" s="11" t="s">
        <v>864</v>
      </c>
      <c r="B16" s="11"/>
      <c r="C16" s="11" t="s">
        <v>10</v>
      </c>
      <c r="AG16" s="11" t="s">
        <v>864</v>
      </c>
      <c r="AH16" s="11"/>
      <c r="AI16" s="11" t="s">
        <v>10</v>
      </c>
      <c r="AJ16" s="11"/>
      <c r="AU16" s="6">
        <v>0</v>
      </c>
      <c r="AW16" s="6">
        <f>SUM(E16:AV16)</f>
        <v>0</v>
      </c>
      <c r="AY16" s="6">
        <f>+'St of Activites - GA Rev'!AG16-'St of Activities - GA Exp'!AW16</f>
        <v>0</v>
      </c>
      <c r="BC16" s="6">
        <f>+AY16+BA16</f>
        <v>0</v>
      </c>
      <c r="BE16" s="6">
        <f>+'St of Net Assets - GA'!Y16-'St of Activities - GA Exp'!BC16</f>
        <v>0</v>
      </c>
    </row>
    <row r="17" spans="1:57">
      <c r="A17" s="11" t="s">
        <v>493</v>
      </c>
      <c r="B17" s="11"/>
      <c r="C17" s="11" t="s">
        <v>62</v>
      </c>
      <c r="E17" s="6">
        <v>14848891</v>
      </c>
      <c r="G17" s="6">
        <v>5176532</v>
      </c>
      <c r="I17" s="6">
        <v>1297804</v>
      </c>
      <c r="K17" s="6">
        <v>764395</v>
      </c>
      <c r="M17" s="6">
        <f>89911+212438</f>
        <v>302349</v>
      </c>
      <c r="O17" s="6">
        <v>1960332</v>
      </c>
      <c r="Q17" s="6">
        <v>996475</v>
      </c>
      <c r="S17" s="6">
        <v>35881</v>
      </c>
      <c r="U17" s="6">
        <v>2402965</v>
      </c>
      <c r="W17" s="6">
        <v>567548</v>
      </c>
      <c r="Y17" s="6">
        <v>450321</v>
      </c>
      <c r="AA17" s="6">
        <v>3095093</v>
      </c>
      <c r="AC17" s="6">
        <v>821127</v>
      </c>
      <c r="AE17" s="6">
        <v>165867</v>
      </c>
      <c r="AG17" s="11" t="s">
        <v>493</v>
      </c>
      <c r="AH17" s="11"/>
      <c r="AI17" s="11" t="s">
        <v>62</v>
      </c>
      <c r="AJ17" s="11"/>
      <c r="AK17" s="6">
        <v>1483545</v>
      </c>
      <c r="AM17" s="6">
        <v>145826</v>
      </c>
      <c r="AO17" s="6">
        <v>654849</v>
      </c>
      <c r="AQ17" s="6">
        <v>554348</v>
      </c>
      <c r="AU17" s="6">
        <v>0</v>
      </c>
      <c r="AW17" s="6">
        <f t="shared" si="2"/>
        <v>35724148</v>
      </c>
      <c r="AY17" s="6">
        <f>+'St of Activites - GA Rev'!AG17-'St of Activities - GA Exp'!AW17</f>
        <v>-1592769</v>
      </c>
      <c r="BA17" s="6">
        <v>42183646</v>
      </c>
      <c r="BC17" s="6">
        <f t="shared" si="3"/>
        <v>40590877</v>
      </c>
      <c r="BE17" s="6">
        <f>+'St of Net Assets - GA'!Y17-'St of Activities - GA Exp'!BC17</f>
        <v>0</v>
      </c>
    </row>
    <row r="18" spans="1:57">
      <c r="A18" s="11" t="s">
        <v>292</v>
      </c>
      <c r="B18" s="11"/>
      <c r="C18" s="11" t="s">
        <v>25</v>
      </c>
      <c r="E18" s="6">
        <v>5556840</v>
      </c>
      <c r="G18" s="6">
        <v>2304274</v>
      </c>
      <c r="I18" s="6">
        <v>274950</v>
      </c>
      <c r="K18" s="6">
        <v>0</v>
      </c>
      <c r="M18" s="6">
        <f>30028+49371</f>
        <v>79399</v>
      </c>
      <c r="O18" s="6">
        <v>658143</v>
      </c>
      <c r="Q18" s="6">
        <v>176943</v>
      </c>
      <c r="S18" s="6">
        <v>91924</v>
      </c>
      <c r="U18" s="6">
        <v>1015321</v>
      </c>
      <c r="W18" s="6">
        <v>328378</v>
      </c>
      <c r="Y18" s="6">
        <v>36316</v>
      </c>
      <c r="AA18" s="6">
        <v>1466361</v>
      </c>
      <c r="AC18" s="6">
        <v>1174888</v>
      </c>
      <c r="AE18" s="6">
        <v>204082</v>
      </c>
      <c r="AG18" s="11" t="s">
        <v>292</v>
      </c>
      <c r="AH18" s="11"/>
      <c r="AI18" s="11" t="s">
        <v>25</v>
      </c>
      <c r="AJ18" s="11"/>
      <c r="AK18" s="6">
        <v>824633</v>
      </c>
      <c r="AM18" s="6">
        <v>0</v>
      </c>
      <c r="AO18" s="6">
        <v>248360</v>
      </c>
      <c r="AQ18" s="6">
        <v>136618</v>
      </c>
      <c r="AU18" s="6">
        <v>0</v>
      </c>
      <c r="AW18" s="6">
        <f t="shared" si="2"/>
        <v>14577430</v>
      </c>
      <c r="AY18" s="6">
        <f>+'St of Activites - GA Rev'!AG18-'St of Activities - GA Exp'!AW18</f>
        <v>1368870</v>
      </c>
      <c r="BA18" s="6">
        <v>28625427</v>
      </c>
      <c r="BC18" s="6">
        <f t="shared" si="3"/>
        <v>29994297</v>
      </c>
      <c r="BE18" s="6">
        <f>+'St of Net Assets - GA'!Y18-'St of Activities - GA Exp'!BC18</f>
        <v>0</v>
      </c>
    </row>
    <row r="19" spans="1:57" ht="12" customHeight="1">
      <c r="A19" s="11" t="s">
        <v>749</v>
      </c>
      <c r="B19" s="11"/>
      <c r="C19" s="11" t="s">
        <v>44</v>
      </c>
      <c r="E19" s="6">
        <v>18341223</v>
      </c>
      <c r="G19" s="6">
        <v>5588620</v>
      </c>
      <c r="I19" s="6">
        <v>375837</v>
      </c>
      <c r="K19" s="6">
        <v>0</v>
      </c>
      <c r="M19" s="6">
        <v>0</v>
      </c>
      <c r="O19" s="6">
        <v>1741544</v>
      </c>
      <c r="Q19" s="6">
        <v>1887657</v>
      </c>
      <c r="S19" s="6">
        <v>31115</v>
      </c>
      <c r="U19" s="6">
        <v>3048337</v>
      </c>
      <c r="W19" s="6">
        <v>805298</v>
      </c>
      <c r="Y19" s="6">
        <v>0</v>
      </c>
      <c r="AA19" s="6">
        <v>3377652</v>
      </c>
      <c r="AC19" s="6">
        <v>1480677</v>
      </c>
      <c r="AE19" s="6">
        <v>20973</v>
      </c>
      <c r="AG19" s="11" t="s">
        <v>749</v>
      </c>
      <c r="AH19" s="11"/>
      <c r="AI19" s="11" t="s">
        <v>44</v>
      </c>
      <c r="AJ19" s="11"/>
      <c r="AK19" s="6">
        <v>0</v>
      </c>
      <c r="AM19" s="6">
        <v>1799592</v>
      </c>
      <c r="AO19" s="6">
        <v>778987</v>
      </c>
      <c r="AQ19" s="6">
        <v>1120681</v>
      </c>
      <c r="AU19" s="6">
        <v>0</v>
      </c>
      <c r="AW19" s="6">
        <f>SUM(E19:AV19)</f>
        <v>40398193</v>
      </c>
      <c r="AY19" s="6">
        <f>+'St of Activites - GA Rev'!AG19-'St of Activities - GA Exp'!AW19</f>
        <v>-297440</v>
      </c>
      <c r="BA19" s="6">
        <v>10638380</v>
      </c>
      <c r="BC19" s="6">
        <f>+AY19+BA19</f>
        <v>10340940</v>
      </c>
      <c r="BE19" s="6">
        <f>+'St of Net Assets - GA'!Y19-'St of Activities - GA Exp'!BC19</f>
        <v>0</v>
      </c>
    </row>
    <row r="20" spans="1:57">
      <c r="A20" s="11" t="s">
        <v>804</v>
      </c>
      <c r="B20" s="11"/>
      <c r="C20" s="11" t="s">
        <v>61</v>
      </c>
      <c r="E20" s="6">
        <v>5085510</v>
      </c>
      <c r="G20" s="6">
        <v>909191</v>
      </c>
      <c r="I20" s="6">
        <v>398782</v>
      </c>
      <c r="K20" s="6">
        <v>0</v>
      </c>
      <c r="M20" s="6">
        <v>11711</v>
      </c>
      <c r="O20" s="6">
        <v>454581</v>
      </c>
      <c r="Q20" s="6">
        <v>264321</v>
      </c>
      <c r="S20" s="6">
        <v>59842</v>
      </c>
      <c r="U20" s="6">
        <v>663958</v>
      </c>
      <c r="W20" s="6">
        <v>364844</v>
      </c>
      <c r="Y20" s="6">
        <v>85229</v>
      </c>
      <c r="AA20" s="6">
        <v>992814</v>
      </c>
      <c r="AC20" s="6">
        <v>679256</v>
      </c>
      <c r="AE20" s="6">
        <v>3864</v>
      </c>
      <c r="AG20" s="11" t="s">
        <v>804</v>
      </c>
      <c r="AH20" s="11"/>
      <c r="AI20" s="11" t="s">
        <v>61</v>
      </c>
      <c r="AJ20" s="11"/>
      <c r="AK20" s="6">
        <v>0</v>
      </c>
      <c r="AM20" s="6">
        <v>504993</v>
      </c>
      <c r="AO20" s="6">
        <v>613099</v>
      </c>
      <c r="AQ20" s="6">
        <v>154111</v>
      </c>
      <c r="AU20" s="6">
        <v>6935</v>
      </c>
      <c r="AW20" s="6">
        <f t="shared" si="2"/>
        <v>11253041</v>
      </c>
      <c r="AY20" s="6">
        <f>+'St of Activites - GA Rev'!AG20-'St of Activities - GA Exp'!AW20</f>
        <v>921000</v>
      </c>
      <c r="BA20" s="6">
        <v>12353498</v>
      </c>
      <c r="BC20" s="6">
        <f t="shared" si="3"/>
        <v>13274498</v>
      </c>
      <c r="BE20" s="6">
        <f>+'St of Net Assets - GA'!Y20-'St of Activities - GA Exp'!BC20</f>
        <v>0</v>
      </c>
    </row>
    <row r="21" spans="1:57" hidden="1">
      <c r="A21" s="11" t="s">
        <v>691</v>
      </c>
      <c r="B21" s="11"/>
      <c r="C21" s="11" t="s">
        <v>603</v>
      </c>
      <c r="AG21" s="11" t="s">
        <v>691</v>
      </c>
      <c r="AH21" s="11"/>
      <c r="AI21" s="11" t="s">
        <v>603</v>
      </c>
      <c r="AJ21" s="11"/>
      <c r="AW21" s="6">
        <f t="shared" si="2"/>
        <v>0</v>
      </c>
      <c r="AY21" s="6">
        <f>+'St of Activites - GA Rev'!AG21-'St of Activities - GA Exp'!AW21</f>
        <v>0</v>
      </c>
      <c r="BC21" s="6">
        <f t="shared" si="3"/>
        <v>0</v>
      </c>
      <c r="BE21" s="6">
        <f>+'St of Net Assets - GA'!Y21-'St of Activities - GA Exp'!BC21</f>
        <v>0</v>
      </c>
    </row>
    <row r="22" spans="1:57">
      <c r="A22" s="11" t="s">
        <v>390</v>
      </c>
      <c r="B22" s="11"/>
      <c r="C22" s="11" t="s">
        <v>115</v>
      </c>
      <c r="E22" s="6">
        <v>19850591</v>
      </c>
      <c r="G22" s="6">
        <v>2940377</v>
      </c>
      <c r="I22" s="6">
        <v>8850</v>
      </c>
      <c r="K22" s="6">
        <v>0</v>
      </c>
      <c r="M22" s="6">
        <v>0</v>
      </c>
      <c r="O22" s="6">
        <v>1705653</v>
      </c>
      <c r="Q22" s="6">
        <v>857877</v>
      </c>
      <c r="S22" s="6">
        <v>617101</v>
      </c>
      <c r="U22" s="6">
        <v>3142934</v>
      </c>
      <c r="W22" s="6">
        <v>972982</v>
      </c>
      <c r="Y22" s="6">
        <v>24922</v>
      </c>
      <c r="AA22" s="6">
        <v>4109167</v>
      </c>
      <c r="AC22" s="6">
        <v>2640433</v>
      </c>
      <c r="AE22" s="6">
        <v>52775</v>
      </c>
      <c r="AG22" s="11" t="s">
        <v>390</v>
      </c>
      <c r="AH22" s="11"/>
      <c r="AI22" s="11" t="s">
        <v>115</v>
      </c>
      <c r="AJ22" s="11"/>
      <c r="AK22" s="6">
        <v>1135593</v>
      </c>
      <c r="AM22" s="6">
        <v>228835</v>
      </c>
      <c r="AO22" s="6">
        <v>1140909</v>
      </c>
      <c r="AQ22" s="6">
        <v>1496732</v>
      </c>
      <c r="AU22" s="6">
        <v>0</v>
      </c>
      <c r="AW22" s="6">
        <f t="shared" si="2"/>
        <v>40925731</v>
      </c>
      <c r="AY22" s="6">
        <f>+'St of Activites - GA Rev'!AG22-'St of Activities - GA Exp'!AW22</f>
        <v>-1607769</v>
      </c>
      <c r="BA22" s="6">
        <v>4419398</v>
      </c>
      <c r="BC22" s="6">
        <f t="shared" si="3"/>
        <v>2811629</v>
      </c>
      <c r="BE22" s="6">
        <f>+'St of Net Assets - GA'!Y22-'St of Activities - GA Exp'!BC22</f>
        <v>0</v>
      </c>
    </row>
    <row r="23" spans="1:57" hidden="1">
      <c r="A23" s="11" t="s">
        <v>865</v>
      </c>
      <c r="B23" s="11"/>
      <c r="C23" s="11" t="s">
        <v>450</v>
      </c>
      <c r="AG23" s="11" t="s">
        <v>865</v>
      </c>
      <c r="AH23" s="11"/>
      <c r="AI23" s="11" t="s">
        <v>450</v>
      </c>
      <c r="AJ23" s="11"/>
      <c r="AU23" s="6">
        <v>0</v>
      </c>
      <c r="AW23" s="6">
        <f t="shared" ref="AW23" si="4">SUM(E23:AV23)</f>
        <v>0</v>
      </c>
      <c r="AY23" s="6">
        <f>+'St of Activites - GA Rev'!AG23-'St of Activities - GA Exp'!AW23</f>
        <v>0</v>
      </c>
      <c r="BC23" s="6">
        <f t="shared" ref="BC23" si="5">+AY23+BA23</f>
        <v>0</v>
      </c>
      <c r="BE23" s="6">
        <f>+'St of Net Assets - GA'!Y23-'St of Activities - GA Exp'!BC23</f>
        <v>0</v>
      </c>
    </row>
    <row r="24" spans="1:57">
      <c r="A24" s="11" t="s">
        <v>334</v>
      </c>
      <c r="B24" s="11"/>
      <c r="C24" s="11" t="s">
        <v>33</v>
      </c>
      <c r="E24" s="6">
        <v>2618110</v>
      </c>
      <c r="G24" s="6">
        <v>365131</v>
      </c>
      <c r="I24" s="6">
        <v>329176</v>
      </c>
      <c r="K24" s="6">
        <v>0</v>
      </c>
      <c r="M24" s="6">
        <v>0</v>
      </c>
      <c r="O24" s="6">
        <v>231981</v>
      </c>
      <c r="Q24" s="6">
        <v>206564</v>
      </c>
      <c r="S24" s="6">
        <v>24262</v>
      </c>
      <c r="U24" s="6">
        <v>631383</v>
      </c>
      <c r="W24" s="6">
        <v>194324</v>
      </c>
      <c r="Y24" s="6">
        <v>0</v>
      </c>
      <c r="AA24" s="6">
        <v>514404</v>
      </c>
      <c r="AC24" s="6">
        <v>347567</v>
      </c>
      <c r="AE24" s="6">
        <v>3970</v>
      </c>
      <c r="AG24" s="11" t="s">
        <v>334</v>
      </c>
      <c r="AH24" s="11"/>
      <c r="AI24" s="11" t="s">
        <v>33</v>
      </c>
      <c r="AJ24" s="11"/>
      <c r="AK24" s="6">
        <v>0</v>
      </c>
      <c r="AM24" s="6">
        <v>303064</v>
      </c>
      <c r="AO24" s="6">
        <v>248336</v>
      </c>
      <c r="AQ24" s="6">
        <v>0</v>
      </c>
      <c r="AU24" s="6">
        <v>0</v>
      </c>
      <c r="AW24" s="6">
        <f t="shared" si="2"/>
        <v>6018272</v>
      </c>
      <c r="AY24" s="6">
        <f>+'St of Activites - GA Rev'!AG24-'St of Activities - GA Exp'!AW24</f>
        <v>657773</v>
      </c>
      <c r="BA24" s="6">
        <v>4968850</v>
      </c>
      <c r="BC24" s="6">
        <f t="shared" si="3"/>
        <v>5626623</v>
      </c>
      <c r="BE24" s="6">
        <f>+'St of Net Assets - GA'!Y24-'St of Activities - GA Exp'!BC24</f>
        <v>0</v>
      </c>
    </row>
    <row r="25" spans="1:57" ht="12" hidden="1" customHeight="1">
      <c r="A25" s="11" t="s">
        <v>670</v>
      </c>
      <c r="B25" s="11"/>
      <c r="C25" s="11" t="s">
        <v>21</v>
      </c>
      <c r="AG25" s="11" t="s">
        <v>670</v>
      </c>
      <c r="AH25" s="11"/>
      <c r="AI25" s="11" t="s">
        <v>21</v>
      </c>
      <c r="AJ25" s="11"/>
      <c r="AW25" s="6">
        <f t="shared" si="2"/>
        <v>0</v>
      </c>
      <c r="AY25" s="6">
        <f>+'St of Activites - GA Rev'!AG25-'St of Activities - GA Exp'!AW25</f>
        <v>0</v>
      </c>
      <c r="BC25" s="6">
        <f t="shared" si="3"/>
        <v>0</v>
      </c>
      <c r="BE25" s="6">
        <f>+'St of Net Assets - GA'!Y25-'St of Activities - GA Exp'!BC25</f>
        <v>0</v>
      </c>
    </row>
    <row r="26" spans="1:57">
      <c r="A26" s="11" t="s">
        <v>866</v>
      </c>
      <c r="B26" s="11"/>
      <c r="C26" s="11" t="s">
        <v>28</v>
      </c>
      <c r="E26" s="6">
        <v>6916224</v>
      </c>
      <c r="G26" s="6">
        <v>1228663</v>
      </c>
      <c r="I26" s="6">
        <v>196178</v>
      </c>
      <c r="K26" s="6">
        <v>0</v>
      </c>
      <c r="M26" s="6">
        <f>2265+27904</f>
        <v>30169</v>
      </c>
      <c r="O26" s="6">
        <v>877662</v>
      </c>
      <c r="Q26" s="6">
        <v>495378</v>
      </c>
      <c r="S26" s="6">
        <v>43686</v>
      </c>
      <c r="U26" s="6">
        <v>792732</v>
      </c>
      <c r="W26" s="6">
        <v>375438</v>
      </c>
      <c r="Y26" s="6">
        <v>0</v>
      </c>
      <c r="AA26" s="6">
        <v>1042683</v>
      </c>
      <c r="AC26" s="6">
        <v>554373</v>
      </c>
      <c r="AE26" s="6">
        <v>0</v>
      </c>
      <c r="AG26" s="11" t="s">
        <v>866</v>
      </c>
      <c r="AH26" s="11"/>
      <c r="AI26" s="11" t="s">
        <v>28</v>
      </c>
      <c r="AJ26" s="11"/>
      <c r="AK26" s="6">
        <v>0</v>
      </c>
      <c r="AM26" s="6">
        <v>533243</v>
      </c>
      <c r="AO26" s="6">
        <v>732513</v>
      </c>
      <c r="AQ26" s="6">
        <v>463244</v>
      </c>
      <c r="AU26" s="6">
        <v>19965</v>
      </c>
      <c r="AW26" s="6">
        <f t="shared" si="2"/>
        <v>14302151</v>
      </c>
      <c r="AY26" s="6">
        <f>+'St of Activites - GA Rev'!AG26-'St of Activities - GA Exp'!AW26</f>
        <v>364392</v>
      </c>
      <c r="BA26" s="6">
        <v>13902279</v>
      </c>
      <c r="BC26" s="6">
        <f t="shared" si="3"/>
        <v>14266671</v>
      </c>
      <c r="BE26" s="6">
        <f>+'St of Net Assets - GA'!Y26-'St of Activities - GA Exp'!BC26</f>
        <v>0</v>
      </c>
    </row>
    <row r="27" spans="1:57">
      <c r="A27" s="11" t="s">
        <v>335</v>
      </c>
      <c r="B27" s="11"/>
      <c r="C27" s="11" t="s">
        <v>33</v>
      </c>
      <c r="E27" s="6">
        <v>3109191</v>
      </c>
      <c r="G27" s="6">
        <v>769139</v>
      </c>
      <c r="I27" s="6">
        <v>319632</v>
      </c>
      <c r="K27" s="6">
        <v>0</v>
      </c>
      <c r="M27" s="6">
        <v>0</v>
      </c>
      <c r="O27" s="6">
        <v>279452</v>
      </c>
      <c r="Q27" s="6">
        <v>300987</v>
      </c>
      <c r="S27" s="6">
        <v>21508</v>
      </c>
      <c r="U27" s="6">
        <v>510439</v>
      </c>
      <c r="W27" s="6">
        <v>224771</v>
      </c>
      <c r="Y27" s="6">
        <v>0</v>
      </c>
      <c r="AA27" s="6">
        <v>490951</v>
      </c>
      <c r="AC27" s="6">
        <v>261038</v>
      </c>
      <c r="AE27" s="6">
        <v>1054</v>
      </c>
      <c r="AG27" s="11" t="s">
        <v>335</v>
      </c>
      <c r="AH27" s="11"/>
      <c r="AI27" s="11" t="s">
        <v>33</v>
      </c>
      <c r="AJ27" s="11"/>
      <c r="AK27" s="6">
        <v>0</v>
      </c>
      <c r="AM27" s="6">
        <v>256521</v>
      </c>
      <c r="AO27" s="6">
        <v>313222</v>
      </c>
      <c r="AQ27" s="6">
        <v>23260</v>
      </c>
      <c r="AU27" s="6">
        <v>0</v>
      </c>
      <c r="AW27" s="6">
        <f t="shared" si="2"/>
        <v>6881165</v>
      </c>
      <c r="AY27" s="6">
        <f>+'St of Activites - GA Rev'!AG27-'St of Activities - GA Exp'!AW27</f>
        <v>-186198</v>
      </c>
      <c r="BA27" s="6">
        <v>5899523</v>
      </c>
      <c r="BC27" s="6">
        <f t="shared" si="3"/>
        <v>5713325</v>
      </c>
      <c r="BE27" s="6">
        <f>+'St of Net Assets - GA'!Y27-'St of Activities - GA Exp'!BC27</f>
        <v>0</v>
      </c>
    </row>
    <row r="28" spans="1:57">
      <c r="A28" s="11" t="s">
        <v>203</v>
      </c>
      <c r="B28" s="11"/>
      <c r="C28" s="11" t="s">
        <v>11</v>
      </c>
      <c r="E28" s="6">
        <v>15287057</v>
      </c>
      <c r="G28" s="6">
        <v>4789267</v>
      </c>
      <c r="I28" s="6">
        <v>639691</v>
      </c>
      <c r="K28" s="6">
        <v>0</v>
      </c>
      <c r="M28" s="6">
        <v>952081</v>
      </c>
      <c r="O28" s="6">
        <v>1684797</v>
      </c>
      <c r="Q28" s="6">
        <v>1560738</v>
      </c>
      <c r="S28" s="6">
        <v>90601</v>
      </c>
      <c r="U28" s="6">
        <v>2428213</v>
      </c>
      <c r="W28" s="6">
        <v>843685</v>
      </c>
      <c r="Y28" s="6">
        <v>329338</v>
      </c>
      <c r="AA28" s="6">
        <v>2878679</v>
      </c>
      <c r="AC28" s="6">
        <v>1237917</v>
      </c>
      <c r="AE28" s="6">
        <v>318692</v>
      </c>
      <c r="AG28" s="11" t="s">
        <v>203</v>
      </c>
      <c r="AH28" s="11"/>
      <c r="AI28" s="11" t="s">
        <v>11</v>
      </c>
      <c r="AJ28" s="11"/>
      <c r="AK28" s="6">
        <v>1418988</v>
      </c>
      <c r="AM28" s="6">
        <v>180107</v>
      </c>
      <c r="AO28" s="6">
        <v>963492</v>
      </c>
      <c r="AQ28" s="6">
        <v>116700</v>
      </c>
      <c r="AU28" s="6">
        <v>0</v>
      </c>
      <c r="AW28" s="6">
        <f t="shared" si="2"/>
        <v>35720043</v>
      </c>
      <c r="AY28" s="6">
        <f>+'St of Activites - GA Rev'!AG28-'St of Activities - GA Exp'!AW28</f>
        <v>-2040789</v>
      </c>
      <c r="BA28" s="6">
        <v>16164138</v>
      </c>
      <c r="BC28" s="6">
        <f t="shared" si="3"/>
        <v>14123349</v>
      </c>
      <c r="BE28" s="6">
        <f>+'St of Net Assets - GA'!Y28-'St of Activities - GA Exp'!BC28</f>
        <v>0</v>
      </c>
    </row>
    <row r="29" spans="1:57" ht="12" customHeight="1">
      <c r="A29" s="11" t="s">
        <v>669</v>
      </c>
      <c r="B29" s="11"/>
      <c r="C29" s="11" t="s">
        <v>12</v>
      </c>
      <c r="E29" s="6">
        <v>18091120</v>
      </c>
      <c r="G29" s="6">
        <v>6785613</v>
      </c>
      <c r="I29" s="6">
        <v>199656</v>
      </c>
      <c r="K29" s="6">
        <v>0</v>
      </c>
      <c r="M29" s="6">
        <v>549166</v>
      </c>
      <c r="O29" s="6">
        <v>1935717</v>
      </c>
      <c r="Q29" s="6">
        <v>2831780</v>
      </c>
      <c r="S29" s="6">
        <v>180322</v>
      </c>
      <c r="U29" s="6">
        <v>2373292</v>
      </c>
      <c r="W29" s="6">
        <v>818660</v>
      </c>
      <c r="Y29" s="6">
        <v>602336</v>
      </c>
      <c r="AA29" s="6">
        <v>3542413</v>
      </c>
      <c r="AC29" s="6">
        <v>2364030</v>
      </c>
      <c r="AE29" s="6">
        <v>146888</v>
      </c>
      <c r="AG29" s="11" t="s">
        <v>669</v>
      </c>
      <c r="AH29" s="11"/>
      <c r="AI29" s="11" t="s">
        <v>12</v>
      </c>
      <c r="AJ29" s="11"/>
      <c r="AK29" s="6">
        <v>1831191</v>
      </c>
      <c r="AM29" s="6">
        <v>0</v>
      </c>
      <c r="AO29" s="6">
        <v>615200</v>
      </c>
      <c r="AQ29" s="6">
        <v>1337773</v>
      </c>
      <c r="AU29" s="6">
        <v>4871551</v>
      </c>
      <c r="AW29" s="6">
        <f t="shared" si="2"/>
        <v>49076708</v>
      </c>
      <c r="AY29" s="6">
        <f>+'St of Activites - GA Rev'!AG29-'St of Activities - GA Exp'!AW29</f>
        <v>8177490</v>
      </c>
      <c r="BA29" s="6">
        <v>90348313</v>
      </c>
      <c r="BC29" s="6">
        <f t="shared" si="3"/>
        <v>98525803</v>
      </c>
      <c r="BE29" s="6">
        <f>+'St of Net Assets - GA'!Y29-'St of Activities - GA Exp'!BC29</f>
        <v>0</v>
      </c>
    </row>
    <row r="30" spans="1:57">
      <c r="A30" s="11" t="s">
        <v>210</v>
      </c>
      <c r="B30" s="11"/>
      <c r="C30" s="11" t="s">
        <v>13</v>
      </c>
      <c r="E30" s="6">
        <v>18187080</v>
      </c>
      <c r="G30" s="6">
        <v>3860753</v>
      </c>
      <c r="I30" s="6">
        <v>426089</v>
      </c>
      <c r="K30" s="6">
        <v>0</v>
      </c>
      <c r="M30" s="6">
        <v>140530</v>
      </c>
      <c r="O30" s="6">
        <v>1424781</v>
      </c>
      <c r="Q30" s="6">
        <v>2585026</v>
      </c>
      <c r="S30" s="6">
        <v>124844</v>
      </c>
      <c r="U30" s="6">
        <v>1893072</v>
      </c>
      <c r="W30" s="6">
        <v>663653</v>
      </c>
      <c r="Y30" s="6">
        <v>512174</v>
      </c>
      <c r="AA30" s="6">
        <v>3352531</v>
      </c>
      <c r="AC30" s="6">
        <v>1751924</v>
      </c>
      <c r="AE30" s="6">
        <v>240493</v>
      </c>
      <c r="AG30" s="11" t="s">
        <v>210</v>
      </c>
      <c r="AH30" s="11"/>
      <c r="AI30" s="11" t="s">
        <v>13</v>
      </c>
      <c r="AJ30" s="11"/>
      <c r="AK30" s="6">
        <v>804940</v>
      </c>
      <c r="AM30" s="6">
        <v>11221</v>
      </c>
      <c r="AO30" s="6">
        <v>520707</v>
      </c>
      <c r="AQ30" s="6">
        <v>696149</v>
      </c>
      <c r="AU30" s="6">
        <v>0</v>
      </c>
      <c r="AW30" s="6">
        <f t="shared" si="2"/>
        <v>37195967</v>
      </c>
      <c r="AY30" s="6">
        <f>+'St of Activites - GA Rev'!AG30-'St of Activities - GA Exp'!AW30</f>
        <v>-1385583</v>
      </c>
      <c r="BA30" s="6">
        <v>25016777</v>
      </c>
      <c r="BC30" s="6">
        <f t="shared" si="3"/>
        <v>23631194</v>
      </c>
      <c r="BE30" s="6">
        <f>+'St of Net Assets - GA'!Y30-'St of Activities - GA Exp'!BC30</f>
        <v>0</v>
      </c>
    </row>
    <row r="31" spans="1:57">
      <c r="A31" s="11" t="s">
        <v>459</v>
      </c>
      <c r="B31" s="11"/>
      <c r="C31" s="11" t="s">
        <v>56</v>
      </c>
      <c r="E31" s="6">
        <v>14190687</v>
      </c>
      <c r="G31" s="6">
        <v>2333688</v>
      </c>
      <c r="I31" s="6">
        <v>185867</v>
      </c>
      <c r="K31" s="6">
        <v>0</v>
      </c>
      <c r="M31" s="6">
        <v>1150382</v>
      </c>
      <c r="O31" s="6">
        <v>1873571</v>
      </c>
      <c r="Q31" s="6">
        <v>2276120</v>
      </c>
      <c r="S31" s="6">
        <v>92026</v>
      </c>
      <c r="U31" s="6">
        <v>2231644</v>
      </c>
      <c r="W31" s="6">
        <v>825375</v>
      </c>
      <c r="Y31" s="6">
        <v>199985</v>
      </c>
      <c r="AA31" s="6">
        <v>3045615</v>
      </c>
      <c r="AC31" s="6">
        <v>1787997</v>
      </c>
      <c r="AE31" s="6">
        <v>257433</v>
      </c>
      <c r="AG31" s="11" t="s">
        <v>459</v>
      </c>
      <c r="AH31" s="11"/>
      <c r="AI31" s="11" t="s">
        <v>56</v>
      </c>
      <c r="AJ31" s="11"/>
      <c r="AK31" s="6">
        <v>806327</v>
      </c>
      <c r="AM31" s="6">
        <v>201302</v>
      </c>
      <c r="AO31" s="6">
        <v>1105768</v>
      </c>
      <c r="AQ31" s="6">
        <v>1413430</v>
      </c>
      <c r="AU31" s="6">
        <v>0</v>
      </c>
      <c r="AW31" s="6">
        <f t="shared" si="2"/>
        <v>33977217</v>
      </c>
      <c r="AY31" s="6">
        <f>+'St of Activites - GA Rev'!AG31-'St of Activities - GA Exp'!AW31</f>
        <v>657388</v>
      </c>
      <c r="BA31" s="6">
        <v>9559225</v>
      </c>
      <c r="BC31" s="6">
        <f t="shared" si="3"/>
        <v>10216613</v>
      </c>
      <c r="BE31" s="6">
        <f>+'St of Net Assets - GA'!Y31-'St of Activities - GA Exp'!BC31</f>
        <v>0</v>
      </c>
    </row>
    <row r="32" spans="1:57">
      <c r="A32" s="11" t="s">
        <v>401</v>
      </c>
      <c r="B32" s="11"/>
      <c r="C32" s="11" t="s">
        <v>45</v>
      </c>
      <c r="E32" s="6">
        <v>19067875</v>
      </c>
      <c r="G32" s="6">
        <v>6170894</v>
      </c>
      <c r="I32" s="6">
        <v>265908</v>
      </c>
      <c r="K32" s="6">
        <v>0</v>
      </c>
      <c r="M32" s="6">
        <v>1735218</v>
      </c>
      <c r="O32" s="6">
        <v>2727204</v>
      </c>
      <c r="Q32" s="6">
        <v>1276998</v>
      </c>
      <c r="S32" s="6">
        <v>70486</v>
      </c>
      <c r="U32" s="6">
        <v>3611879</v>
      </c>
      <c r="W32" s="6">
        <v>922903</v>
      </c>
      <c r="Y32" s="6">
        <v>1579</v>
      </c>
      <c r="AA32" s="6">
        <v>3881539</v>
      </c>
      <c r="AC32" s="6">
        <v>2524356</v>
      </c>
      <c r="AE32" s="6">
        <v>19025</v>
      </c>
      <c r="AG32" s="11" t="s">
        <v>401</v>
      </c>
      <c r="AH32" s="11"/>
      <c r="AI32" s="11" t="s">
        <v>45</v>
      </c>
      <c r="AJ32" s="11"/>
      <c r="AK32" s="6">
        <v>2175771</v>
      </c>
      <c r="AM32" s="6">
        <v>190475</v>
      </c>
      <c r="AO32" s="6">
        <v>1021988</v>
      </c>
      <c r="AQ32" s="6">
        <v>2577479</v>
      </c>
      <c r="AU32" s="6">
        <v>0</v>
      </c>
      <c r="AW32" s="6">
        <f t="shared" si="2"/>
        <v>48241577</v>
      </c>
      <c r="AY32" s="6">
        <f>+'St of Activites - GA Rev'!AG32-'St of Activities - GA Exp'!AW32</f>
        <v>1840730</v>
      </c>
      <c r="BA32" s="6">
        <v>38476029</v>
      </c>
      <c r="BC32" s="6">
        <f t="shared" si="3"/>
        <v>40316759</v>
      </c>
      <c r="BE32" s="6">
        <f>+'St of Net Assets - GA'!Y32-'St of Activities - GA Exp'!BC32</f>
        <v>0</v>
      </c>
    </row>
    <row r="33" spans="1:57">
      <c r="A33" s="11" t="s">
        <v>380</v>
      </c>
      <c r="B33" s="11"/>
      <c r="C33" s="11" t="s">
        <v>44</v>
      </c>
      <c r="E33" s="6">
        <v>19379608</v>
      </c>
      <c r="G33" s="6">
        <v>2727407</v>
      </c>
      <c r="I33" s="6">
        <v>65886</v>
      </c>
      <c r="K33" s="6">
        <v>17130</v>
      </c>
      <c r="M33" s="6">
        <v>1544720</v>
      </c>
      <c r="O33" s="6">
        <v>3685135</v>
      </c>
      <c r="Q33" s="6">
        <v>895534</v>
      </c>
      <c r="S33" s="6">
        <v>21129</v>
      </c>
      <c r="U33" s="6">
        <v>3516540</v>
      </c>
      <c r="W33" s="6">
        <v>1111341</v>
      </c>
      <c r="Y33" s="6">
        <v>144746</v>
      </c>
      <c r="AA33" s="6">
        <v>7165255</v>
      </c>
      <c r="AC33" s="6">
        <v>1362748</v>
      </c>
      <c r="AE33" s="6">
        <v>217284</v>
      </c>
      <c r="AG33" s="11" t="s">
        <v>380</v>
      </c>
      <c r="AH33" s="11"/>
      <c r="AI33" s="11" t="s">
        <v>44</v>
      </c>
      <c r="AJ33" s="11"/>
      <c r="AK33" s="6">
        <v>1377802</v>
      </c>
      <c r="AM33" s="6">
        <v>259851</v>
      </c>
      <c r="AO33" s="6">
        <v>1297017</v>
      </c>
      <c r="AQ33" s="6">
        <v>3036866</v>
      </c>
      <c r="AU33" s="6">
        <v>0</v>
      </c>
      <c r="AW33" s="6">
        <f t="shared" si="2"/>
        <v>47825999</v>
      </c>
      <c r="AY33" s="6">
        <f>+'St of Activites - GA Rev'!AG33-'St of Activities - GA Exp'!AW33</f>
        <v>-2449146</v>
      </c>
      <c r="BA33" s="6">
        <v>22788380</v>
      </c>
      <c r="BC33" s="6">
        <f t="shared" si="3"/>
        <v>20339234</v>
      </c>
      <c r="BE33" s="6">
        <f>+'St of Net Assets - GA'!Y33-'St of Activities - GA Exp'!BC33</f>
        <v>0</v>
      </c>
    </row>
    <row r="34" spans="1:57">
      <c r="A34" s="11" t="s">
        <v>381</v>
      </c>
      <c r="B34" s="11"/>
      <c r="C34" s="11" t="s">
        <v>44</v>
      </c>
      <c r="E34" s="6">
        <v>15062296</v>
      </c>
      <c r="G34" s="6">
        <v>4095474</v>
      </c>
      <c r="I34" s="6">
        <v>173691</v>
      </c>
      <c r="K34" s="6">
        <v>0</v>
      </c>
      <c r="M34" s="6">
        <v>651164</v>
      </c>
      <c r="O34" s="6">
        <v>1140126</v>
      </c>
      <c r="Q34" s="6">
        <v>1793623</v>
      </c>
      <c r="S34" s="6">
        <v>183895</v>
      </c>
      <c r="U34" s="6">
        <v>1969170</v>
      </c>
      <c r="W34" s="6">
        <v>863110</v>
      </c>
      <c r="Y34" s="6">
        <v>129296</v>
      </c>
      <c r="AA34" s="6">
        <v>2022894</v>
      </c>
      <c r="AC34" s="6">
        <v>1876822</v>
      </c>
      <c r="AE34" s="6">
        <v>372853</v>
      </c>
      <c r="AG34" s="11" t="s">
        <v>381</v>
      </c>
      <c r="AH34" s="11"/>
      <c r="AI34" s="11" t="s">
        <v>44</v>
      </c>
      <c r="AJ34" s="11"/>
      <c r="AK34" s="6">
        <v>817915</v>
      </c>
      <c r="AM34" s="6">
        <f>192839+839196</f>
        <v>1032035</v>
      </c>
      <c r="AO34" s="6">
        <v>976811</v>
      </c>
      <c r="AQ34" s="6">
        <v>1771612</v>
      </c>
      <c r="AU34" s="6">
        <v>0</v>
      </c>
      <c r="AW34" s="6">
        <f t="shared" si="2"/>
        <v>34932787</v>
      </c>
      <c r="AY34" s="6">
        <f>+'St of Activites - GA Rev'!AG34-'St of Activities - GA Exp'!AW34</f>
        <v>6368408</v>
      </c>
      <c r="BA34" s="6">
        <v>24420998</v>
      </c>
      <c r="BC34" s="6">
        <f t="shared" si="3"/>
        <v>30789406</v>
      </c>
      <c r="BE34" s="6">
        <f>+'St of Net Assets - GA'!Y34-'St of Activities - GA Exp'!BC34</f>
        <v>0</v>
      </c>
    </row>
    <row r="35" spans="1:57">
      <c r="A35" s="11" t="s">
        <v>283</v>
      </c>
      <c r="B35" s="11"/>
      <c r="C35" s="11" t="s">
        <v>22</v>
      </c>
      <c r="E35" s="6">
        <v>4014004</v>
      </c>
      <c r="G35" s="6">
        <v>557787</v>
      </c>
      <c r="I35" s="6">
        <v>64072</v>
      </c>
      <c r="K35" s="6">
        <v>0</v>
      </c>
      <c r="M35" s="6">
        <v>354712</v>
      </c>
      <c r="O35" s="6">
        <v>358208</v>
      </c>
      <c r="Q35" s="6">
        <v>329705</v>
      </c>
      <c r="S35" s="6">
        <v>17502</v>
      </c>
      <c r="U35" s="6">
        <v>584976</v>
      </c>
      <c r="W35" s="6">
        <v>322106</v>
      </c>
      <c r="Y35" s="6">
        <v>0</v>
      </c>
      <c r="AA35" s="6">
        <v>655438</v>
      </c>
      <c r="AC35" s="6">
        <v>296765</v>
      </c>
      <c r="AE35" s="6">
        <v>61851</v>
      </c>
      <c r="AG35" s="11" t="s">
        <v>283</v>
      </c>
      <c r="AH35" s="11"/>
      <c r="AI35" s="11" t="s">
        <v>22</v>
      </c>
      <c r="AJ35" s="11"/>
      <c r="AK35" s="6">
        <v>362679</v>
      </c>
      <c r="AM35" s="6">
        <v>139883</v>
      </c>
      <c r="AO35" s="6">
        <v>445940</v>
      </c>
      <c r="AQ35" s="6">
        <v>7319</v>
      </c>
      <c r="AU35" s="6">
        <v>0</v>
      </c>
      <c r="AW35" s="6">
        <f t="shared" si="2"/>
        <v>8572947</v>
      </c>
      <c r="AY35" s="6">
        <f>+'St of Activites - GA Rev'!AG35-'St of Activities - GA Exp'!AW35</f>
        <v>402422</v>
      </c>
      <c r="BA35" s="6">
        <v>5442286</v>
      </c>
      <c r="BC35" s="6">
        <f t="shared" si="3"/>
        <v>5844708</v>
      </c>
      <c r="BE35" s="6">
        <f>+'St of Net Assets - GA'!Y35-'St of Activities - GA Exp'!BC35</f>
        <v>0</v>
      </c>
    </row>
    <row r="36" spans="1:57">
      <c r="A36" s="11" t="s">
        <v>507</v>
      </c>
      <c r="B36" s="11"/>
      <c r="C36" s="11" t="s">
        <v>63</v>
      </c>
      <c r="E36" s="6">
        <v>18372004</v>
      </c>
      <c r="G36" s="6">
        <v>5474899</v>
      </c>
      <c r="I36" s="6">
        <v>1372541</v>
      </c>
      <c r="K36" s="6">
        <v>0</v>
      </c>
      <c r="M36" s="6">
        <v>4914650</v>
      </c>
      <c r="O36" s="6">
        <v>2180777</v>
      </c>
      <c r="Q36" s="6">
        <v>2749627</v>
      </c>
      <c r="S36" s="6">
        <v>25755</v>
      </c>
      <c r="U36" s="6">
        <v>3408434</v>
      </c>
      <c r="W36" s="6">
        <v>869668</v>
      </c>
      <c r="Y36" s="6">
        <v>344838</v>
      </c>
      <c r="AA36" s="6">
        <v>4698610</v>
      </c>
      <c r="AC36" s="6">
        <v>1294815</v>
      </c>
      <c r="AE36" s="6">
        <v>109408</v>
      </c>
      <c r="AG36" s="11" t="s">
        <v>507</v>
      </c>
      <c r="AH36" s="11"/>
      <c r="AI36" s="11" t="s">
        <v>63</v>
      </c>
      <c r="AJ36" s="11"/>
      <c r="AK36" s="6">
        <v>2218849</v>
      </c>
      <c r="AM36" s="6">
        <v>272003</v>
      </c>
      <c r="AO36" s="6">
        <v>2059837</v>
      </c>
      <c r="AQ36" s="6">
        <v>2667663</v>
      </c>
      <c r="AU36" s="6">
        <v>0</v>
      </c>
      <c r="AW36" s="6">
        <f t="shared" si="2"/>
        <v>53034378</v>
      </c>
      <c r="AY36" s="6">
        <f>+'St of Activites - GA Rev'!AG36-'St of Activities - GA Exp'!AW36</f>
        <v>-3064966</v>
      </c>
      <c r="BA36" s="6">
        <v>84930155</v>
      </c>
      <c r="BC36" s="6">
        <f t="shared" si="3"/>
        <v>81865189</v>
      </c>
      <c r="BE36" s="6">
        <f>+'St of Net Assets - GA'!Y36-'St of Activities - GA Exp'!BC36</f>
        <v>0</v>
      </c>
    </row>
    <row r="37" spans="1:57">
      <c r="A37" s="11" t="s">
        <v>750</v>
      </c>
      <c r="B37" s="11"/>
      <c r="C37" s="11" t="s">
        <v>15</v>
      </c>
      <c r="E37" s="6">
        <v>5286741</v>
      </c>
      <c r="G37" s="6">
        <v>1274764</v>
      </c>
      <c r="I37" s="6">
        <v>215355</v>
      </c>
      <c r="K37" s="6">
        <v>0</v>
      </c>
      <c r="M37" s="6">
        <v>260870</v>
      </c>
      <c r="O37" s="6">
        <v>827475</v>
      </c>
      <c r="Q37" s="6">
        <v>451325</v>
      </c>
      <c r="S37" s="6">
        <v>139224</v>
      </c>
      <c r="U37" s="6">
        <v>694415</v>
      </c>
      <c r="W37" s="6">
        <v>400151</v>
      </c>
      <c r="Y37" s="6">
        <v>26866</v>
      </c>
      <c r="AA37" s="6">
        <v>1110456</v>
      </c>
      <c r="AC37" s="6">
        <v>744828</v>
      </c>
      <c r="AE37" s="6">
        <v>7717</v>
      </c>
      <c r="AG37" s="11" t="s">
        <v>750</v>
      </c>
      <c r="AH37" s="11"/>
      <c r="AI37" s="11" t="s">
        <v>15</v>
      </c>
      <c r="AJ37" s="11"/>
      <c r="AK37" s="6">
        <v>387097</v>
      </c>
      <c r="AM37" s="6">
        <v>46913</v>
      </c>
      <c r="AO37" s="6">
        <v>197345</v>
      </c>
      <c r="AQ37" s="6">
        <v>225761</v>
      </c>
      <c r="AU37" s="6">
        <v>0</v>
      </c>
      <c r="AW37" s="6">
        <f t="shared" si="2"/>
        <v>12297303</v>
      </c>
      <c r="AY37" s="6">
        <f>+'St of Activites - GA Rev'!AG37-'St of Activities - GA Exp'!AW37</f>
        <v>293886</v>
      </c>
      <c r="BA37" s="6">
        <v>15503958</v>
      </c>
      <c r="BC37" s="6">
        <f t="shared" si="3"/>
        <v>15797844</v>
      </c>
      <c r="BE37" s="6">
        <f>+'St of Net Assets - GA'!Y37-'St of Activities - GA Exp'!BC37</f>
        <v>0</v>
      </c>
    </row>
    <row r="38" spans="1:57">
      <c r="A38" s="11" t="s">
        <v>237</v>
      </c>
      <c r="B38" s="11"/>
      <c r="C38" s="11" t="s">
        <v>113</v>
      </c>
      <c r="E38" s="6">
        <v>9218932</v>
      </c>
      <c r="G38" s="6">
        <v>4304072</v>
      </c>
      <c r="I38" s="6">
        <v>0</v>
      </c>
      <c r="K38" s="6">
        <v>0</v>
      </c>
      <c r="M38" s="6">
        <v>95147</v>
      </c>
      <c r="O38" s="6">
        <v>401229</v>
      </c>
      <c r="Q38" s="6">
        <v>273321</v>
      </c>
      <c r="S38" s="6">
        <v>193130</v>
      </c>
      <c r="U38" s="6">
        <v>1292464</v>
      </c>
      <c r="W38" s="6">
        <v>493744</v>
      </c>
      <c r="Y38" s="6">
        <v>0</v>
      </c>
      <c r="AA38" s="6">
        <v>1314406</v>
      </c>
      <c r="AC38" s="6">
        <v>1494850</v>
      </c>
      <c r="AE38" s="6">
        <v>2018</v>
      </c>
      <c r="AG38" s="11" t="s">
        <v>237</v>
      </c>
      <c r="AH38" s="11"/>
      <c r="AI38" s="11" t="s">
        <v>113</v>
      </c>
      <c r="AJ38" s="11"/>
      <c r="AK38" s="6">
        <v>0</v>
      </c>
      <c r="AM38" s="6">
        <v>0</v>
      </c>
      <c r="AO38" s="6">
        <v>518551</v>
      </c>
      <c r="AQ38" s="6">
        <v>401762</v>
      </c>
      <c r="AU38" s="6">
        <v>0</v>
      </c>
      <c r="AW38" s="6">
        <f t="shared" si="2"/>
        <v>20003626</v>
      </c>
      <c r="AY38" s="6">
        <f>+'St of Activites - GA Rev'!AG38-'St of Activities - GA Exp'!AW38</f>
        <v>-1875207</v>
      </c>
      <c r="BA38" s="6">
        <v>5219417</v>
      </c>
      <c r="BC38" s="6">
        <f t="shared" si="3"/>
        <v>3344210</v>
      </c>
      <c r="BE38" s="6">
        <f>+'St of Net Assets - GA'!Y38-'St of Activities - GA Exp'!BC38</f>
        <v>0</v>
      </c>
    </row>
    <row r="39" spans="1:57" ht="12" hidden="1" customHeight="1">
      <c r="A39" s="11" t="s">
        <v>671</v>
      </c>
      <c r="B39" s="11"/>
      <c r="C39" s="11" t="s">
        <v>10</v>
      </c>
      <c r="AG39" s="11" t="s">
        <v>671</v>
      </c>
      <c r="AH39" s="11"/>
      <c r="AI39" s="11" t="s">
        <v>10</v>
      </c>
      <c r="AJ39" s="11"/>
      <c r="AW39" s="6">
        <f t="shared" si="2"/>
        <v>0</v>
      </c>
      <c r="AY39" s="6">
        <f>+'St of Activites - GA Rev'!AG39-'St of Activities - GA Exp'!AW39</f>
        <v>0</v>
      </c>
      <c r="BC39" s="6">
        <f t="shared" si="3"/>
        <v>0</v>
      </c>
      <c r="BE39" s="6">
        <f>+'St of Net Assets - GA'!Y39-'St of Activities - GA Exp'!BC39</f>
        <v>0</v>
      </c>
    </row>
    <row r="40" spans="1:57" ht="12" customHeight="1">
      <c r="A40" s="11" t="s">
        <v>634</v>
      </c>
      <c r="B40" s="11"/>
      <c r="C40" s="11" t="s">
        <v>20</v>
      </c>
      <c r="E40" s="6">
        <v>13318572</v>
      </c>
      <c r="G40" s="6">
        <v>2171041</v>
      </c>
      <c r="I40" s="6">
        <v>359480</v>
      </c>
      <c r="K40" s="6">
        <v>0</v>
      </c>
      <c r="M40" s="6">
        <v>1029457</v>
      </c>
      <c r="O40" s="6">
        <v>3039029</v>
      </c>
      <c r="Q40" s="6">
        <v>801442</v>
      </c>
      <c r="S40" s="6">
        <v>29549</v>
      </c>
      <c r="U40" s="6">
        <v>2261116</v>
      </c>
      <c r="W40" s="6">
        <v>760369</v>
      </c>
      <c r="Y40" s="6">
        <v>393565</v>
      </c>
      <c r="AA40" s="6">
        <v>2505423</v>
      </c>
      <c r="AC40" s="6">
        <v>812111</v>
      </c>
      <c r="AE40" s="6">
        <v>388378</v>
      </c>
      <c r="AG40" s="11" t="s">
        <v>634</v>
      </c>
      <c r="AH40" s="11"/>
      <c r="AI40" s="11" t="s">
        <v>20</v>
      </c>
      <c r="AJ40" s="11"/>
      <c r="AK40" s="6">
        <v>847170</v>
      </c>
      <c r="AM40" s="6">
        <f>578834+857685</f>
        <v>1436519</v>
      </c>
      <c r="AO40" s="6">
        <f>160262+797225+187300</f>
        <v>1144787</v>
      </c>
      <c r="AQ40" s="6">
        <v>764952</v>
      </c>
      <c r="AU40" s="6">
        <v>0</v>
      </c>
      <c r="AW40" s="6">
        <f t="shared" si="2"/>
        <v>32062960</v>
      </c>
      <c r="AY40" s="6">
        <f>+'St of Activites - GA Rev'!AG40-'St of Activities - GA Exp'!AW40</f>
        <v>2411527</v>
      </c>
      <c r="BA40" s="6">
        <v>19117061</v>
      </c>
      <c r="BC40" s="6">
        <f t="shared" si="3"/>
        <v>21528588</v>
      </c>
      <c r="BE40" s="6">
        <f>+'St of Net Assets - GA'!Y40-'St of Activities - GA Exp'!BC40</f>
        <v>0</v>
      </c>
    </row>
    <row r="41" spans="1:57">
      <c r="A41" s="11" t="s">
        <v>261</v>
      </c>
      <c r="B41" s="11"/>
      <c r="C41" s="11" t="s">
        <v>20</v>
      </c>
      <c r="E41" s="6">
        <v>12479099</v>
      </c>
      <c r="G41" s="6">
        <v>6841655</v>
      </c>
      <c r="I41" s="6">
        <v>732685</v>
      </c>
      <c r="K41" s="6">
        <v>99837</v>
      </c>
      <c r="M41" s="6">
        <v>238069</v>
      </c>
      <c r="O41" s="6">
        <v>3113676</v>
      </c>
      <c r="Q41" s="6">
        <v>1120386</v>
      </c>
      <c r="S41" s="6">
        <v>358447</v>
      </c>
      <c r="U41" s="6">
        <v>2374984</v>
      </c>
      <c r="W41" s="6">
        <v>827047</v>
      </c>
      <c r="Y41" s="6">
        <v>459488</v>
      </c>
      <c r="AA41" s="6">
        <v>3676973</v>
      </c>
      <c r="AC41" s="6">
        <v>1756043</v>
      </c>
      <c r="AE41" s="6">
        <v>700838</v>
      </c>
      <c r="AG41" s="11" t="s">
        <v>261</v>
      </c>
      <c r="AH41" s="11"/>
      <c r="AI41" s="11" t="s">
        <v>20</v>
      </c>
      <c r="AJ41" s="11"/>
      <c r="AK41" s="6">
        <v>548150</v>
      </c>
      <c r="AM41" s="6">
        <v>979893</v>
      </c>
      <c r="AO41" s="6">
        <v>1237501</v>
      </c>
      <c r="AQ41" s="6">
        <v>1991584</v>
      </c>
      <c r="AU41" s="6">
        <v>0</v>
      </c>
      <c r="AW41" s="6">
        <f t="shared" si="2"/>
        <v>39536355</v>
      </c>
      <c r="AY41" s="6">
        <f>+'St of Activites - GA Rev'!AG41-'St of Activities - GA Exp'!AW41</f>
        <v>2514339</v>
      </c>
      <c r="BA41" s="6">
        <v>38711901</v>
      </c>
      <c r="BC41" s="6">
        <f t="shared" si="3"/>
        <v>41226240</v>
      </c>
      <c r="BE41" s="6">
        <f>+'St of Net Assets - GA'!Y41-'St of Activities - GA Exp'!BC41</f>
        <v>0</v>
      </c>
    </row>
    <row r="42" spans="1:57">
      <c r="A42" s="11" t="s">
        <v>246</v>
      </c>
      <c r="B42" s="11"/>
      <c r="C42" s="11" t="s">
        <v>112</v>
      </c>
      <c r="E42" s="6">
        <v>10023121</v>
      </c>
      <c r="G42" s="6">
        <v>1930652</v>
      </c>
      <c r="I42" s="6">
        <v>6518</v>
      </c>
      <c r="K42" s="6">
        <v>0</v>
      </c>
      <c r="M42" s="6">
        <v>14961</v>
      </c>
      <c r="O42" s="6">
        <v>573917</v>
      </c>
      <c r="Q42" s="6">
        <v>745388</v>
      </c>
      <c r="S42" s="6">
        <v>30506</v>
      </c>
      <c r="U42" s="6">
        <v>1459296</v>
      </c>
      <c r="W42" s="6">
        <v>444825</v>
      </c>
      <c r="Y42" s="6">
        <v>0</v>
      </c>
      <c r="AA42" s="6">
        <f>1376048+84055</f>
        <v>1460103</v>
      </c>
      <c r="AC42" s="6">
        <v>1065612</v>
      </c>
      <c r="AE42" s="6">
        <v>65040</v>
      </c>
      <c r="AG42" s="11" t="s">
        <v>246</v>
      </c>
      <c r="AH42" s="11"/>
      <c r="AI42" s="11" t="s">
        <v>112</v>
      </c>
      <c r="AJ42" s="11"/>
      <c r="AK42" s="6">
        <v>0</v>
      </c>
      <c r="AM42" s="6">
        <v>817041</v>
      </c>
      <c r="AO42" s="6">
        <v>519826</v>
      </c>
      <c r="AQ42" s="6">
        <v>3042</v>
      </c>
      <c r="AU42" s="6">
        <v>0</v>
      </c>
      <c r="AW42" s="6">
        <f t="shared" si="2"/>
        <v>19159848</v>
      </c>
      <c r="AY42" s="6">
        <f>+'St of Activites - GA Rev'!AG42-'St of Activities - GA Exp'!AW42</f>
        <v>1185109</v>
      </c>
      <c r="BA42" s="6">
        <v>1804204</v>
      </c>
      <c r="BC42" s="6">
        <f t="shared" si="3"/>
        <v>2989313</v>
      </c>
      <c r="BE42" s="6">
        <f>+'St of Net Assets - GA'!Y42-'St of Activities - GA Exp'!BC42</f>
        <v>0</v>
      </c>
    </row>
    <row r="43" spans="1:57">
      <c r="A43" s="11" t="s">
        <v>317</v>
      </c>
      <c r="B43" s="11"/>
      <c r="C43" s="11" t="s">
        <v>114</v>
      </c>
      <c r="E43" s="6">
        <v>34616078</v>
      </c>
      <c r="G43" s="6">
        <v>10501809</v>
      </c>
      <c r="I43" s="6">
        <v>359422</v>
      </c>
      <c r="K43" s="6">
        <v>0</v>
      </c>
      <c r="M43" s="6">
        <f>894326+1190219</f>
        <v>2084545</v>
      </c>
      <c r="O43" s="6">
        <v>5193634</v>
      </c>
      <c r="Q43" s="6">
        <v>6196184</v>
      </c>
      <c r="S43" s="6">
        <v>51215</v>
      </c>
      <c r="U43" s="6">
        <v>4723839</v>
      </c>
      <c r="W43" s="6">
        <v>1772536</v>
      </c>
      <c r="Y43" s="6">
        <v>526918</v>
      </c>
      <c r="AA43" s="6">
        <v>6844339</v>
      </c>
      <c r="AC43" s="6">
        <v>5942577</v>
      </c>
      <c r="AE43" s="6">
        <v>2828770</v>
      </c>
      <c r="AG43" s="11" t="s">
        <v>317</v>
      </c>
      <c r="AH43" s="11"/>
      <c r="AI43" s="11" t="s">
        <v>114</v>
      </c>
      <c r="AJ43" s="11"/>
      <c r="AK43" s="6">
        <v>2650847</v>
      </c>
      <c r="AM43" s="6">
        <v>1024001</v>
      </c>
      <c r="AO43" s="6">
        <f>466710+1063609+34199</f>
        <v>1564518</v>
      </c>
      <c r="AQ43" s="6">
        <v>4317257</v>
      </c>
      <c r="AU43" s="6">
        <v>0</v>
      </c>
      <c r="AW43" s="6">
        <f t="shared" si="2"/>
        <v>91198489</v>
      </c>
      <c r="AY43" s="6">
        <f>+'St of Activites - GA Rev'!AG43-'St of Activities - GA Exp'!AW43</f>
        <v>-1481470</v>
      </c>
      <c r="BA43" s="6">
        <v>31806548</v>
      </c>
      <c r="BC43" s="6">
        <f t="shared" si="3"/>
        <v>30325078</v>
      </c>
      <c r="BE43" s="6">
        <f>+'St of Net Assets - GA'!Y43-'St of Activities - GA Exp'!BC43</f>
        <v>0</v>
      </c>
    </row>
    <row r="44" spans="1:57">
      <c r="A44" s="11" t="s">
        <v>262</v>
      </c>
      <c r="B44" s="11"/>
      <c r="C44" s="11" t="s">
        <v>20</v>
      </c>
      <c r="E44" s="6">
        <v>19447101</v>
      </c>
      <c r="G44" s="6">
        <v>5337718</v>
      </c>
      <c r="I44" s="6">
        <v>910177</v>
      </c>
      <c r="K44" s="6">
        <v>0</v>
      </c>
      <c r="M44" s="6">
        <v>21548</v>
      </c>
      <c r="O44" s="6">
        <v>3049560</v>
      </c>
      <c r="Q44" s="6">
        <v>2687012</v>
      </c>
      <c r="S44" s="6">
        <v>98729</v>
      </c>
      <c r="U44" s="6">
        <v>3963083</v>
      </c>
      <c r="W44" s="6">
        <v>1480370</v>
      </c>
      <c r="Y44" s="6">
        <v>721405</v>
      </c>
      <c r="AA44" s="6">
        <v>6237787</v>
      </c>
      <c r="AC44" s="6">
        <v>3609183</v>
      </c>
      <c r="AE44" s="6">
        <v>199941</v>
      </c>
      <c r="AG44" s="11" t="s">
        <v>262</v>
      </c>
      <c r="AH44" s="11"/>
      <c r="AI44" s="11" t="s">
        <v>20</v>
      </c>
      <c r="AJ44" s="11"/>
      <c r="AK44" s="6">
        <v>1775328</v>
      </c>
      <c r="AM44" s="6">
        <v>351270</v>
      </c>
      <c r="AO44" s="6">
        <v>848288</v>
      </c>
      <c r="AQ44" s="6">
        <v>305102</v>
      </c>
      <c r="AU44" s="6">
        <v>0</v>
      </c>
      <c r="AW44" s="6">
        <f t="shared" si="2"/>
        <v>51043602</v>
      </c>
      <c r="AY44" s="6">
        <f>+'St of Activites - GA Rev'!AG44-'St of Activities - GA Exp'!AW44</f>
        <v>2260091</v>
      </c>
      <c r="BA44" s="6">
        <v>37463208</v>
      </c>
      <c r="BC44" s="6">
        <f t="shared" si="3"/>
        <v>39723299</v>
      </c>
      <c r="BE44" s="6">
        <f>+'St of Net Assets - GA'!Y44-'St of Activities - GA Exp'!BC44</f>
        <v>0</v>
      </c>
    </row>
    <row r="45" spans="1:57">
      <c r="A45" s="11" t="s">
        <v>215</v>
      </c>
      <c r="B45" s="11"/>
      <c r="C45" s="11" t="s">
        <v>15</v>
      </c>
      <c r="E45" s="6">
        <v>5720026</v>
      </c>
      <c r="G45" s="6">
        <v>1609739</v>
      </c>
      <c r="I45" s="6">
        <v>24063</v>
      </c>
      <c r="K45" s="6">
        <v>0</v>
      </c>
      <c r="M45" s="6">
        <v>171463</v>
      </c>
      <c r="O45" s="6">
        <v>1161824</v>
      </c>
      <c r="Q45" s="6">
        <v>440140</v>
      </c>
      <c r="S45" s="6">
        <v>22566</v>
      </c>
      <c r="U45" s="6">
        <v>962991</v>
      </c>
      <c r="W45" s="6">
        <v>517307</v>
      </c>
      <c r="Y45" s="6">
        <v>0</v>
      </c>
      <c r="AA45" s="6">
        <v>1421561</v>
      </c>
      <c r="AC45" s="6">
        <v>907668</v>
      </c>
      <c r="AE45" s="6">
        <v>5061</v>
      </c>
      <c r="AG45" s="11" t="s">
        <v>215</v>
      </c>
      <c r="AH45" s="11"/>
      <c r="AI45" s="11" t="s">
        <v>15</v>
      </c>
      <c r="AJ45" s="11"/>
      <c r="AK45" s="6">
        <v>585643</v>
      </c>
      <c r="AM45" s="6">
        <v>120070</v>
      </c>
      <c r="AO45" s="6">
        <v>257597</v>
      </c>
      <c r="AQ45" s="6">
        <v>124700</v>
      </c>
      <c r="AU45" s="6">
        <v>0</v>
      </c>
      <c r="AW45" s="6">
        <f t="shared" si="2"/>
        <v>14052419</v>
      </c>
      <c r="AY45" s="6">
        <f>+'St of Activites - GA Rev'!AG45-'St of Activities - GA Exp'!AW45</f>
        <v>1797958</v>
      </c>
      <c r="BA45" s="6">
        <v>15025900</v>
      </c>
      <c r="BC45" s="6">
        <f t="shared" si="3"/>
        <v>16823858</v>
      </c>
      <c r="BE45" s="6">
        <f>+'St of Net Assets - GA'!Y45-'St of Activities - GA Exp'!BC45</f>
        <v>0</v>
      </c>
    </row>
    <row r="46" spans="1:57">
      <c r="A46" s="11" t="s">
        <v>735</v>
      </c>
      <c r="B46" s="11"/>
      <c r="C46" s="11" t="s">
        <v>114</v>
      </c>
      <c r="E46" s="6">
        <v>11197253</v>
      </c>
      <c r="G46" s="6">
        <v>3145233</v>
      </c>
      <c r="I46" s="6">
        <v>7045</v>
      </c>
      <c r="K46" s="6">
        <v>0</v>
      </c>
      <c r="M46" s="6">
        <v>0</v>
      </c>
      <c r="O46" s="6">
        <v>1275904</v>
      </c>
      <c r="Q46" s="6">
        <v>783046</v>
      </c>
      <c r="S46" s="6">
        <v>71064</v>
      </c>
      <c r="U46" s="6">
        <v>1865717</v>
      </c>
      <c r="W46" s="6">
        <v>751305</v>
      </c>
      <c r="Y46" s="6">
        <v>194559</v>
      </c>
      <c r="AA46" s="6">
        <v>2946571</v>
      </c>
      <c r="AC46" s="6">
        <v>1532477</v>
      </c>
      <c r="AE46" s="6">
        <v>113265</v>
      </c>
      <c r="AG46" s="11" t="s">
        <v>735</v>
      </c>
      <c r="AH46" s="11"/>
      <c r="AI46" s="11" t="s">
        <v>114</v>
      </c>
      <c r="AJ46" s="11"/>
      <c r="AK46" s="6">
        <v>0</v>
      </c>
      <c r="AM46" s="6">
        <v>733586</v>
      </c>
      <c r="AO46" s="6">
        <v>1495543</v>
      </c>
      <c r="AQ46" s="6">
        <v>2103778</v>
      </c>
      <c r="AU46" s="6">
        <v>1753892</v>
      </c>
      <c r="AW46" s="6">
        <f t="shared" si="2"/>
        <v>29970238</v>
      </c>
      <c r="AY46" s="6">
        <f>+'St of Activites - GA Rev'!AG46-'St of Activities - GA Exp'!AW46</f>
        <v>152783</v>
      </c>
      <c r="BA46" s="6">
        <v>4029275</v>
      </c>
      <c r="BC46" s="6">
        <f t="shared" si="3"/>
        <v>4182058</v>
      </c>
      <c r="BE46" s="6">
        <f>+'St of Net Assets - GA'!Y46-'St of Activities - GA Exp'!BC46</f>
        <v>0</v>
      </c>
    </row>
    <row r="47" spans="1:57" ht="12" hidden="1" customHeight="1">
      <c r="A47" s="11" t="s">
        <v>885</v>
      </c>
      <c r="B47" s="11"/>
      <c r="C47" s="11" t="s">
        <v>43</v>
      </c>
      <c r="AG47" s="11" t="s">
        <v>885</v>
      </c>
      <c r="AH47" s="11"/>
      <c r="AI47" s="11" t="s">
        <v>43</v>
      </c>
      <c r="AJ47" s="11"/>
      <c r="AW47" s="6">
        <f t="shared" ref="AW47" si="6">SUM(E47:AV47)</f>
        <v>0</v>
      </c>
      <c r="AY47" s="6">
        <f>+'St of Activites - GA Rev'!AG47-'St of Activities - GA Exp'!AW47</f>
        <v>0</v>
      </c>
      <c r="BC47" s="6">
        <f t="shared" ref="BC47" si="7">+AY47+BA47</f>
        <v>0</v>
      </c>
      <c r="BE47" s="6">
        <f>+'St of Net Assets - GA'!Y47-'St of Activities - GA Exp'!BC47</f>
        <v>0</v>
      </c>
    </row>
    <row r="48" spans="1:57">
      <c r="A48" s="11" t="s">
        <v>355</v>
      </c>
      <c r="B48" s="11"/>
      <c r="C48" s="11" t="s">
        <v>37</v>
      </c>
      <c r="E48" s="6">
        <v>7292651</v>
      </c>
      <c r="G48" s="6">
        <v>3163932</v>
      </c>
      <c r="I48" s="6">
        <v>388565</v>
      </c>
      <c r="K48" s="6">
        <v>10119</v>
      </c>
      <c r="M48" s="6">
        <v>1065961</v>
      </c>
      <c r="O48" s="6">
        <v>1101146</v>
      </c>
      <c r="Q48" s="6">
        <v>1123274</v>
      </c>
      <c r="S48" s="6">
        <v>21706</v>
      </c>
      <c r="U48" s="6">
        <v>1478094</v>
      </c>
      <c r="W48" s="6">
        <v>549590</v>
      </c>
      <c r="Y48" s="6">
        <v>11435</v>
      </c>
      <c r="AA48" s="6">
        <v>1759512</v>
      </c>
      <c r="AC48" s="6">
        <v>1105971</v>
      </c>
      <c r="AE48" s="6">
        <v>66248</v>
      </c>
      <c r="AG48" s="11" t="s">
        <v>355</v>
      </c>
      <c r="AH48" s="11"/>
      <c r="AI48" s="11" t="s">
        <v>37</v>
      </c>
      <c r="AJ48" s="11"/>
      <c r="AK48" s="6">
        <v>890420</v>
      </c>
      <c r="AM48" s="6">
        <v>170701</v>
      </c>
      <c r="AO48" s="6">
        <v>546571</v>
      </c>
      <c r="AQ48" s="6">
        <v>1021209</v>
      </c>
      <c r="AU48" s="6">
        <v>0</v>
      </c>
      <c r="AW48" s="6">
        <f t="shared" si="2"/>
        <v>21767105</v>
      </c>
      <c r="AY48" s="6">
        <f>+'St of Activites - GA Rev'!AG48-'St of Activities - GA Exp'!AW48</f>
        <v>951450</v>
      </c>
      <c r="BA48" s="6">
        <v>27504313</v>
      </c>
      <c r="BC48" s="6">
        <f t="shared" si="3"/>
        <v>28455763</v>
      </c>
      <c r="BE48" s="6">
        <f>+'St of Net Assets - GA'!Y48-'St of Activities - GA Exp'!BC48</f>
        <v>0</v>
      </c>
    </row>
    <row r="49" spans="1:57">
      <c r="A49" s="11" t="s">
        <v>547</v>
      </c>
      <c r="B49" s="11"/>
      <c r="C49" s="11" t="s">
        <v>70</v>
      </c>
      <c r="E49" s="6">
        <v>3328016</v>
      </c>
      <c r="G49" s="6">
        <v>1772465</v>
      </c>
      <c r="I49" s="6">
        <v>172</v>
      </c>
      <c r="K49" s="6">
        <v>0</v>
      </c>
      <c r="M49" s="6">
        <v>819230</v>
      </c>
      <c r="O49" s="6">
        <v>1062429</v>
      </c>
      <c r="Q49" s="6">
        <v>514374</v>
      </c>
      <c r="S49" s="6">
        <v>55097</v>
      </c>
      <c r="U49" s="6">
        <v>757065</v>
      </c>
      <c r="W49" s="6">
        <v>376093</v>
      </c>
      <c r="Y49" s="6">
        <v>2244</v>
      </c>
      <c r="AA49" s="6">
        <v>1024995</v>
      </c>
      <c r="AC49" s="6">
        <v>405643</v>
      </c>
      <c r="AE49" s="6">
        <v>1757</v>
      </c>
      <c r="AG49" s="11" t="s">
        <v>547</v>
      </c>
      <c r="AH49" s="11"/>
      <c r="AI49" s="11" t="s">
        <v>70</v>
      </c>
      <c r="AJ49" s="11"/>
      <c r="AK49" s="6">
        <v>468630</v>
      </c>
      <c r="AM49" s="6">
        <v>0</v>
      </c>
      <c r="AO49" s="6">
        <v>280303</v>
      </c>
      <c r="AQ49" s="6">
        <v>0</v>
      </c>
      <c r="AU49" s="6">
        <v>0</v>
      </c>
      <c r="AW49" s="6">
        <f t="shared" si="2"/>
        <v>10868513</v>
      </c>
      <c r="AY49" s="6">
        <f>+'St of Activites - GA Rev'!AG49-'St of Activities - GA Exp'!AW49</f>
        <v>72732</v>
      </c>
      <c r="BA49" s="6">
        <v>6753435</v>
      </c>
      <c r="BC49" s="6">
        <f t="shared" si="3"/>
        <v>6826167</v>
      </c>
      <c r="BE49" s="6">
        <f>+'St of Net Assets - GA'!Y49-'St of Activities - GA Exp'!BC49</f>
        <v>0</v>
      </c>
    </row>
    <row r="50" spans="1:57" hidden="1">
      <c r="A50" s="11" t="s">
        <v>886</v>
      </c>
      <c r="B50" s="11"/>
      <c r="C50" s="11" t="s">
        <v>43</v>
      </c>
      <c r="AG50" s="11" t="s">
        <v>886</v>
      </c>
      <c r="AH50" s="11"/>
      <c r="AI50" s="11" t="s">
        <v>43</v>
      </c>
      <c r="AJ50" s="11"/>
      <c r="AU50" s="6">
        <v>0</v>
      </c>
      <c r="AW50" s="6">
        <f t="shared" ref="AW50" si="8">SUM(E50:AV50)</f>
        <v>0</v>
      </c>
      <c r="AY50" s="6">
        <f>+'St of Activites - GA Rev'!AG50-'St of Activities - GA Exp'!AW50</f>
        <v>0</v>
      </c>
      <c r="BC50" s="6">
        <f t="shared" ref="BC50" si="9">+AY50+BA50</f>
        <v>0</v>
      </c>
      <c r="BE50" s="6">
        <f>+'St of Net Assets - GA'!Y50-'St of Activities - GA Exp'!BC50</f>
        <v>0</v>
      </c>
    </row>
    <row r="51" spans="1:57" hidden="1">
      <c r="A51" s="11" t="s">
        <v>869</v>
      </c>
      <c r="B51" s="11"/>
      <c r="C51" s="11" t="s">
        <v>53</v>
      </c>
      <c r="AG51" s="11" t="s">
        <v>869</v>
      </c>
      <c r="AH51" s="11"/>
      <c r="AI51" s="11" t="s">
        <v>53</v>
      </c>
      <c r="AJ51" s="11"/>
      <c r="AU51" s="6">
        <v>0</v>
      </c>
      <c r="AW51" s="6">
        <f t="shared" si="2"/>
        <v>0</v>
      </c>
      <c r="AY51" s="6">
        <f>+'St of Activites - GA Rev'!AG51-'St of Activities - GA Exp'!AW51</f>
        <v>0</v>
      </c>
      <c r="BC51" s="6">
        <f t="shared" si="3"/>
        <v>0</v>
      </c>
      <c r="BE51" s="6">
        <f>+'St of Net Assets - GA'!Y51-'St of Activities - GA Exp'!BC51</f>
        <v>0</v>
      </c>
    </row>
    <row r="52" spans="1:57">
      <c r="A52" s="11" t="s">
        <v>263</v>
      </c>
      <c r="B52" s="11"/>
      <c r="C52" s="11" t="s">
        <v>20</v>
      </c>
      <c r="E52" s="6">
        <v>41353215</v>
      </c>
      <c r="G52" s="6">
        <v>10245263</v>
      </c>
      <c r="I52" s="6">
        <v>755157</v>
      </c>
      <c r="K52" s="6">
        <v>0</v>
      </c>
      <c r="M52" s="6">
        <v>0</v>
      </c>
      <c r="O52" s="6">
        <v>5613451</v>
      </c>
      <c r="Q52" s="6">
        <v>6585844</v>
      </c>
      <c r="S52" s="6">
        <v>33962</v>
      </c>
      <c r="U52" s="6">
        <v>4976072</v>
      </c>
      <c r="W52" s="6">
        <v>1867747</v>
      </c>
      <c r="Y52" s="6">
        <v>615697</v>
      </c>
      <c r="AA52" s="6">
        <v>7484540</v>
      </c>
      <c r="AC52" s="6">
        <v>4737450</v>
      </c>
      <c r="AE52" s="6">
        <v>3169134</v>
      </c>
      <c r="AG52" s="11" t="s">
        <v>263</v>
      </c>
      <c r="AH52" s="11"/>
      <c r="AI52" s="11" t="s">
        <v>20</v>
      </c>
      <c r="AJ52" s="11"/>
      <c r="AK52" s="6">
        <v>0</v>
      </c>
      <c r="AM52" s="6">
        <v>3466400</v>
      </c>
      <c r="AO52" s="6">
        <v>1733246</v>
      </c>
      <c r="AQ52" s="6">
        <v>2124918</v>
      </c>
      <c r="AU52" s="6">
        <v>0</v>
      </c>
      <c r="AW52" s="6">
        <f t="shared" si="2"/>
        <v>94762096</v>
      </c>
      <c r="AY52" s="6">
        <f>+'St of Activites - GA Rev'!AG52-'St of Activities - GA Exp'!AW52</f>
        <v>-5464748</v>
      </c>
      <c r="BA52" s="6">
        <v>35058109</v>
      </c>
      <c r="BC52" s="6">
        <f>+AY52+BA52</f>
        <v>29593361</v>
      </c>
      <c r="BE52" s="6">
        <f>+'St of Net Assets - GA'!Y52-'St of Activities - GA Exp'!BC52</f>
        <v>0</v>
      </c>
    </row>
    <row r="53" spans="1:57" ht="12" customHeight="1">
      <c r="A53" s="11" t="s">
        <v>639</v>
      </c>
      <c r="B53" s="11"/>
      <c r="C53" s="11" t="s">
        <v>30</v>
      </c>
      <c r="E53" s="6">
        <v>5181808</v>
      </c>
      <c r="G53" s="6">
        <v>1512004</v>
      </c>
      <c r="I53" s="6">
        <v>78326</v>
      </c>
      <c r="K53" s="6">
        <v>0</v>
      </c>
      <c r="M53" s="6">
        <v>165196</v>
      </c>
      <c r="O53" s="6">
        <v>654119</v>
      </c>
      <c r="Q53" s="6">
        <v>324804</v>
      </c>
      <c r="S53" s="6">
        <v>83794</v>
      </c>
      <c r="U53" s="6">
        <v>1177718</v>
      </c>
      <c r="W53" s="6">
        <v>329361</v>
      </c>
      <c r="Y53" s="6">
        <v>21999</v>
      </c>
      <c r="AA53" s="6">
        <v>1037957</v>
      </c>
      <c r="AC53" s="6">
        <v>0</v>
      </c>
      <c r="AE53" s="6">
        <v>720683</v>
      </c>
      <c r="AG53" s="11" t="s">
        <v>639</v>
      </c>
      <c r="AH53" s="11"/>
      <c r="AI53" s="11" t="s">
        <v>30</v>
      </c>
      <c r="AJ53" s="11"/>
      <c r="AK53" s="6">
        <v>251258</v>
      </c>
      <c r="AM53" s="6">
        <v>0</v>
      </c>
      <c r="AO53" s="6">
        <v>349327</v>
      </c>
      <c r="AQ53" s="6">
        <v>447</v>
      </c>
      <c r="AU53" s="6">
        <v>0</v>
      </c>
      <c r="AW53" s="6">
        <f t="shared" si="2"/>
        <v>11888801</v>
      </c>
      <c r="AY53" s="6">
        <f>+'St of Activites - GA Rev'!AG53-'St of Activities - GA Exp'!AW53</f>
        <v>-221339</v>
      </c>
      <c r="BA53" s="6">
        <v>4961664</v>
      </c>
      <c r="BC53" s="6">
        <f t="shared" si="3"/>
        <v>4740325</v>
      </c>
      <c r="BE53" s="6">
        <f>+'St of Net Assets - GA'!Y53-'St of Activities - GA Exp'!BC53</f>
        <v>0</v>
      </c>
    </row>
    <row r="54" spans="1:57" hidden="1">
      <c r="A54" s="11" t="s">
        <v>285</v>
      </c>
      <c r="B54" s="11"/>
      <c r="C54" s="11" t="s">
        <v>24</v>
      </c>
      <c r="AG54" s="11" t="s">
        <v>285</v>
      </c>
      <c r="AH54" s="11"/>
      <c r="AI54" s="11" t="s">
        <v>24</v>
      </c>
      <c r="AJ54" s="11"/>
      <c r="AU54" s="6">
        <v>0</v>
      </c>
      <c r="AW54" s="6">
        <f t="shared" si="2"/>
        <v>0</v>
      </c>
      <c r="AY54" s="6">
        <f>+'St of Activites - GA Rev'!AG54-'St of Activities - GA Exp'!AW54</f>
        <v>0</v>
      </c>
      <c r="BC54" s="6">
        <f t="shared" si="3"/>
        <v>0</v>
      </c>
      <c r="BE54" s="6">
        <f>+'St of Net Assets - GA'!Y54-'St of Activities - GA Exp'!BC54</f>
        <v>0</v>
      </c>
    </row>
    <row r="55" spans="1:57" hidden="1">
      <c r="A55" s="11" t="s">
        <v>792</v>
      </c>
      <c r="B55" s="11"/>
      <c r="C55" s="11" t="s">
        <v>25</v>
      </c>
      <c r="AG55" s="11" t="s">
        <v>792</v>
      </c>
      <c r="AH55" s="11"/>
      <c r="AI55" s="11" t="s">
        <v>25</v>
      </c>
      <c r="AJ55" s="11"/>
      <c r="AW55" s="6">
        <f t="shared" si="2"/>
        <v>0</v>
      </c>
      <c r="AY55" s="6">
        <f>+'St of Activites - GA Rev'!AG55-'St of Activities - GA Exp'!AW55</f>
        <v>0</v>
      </c>
      <c r="BC55" s="6">
        <f t="shared" si="3"/>
        <v>0</v>
      </c>
      <c r="BE55" s="6">
        <f>+'St of Net Assets - GA'!Y55-'St of Activities - GA Exp'!BC55</f>
        <v>0</v>
      </c>
    </row>
    <row r="56" spans="1:57">
      <c r="A56" s="11" t="s">
        <v>423</v>
      </c>
      <c r="B56" s="11"/>
      <c r="C56" s="11" t="s">
        <v>48</v>
      </c>
      <c r="E56" s="6">
        <v>3354558</v>
      </c>
      <c r="G56" s="6">
        <v>1147459</v>
      </c>
      <c r="I56" s="6">
        <v>0</v>
      </c>
      <c r="K56" s="6">
        <v>0</v>
      </c>
      <c r="M56" s="6">
        <v>682652</v>
      </c>
      <c r="O56" s="6">
        <v>223041</v>
      </c>
      <c r="Q56" s="6">
        <v>212794</v>
      </c>
      <c r="S56" s="6">
        <v>51641</v>
      </c>
      <c r="U56" s="6">
        <v>607932</v>
      </c>
      <c r="W56" s="6">
        <v>343650</v>
      </c>
      <c r="Y56" s="6">
        <v>19784</v>
      </c>
      <c r="AA56" s="6">
        <v>550832</v>
      </c>
      <c r="AC56" s="6">
        <v>762994</v>
      </c>
      <c r="AE56" s="6">
        <v>144299</v>
      </c>
      <c r="AG56" s="11" t="s">
        <v>423</v>
      </c>
      <c r="AH56" s="11"/>
      <c r="AI56" s="11" t="s">
        <v>48</v>
      </c>
      <c r="AJ56" s="11"/>
      <c r="AK56" s="6">
        <v>0</v>
      </c>
      <c r="AM56" s="6">
        <v>416337</v>
      </c>
      <c r="AO56" s="6">
        <v>225294</v>
      </c>
      <c r="AQ56" s="6">
        <v>76056</v>
      </c>
      <c r="AU56" s="6">
        <v>96181</v>
      </c>
      <c r="AW56" s="6">
        <f t="shared" si="2"/>
        <v>8915504</v>
      </c>
      <c r="AY56" s="6">
        <f>+'St of Activites - GA Rev'!AG56-'St of Activities - GA Exp'!AW56</f>
        <v>730903</v>
      </c>
      <c r="BA56" s="6">
        <v>4252544</v>
      </c>
      <c r="BC56" s="6">
        <f t="shared" si="3"/>
        <v>4983447</v>
      </c>
      <c r="BE56" s="6">
        <f>+'St of Net Assets - GA'!Y56-'St of Activities - GA Exp'!BC56</f>
        <v>0</v>
      </c>
    </row>
    <row r="57" spans="1:57">
      <c r="A57" s="11" t="s">
        <v>238</v>
      </c>
      <c r="B57" s="11"/>
      <c r="C57" s="11" t="s">
        <v>113</v>
      </c>
      <c r="E57" s="6">
        <v>8610457</v>
      </c>
      <c r="G57" s="6">
        <v>1652226</v>
      </c>
      <c r="I57" s="6">
        <v>88299</v>
      </c>
      <c r="K57" s="6">
        <v>0</v>
      </c>
      <c r="M57" s="6">
        <v>19985</v>
      </c>
      <c r="O57" s="6">
        <v>613190</v>
      </c>
      <c r="Q57" s="6">
        <v>691278</v>
      </c>
      <c r="S57" s="6">
        <v>27383</v>
      </c>
      <c r="U57" s="6">
        <v>1193851</v>
      </c>
      <c r="W57" s="6">
        <v>345441</v>
      </c>
      <c r="Y57" s="6">
        <v>0</v>
      </c>
      <c r="AA57" s="6">
        <v>1539028</v>
      </c>
      <c r="AC57" s="6">
        <v>841700</v>
      </c>
      <c r="AE57" s="6">
        <v>155963</v>
      </c>
      <c r="AG57" s="11" t="s">
        <v>238</v>
      </c>
      <c r="AH57" s="11"/>
      <c r="AI57" s="11" t="s">
        <v>113</v>
      </c>
      <c r="AJ57" s="11"/>
      <c r="AK57" s="6">
        <v>0</v>
      </c>
      <c r="AM57" s="6">
        <v>566057</v>
      </c>
      <c r="AO57" s="6">
        <v>440609</v>
      </c>
      <c r="AQ57" s="6">
        <v>402004</v>
      </c>
      <c r="AU57" s="6">
        <v>0</v>
      </c>
      <c r="AW57" s="6">
        <f t="shared" si="2"/>
        <v>17187471</v>
      </c>
      <c r="AY57" s="6">
        <f>+'St of Activites - GA Rev'!AG57-'St of Activities - GA Exp'!AW57</f>
        <v>-668795</v>
      </c>
      <c r="BA57" s="6">
        <v>21683905</v>
      </c>
      <c r="BC57" s="6">
        <f t="shared" si="3"/>
        <v>21015110</v>
      </c>
      <c r="BE57" s="6">
        <f>+'St of Net Assets - GA'!Y57-'St of Activities - GA Exp'!BC57</f>
        <v>0</v>
      </c>
    </row>
    <row r="58" spans="1:57" ht="12" hidden="1" customHeight="1">
      <c r="A58" s="11" t="s">
        <v>672</v>
      </c>
      <c r="B58" s="11"/>
      <c r="C58" s="11" t="s">
        <v>60</v>
      </c>
      <c r="AG58" s="11" t="s">
        <v>672</v>
      </c>
      <c r="AH58" s="11"/>
      <c r="AI58" s="11" t="s">
        <v>60</v>
      </c>
      <c r="AJ58" s="11"/>
      <c r="AW58" s="6">
        <f t="shared" si="2"/>
        <v>0</v>
      </c>
      <c r="AY58" s="6">
        <f>+'St of Activites - GA Rev'!AG58-'St of Activities - GA Exp'!AW58</f>
        <v>0</v>
      </c>
      <c r="BC58" s="6">
        <f t="shared" si="3"/>
        <v>0</v>
      </c>
      <c r="BE58" s="6">
        <f>+'St of Net Assets - GA'!Y58-'St of Activities - GA Exp'!BC58</f>
        <v>0</v>
      </c>
    </row>
    <row r="59" spans="1:57">
      <c r="A59" s="11" t="s">
        <v>299</v>
      </c>
      <c r="B59" s="11"/>
      <c r="C59" s="11" t="s">
        <v>27</v>
      </c>
      <c r="E59" s="6">
        <v>15577836</v>
      </c>
      <c r="G59" s="6">
        <v>4026997</v>
      </c>
      <c r="I59" s="6">
        <v>342153</v>
      </c>
      <c r="K59" s="6">
        <v>0</v>
      </c>
      <c r="M59" s="6">
        <v>0</v>
      </c>
      <c r="O59" s="6">
        <v>1602478</v>
      </c>
      <c r="Q59" s="6">
        <v>2276088</v>
      </c>
      <c r="S59" s="6">
        <v>55106</v>
      </c>
      <c r="U59" s="6">
        <v>1848788</v>
      </c>
      <c r="W59" s="6">
        <v>1311270</v>
      </c>
      <c r="Y59" s="6">
        <v>0</v>
      </c>
      <c r="AA59" s="6">
        <v>3632387</v>
      </c>
      <c r="AC59" s="6">
        <v>814607</v>
      </c>
      <c r="AE59" s="6">
        <v>131283</v>
      </c>
      <c r="AG59" s="11" t="s">
        <v>299</v>
      </c>
      <c r="AH59" s="11"/>
      <c r="AI59" s="11" t="s">
        <v>27</v>
      </c>
      <c r="AJ59" s="11"/>
      <c r="AK59" s="6">
        <v>607132</v>
      </c>
      <c r="AM59" s="6">
        <v>753433</v>
      </c>
      <c r="AO59" s="6">
        <v>1132163</v>
      </c>
      <c r="AQ59" s="6">
        <v>1101514</v>
      </c>
      <c r="AU59" s="6">
        <v>1166929</v>
      </c>
      <c r="AW59" s="6">
        <f t="shared" si="2"/>
        <v>36380164</v>
      </c>
      <c r="AY59" s="6">
        <f>+'St of Activites - GA Rev'!AG59-'St of Activities - GA Exp'!AW59</f>
        <v>1495589</v>
      </c>
      <c r="BA59" s="6">
        <v>35669254</v>
      </c>
      <c r="BC59" s="6">
        <f t="shared" si="3"/>
        <v>37164843</v>
      </c>
      <c r="BE59" s="6">
        <f>+'St of Net Assets - GA'!Y59-'St of Activities - GA Exp'!BC59</f>
        <v>0</v>
      </c>
    </row>
    <row r="60" spans="1:57" ht="12" customHeight="1">
      <c r="A60" s="11" t="s">
        <v>635</v>
      </c>
      <c r="B60" s="11"/>
      <c r="C60" s="11" t="s">
        <v>23</v>
      </c>
      <c r="E60" s="6">
        <v>16655553</v>
      </c>
      <c r="G60" s="6">
        <v>1511753</v>
      </c>
      <c r="I60" s="6">
        <v>195500</v>
      </c>
      <c r="K60" s="6">
        <v>0</v>
      </c>
      <c r="M60" s="6">
        <v>0</v>
      </c>
      <c r="O60" s="6">
        <v>1661006</v>
      </c>
      <c r="Q60" s="6">
        <v>1847638</v>
      </c>
      <c r="S60" s="6">
        <v>159274</v>
      </c>
      <c r="U60" s="6">
        <v>2408311</v>
      </c>
      <c r="W60" s="6">
        <v>951114</v>
      </c>
      <c r="Y60" s="6">
        <v>44283</v>
      </c>
      <c r="AA60" s="6">
        <v>2626656</v>
      </c>
      <c r="AC60" s="6">
        <v>2049700</v>
      </c>
      <c r="AE60" s="6">
        <v>10382</v>
      </c>
      <c r="AG60" s="11" t="s">
        <v>635</v>
      </c>
      <c r="AH60" s="11"/>
      <c r="AI60" s="11" t="s">
        <v>23</v>
      </c>
      <c r="AJ60" s="11"/>
      <c r="AK60" s="6">
        <v>0</v>
      </c>
      <c r="AM60" s="6">
        <v>1319034</v>
      </c>
      <c r="AO60" s="6">
        <v>709182</v>
      </c>
      <c r="AQ60" s="6">
        <v>1909853</v>
      </c>
      <c r="AU60" s="6">
        <v>0</v>
      </c>
      <c r="AW60" s="6">
        <f t="shared" si="2"/>
        <v>34059239</v>
      </c>
      <c r="AY60" s="6">
        <f>+'St of Activites - GA Rev'!AG60-'St of Activities - GA Exp'!AW60</f>
        <v>1296053</v>
      </c>
      <c r="BA60" s="6">
        <v>14624183</v>
      </c>
      <c r="BC60" s="6">
        <f t="shared" si="3"/>
        <v>15920236</v>
      </c>
      <c r="BE60" s="6">
        <f>+'St of Net Assets - GA'!Y60-'St of Activities - GA Exp'!BC60</f>
        <v>0</v>
      </c>
    </row>
    <row r="61" spans="1:57" ht="12" customHeight="1">
      <c r="A61" s="11" t="s">
        <v>414</v>
      </c>
      <c r="B61" s="11"/>
      <c r="C61" s="11" t="s">
        <v>47</v>
      </c>
      <c r="E61" s="6">
        <v>6413793</v>
      </c>
      <c r="G61" s="6">
        <v>1710705</v>
      </c>
      <c r="I61" s="6">
        <v>186094</v>
      </c>
      <c r="K61" s="6">
        <v>0</v>
      </c>
      <c r="M61" s="6">
        <v>41034</v>
      </c>
      <c r="O61" s="6">
        <v>552188</v>
      </c>
      <c r="Q61" s="6">
        <v>714867</v>
      </c>
      <c r="S61" s="6">
        <v>50890</v>
      </c>
      <c r="U61" s="6">
        <v>1053824</v>
      </c>
      <c r="W61" s="6">
        <v>388841</v>
      </c>
      <c r="Y61" s="6">
        <v>22579</v>
      </c>
      <c r="AA61" s="6">
        <v>889956</v>
      </c>
      <c r="AC61" s="6">
        <v>932183</v>
      </c>
      <c r="AE61" s="6">
        <v>48334</v>
      </c>
      <c r="AG61" s="11" t="s">
        <v>414</v>
      </c>
      <c r="AH61" s="11"/>
      <c r="AI61" s="11" t="s">
        <v>47</v>
      </c>
      <c r="AJ61" s="11"/>
      <c r="AK61" s="6">
        <v>413245</v>
      </c>
      <c r="AM61" s="6">
        <v>11082</v>
      </c>
      <c r="AO61" s="6">
        <v>505994</v>
      </c>
      <c r="AQ61" s="6">
        <v>101183</v>
      </c>
      <c r="AU61" s="6">
        <v>0</v>
      </c>
      <c r="AW61" s="6">
        <f t="shared" si="2"/>
        <v>14036792</v>
      </c>
      <c r="AY61" s="6">
        <f>+'St of Activites - GA Rev'!AG61-'St of Activities - GA Exp'!AW61</f>
        <v>697445</v>
      </c>
      <c r="BA61" s="6">
        <v>6468667</v>
      </c>
      <c r="BC61" s="6">
        <f t="shared" si="3"/>
        <v>7166112</v>
      </c>
      <c r="BE61" s="6">
        <f>+'St of Net Assets - GA'!Y61-'St of Activities - GA Exp'!BC61</f>
        <v>0</v>
      </c>
    </row>
    <row r="62" spans="1:57">
      <c r="A62" s="11" t="s">
        <v>242</v>
      </c>
      <c r="B62" s="11"/>
      <c r="C62" s="11" t="s">
        <v>18</v>
      </c>
      <c r="E62" s="6">
        <v>6478244</v>
      </c>
      <c r="G62" s="6">
        <v>845858</v>
      </c>
      <c r="I62" s="6">
        <v>326468</v>
      </c>
      <c r="K62" s="6">
        <v>0</v>
      </c>
      <c r="M62" s="6">
        <v>742524</v>
      </c>
      <c r="O62" s="6">
        <v>479051</v>
      </c>
      <c r="Q62" s="6">
        <v>1461906</v>
      </c>
      <c r="S62" s="6">
        <v>28729</v>
      </c>
      <c r="U62" s="6">
        <v>1526656</v>
      </c>
      <c r="W62" s="6">
        <v>401153</v>
      </c>
      <c r="Y62" s="6">
        <v>7788</v>
      </c>
      <c r="AA62" s="6">
        <v>1312730</v>
      </c>
      <c r="AC62" s="6">
        <v>933410</v>
      </c>
      <c r="AE62" s="6">
        <v>11521</v>
      </c>
      <c r="AG62" s="11" t="s">
        <v>242</v>
      </c>
      <c r="AH62" s="11"/>
      <c r="AI62" s="11" t="s">
        <v>18</v>
      </c>
      <c r="AJ62" s="11"/>
      <c r="AK62" s="6">
        <v>0</v>
      </c>
      <c r="AM62" s="6">
        <v>927486</v>
      </c>
      <c r="AO62" s="6">
        <v>424999</v>
      </c>
      <c r="AQ62" s="6">
        <v>172711</v>
      </c>
      <c r="AU62" s="6">
        <v>0</v>
      </c>
      <c r="AW62" s="6">
        <f t="shared" si="2"/>
        <v>16081234</v>
      </c>
      <c r="AY62" s="6">
        <f>+'St of Activites - GA Rev'!AG62-'St of Activities - GA Exp'!AW62</f>
        <v>293537</v>
      </c>
      <c r="BA62" s="6">
        <v>20827171</v>
      </c>
      <c r="BC62" s="6">
        <f t="shared" si="3"/>
        <v>21120708</v>
      </c>
      <c r="BE62" s="6">
        <f>+'St of Net Assets - GA'!Y62-'St of Activities - GA Exp'!BC62</f>
        <v>0</v>
      </c>
    </row>
    <row r="63" spans="1:57">
      <c r="A63" s="11" t="s">
        <v>293</v>
      </c>
      <c r="B63" s="11"/>
      <c r="C63" s="11" t="s">
        <v>25</v>
      </c>
      <c r="E63" s="6">
        <v>6831254</v>
      </c>
      <c r="G63" s="6">
        <v>1690187</v>
      </c>
      <c r="I63" s="6">
        <v>248991</v>
      </c>
      <c r="K63" s="6">
        <v>0</v>
      </c>
      <c r="M63" s="6">
        <f>63735+580835</f>
        <v>644570</v>
      </c>
      <c r="O63" s="6">
        <v>806462</v>
      </c>
      <c r="Q63" s="6">
        <v>781067</v>
      </c>
      <c r="S63" s="6">
        <v>208156</v>
      </c>
      <c r="U63" s="6">
        <v>1798935</v>
      </c>
      <c r="W63" s="6">
        <v>225144</v>
      </c>
      <c r="Y63" s="6">
        <v>0</v>
      </c>
      <c r="AA63" s="6">
        <v>1402569</v>
      </c>
      <c r="AC63" s="6">
        <v>1253086</v>
      </c>
      <c r="AE63" s="6">
        <v>51019</v>
      </c>
      <c r="AG63" s="11" t="s">
        <v>293</v>
      </c>
      <c r="AH63" s="11"/>
      <c r="AI63" s="11" t="s">
        <v>25</v>
      </c>
      <c r="AJ63" s="11"/>
      <c r="AK63" s="6">
        <v>557319</v>
      </c>
      <c r="AM63" s="6">
        <v>3000</v>
      </c>
      <c r="AO63" s="6">
        <v>577767</v>
      </c>
      <c r="AQ63" s="6">
        <v>1586868</v>
      </c>
      <c r="AU63" s="6">
        <v>0</v>
      </c>
      <c r="AW63" s="6">
        <f t="shared" si="2"/>
        <v>18666394</v>
      </c>
      <c r="AY63" s="6">
        <f>+'St of Activites - GA Rev'!AG63-'St of Activities - GA Exp'!AW63</f>
        <v>396546</v>
      </c>
      <c r="BA63" s="6">
        <v>8115970</v>
      </c>
      <c r="BC63" s="6">
        <f t="shared" si="3"/>
        <v>8512516</v>
      </c>
      <c r="BE63" s="6">
        <f>+'St of Net Assets - GA'!Y63-'St of Activities - GA Exp'!BC63</f>
        <v>0</v>
      </c>
    </row>
    <row r="64" spans="1:57">
      <c r="A64" s="11" t="s">
        <v>518</v>
      </c>
      <c r="B64" s="11"/>
      <c r="C64" s="11" t="s">
        <v>64</v>
      </c>
      <c r="E64" s="6">
        <v>1413880</v>
      </c>
      <c r="G64" s="6">
        <v>640488</v>
      </c>
      <c r="I64" s="6">
        <v>44000</v>
      </c>
      <c r="K64" s="6">
        <v>0</v>
      </c>
      <c r="M64" s="6">
        <v>0</v>
      </c>
      <c r="O64" s="6">
        <v>159199</v>
      </c>
      <c r="Q64" s="6">
        <v>210535</v>
      </c>
      <c r="S64" s="6">
        <v>18669</v>
      </c>
      <c r="U64" s="6">
        <v>407715</v>
      </c>
      <c r="W64" s="6">
        <v>229304</v>
      </c>
      <c r="Y64" s="6">
        <v>0</v>
      </c>
      <c r="AA64" s="6">
        <v>423491</v>
      </c>
      <c r="AC64" s="6">
        <v>274843</v>
      </c>
      <c r="AE64" s="6">
        <v>7791</v>
      </c>
      <c r="AG64" s="11" t="s">
        <v>518</v>
      </c>
      <c r="AH64" s="11"/>
      <c r="AI64" s="11" t="s">
        <v>64</v>
      </c>
      <c r="AJ64" s="11"/>
      <c r="AK64" s="6">
        <v>124903</v>
      </c>
      <c r="AM64" s="6">
        <v>0</v>
      </c>
      <c r="AO64" s="6">
        <v>90481</v>
      </c>
      <c r="AQ64" s="6">
        <v>6276</v>
      </c>
      <c r="AU64" s="6">
        <v>0</v>
      </c>
      <c r="AW64" s="6">
        <f t="shared" si="2"/>
        <v>4051575</v>
      </c>
      <c r="AY64" s="6">
        <f>+'St of Activites - GA Rev'!AG64-'St of Activities - GA Exp'!AW64</f>
        <v>-83900</v>
      </c>
      <c r="BA64" s="6">
        <v>1408023</v>
      </c>
      <c r="BC64" s="6">
        <f t="shared" si="3"/>
        <v>1324123</v>
      </c>
      <c r="BE64" s="6">
        <f>+'St of Net Assets - GA'!Y64-'St of Activities - GA Exp'!BC64</f>
        <v>0</v>
      </c>
    </row>
    <row r="65" spans="1:57">
      <c r="A65" s="11" t="s">
        <v>479</v>
      </c>
      <c r="B65" s="11"/>
      <c r="C65" s="11" t="s">
        <v>59</v>
      </c>
      <c r="E65" s="6">
        <v>4774068</v>
      </c>
      <c r="G65" s="6">
        <v>1183098</v>
      </c>
      <c r="I65" s="6">
        <v>8695</v>
      </c>
      <c r="K65" s="6">
        <v>0</v>
      </c>
      <c r="M65" s="6">
        <v>184777</v>
      </c>
      <c r="O65" s="6">
        <v>355262</v>
      </c>
      <c r="Q65" s="6">
        <v>503055</v>
      </c>
      <c r="S65" s="6">
        <v>25604</v>
      </c>
      <c r="U65" s="6">
        <v>829853</v>
      </c>
      <c r="W65" s="6">
        <v>193822</v>
      </c>
      <c r="Y65" s="6">
        <v>25588</v>
      </c>
      <c r="AA65" s="6">
        <v>903938</v>
      </c>
      <c r="AC65" s="6">
        <v>851089</v>
      </c>
      <c r="AE65" s="6">
        <v>9661</v>
      </c>
      <c r="AG65" s="11" t="s">
        <v>479</v>
      </c>
      <c r="AH65" s="11"/>
      <c r="AI65" s="11" t="s">
        <v>59</v>
      </c>
      <c r="AJ65" s="11"/>
      <c r="AK65" s="6">
        <v>581827</v>
      </c>
      <c r="AM65" s="6">
        <v>134</v>
      </c>
      <c r="AO65" s="6">
        <v>194703</v>
      </c>
      <c r="AQ65" s="6">
        <v>43881</v>
      </c>
      <c r="AU65" s="6">
        <v>0</v>
      </c>
      <c r="AW65" s="6">
        <f>SUM(E65:AV65)</f>
        <v>10669055</v>
      </c>
      <c r="AY65" s="6">
        <f>+'St of Activites - GA Rev'!AG65-'St of Activities - GA Exp'!AW65</f>
        <v>-362593</v>
      </c>
      <c r="BA65" s="6">
        <v>17215293</v>
      </c>
      <c r="BC65" s="6">
        <f>+AY65+BA65</f>
        <v>16852700</v>
      </c>
      <c r="BE65" s="6">
        <f>+'St of Net Assets - GA'!Y65-'St of Activities - GA Exp'!BC65</f>
        <v>0</v>
      </c>
    </row>
    <row r="66" spans="1:57" hidden="1">
      <c r="A66" s="11" t="s">
        <v>887</v>
      </c>
      <c r="B66" s="11"/>
      <c r="C66" s="11" t="s">
        <v>10</v>
      </c>
      <c r="AG66" s="11" t="s">
        <v>887</v>
      </c>
      <c r="AH66" s="11"/>
      <c r="AI66" s="11" t="s">
        <v>10</v>
      </c>
      <c r="AJ66" s="11"/>
      <c r="AW66" s="6">
        <f t="shared" si="2"/>
        <v>0</v>
      </c>
      <c r="AY66" s="6">
        <f>+'St of Activites - GA Rev'!AG66-'St of Activities - GA Exp'!AW66</f>
        <v>0</v>
      </c>
      <c r="BC66" s="6">
        <f t="shared" si="3"/>
        <v>0</v>
      </c>
      <c r="BE66" s="6">
        <f>+'St of Net Assets - GA'!Y66-'St of Activities - GA Exp'!BC66</f>
        <v>0</v>
      </c>
    </row>
    <row r="67" spans="1:57" ht="12" customHeight="1">
      <c r="A67" s="11" t="s">
        <v>402</v>
      </c>
      <c r="B67" s="11"/>
      <c r="C67" s="11" t="s">
        <v>45</v>
      </c>
      <c r="E67" s="6">
        <v>23133334</v>
      </c>
      <c r="G67" s="6">
        <v>5388605</v>
      </c>
      <c r="I67" s="6">
        <v>0</v>
      </c>
      <c r="K67" s="6">
        <v>6174</v>
      </c>
      <c r="M67" s="6">
        <v>152398</v>
      </c>
      <c r="O67" s="6">
        <v>2020538</v>
      </c>
      <c r="Q67" s="6">
        <v>2572769</v>
      </c>
      <c r="S67" s="6">
        <v>159712</v>
      </c>
      <c r="U67" s="6">
        <v>2787032</v>
      </c>
      <c r="W67" s="6">
        <v>1010209</v>
      </c>
      <c r="Y67" s="6">
        <v>151302</v>
      </c>
      <c r="AA67" s="6">
        <v>4922146</v>
      </c>
      <c r="AC67" s="6">
        <v>2909593</v>
      </c>
      <c r="AE67" s="6">
        <v>49214</v>
      </c>
      <c r="AG67" s="11" t="s">
        <v>402</v>
      </c>
      <c r="AH67" s="11"/>
      <c r="AI67" s="11" t="s">
        <v>45</v>
      </c>
      <c r="AJ67" s="11"/>
      <c r="AK67" s="6">
        <v>1452188</v>
      </c>
      <c r="AM67" s="6">
        <v>829278</v>
      </c>
      <c r="AO67" s="6">
        <v>1131889</v>
      </c>
      <c r="AQ67" s="6">
        <v>405354</v>
      </c>
      <c r="AU67" s="6">
        <v>0</v>
      </c>
      <c r="AW67" s="6">
        <f t="shared" si="2"/>
        <v>49081735</v>
      </c>
      <c r="AY67" s="6">
        <f>+'St of Activites - GA Rev'!AG67-'St of Activities - GA Exp'!AW67</f>
        <v>-1275494</v>
      </c>
      <c r="BA67" s="6">
        <v>24283986</v>
      </c>
      <c r="BC67" s="6">
        <f t="shared" si="3"/>
        <v>23008492</v>
      </c>
      <c r="BE67" s="6">
        <f>+'St of Net Assets - GA'!Y67-'St of Activities - GA Exp'!BC67</f>
        <v>0</v>
      </c>
    </row>
    <row r="68" spans="1:57">
      <c r="A68" s="11" t="s">
        <v>489</v>
      </c>
      <c r="B68" s="11"/>
      <c r="C68" s="11" t="s">
        <v>61</v>
      </c>
      <c r="E68" s="6">
        <v>2372476</v>
      </c>
      <c r="G68" s="6">
        <v>436599</v>
      </c>
      <c r="I68" s="6">
        <v>162125</v>
      </c>
      <c r="K68" s="6">
        <v>267</v>
      </c>
      <c r="M68" s="6">
        <f>23907+26886</f>
        <v>50793</v>
      </c>
      <c r="O68" s="6">
        <v>166021</v>
      </c>
      <c r="Q68" s="6">
        <v>285574</v>
      </c>
      <c r="S68" s="6">
        <v>13913</v>
      </c>
      <c r="U68" s="6">
        <v>412109</v>
      </c>
      <c r="W68" s="6">
        <v>226776</v>
      </c>
      <c r="Y68" s="6">
        <v>0</v>
      </c>
      <c r="AA68" s="6">
        <v>544747</v>
      </c>
      <c r="AC68" s="6">
        <v>161072</v>
      </c>
      <c r="AE68" s="6">
        <v>3555</v>
      </c>
      <c r="AG68" s="11" t="s">
        <v>489</v>
      </c>
      <c r="AH68" s="11"/>
      <c r="AI68" s="11" t="s">
        <v>61</v>
      </c>
      <c r="AJ68" s="11"/>
      <c r="AK68" s="6">
        <v>0</v>
      </c>
      <c r="AM68" s="6">
        <v>234861</v>
      </c>
      <c r="AO68" s="6">
        <v>270033</v>
      </c>
      <c r="AQ68" s="6">
        <v>101027</v>
      </c>
      <c r="AU68" s="6">
        <v>0</v>
      </c>
      <c r="AW68" s="6">
        <f t="shared" si="2"/>
        <v>5441948</v>
      </c>
      <c r="AY68" s="6">
        <f>+'St of Activites - GA Rev'!AG68-'St of Activities - GA Exp'!AW68</f>
        <v>18095000</v>
      </c>
      <c r="BA68" s="6">
        <v>6670767</v>
      </c>
      <c r="BC68" s="6">
        <f t="shared" si="3"/>
        <v>24765767</v>
      </c>
      <c r="BE68" s="6">
        <f>+'St of Net Assets - GA'!Y68-'St of Activities - GA Exp'!BC68</f>
        <v>0</v>
      </c>
    </row>
    <row r="69" spans="1:57">
      <c r="A69" s="11" t="s">
        <v>554</v>
      </c>
      <c r="B69" s="11"/>
      <c r="C69" s="11" t="s">
        <v>72</v>
      </c>
      <c r="E69" s="6">
        <v>20526393</v>
      </c>
      <c r="G69" s="6">
        <v>0</v>
      </c>
      <c r="I69" s="6">
        <v>0</v>
      </c>
      <c r="K69" s="6">
        <v>0</v>
      </c>
      <c r="M69" s="6">
        <v>0</v>
      </c>
      <c r="O69" s="6">
        <v>11386826</v>
      </c>
      <c r="Q69" s="6">
        <v>0</v>
      </c>
      <c r="S69" s="6">
        <v>0</v>
      </c>
      <c r="U69" s="6">
        <v>0</v>
      </c>
      <c r="W69" s="6">
        <v>0</v>
      </c>
      <c r="Y69" s="6">
        <v>0</v>
      </c>
      <c r="AA69" s="6">
        <v>38569</v>
      </c>
      <c r="AC69" s="6">
        <v>0</v>
      </c>
      <c r="AE69" s="6">
        <v>0</v>
      </c>
      <c r="AG69" s="11" t="s">
        <v>554</v>
      </c>
      <c r="AH69" s="11"/>
      <c r="AI69" s="11" t="s">
        <v>72</v>
      </c>
      <c r="AJ69" s="11"/>
      <c r="AK69" s="6">
        <v>0</v>
      </c>
      <c r="AM69" s="6">
        <v>354009</v>
      </c>
      <c r="AO69" s="6">
        <v>953921</v>
      </c>
      <c r="AQ69" s="6">
        <v>1191529</v>
      </c>
      <c r="AU69" s="6">
        <f>30000+243576</f>
        <v>273576</v>
      </c>
      <c r="AW69" s="6">
        <f t="shared" si="2"/>
        <v>34724823</v>
      </c>
      <c r="AY69" s="6">
        <f>+'St of Activites - GA Rev'!AG69-'St of Activities - GA Exp'!AW69</f>
        <v>-2719047</v>
      </c>
      <c r="BA69" s="6">
        <v>17288523</v>
      </c>
      <c r="BC69" s="6">
        <f t="shared" si="3"/>
        <v>14569476</v>
      </c>
      <c r="BE69" s="6">
        <f>+'St of Net Assets - GA'!Y69-'St of Activities - GA Exp'!BC69</f>
        <v>0</v>
      </c>
    </row>
    <row r="70" spans="1:57" hidden="1">
      <c r="A70" s="11" t="s">
        <v>888</v>
      </c>
      <c r="B70" s="11"/>
      <c r="C70" s="11" t="s">
        <v>48</v>
      </c>
      <c r="AG70" s="11" t="s">
        <v>888</v>
      </c>
      <c r="AH70" s="11"/>
      <c r="AI70" s="11" t="s">
        <v>48</v>
      </c>
      <c r="AJ70" s="11"/>
      <c r="AW70" s="6">
        <f>SUM(E70:AV70)</f>
        <v>0</v>
      </c>
      <c r="AY70" s="6">
        <f>+'St of Activites - GA Rev'!AG70-'St of Activities - GA Exp'!AW70</f>
        <v>0</v>
      </c>
      <c r="BC70" s="6">
        <f>+AY70+BA70</f>
        <v>0</v>
      </c>
      <c r="BE70" s="6">
        <f>+'St of Net Assets - GA'!Y70-'St of Activities - GA Exp'!BC70</f>
        <v>0</v>
      </c>
    </row>
    <row r="71" spans="1:57">
      <c r="A71" s="11" t="s">
        <v>785</v>
      </c>
      <c r="B71" s="11"/>
      <c r="C71" s="11" t="s">
        <v>20</v>
      </c>
      <c r="E71" s="6">
        <v>22600655</v>
      </c>
      <c r="G71" s="6">
        <v>6378072</v>
      </c>
      <c r="I71" s="6">
        <v>117999</v>
      </c>
      <c r="K71" s="6">
        <v>592</v>
      </c>
      <c r="M71" s="6">
        <f>368663+533206</f>
        <v>901869</v>
      </c>
      <c r="O71" s="6">
        <v>3927797</v>
      </c>
      <c r="Q71" s="6">
        <v>2913948</v>
      </c>
      <c r="S71" s="6">
        <v>200571</v>
      </c>
      <c r="U71" s="6">
        <v>2863281</v>
      </c>
      <c r="W71" s="6">
        <v>1233040</v>
      </c>
      <c r="Y71" s="6">
        <v>487043</v>
      </c>
      <c r="AA71" s="6">
        <v>4044697</v>
      </c>
      <c r="AC71" s="6">
        <v>3388665</v>
      </c>
      <c r="AE71" s="6">
        <v>259532</v>
      </c>
      <c r="AG71" s="11" t="s">
        <v>785</v>
      </c>
      <c r="AH71" s="11"/>
      <c r="AI71" s="11" t="s">
        <v>20</v>
      </c>
      <c r="AJ71" s="11"/>
      <c r="AK71" s="6">
        <v>1629048</v>
      </c>
      <c r="AM71" s="6">
        <f>675490+426159</f>
        <v>1101649</v>
      </c>
      <c r="AO71" s="6">
        <v>1091020</v>
      </c>
      <c r="AQ71" s="6">
        <v>1110589</v>
      </c>
      <c r="AU71" s="6">
        <v>0</v>
      </c>
      <c r="AW71" s="6">
        <f t="shared" si="2"/>
        <v>54250067</v>
      </c>
      <c r="AY71" s="6">
        <f>+'St of Activites - GA Rev'!AG71-'St of Activities - GA Exp'!AW71</f>
        <v>1932346</v>
      </c>
      <c r="BA71" s="6">
        <v>24796994</v>
      </c>
      <c r="BC71" s="6">
        <f t="shared" si="3"/>
        <v>26729340</v>
      </c>
      <c r="BE71" s="6">
        <f>+'St of Net Assets - GA'!Y71-'St of Activities - GA Exp'!BC71</f>
        <v>0</v>
      </c>
    </row>
    <row r="72" spans="1:57">
      <c r="A72" s="11" t="s">
        <v>751</v>
      </c>
      <c r="B72" s="11"/>
      <c r="C72" s="11" t="s">
        <v>15</v>
      </c>
      <c r="E72" s="6">
        <v>3790127</v>
      </c>
      <c r="G72" s="6">
        <v>1048269</v>
      </c>
      <c r="I72" s="6">
        <v>40810</v>
      </c>
      <c r="K72" s="6">
        <v>0</v>
      </c>
      <c r="M72" s="6">
        <v>64810</v>
      </c>
      <c r="O72" s="6">
        <v>241209</v>
      </c>
      <c r="Q72" s="6">
        <v>424130</v>
      </c>
      <c r="S72" s="6">
        <v>31068</v>
      </c>
      <c r="U72" s="6">
        <v>596354</v>
      </c>
      <c r="W72" s="6">
        <v>280557</v>
      </c>
      <c r="Y72" s="6">
        <v>39961</v>
      </c>
      <c r="AA72" s="6">
        <v>892250</v>
      </c>
      <c r="AC72" s="6">
        <v>324248</v>
      </c>
      <c r="AE72" s="6">
        <v>5408</v>
      </c>
      <c r="AG72" s="11" t="s">
        <v>751</v>
      </c>
      <c r="AH72" s="11"/>
      <c r="AI72" s="11" t="s">
        <v>15</v>
      </c>
      <c r="AJ72" s="11"/>
      <c r="AK72" s="6">
        <v>388127</v>
      </c>
      <c r="AM72" s="6">
        <v>12358</v>
      </c>
      <c r="AO72" s="6">
        <v>114826</v>
      </c>
      <c r="AQ72" s="6">
        <v>101381</v>
      </c>
      <c r="AU72" s="6">
        <v>0</v>
      </c>
      <c r="AW72" s="6">
        <f t="shared" si="2"/>
        <v>8395893</v>
      </c>
      <c r="AY72" s="6">
        <f>+'St of Activites - GA Rev'!AG72-'St of Activities - GA Exp'!AW72</f>
        <v>170418</v>
      </c>
      <c r="BA72" s="6">
        <v>15903221</v>
      </c>
      <c r="BC72" s="6">
        <f t="shared" si="3"/>
        <v>16073639</v>
      </c>
      <c r="BE72" s="6">
        <f>+'St of Net Assets - GA'!Y72-'St of Activities - GA Exp'!BC72</f>
        <v>0</v>
      </c>
    </row>
    <row r="73" spans="1:57" hidden="1">
      <c r="A73" s="11" t="s">
        <v>793</v>
      </c>
      <c r="B73" s="11"/>
      <c r="C73" s="11" t="s">
        <v>348</v>
      </c>
      <c r="AG73" s="11" t="s">
        <v>793</v>
      </c>
      <c r="AH73" s="11"/>
      <c r="AI73" s="11" t="s">
        <v>348</v>
      </c>
      <c r="AJ73" s="11"/>
      <c r="AW73" s="6">
        <f t="shared" si="2"/>
        <v>0</v>
      </c>
      <c r="AY73" s="6">
        <f>+'St of Activites - GA Rev'!AG73-'St of Activities - GA Exp'!AW73</f>
        <v>0</v>
      </c>
      <c r="BC73" s="6">
        <f t="shared" si="3"/>
        <v>0</v>
      </c>
      <c r="BE73" s="6">
        <f>+'St of Net Assets - GA'!Y73-'St of Activities - GA Exp'!BC73</f>
        <v>0</v>
      </c>
    </row>
    <row r="74" spans="1:57">
      <c r="A74" s="11" t="s">
        <v>519</v>
      </c>
      <c r="B74" s="11"/>
      <c r="C74" s="11" t="s">
        <v>64</v>
      </c>
      <c r="E74" s="6">
        <v>3887429</v>
      </c>
      <c r="G74" s="6">
        <v>893118</v>
      </c>
      <c r="I74" s="6">
        <v>58889</v>
      </c>
      <c r="K74" s="6">
        <v>0</v>
      </c>
      <c r="M74" s="6">
        <v>7927</v>
      </c>
      <c r="O74" s="6">
        <v>238631</v>
      </c>
      <c r="Q74" s="6">
        <v>100135</v>
      </c>
      <c r="S74" s="6">
        <v>38465</v>
      </c>
      <c r="U74" s="6">
        <v>651968</v>
      </c>
      <c r="W74" s="6">
        <v>249672</v>
      </c>
      <c r="Y74" s="6">
        <v>25397</v>
      </c>
      <c r="AA74" s="6">
        <v>650000</v>
      </c>
      <c r="AC74" s="6">
        <v>535709</v>
      </c>
      <c r="AE74" s="6">
        <v>13503</v>
      </c>
      <c r="AG74" s="11" t="s">
        <v>519</v>
      </c>
      <c r="AH74" s="11"/>
      <c r="AI74" s="11" t="s">
        <v>64</v>
      </c>
      <c r="AJ74" s="11"/>
      <c r="AK74" s="6">
        <v>288720</v>
      </c>
      <c r="AM74" s="6">
        <v>11571</v>
      </c>
      <c r="AO74" s="6">
        <v>191260</v>
      </c>
      <c r="AQ74" s="6">
        <v>43361</v>
      </c>
      <c r="AU74" s="6">
        <v>0</v>
      </c>
      <c r="AW74" s="6">
        <f t="shared" si="2"/>
        <v>7885755</v>
      </c>
      <c r="AY74" s="6">
        <f>+'St of Activites - GA Rev'!AG74-'St of Activities - GA Exp'!AW74</f>
        <v>-145980</v>
      </c>
      <c r="BA74" s="6">
        <v>10115667</v>
      </c>
      <c r="BC74" s="6">
        <f t="shared" si="3"/>
        <v>9969687</v>
      </c>
      <c r="BE74" s="6">
        <f>+'St of Net Assets - GA'!Y74-'St of Activities - GA Exp'!BC74</f>
        <v>0</v>
      </c>
    </row>
    <row r="75" spans="1:57" ht="12" customHeight="1">
      <c r="A75" s="11" t="s">
        <v>673</v>
      </c>
      <c r="B75" s="11"/>
      <c r="C75" s="11" t="s">
        <v>64</v>
      </c>
      <c r="E75" s="6">
        <v>5835753</v>
      </c>
      <c r="G75" s="6">
        <v>1443972</v>
      </c>
      <c r="I75" s="6">
        <v>140908</v>
      </c>
      <c r="K75" s="6">
        <v>0</v>
      </c>
      <c r="M75" s="6">
        <v>0</v>
      </c>
      <c r="O75" s="6">
        <v>547381</v>
      </c>
      <c r="Q75" s="6">
        <v>436700</v>
      </c>
      <c r="S75" s="6">
        <v>19538</v>
      </c>
      <c r="U75" s="6">
        <v>884567</v>
      </c>
      <c r="W75" s="6">
        <v>392402</v>
      </c>
      <c r="Y75" s="6">
        <v>67028</v>
      </c>
      <c r="AA75" s="6">
        <v>1224172</v>
      </c>
      <c r="AC75" s="6">
        <v>621427</v>
      </c>
      <c r="AE75" s="6">
        <v>69184</v>
      </c>
      <c r="AG75" s="11" t="s">
        <v>673</v>
      </c>
      <c r="AH75" s="11"/>
      <c r="AI75" s="11" t="s">
        <v>64</v>
      </c>
      <c r="AJ75" s="11"/>
      <c r="AK75" s="6">
        <v>557478</v>
      </c>
      <c r="AM75" s="6">
        <v>996</v>
      </c>
      <c r="AO75" s="6">
        <v>414636</v>
      </c>
      <c r="AQ75" s="6">
        <v>701071</v>
      </c>
      <c r="AU75" s="6">
        <v>0</v>
      </c>
      <c r="AW75" s="6">
        <f>SUM(E75:AV75)</f>
        <v>13357213</v>
      </c>
      <c r="AY75" s="6">
        <f>+'St of Activites - GA Rev'!AG75-'St of Activities - GA Exp'!AW75</f>
        <v>-1382206</v>
      </c>
      <c r="BA75" s="6">
        <v>22389990</v>
      </c>
      <c r="BC75" s="6">
        <f t="shared" si="3"/>
        <v>21007784</v>
      </c>
      <c r="BE75" s="6">
        <f>+'St of Net Assets - GA'!Y75-'St of Activities - GA Exp'!BC75</f>
        <v>0</v>
      </c>
    </row>
    <row r="76" spans="1:57">
      <c r="A76" s="11" t="s">
        <v>264</v>
      </c>
      <c r="B76" s="11"/>
      <c r="C76" s="11" t="s">
        <v>20</v>
      </c>
      <c r="E76" s="6">
        <v>7203878</v>
      </c>
      <c r="G76" s="6">
        <v>2475348</v>
      </c>
      <c r="I76" s="6">
        <v>122505</v>
      </c>
      <c r="K76" s="6">
        <v>0</v>
      </c>
      <c r="M76" s="6">
        <v>0</v>
      </c>
      <c r="O76" s="6">
        <v>1769239</v>
      </c>
      <c r="Q76" s="6">
        <v>157100</v>
      </c>
      <c r="S76" s="6">
        <v>38774</v>
      </c>
      <c r="U76" s="6">
        <v>1514952</v>
      </c>
      <c r="W76" s="6">
        <v>682798</v>
      </c>
      <c r="Y76" s="6">
        <v>87688</v>
      </c>
      <c r="AA76" s="6">
        <v>1353622</v>
      </c>
      <c r="AC76" s="6">
        <v>335735</v>
      </c>
      <c r="AE76" s="6">
        <v>242572</v>
      </c>
      <c r="AG76" s="11" t="s">
        <v>264</v>
      </c>
      <c r="AH76" s="11"/>
      <c r="AI76" s="11" t="s">
        <v>20</v>
      </c>
      <c r="AJ76" s="11"/>
      <c r="AK76" s="6">
        <v>430370</v>
      </c>
      <c r="AM76" s="6">
        <v>295682</v>
      </c>
      <c r="AO76" s="6">
        <v>428203</v>
      </c>
      <c r="AQ76" s="6">
        <v>0</v>
      </c>
      <c r="AU76" s="6">
        <v>0</v>
      </c>
      <c r="AW76" s="6">
        <f t="shared" si="2"/>
        <v>17138466</v>
      </c>
      <c r="AY76" s="6">
        <f>+'St of Activites - GA Rev'!AG76-'St of Activities - GA Exp'!AW76</f>
        <v>-107749</v>
      </c>
      <c r="BA76" s="6">
        <v>9968342</v>
      </c>
      <c r="BC76" s="6">
        <f t="shared" si="3"/>
        <v>9860593</v>
      </c>
      <c r="BE76" s="6">
        <f>+'St of Net Assets - GA'!Y76-'St of Activities - GA Exp'!BC76</f>
        <v>0</v>
      </c>
    </row>
    <row r="77" spans="1:57">
      <c r="A77" s="11" t="s">
        <v>428</v>
      </c>
      <c r="B77" s="11"/>
      <c r="C77" s="11" t="s">
        <v>50</v>
      </c>
      <c r="E77" s="6">
        <v>7445431</v>
      </c>
      <c r="G77" s="6">
        <v>1333651</v>
      </c>
      <c r="I77" s="6">
        <v>175278</v>
      </c>
      <c r="K77" s="6">
        <v>0</v>
      </c>
      <c r="M77" s="6">
        <v>111186</v>
      </c>
      <c r="O77" s="6">
        <v>856180</v>
      </c>
      <c r="Q77" s="6">
        <v>853285</v>
      </c>
      <c r="S77" s="6">
        <v>24003</v>
      </c>
      <c r="U77" s="6">
        <v>1431019</v>
      </c>
      <c r="W77" s="6">
        <v>355459</v>
      </c>
      <c r="Y77" s="6">
        <v>728</v>
      </c>
      <c r="AA77" s="6">
        <v>1430591</v>
      </c>
      <c r="AC77" s="6">
        <v>1147071</v>
      </c>
      <c r="AE77" s="6">
        <v>53291</v>
      </c>
      <c r="AG77" s="11" t="s">
        <v>428</v>
      </c>
      <c r="AH77" s="11"/>
      <c r="AI77" s="11" t="s">
        <v>50</v>
      </c>
      <c r="AJ77" s="11"/>
      <c r="AK77" s="6">
        <v>0</v>
      </c>
      <c r="AM77" s="6">
        <v>832414</v>
      </c>
      <c r="AO77" s="6">
        <v>848437</v>
      </c>
      <c r="AQ77" s="6">
        <v>958148</v>
      </c>
      <c r="AU77" s="6">
        <v>0</v>
      </c>
      <c r="AW77" s="6">
        <f t="shared" si="2"/>
        <v>17856172</v>
      </c>
      <c r="AY77" s="6">
        <f>+'St of Activites - GA Rev'!AG77-'St of Activities - GA Exp'!AW77</f>
        <v>-2226035</v>
      </c>
      <c r="BA77" s="6">
        <v>24016799</v>
      </c>
      <c r="BC77" s="6">
        <f t="shared" si="3"/>
        <v>21790764</v>
      </c>
      <c r="BE77" s="6">
        <f>+'St of Net Assets - GA'!Y77-'St of Activities - GA Exp'!BC77</f>
        <v>0</v>
      </c>
    </row>
    <row r="78" spans="1:57">
      <c r="A78" s="11" t="s">
        <v>227</v>
      </c>
      <c r="B78" s="11"/>
      <c r="C78" s="11" t="s">
        <v>16</v>
      </c>
      <c r="E78" s="6">
        <v>3903167</v>
      </c>
      <c r="G78" s="6">
        <v>577057</v>
      </c>
      <c r="I78" s="6">
        <v>68004</v>
      </c>
      <c r="K78" s="6">
        <v>0</v>
      </c>
      <c r="M78" s="6">
        <v>0</v>
      </c>
      <c r="O78" s="6">
        <v>272630</v>
      </c>
      <c r="Q78" s="6">
        <v>393488</v>
      </c>
      <c r="S78" s="6">
        <v>197541</v>
      </c>
      <c r="U78" s="6">
        <v>630702</v>
      </c>
      <c r="W78" s="6">
        <v>169113</v>
      </c>
      <c r="Y78" s="6">
        <v>0</v>
      </c>
      <c r="AA78" s="6">
        <v>613384</v>
      </c>
      <c r="AC78" s="6">
        <v>379340</v>
      </c>
      <c r="AE78" s="6">
        <v>29496</v>
      </c>
      <c r="AG78" s="11" t="s">
        <v>227</v>
      </c>
      <c r="AH78" s="11"/>
      <c r="AI78" s="11" t="s">
        <v>16</v>
      </c>
      <c r="AJ78" s="11"/>
      <c r="AK78" s="6">
        <v>396263</v>
      </c>
      <c r="AM78" s="6">
        <v>0</v>
      </c>
      <c r="AO78" s="6">
        <v>332929</v>
      </c>
      <c r="AQ78" s="6">
        <v>1620</v>
      </c>
      <c r="AU78" s="6">
        <v>0</v>
      </c>
      <c r="AW78" s="6">
        <f t="shared" si="2"/>
        <v>7964734</v>
      </c>
      <c r="AY78" s="6">
        <f>+'St of Activites - GA Rev'!AG78-'St of Activities - GA Exp'!AW78</f>
        <v>-79063</v>
      </c>
      <c r="BA78" s="6">
        <v>5824839</v>
      </c>
      <c r="BC78" s="6">
        <f t="shared" si="3"/>
        <v>5745776</v>
      </c>
      <c r="BE78" s="6">
        <f>+'St of Net Assets - GA'!Y78-'St of Activities - GA Exp'!BC78</f>
        <v>0</v>
      </c>
    </row>
    <row r="79" spans="1:57">
      <c r="A79" s="11" t="s">
        <v>415</v>
      </c>
      <c r="B79" s="11"/>
      <c r="C79" s="11" t="s">
        <v>47</v>
      </c>
      <c r="E79" s="6">
        <v>32418946</v>
      </c>
      <c r="G79" s="6">
        <v>7874156</v>
      </c>
      <c r="I79" s="6">
        <v>206857</v>
      </c>
      <c r="K79" s="6">
        <v>0</v>
      </c>
      <c r="M79" s="6">
        <v>2064516</v>
      </c>
      <c r="O79" s="6">
        <v>5904820</v>
      </c>
      <c r="Q79" s="6">
        <v>3491879</v>
      </c>
      <c r="S79" s="6">
        <v>612242</v>
      </c>
      <c r="U79" s="6">
        <v>4657832</v>
      </c>
      <c r="W79" s="6">
        <v>1429165</v>
      </c>
      <c r="Y79" s="6">
        <v>422545</v>
      </c>
      <c r="AA79" s="6">
        <v>6428143</v>
      </c>
      <c r="AC79" s="6">
        <v>4427579</v>
      </c>
      <c r="AE79" s="6">
        <v>341957</v>
      </c>
      <c r="AG79" s="11" t="s">
        <v>415</v>
      </c>
      <c r="AH79" s="11"/>
      <c r="AI79" s="11" t="s">
        <v>47</v>
      </c>
      <c r="AJ79" s="11"/>
      <c r="AK79" s="6">
        <v>2183427</v>
      </c>
      <c r="AM79" s="6">
        <v>463113</v>
      </c>
      <c r="AO79" s="6">
        <v>2063236</v>
      </c>
      <c r="AQ79" s="6">
        <v>2103128</v>
      </c>
      <c r="AU79" s="6">
        <v>0</v>
      </c>
      <c r="AW79" s="6">
        <f t="shared" si="2"/>
        <v>77093541</v>
      </c>
      <c r="AY79" s="6">
        <f>+'St of Activites - GA Rev'!AG79-'St of Activities - GA Exp'!AW79</f>
        <v>-2624995</v>
      </c>
      <c r="BA79" s="6">
        <v>13833606</v>
      </c>
      <c r="BC79" s="6">
        <f t="shared" si="3"/>
        <v>11208611</v>
      </c>
      <c r="BE79" s="6">
        <f>+'St of Net Assets - GA'!Y79-'St of Activities - GA Exp'!BC79</f>
        <v>0</v>
      </c>
    </row>
    <row r="80" spans="1:57" ht="12" hidden="1" customHeight="1">
      <c r="A80" s="11" t="s">
        <v>674</v>
      </c>
      <c r="B80" s="11"/>
      <c r="C80" s="11" t="s">
        <v>552</v>
      </c>
      <c r="AG80" s="11" t="s">
        <v>674</v>
      </c>
      <c r="AH80" s="11"/>
      <c r="AI80" s="11" t="s">
        <v>552</v>
      </c>
      <c r="AJ80" s="11"/>
      <c r="AW80" s="6">
        <f t="shared" si="2"/>
        <v>0</v>
      </c>
      <c r="AY80" s="6">
        <f>+'St of Activites - GA Rev'!AG80-'St of Activities - GA Exp'!AW80</f>
        <v>0</v>
      </c>
      <c r="BC80" s="6">
        <f t="shared" si="3"/>
        <v>0</v>
      </c>
      <c r="BE80" s="6">
        <f>+'St of Net Assets - GA'!Y80-'St of Activities - GA Exp'!BC80</f>
        <v>0</v>
      </c>
    </row>
    <row r="81" spans="1:57">
      <c r="A81" s="11" t="s">
        <v>256</v>
      </c>
      <c r="B81" s="11"/>
      <c r="C81" s="11" t="s">
        <v>111</v>
      </c>
      <c r="E81" s="6">
        <v>4843268</v>
      </c>
      <c r="G81" s="6">
        <v>801397</v>
      </c>
      <c r="I81" s="6">
        <v>155356</v>
      </c>
      <c r="K81" s="6">
        <v>0</v>
      </c>
      <c r="M81" s="6">
        <v>75</v>
      </c>
      <c r="O81" s="6">
        <v>279740</v>
      </c>
      <c r="Q81" s="6">
        <v>189782</v>
      </c>
      <c r="S81" s="6">
        <v>25487</v>
      </c>
      <c r="U81" s="6">
        <v>773303</v>
      </c>
      <c r="W81" s="6">
        <v>279630</v>
      </c>
      <c r="Y81" s="6">
        <v>0</v>
      </c>
      <c r="AA81" s="6">
        <v>655736</v>
      </c>
      <c r="AC81" s="6">
        <v>498203</v>
      </c>
      <c r="AE81" s="6">
        <v>60326</v>
      </c>
      <c r="AG81" s="11" t="s">
        <v>256</v>
      </c>
      <c r="AH81" s="11"/>
      <c r="AI81" s="11" t="s">
        <v>111</v>
      </c>
      <c r="AJ81" s="11"/>
      <c r="AK81" s="6">
        <v>366989</v>
      </c>
      <c r="AM81" s="6">
        <v>103631</v>
      </c>
      <c r="AO81" s="6">
        <v>519371</v>
      </c>
      <c r="AQ81" s="6">
        <v>380683</v>
      </c>
      <c r="AU81" s="6">
        <v>0</v>
      </c>
      <c r="AW81" s="6">
        <f t="shared" si="2"/>
        <v>9932977</v>
      </c>
      <c r="AY81" s="6">
        <f>+'St of Activites - GA Rev'!AG81-'St of Activities - GA Exp'!AW81</f>
        <v>-635784</v>
      </c>
      <c r="BA81" s="6">
        <v>22237996</v>
      </c>
      <c r="BC81" s="6">
        <f t="shared" si="3"/>
        <v>21602212</v>
      </c>
      <c r="BE81" s="6">
        <f>+'St of Net Assets - GA'!Y81-'St of Activities - GA Exp'!BC81</f>
        <v>0</v>
      </c>
    </row>
    <row r="82" spans="1:57">
      <c r="A82" s="11" t="s">
        <v>206</v>
      </c>
      <c r="B82" s="11"/>
      <c r="C82" s="11" t="s">
        <v>12</v>
      </c>
      <c r="E82" s="6">
        <v>9019232</v>
      </c>
      <c r="G82" s="6">
        <v>2177000</v>
      </c>
      <c r="I82" s="6">
        <v>216722</v>
      </c>
      <c r="K82" s="6">
        <v>2300</v>
      </c>
      <c r="M82" s="6">
        <v>0</v>
      </c>
      <c r="O82" s="6">
        <v>506528</v>
      </c>
      <c r="Q82" s="6">
        <v>313137</v>
      </c>
      <c r="S82" s="6">
        <v>29219</v>
      </c>
      <c r="U82" s="6">
        <v>1337675</v>
      </c>
      <c r="W82" s="6">
        <v>518237</v>
      </c>
      <c r="Y82" s="6">
        <v>95656</v>
      </c>
      <c r="AA82" s="6">
        <v>1856982</v>
      </c>
      <c r="AC82" s="6">
        <v>1025635</v>
      </c>
      <c r="AE82" s="6">
        <v>37231</v>
      </c>
      <c r="AG82" s="11" t="s">
        <v>206</v>
      </c>
      <c r="AH82" s="11"/>
      <c r="AI82" s="11" t="s">
        <v>12</v>
      </c>
      <c r="AJ82" s="11"/>
      <c r="AK82" s="6">
        <v>837139</v>
      </c>
      <c r="AM82" s="6">
        <v>3831</v>
      </c>
      <c r="AO82" s="6">
        <v>467319</v>
      </c>
      <c r="AQ82" s="6">
        <v>3206</v>
      </c>
      <c r="AU82" s="6">
        <v>0</v>
      </c>
      <c r="AW82" s="6">
        <f t="shared" si="2"/>
        <v>18447049</v>
      </c>
      <c r="AY82" s="6">
        <f>+'St of Activites - GA Rev'!AG82-'St of Activities - GA Exp'!AW82</f>
        <v>166877</v>
      </c>
      <c r="BA82" s="6">
        <v>8928474</v>
      </c>
      <c r="BC82" s="6">
        <f t="shared" si="3"/>
        <v>9095351</v>
      </c>
      <c r="BE82" s="6">
        <f>+'St of Net Assets - GA'!Y82-'St of Activities - GA Exp'!BC82</f>
        <v>0</v>
      </c>
    </row>
    <row r="83" spans="1:57">
      <c r="A83" s="11" t="s">
        <v>206</v>
      </c>
      <c r="B83" s="11"/>
      <c r="C83" s="11" t="s">
        <v>39</v>
      </c>
      <c r="E83" s="6">
        <v>8896606</v>
      </c>
      <c r="G83" s="6">
        <v>2676541</v>
      </c>
      <c r="I83" s="6">
        <v>494180</v>
      </c>
      <c r="K83" s="6">
        <v>0</v>
      </c>
      <c r="M83" s="6">
        <v>122717</v>
      </c>
      <c r="O83" s="6">
        <v>933074</v>
      </c>
      <c r="Q83" s="6">
        <v>634371</v>
      </c>
      <c r="S83" s="6">
        <v>115722</v>
      </c>
      <c r="U83" s="6">
        <v>2078317</v>
      </c>
      <c r="W83" s="6">
        <v>453087</v>
      </c>
      <c r="Y83" s="6">
        <v>57664</v>
      </c>
      <c r="AA83" s="6">
        <v>2124444</v>
      </c>
      <c r="AC83" s="6">
        <v>1759260</v>
      </c>
      <c r="AE83" s="6">
        <v>0</v>
      </c>
      <c r="AG83" s="11" t="s">
        <v>206</v>
      </c>
      <c r="AH83" s="11"/>
      <c r="AI83" s="11" t="s">
        <v>39</v>
      </c>
      <c r="AJ83" s="11"/>
      <c r="AK83" s="6">
        <v>665774</v>
      </c>
      <c r="AM83" s="6">
        <v>7757</v>
      </c>
      <c r="AO83" s="6">
        <v>401555</v>
      </c>
      <c r="AQ83" s="6">
        <v>12688</v>
      </c>
      <c r="AU83" s="6">
        <v>0</v>
      </c>
      <c r="AW83" s="6">
        <f t="shared" si="2"/>
        <v>21433757</v>
      </c>
      <c r="AY83" s="6">
        <f>+'St of Activites - GA Rev'!AG83-'St of Activities - GA Exp'!AW83</f>
        <v>-521688</v>
      </c>
      <c r="BA83" s="6">
        <v>8958508</v>
      </c>
      <c r="BC83" s="6">
        <f t="shared" si="3"/>
        <v>8436820</v>
      </c>
      <c r="BE83" s="6">
        <f>+'St of Net Assets - GA'!Y83-'St of Activities - GA Exp'!BC83</f>
        <v>0</v>
      </c>
    </row>
    <row r="84" spans="1:57" ht="12" customHeight="1">
      <c r="A84" s="11" t="s">
        <v>675</v>
      </c>
      <c r="B84" s="11"/>
      <c r="C84" s="11" t="s">
        <v>47</v>
      </c>
      <c r="E84" s="6">
        <v>9659521</v>
      </c>
      <c r="G84" s="6">
        <v>2130088</v>
      </c>
      <c r="I84" s="6">
        <v>151815</v>
      </c>
      <c r="K84" s="6">
        <v>0</v>
      </c>
      <c r="M84" s="6">
        <v>895799</v>
      </c>
      <c r="O84" s="6">
        <v>890828</v>
      </c>
      <c r="Q84" s="6">
        <v>1338631</v>
      </c>
      <c r="S84" s="6">
        <v>34741</v>
      </c>
      <c r="U84" s="6">
        <v>1494016</v>
      </c>
      <c r="W84" s="6">
        <v>666269</v>
      </c>
      <c r="Y84" s="6">
        <v>26883</v>
      </c>
      <c r="AA84" s="6">
        <v>1711768</v>
      </c>
      <c r="AC84" s="6">
        <v>1105973</v>
      </c>
      <c r="AE84" s="6">
        <v>24815</v>
      </c>
      <c r="AG84" s="11" t="s">
        <v>675</v>
      </c>
      <c r="AH84" s="11"/>
      <c r="AI84" s="11" t="s">
        <v>47</v>
      </c>
      <c r="AJ84" s="11"/>
      <c r="AK84" s="6">
        <v>600206</v>
      </c>
      <c r="AM84" s="6">
        <v>101385</v>
      </c>
      <c r="AO84" s="6">
        <v>635366</v>
      </c>
      <c r="AQ84" s="6">
        <v>826477</v>
      </c>
      <c r="AU84" s="6">
        <v>0</v>
      </c>
      <c r="AW84" s="6">
        <f t="shared" ref="AW84:AW92" si="10">SUM(E84:AV84)</f>
        <v>22294581</v>
      </c>
      <c r="AY84" s="6">
        <f>+'St of Activites - GA Rev'!AG84-'St of Activities - GA Exp'!AW84</f>
        <v>-471016</v>
      </c>
      <c r="BA84" s="6">
        <v>9301574</v>
      </c>
      <c r="BC84" s="6">
        <f t="shared" ref="BC84:BC94" si="11">+AY84+BA84</f>
        <v>8830558</v>
      </c>
      <c r="BE84" s="6">
        <f>+'St of Net Assets - GA'!Y84-'St of Activities - GA Exp'!BC84</f>
        <v>0</v>
      </c>
    </row>
    <row r="85" spans="1:57" ht="12" hidden="1" customHeight="1">
      <c r="A85" s="42" t="s">
        <v>794</v>
      </c>
      <c r="B85" s="11"/>
      <c r="C85" s="11" t="s">
        <v>112</v>
      </c>
      <c r="AG85" s="42" t="s">
        <v>794</v>
      </c>
      <c r="AH85" s="11"/>
      <c r="AI85" s="11" t="s">
        <v>112</v>
      </c>
      <c r="AJ85" s="11"/>
      <c r="AW85" s="6">
        <f t="shared" si="10"/>
        <v>0</v>
      </c>
      <c r="AY85" s="6">
        <f>+'St of Activites - GA Rev'!AG85-'St of Activities - GA Exp'!AW85</f>
        <v>0</v>
      </c>
      <c r="BC85" s="6">
        <f t="shared" si="11"/>
        <v>0</v>
      </c>
      <c r="BE85" s="6">
        <f>+'St of Net Assets - GA'!Y85-'St of Activities - GA Exp'!BC85</f>
        <v>0</v>
      </c>
    </row>
    <row r="86" spans="1:57" ht="12" customHeight="1">
      <c r="A86" s="11" t="s">
        <v>636</v>
      </c>
      <c r="B86" s="11"/>
      <c r="C86" s="11" t="s">
        <v>23</v>
      </c>
      <c r="E86" s="6">
        <v>11474757</v>
      </c>
      <c r="G86" s="6">
        <v>1958095</v>
      </c>
      <c r="I86" s="6">
        <v>242138</v>
      </c>
      <c r="K86" s="6">
        <v>0</v>
      </c>
      <c r="M86" s="6">
        <v>17428</v>
      </c>
      <c r="O86" s="6">
        <v>2342325</v>
      </c>
      <c r="Q86" s="6">
        <v>547548</v>
      </c>
      <c r="S86" s="6">
        <v>180753</v>
      </c>
      <c r="U86" s="6">
        <v>2218362</v>
      </c>
      <c r="W86" s="6">
        <v>641584</v>
      </c>
      <c r="Y86" s="6">
        <v>0</v>
      </c>
      <c r="AA86" s="6">
        <v>2453798</v>
      </c>
      <c r="AC86" s="6">
        <v>2035107</v>
      </c>
      <c r="AE86" s="6">
        <v>40744</v>
      </c>
      <c r="AG86" s="11" t="s">
        <v>636</v>
      </c>
      <c r="AH86" s="11"/>
      <c r="AI86" s="11" t="s">
        <v>23</v>
      </c>
      <c r="AJ86" s="11"/>
      <c r="AK86" s="6">
        <v>908838</v>
      </c>
      <c r="AM86" s="6">
        <v>30669</v>
      </c>
      <c r="AO86" s="6">
        <v>602241</v>
      </c>
      <c r="AQ86" s="6">
        <v>1167221</v>
      </c>
      <c r="AU86" s="6">
        <v>0</v>
      </c>
      <c r="AW86" s="6">
        <f t="shared" si="10"/>
        <v>26861608</v>
      </c>
      <c r="AY86" s="6">
        <f>+'St of Activites - GA Rev'!AG86-'St of Activities - GA Exp'!AW86</f>
        <v>603841</v>
      </c>
      <c r="BA86" s="6">
        <v>15110655</v>
      </c>
      <c r="BC86" s="6">
        <f t="shared" si="11"/>
        <v>15714496</v>
      </c>
      <c r="BE86" s="6">
        <f>+'St of Net Assets - GA'!Y86-'St of Activities - GA Exp'!BC86</f>
        <v>0</v>
      </c>
    </row>
    <row r="87" spans="1:57">
      <c r="A87" s="11" t="s">
        <v>257</v>
      </c>
      <c r="B87" s="11"/>
      <c r="C87" s="11" t="s">
        <v>111</v>
      </c>
      <c r="E87" s="6">
        <v>8353205</v>
      </c>
      <c r="G87" s="6">
        <v>2401492</v>
      </c>
      <c r="I87" s="6">
        <v>58889</v>
      </c>
      <c r="K87" s="6">
        <v>0</v>
      </c>
      <c r="M87" s="6">
        <v>0</v>
      </c>
      <c r="O87" s="6">
        <v>859783</v>
      </c>
      <c r="Q87" s="6">
        <v>1336564</v>
      </c>
      <c r="S87" s="6">
        <v>72403</v>
      </c>
      <c r="U87" s="6">
        <v>1507108</v>
      </c>
      <c r="W87" s="6">
        <v>502899</v>
      </c>
      <c r="Y87" s="6">
        <v>144726</v>
      </c>
      <c r="AA87" s="6">
        <v>1193285</v>
      </c>
      <c r="AC87" s="6">
        <v>314817</v>
      </c>
      <c r="AE87" s="6">
        <v>218449</v>
      </c>
      <c r="AG87" s="11" t="s">
        <v>257</v>
      </c>
      <c r="AH87" s="11"/>
      <c r="AI87" s="11" t="s">
        <v>111</v>
      </c>
      <c r="AJ87" s="11"/>
      <c r="AK87" s="6">
        <v>0</v>
      </c>
      <c r="AM87" s="6">
        <v>1324864</v>
      </c>
      <c r="AO87" s="6">
        <v>474334</v>
      </c>
      <c r="AQ87" s="6">
        <v>546646</v>
      </c>
      <c r="AU87" s="6">
        <v>0</v>
      </c>
      <c r="AW87" s="6">
        <f t="shared" si="10"/>
        <v>19309464</v>
      </c>
      <c r="AY87" s="6">
        <f>+'St of Activites - GA Rev'!AG87-'St of Activities - GA Exp'!AW87</f>
        <v>-1215513</v>
      </c>
      <c r="BA87" s="6">
        <v>32663036</v>
      </c>
      <c r="BC87" s="6">
        <f t="shared" si="11"/>
        <v>31447523</v>
      </c>
      <c r="BE87" s="6">
        <f>+'St of Net Assets - GA'!Y87-'St of Activities - GA Exp'!BC87</f>
        <v>0</v>
      </c>
    </row>
    <row r="88" spans="1:57">
      <c r="A88" s="11" t="s">
        <v>752</v>
      </c>
      <c r="B88" s="11"/>
      <c r="C88" s="11" t="s">
        <v>52</v>
      </c>
      <c r="E88" s="6">
        <v>4391173</v>
      </c>
      <c r="G88" s="6">
        <v>635163</v>
      </c>
      <c r="I88" s="6">
        <v>75335</v>
      </c>
      <c r="K88" s="6">
        <v>5553</v>
      </c>
      <c r="M88" s="6">
        <v>927</v>
      </c>
      <c r="O88" s="6">
        <v>488305</v>
      </c>
      <c r="Q88" s="6">
        <v>553658</v>
      </c>
      <c r="S88" s="6">
        <v>41527</v>
      </c>
      <c r="U88" s="6">
        <v>682452</v>
      </c>
      <c r="W88" s="6">
        <v>343156</v>
      </c>
      <c r="Y88" s="6">
        <v>0</v>
      </c>
      <c r="AA88" s="6">
        <v>513367</v>
      </c>
      <c r="AC88" s="6">
        <v>608798</v>
      </c>
      <c r="AE88" s="6">
        <v>592</v>
      </c>
      <c r="AG88" s="11" t="s">
        <v>752</v>
      </c>
      <c r="AH88" s="11"/>
      <c r="AI88" s="11" t="s">
        <v>52</v>
      </c>
      <c r="AJ88" s="11"/>
      <c r="AK88" s="6">
        <v>353349</v>
      </c>
      <c r="AM88" s="6">
        <f>30983+3790</f>
        <v>34773</v>
      </c>
      <c r="AO88" s="6">
        <v>271695</v>
      </c>
      <c r="AQ88" s="6">
        <v>3481</v>
      </c>
      <c r="AU88" s="6">
        <v>0</v>
      </c>
      <c r="AW88" s="6">
        <f t="shared" ref="AW88" si="12">SUM(E88:AV88)</f>
        <v>9003304</v>
      </c>
      <c r="AY88" s="6">
        <f>+'St of Activites - GA Rev'!AG88-'St of Activities - GA Exp'!AW88</f>
        <v>-693330</v>
      </c>
      <c r="BA88" s="6">
        <v>7192895</v>
      </c>
      <c r="BC88" s="6">
        <f t="shared" ref="BC88" si="13">+AY88+BA88</f>
        <v>6499565</v>
      </c>
      <c r="BE88" s="6">
        <f>+'St of Net Assets - GA'!Y88-'St of Activities - GA Exp'!BC88</f>
        <v>0</v>
      </c>
    </row>
    <row r="89" spans="1:57">
      <c r="A89" s="11" t="s">
        <v>319</v>
      </c>
      <c r="B89" s="11"/>
      <c r="C89" s="11" t="s">
        <v>31</v>
      </c>
      <c r="E89" s="6">
        <v>11875265</v>
      </c>
      <c r="G89" s="6">
        <v>2923496</v>
      </c>
      <c r="I89" s="6">
        <v>296071</v>
      </c>
      <c r="K89" s="6">
        <v>14117</v>
      </c>
      <c r="M89" s="6">
        <v>9234</v>
      </c>
      <c r="O89" s="6">
        <v>1284102</v>
      </c>
      <c r="Q89" s="6">
        <v>1406318</v>
      </c>
      <c r="S89" s="6">
        <v>93464</v>
      </c>
      <c r="U89" s="6">
        <v>1581940</v>
      </c>
      <c r="W89" s="6">
        <v>530508</v>
      </c>
      <c r="Y89" s="6">
        <v>38670</v>
      </c>
      <c r="AA89" s="6">
        <v>2289817</v>
      </c>
      <c r="AC89" s="6">
        <v>1298400</v>
      </c>
      <c r="AE89" s="6">
        <v>220523</v>
      </c>
      <c r="AG89" s="11" t="s">
        <v>319</v>
      </c>
      <c r="AH89" s="11"/>
      <c r="AI89" s="11" t="s">
        <v>31</v>
      </c>
      <c r="AJ89" s="11"/>
      <c r="AK89" s="6">
        <v>1025914</v>
      </c>
      <c r="AM89" s="6">
        <v>112887</v>
      </c>
      <c r="AO89" s="6">
        <v>598270</v>
      </c>
      <c r="AQ89" s="6">
        <v>275072</v>
      </c>
      <c r="AU89" s="6">
        <v>0</v>
      </c>
      <c r="AW89" s="6">
        <f t="shared" si="10"/>
        <v>25874068</v>
      </c>
      <c r="AY89" s="6">
        <f>+'St of Activites - GA Rev'!AG89-'St of Activities - GA Exp'!AW89</f>
        <v>-1286953</v>
      </c>
      <c r="BA89" s="6">
        <v>41059522</v>
      </c>
      <c r="BC89" s="6">
        <f t="shared" si="11"/>
        <v>39772569</v>
      </c>
      <c r="BE89" s="6">
        <f>+'St of Net Assets - GA'!Y89-'St of Activities - GA Exp'!BC89</f>
        <v>0</v>
      </c>
    </row>
    <row r="90" spans="1:57" ht="12" customHeight="1">
      <c r="A90" s="11" t="s">
        <v>647</v>
      </c>
      <c r="B90" s="11"/>
      <c r="C90" s="11" t="s">
        <v>45</v>
      </c>
      <c r="E90" s="6">
        <v>7392222</v>
      </c>
      <c r="G90" s="6">
        <v>2279953</v>
      </c>
      <c r="I90" s="6">
        <v>234045</v>
      </c>
      <c r="K90" s="6">
        <v>0</v>
      </c>
      <c r="M90" s="6">
        <v>222049</v>
      </c>
      <c r="O90" s="6">
        <v>388600</v>
      </c>
      <c r="Q90" s="6">
        <v>637706</v>
      </c>
      <c r="S90" s="6">
        <v>24939</v>
      </c>
      <c r="U90" s="6">
        <v>891437</v>
      </c>
      <c r="W90" s="6">
        <v>303674</v>
      </c>
      <c r="Y90" s="6">
        <v>0</v>
      </c>
      <c r="AA90" s="6">
        <v>1890515</v>
      </c>
      <c r="AC90" s="6">
        <v>380863</v>
      </c>
      <c r="AE90" s="6">
        <v>0</v>
      </c>
      <c r="AG90" s="11" t="s">
        <v>647</v>
      </c>
      <c r="AH90" s="11"/>
      <c r="AI90" s="11" t="s">
        <v>45</v>
      </c>
      <c r="AJ90" s="11"/>
      <c r="AK90" s="6">
        <v>729393</v>
      </c>
      <c r="AM90" s="6">
        <v>48706</v>
      </c>
      <c r="AO90" s="6">
        <v>526897</v>
      </c>
      <c r="AQ90" s="6">
        <v>220298</v>
      </c>
      <c r="AU90" s="6">
        <v>0</v>
      </c>
      <c r="AW90" s="6">
        <f t="shared" si="10"/>
        <v>16171297</v>
      </c>
      <c r="AY90" s="6">
        <f>+'St of Activites - GA Rev'!AG90-'St of Activities - GA Exp'!AW90</f>
        <v>-839925</v>
      </c>
      <c r="BA90" s="6">
        <v>30254507</v>
      </c>
      <c r="BC90" s="6">
        <f t="shared" si="11"/>
        <v>29414582</v>
      </c>
      <c r="BE90" s="6">
        <f>+'St of Net Assets - GA'!Y90-'St of Activities - GA Exp'!BC90</f>
        <v>0</v>
      </c>
    </row>
    <row r="91" spans="1:57">
      <c r="A91" s="11" t="s">
        <v>300</v>
      </c>
      <c r="B91" s="11"/>
      <c r="C91" s="11" t="s">
        <v>27</v>
      </c>
      <c r="E91" s="6">
        <v>15637136</v>
      </c>
      <c r="G91" s="6">
        <v>3710163</v>
      </c>
      <c r="I91" s="6">
        <v>413484</v>
      </c>
      <c r="K91" s="6">
        <v>0</v>
      </c>
      <c r="M91" s="6">
        <v>312101</v>
      </c>
      <c r="O91" s="6">
        <v>1910469</v>
      </c>
      <c r="Q91" s="6">
        <v>1280192</v>
      </c>
      <c r="S91" s="6">
        <v>150839</v>
      </c>
      <c r="U91" s="6">
        <v>2768846</v>
      </c>
      <c r="W91" s="6">
        <v>907327</v>
      </c>
      <c r="Y91" s="6">
        <v>0</v>
      </c>
      <c r="AA91" s="6">
        <v>4033281</v>
      </c>
      <c r="AC91" s="6">
        <v>2593268</v>
      </c>
      <c r="AE91" s="6">
        <v>263107</v>
      </c>
      <c r="AG91" s="11" t="s">
        <v>300</v>
      </c>
      <c r="AH91" s="11"/>
      <c r="AI91" s="11" t="s">
        <v>27</v>
      </c>
      <c r="AJ91" s="11"/>
      <c r="AK91" s="6">
        <v>1185011</v>
      </c>
      <c r="AM91" s="6">
        <v>216305</v>
      </c>
      <c r="AO91" s="6">
        <v>895730</v>
      </c>
      <c r="AQ91" s="6">
        <v>3108519</v>
      </c>
      <c r="AU91" s="6">
        <v>0</v>
      </c>
      <c r="AW91" s="6">
        <f t="shared" si="10"/>
        <v>39385778</v>
      </c>
      <c r="AY91" s="6">
        <f>+'St of Activites - GA Rev'!AG91-'St of Activities - GA Exp'!AW91</f>
        <v>2049129</v>
      </c>
      <c r="BA91" s="6">
        <v>19653155</v>
      </c>
      <c r="BC91" s="6">
        <f t="shared" si="11"/>
        <v>21702284</v>
      </c>
      <c r="BE91" s="6">
        <f>+'St of Net Assets - GA'!Y91-'St of Activities - GA Exp'!BC91</f>
        <v>0</v>
      </c>
    </row>
    <row r="92" spans="1:57">
      <c r="A92" s="11" t="s">
        <v>403</v>
      </c>
      <c r="B92" s="11"/>
      <c r="C92" s="11" t="s">
        <v>45</v>
      </c>
      <c r="E92" s="6">
        <v>13771802</v>
      </c>
      <c r="G92" s="6">
        <v>2214000</v>
      </c>
      <c r="I92" s="6">
        <v>305588</v>
      </c>
      <c r="K92" s="6">
        <v>0</v>
      </c>
      <c r="M92" s="6">
        <v>0</v>
      </c>
      <c r="O92" s="6">
        <v>1322630</v>
      </c>
      <c r="Q92" s="6">
        <v>1288363</v>
      </c>
      <c r="S92" s="6">
        <v>36668</v>
      </c>
      <c r="U92" s="6">
        <v>1513545</v>
      </c>
      <c r="W92" s="6">
        <v>598971</v>
      </c>
      <c r="Y92" s="6">
        <v>202237</v>
      </c>
      <c r="AA92" s="6">
        <v>1993636</v>
      </c>
      <c r="AC92" s="6">
        <v>1798570</v>
      </c>
      <c r="AE92" s="6">
        <v>118025</v>
      </c>
      <c r="AG92" s="11" t="s">
        <v>403</v>
      </c>
      <c r="AH92" s="11"/>
      <c r="AI92" s="11" t="s">
        <v>45</v>
      </c>
      <c r="AJ92" s="11"/>
      <c r="AK92" s="6">
        <v>994516</v>
      </c>
      <c r="AM92" s="6">
        <v>32446</v>
      </c>
      <c r="AO92" s="6">
        <v>910069</v>
      </c>
      <c r="AQ92" s="6">
        <v>26956</v>
      </c>
      <c r="AU92" s="6">
        <v>0</v>
      </c>
      <c r="AW92" s="6">
        <f t="shared" si="10"/>
        <v>27128022</v>
      </c>
      <c r="AY92" s="6">
        <f>+'St of Activites - GA Rev'!AG92-'St of Activities - GA Exp'!AW92</f>
        <v>632652</v>
      </c>
      <c r="BA92" s="6">
        <v>17794364</v>
      </c>
      <c r="BC92" s="6">
        <f t="shared" si="11"/>
        <v>18427016</v>
      </c>
      <c r="BE92" s="6">
        <f>+'St of Net Assets - GA'!Y92-'St of Activities - GA Exp'!BC92</f>
        <v>0</v>
      </c>
    </row>
    <row r="93" spans="1:57">
      <c r="A93" s="11" t="s">
        <v>494</v>
      </c>
      <c r="B93" s="11"/>
      <c r="C93" s="11" t="s">
        <v>62</v>
      </c>
      <c r="E93" s="6">
        <v>43133000</v>
      </c>
      <c r="G93" s="6">
        <v>16777000</v>
      </c>
      <c r="I93" s="6">
        <v>2323000</v>
      </c>
      <c r="K93" s="6">
        <v>1529000</v>
      </c>
      <c r="M93" s="6">
        <v>12145000</v>
      </c>
      <c r="O93" s="6">
        <v>6998000</v>
      </c>
      <c r="Q93" s="6">
        <v>7431000</v>
      </c>
      <c r="S93" s="6">
        <v>35000</v>
      </c>
      <c r="U93" s="6">
        <v>8778000</v>
      </c>
      <c r="W93" s="6">
        <v>1801000</v>
      </c>
      <c r="Y93" s="6">
        <v>491000</v>
      </c>
      <c r="AA93" s="6">
        <v>10858000</v>
      </c>
      <c r="AC93" s="6">
        <v>3487000</v>
      </c>
      <c r="AE93" s="6">
        <v>3478000</v>
      </c>
      <c r="AG93" s="11" t="s">
        <v>494</v>
      </c>
      <c r="AH93" s="11"/>
      <c r="AI93" s="11" t="s">
        <v>62</v>
      </c>
      <c r="AJ93" s="11"/>
      <c r="AK93" s="6">
        <v>4113000</v>
      </c>
      <c r="AM93" s="6">
        <v>2081000</v>
      </c>
      <c r="AO93" s="6">
        <v>2664000</v>
      </c>
      <c r="AQ93" s="6">
        <v>2096000</v>
      </c>
      <c r="AU93" s="6">
        <v>0</v>
      </c>
      <c r="AW93" s="6">
        <f>SUM(E93:AV93)</f>
        <v>130218000</v>
      </c>
      <c r="AY93" s="6">
        <f>+'St of Activites - GA Rev'!AG93-'St of Activities - GA Exp'!AW93</f>
        <v>-1358000</v>
      </c>
      <c r="BA93" s="6">
        <v>169399000</v>
      </c>
      <c r="BC93" s="6">
        <f>+AY93+BA93</f>
        <v>168041000</v>
      </c>
      <c r="BE93" s="6">
        <f>+'St of Net Assets - GA'!Y93-'St of Activities - GA Exp'!BC93</f>
        <v>0</v>
      </c>
    </row>
    <row r="94" spans="1:57" ht="12" customHeight="1">
      <c r="A94" s="11" t="s">
        <v>495</v>
      </c>
      <c r="B94" s="11"/>
      <c r="C94" s="11" t="s">
        <v>62</v>
      </c>
      <c r="E94" s="6">
        <v>10697789</v>
      </c>
      <c r="G94" s="6">
        <v>2628681</v>
      </c>
      <c r="I94" s="6">
        <v>1448913</v>
      </c>
      <c r="K94" s="6">
        <v>4460</v>
      </c>
      <c r="M94" s="6">
        <v>612746</v>
      </c>
      <c r="O94" s="6">
        <v>1245760</v>
      </c>
      <c r="Q94" s="6">
        <v>1008966</v>
      </c>
      <c r="S94" s="6">
        <v>41651</v>
      </c>
      <c r="U94" s="6">
        <v>1804935</v>
      </c>
      <c r="W94" s="6">
        <v>345044</v>
      </c>
      <c r="Y94" s="6">
        <v>286878</v>
      </c>
      <c r="AA94" s="6">
        <v>2934626</v>
      </c>
      <c r="AC94" s="6">
        <v>1078422</v>
      </c>
      <c r="AE94" s="6">
        <v>334451</v>
      </c>
      <c r="AG94" s="11" t="s">
        <v>495</v>
      </c>
      <c r="AH94" s="11"/>
      <c r="AI94" s="11" t="s">
        <v>62</v>
      </c>
      <c r="AJ94" s="11"/>
      <c r="AK94" s="6">
        <v>1070834</v>
      </c>
      <c r="AM94" s="6">
        <v>38997</v>
      </c>
      <c r="AO94" s="6">
        <v>768472</v>
      </c>
      <c r="AQ94" s="6">
        <v>64018</v>
      </c>
      <c r="AU94" s="6">
        <v>0</v>
      </c>
      <c r="AW94" s="6">
        <f t="shared" ref="AW94:AW154" si="14">SUM(E94:AV94)</f>
        <v>26415643</v>
      </c>
      <c r="AY94" s="6">
        <f>+'St of Activites - GA Rev'!AG94-'St of Activities - GA Exp'!AW94</f>
        <v>-855324</v>
      </c>
      <c r="BA94" s="6">
        <v>2523394</v>
      </c>
      <c r="BC94" s="6">
        <f t="shared" si="11"/>
        <v>1668070</v>
      </c>
      <c r="BE94" s="6">
        <f>+'St of Net Assets - GA'!Y94-'St of Activities - GA Exp'!BC94</f>
        <v>0</v>
      </c>
    </row>
    <row r="95" spans="1:57" ht="12" customHeight="1">
      <c r="A95" s="11" t="s">
        <v>648</v>
      </c>
      <c r="B95" s="11"/>
      <c r="C95" s="11" t="s">
        <v>30</v>
      </c>
      <c r="E95" s="6">
        <v>6198588</v>
      </c>
      <c r="G95" s="6">
        <v>3839709</v>
      </c>
      <c r="I95" s="6">
        <v>0</v>
      </c>
      <c r="K95" s="6">
        <v>0</v>
      </c>
      <c r="M95" s="6">
        <v>0</v>
      </c>
      <c r="O95" s="6">
        <v>418510</v>
      </c>
      <c r="Q95" s="6">
        <v>576525</v>
      </c>
      <c r="S95" s="6">
        <v>28917</v>
      </c>
      <c r="U95" s="6">
        <v>1077729</v>
      </c>
      <c r="W95" s="6">
        <v>408094</v>
      </c>
      <c r="Y95" s="6">
        <v>68714</v>
      </c>
      <c r="AA95" s="6">
        <v>1476506</v>
      </c>
      <c r="AC95" s="6">
        <v>1420012</v>
      </c>
      <c r="AE95" s="6">
        <v>260529</v>
      </c>
      <c r="AG95" s="11" t="s">
        <v>648</v>
      </c>
      <c r="AH95" s="11"/>
      <c r="AI95" s="11" t="s">
        <v>30</v>
      </c>
      <c r="AJ95" s="11"/>
      <c r="AK95" s="6">
        <v>579965</v>
      </c>
      <c r="AM95" s="6">
        <v>6614</v>
      </c>
      <c r="AO95" s="6">
        <v>321569</v>
      </c>
      <c r="AQ95" s="6">
        <v>524608</v>
      </c>
      <c r="AU95" s="6">
        <v>0</v>
      </c>
      <c r="AW95" s="6">
        <f t="shared" si="14"/>
        <v>17206589</v>
      </c>
      <c r="AY95" s="6">
        <f>+'St of Activites - GA Rev'!AG95-'St of Activities - GA Exp'!AW95</f>
        <v>-795807</v>
      </c>
      <c r="BA95" s="6">
        <v>1879197</v>
      </c>
      <c r="BC95" s="6">
        <f t="shared" ref="BC95:BC150" si="15">+AY95+BA95</f>
        <v>1083390</v>
      </c>
      <c r="BE95" s="6">
        <f>+'St of Net Assets - GA'!Y95-'St of Activities - GA Exp'!BC95</f>
        <v>0</v>
      </c>
    </row>
    <row r="96" spans="1:57">
      <c r="A96" s="11" t="s">
        <v>441</v>
      </c>
      <c r="B96" s="11"/>
      <c r="C96" s="11" t="s">
        <v>78</v>
      </c>
      <c r="E96" s="6">
        <v>5591197</v>
      </c>
      <c r="G96" s="6">
        <v>1407040</v>
      </c>
      <c r="I96" s="6">
        <v>256841</v>
      </c>
      <c r="K96" s="6">
        <v>0</v>
      </c>
      <c r="M96" s="6">
        <v>1632626</v>
      </c>
      <c r="O96" s="6">
        <v>275026</v>
      </c>
      <c r="Q96" s="6">
        <v>427289</v>
      </c>
      <c r="S96" s="6">
        <v>18758</v>
      </c>
      <c r="U96" s="6">
        <v>975394</v>
      </c>
      <c r="W96" s="6">
        <v>240430</v>
      </c>
      <c r="Y96" s="6">
        <v>0</v>
      </c>
      <c r="AA96" s="6">
        <v>1242319</v>
      </c>
      <c r="AC96" s="6">
        <v>558302</v>
      </c>
      <c r="AE96" s="6">
        <v>29950</v>
      </c>
      <c r="AG96" s="11" t="s">
        <v>441</v>
      </c>
      <c r="AH96" s="11"/>
      <c r="AI96" s="11" t="s">
        <v>78</v>
      </c>
      <c r="AJ96" s="11"/>
      <c r="AK96" s="6">
        <v>539644</v>
      </c>
      <c r="AM96" s="6">
        <v>3515</v>
      </c>
      <c r="AO96" s="6">
        <v>241888</v>
      </c>
      <c r="AQ96" s="6">
        <v>235499</v>
      </c>
      <c r="AU96" s="6">
        <v>0</v>
      </c>
      <c r="AW96" s="6">
        <f t="shared" si="14"/>
        <v>13675718</v>
      </c>
      <c r="AY96" s="6">
        <f>+'St of Activites - GA Rev'!AG96-'St of Activities - GA Exp'!AW96</f>
        <v>-1302274</v>
      </c>
      <c r="BA96" s="6">
        <v>22639784</v>
      </c>
      <c r="BC96" s="6">
        <f t="shared" si="15"/>
        <v>21337510</v>
      </c>
      <c r="BE96" s="6">
        <f>+'St of Net Assets - GA'!Y96-'St of Activities - GA Exp'!BC96</f>
        <v>0</v>
      </c>
    </row>
    <row r="97" spans="1:57" ht="12" hidden="1" customHeight="1">
      <c r="A97" s="11" t="s">
        <v>867</v>
      </c>
      <c r="B97" s="11"/>
      <c r="C97" s="11" t="s">
        <v>558</v>
      </c>
      <c r="AG97" s="11" t="s">
        <v>867</v>
      </c>
      <c r="AH97" s="11"/>
      <c r="AI97" s="11" t="s">
        <v>558</v>
      </c>
      <c r="AJ97" s="11"/>
      <c r="AW97" s="6">
        <f t="shared" si="14"/>
        <v>0</v>
      </c>
      <c r="AY97" s="6">
        <f>+'St of Activites - GA Rev'!AG97-'St of Activities - GA Exp'!AW97</f>
        <v>0</v>
      </c>
      <c r="BC97" s="6">
        <f t="shared" si="15"/>
        <v>0</v>
      </c>
      <c r="BE97" s="6">
        <f>+'St of Net Assets - GA'!Y97-'St of Activities - GA Exp'!BC97</f>
        <v>0</v>
      </c>
    </row>
    <row r="98" spans="1:57" ht="12" customHeight="1">
      <c r="A98" s="11" t="s">
        <v>543</v>
      </c>
      <c r="B98" s="11"/>
      <c r="C98" s="11" t="s">
        <v>69</v>
      </c>
      <c r="E98" s="6">
        <v>8180253</v>
      </c>
      <c r="G98" s="6">
        <v>2158109</v>
      </c>
      <c r="I98" s="6">
        <v>210161</v>
      </c>
      <c r="K98" s="6">
        <v>0</v>
      </c>
      <c r="M98" s="6">
        <v>84706</v>
      </c>
      <c r="O98" s="6">
        <v>739449</v>
      </c>
      <c r="Q98" s="6">
        <v>941385</v>
      </c>
      <c r="S98" s="6">
        <v>32635</v>
      </c>
      <c r="U98" s="6">
        <v>981702</v>
      </c>
      <c r="W98" s="6">
        <v>622439</v>
      </c>
      <c r="Y98" s="6">
        <v>15403</v>
      </c>
      <c r="AA98" s="6">
        <v>1298081</v>
      </c>
      <c r="AC98" s="6">
        <v>887106</v>
      </c>
      <c r="AE98" s="6">
        <v>46495</v>
      </c>
      <c r="AG98" s="11" t="s">
        <v>543</v>
      </c>
      <c r="AH98" s="11"/>
      <c r="AI98" s="11" t="s">
        <v>69</v>
      </c>
      <c r="AJ98" s="11"/>
      <c r="AK98" s="6">
        <v>629833</v>
      </c>
      <c r="AM98" s="6">
        <v>0</v>
      </c>
      <c r="AO98" s="6">
        <v>573340</v>
      </c>
      <c r="AQ98" s="6">
        <v>7511</v>
      </c>
      <c r="AU98" s="6">
        <v>0</v>
      </c>
      <c r="AW98" s="6">
        <f t="shared" si="14"/>
        <v>17408608</v>
      </c>
      <c r="AY98" s="6">
        <f>+'St of Activites - GA Rev'!AG98-'St of Activities - GA Exp'!AW98</f>
        <v>-741373</v>
      </c>
      <c r="BA98" s="6">
        <v>1849040</v>
      </c>
      <c r="BC98" s="6">
        <f t="shared" si="15"/>
        <v>1107667</v>
      </c>
      <c r="BE98" s="6">
        <f>+'St of Net Assets - GA'!Y98-'St of Activities - GA Exp'!BC98</f>
        <v>0</v>
      </c>
    </row>
    <row r="99" spans="1:57" s="28" customFormat="1" ht="11.25" customHeight="1">
      <c r="A99" s="27" t="s">
        <v>753</v>
      </c>
      <c r="B99" s="27"/>
      <c r="C99" s="27" t="s">
        <v>16</v>
      </c>
      <c r="E99" s="28">
        <v>9754003</v>
      </c>
      <c r="G99" s="28">
        <v>2124515</v>
      </c>
      <c r="I99" s="28">
        <v>285752</v>
      </c>
      <c r="K99" s="28">
        <v>0</v>
      </c>
      <c r="M99" s="28">
        <f>19072+348976</f>
        <v>368048</v>
      </c>
      <c r="O99" s="28">
        <v>1481448</v>
      </c>
      <c r="Q99" s="28">
        <v>959453</v>
      </c>
      <c r="S99" s="28">
        <v>23708</v>
      </c>
      <c r="U99" s="28">
        <v>1686303</v>
      </c>
      <c r="W99" s="28">
        <v>648684</v>
      </c>
      <c r="Y99" s="28">
        <v>68005</v>
      </c>
      <c r="AA99" s="28">
        <v>2489142</v>
      </c>
      <c r="AC99" s="28">
        <v>1789443</v>
      </c>
      <c r="AE99" s="28">
        <v>42818</v>
      </c>
      <c r="AG99" s="27" t="s">
        <v>753</v>
      </c>
      <c r="AH99" s="27"/>
      <c r="AI99" s="27" t="s">
        <v>16</v>
      </c>
      <c r="AJ99" s="27"/>
      <c r="AK99" s="28">
        <v>722532</v>
      </c>
      <c r="AM99" s="28">
        <f>65882+315</f>
        <v>66197</v>
      </c>
      <c r="AO99" s="28">
        <v>609552</v>
      </c>
      <c r="AQ99" s="28">
        <v>0</v>
      </c>
      <c r="AU99" s="28">
        <v>0</v>
      </c>
      <c r="AW99" s="28">
        <f t="shared" si="14"/>
        <v>23119603</v>
      </c>
      <c r="AY99" s="28">
        <f>+'St of Activites - GA Rev'!AG99-'St of Activities - GA Exp'!AW99</f>
        <v>-2311915</v>
      </c>
      <c r="BA99" s="28">
        <v>12653758</v>
      </c>
      <c r="BC99" s="28">
        <f t="shared" si="15"/>
        <v>10341843</v>
      </c>
      <c r="BE99" s="28">
        <f>+'St of Net Assets - GA'!Y99-'St of Activities - GA Exp'!BC99</f>
        <v>0</v>
      </c>
    </row>
    <row r="100" spans="1:57">
      <c r="A100" s="11" t="s">
        <v>649</v>
      </c>
      <c r="B100" s="11"/>
      <c r="C100" s="11" t="s">
        <v>114</v>
      </c>
      <c r="E100" s="6">
        <v>2561911</v>
      </c>
      <c r="G100" s="6">
        <v>476783</v>
      </c>
      <c r="I100" s="6">
        <v>5535</v>
      </c>
      <c r="K100" s="6">
        <v>0</v>
      </c>
      <c r="M100" s="6">
        <f>5349+330887</f>
        <v>336236</v>
      </c>
      <c r="O100" s="6">
        <v>482414</v>
      </c>
      <c r="Q100" s="6">
        <v>394738</v>
      </c>
      <c r="S100" s="6">
        <v>34693</v>
      </c>
      <c r="U100" s="6">
        <v>666167</v>
      </c>
      <c r="W100" s="6">
        <v>341550</v>
      </c>
      <c r="Y100" s="6">
        <v>380</v>
      </c>
      <c r="AA100" s="6">
        <v>475821</v>
      </c>
      <c r="AC100" s="6">
        <v>226540</v>
      </c>
      <c r="AE100" s="6">
        <v>-2265</v>
      </c>
      <c r="AG100" s="11" t="s">
        <v>649</v>
      </c>
      <c r="AH100" s="11"/>
      <c r="AI100" s="11" t="s">
        <v>114</v>
      </c>
      <c r="AJ100" s="11"/>
      <c r="AK100" s="6">
        <v>0</v>
      </c>
      <c r="AM100" s="6">
        <v>151190</v>
      </c>
      <c r="AO100" s="6">
        <v>278311</v>
      </c>
      <c r="AQ100" s="6">
        <v>787244</v>
      </c>
      <c r="AU100" s="6">
        <v>677915</v>
      </c>
      <c r="AW100" s="6">
        <f t="shared" si="14"/>
        <v>7895163</v>
      </c>
      <c r="AY100" s="6">
        <f>+'St of Activites - GA Rev'!AG100-'St of Activities - GA Exp'!AW100</f>
        <v>446758</v>
      </c>
      <c r="BA100" s="6">
        <v>15467458</v>
      </c>
      <c r="BC100" s="6">
        <f t="shared" si="15"/>
        <v>15914216</v>
      </c>
      <c r="BE100" s="6">
        <f>+'St of Net Assets - GA'!Y100-'St of Activities - GA Exp'!BC100</f>
        <v>0</v>
      </c>
    </row>
    <row r="101" spans="1:57" ht="12" hidden="1" customHeight="1">
      <c r="A101" s="11" t="s">
        <v>618</v>
      </c>
      <c r="B101" s="11"/>
      <c r="C101" s="11" t="s">
        <v>422</v>
      </c>
      <c r="AG101" s="11" t="s">
        <v>618</v>
      </c>
      <c r="AH101" s="11"/>
      <c r="AI101" s="11" t="s">
        <v>422</v>
      </c>
      <c r="AJ101" s="11"/>
      <c r="AW101" s="6">
        <f t="shared" si="14"/>
        <v>0</v>
      </c>
      <c r="AY101" s="6">
        <f>+'St of Activites - GA Rev'!AG101-'St of Activities - GA Exp'!AW101</f>
        <v>0</v>
      </c>
      <c r="BC101" s="6">
        <f t="shared" si="15"/>
        <v>0</v>
      </c>
      <c r="BE101" s="6">
        <f>+'St of Net Assets - GA'!Y101-'St of Activities - GA Exp'!BC101</f>
        <v>0</v>
      </c>
    </row>
    <row r="102" spans="1:57" hidden="1">
      <c r="A102" s="11" t="s">
        <v>868</v>
      </c>
      <c r="B102" s="11"/>
      <c r="C102" s="11" t="s">
        <v>40</v>
      </c>
      <c r="E102" s="6">
        <v>0</v>
      </c>
      <c r="G102" s="6">
        <v>0</v>
      </c>
      <c r="I102" s="6">
        <v>0</v>
      </c>
      <c r="K102" s="6">
        <v>0</v>
      </c>
      <c r="M102" s="6">
        <v>0</v>
      </c>
      <c r="O102" s="6">
        <v>0</v>
      </c>
      <c r="Q102" s="6">
        <v>0</v>
      </c>
      <c r="S102" s="6">
        <v>0</v>
      </c>
      <c r="U102" s="6">
        <v>0</v>
      </c>
      <c r="W102" s="6">
        <v>0</v>
      </c>
      <c r="Y102" s="6">
        <v>0</v>
      </c>
      <c r="AA102" s="6">
        <v>0</v>
      </c>
      <c r="AC102" s="6">
        <v>0</v>
      </c>
      <c r="AE102" s="6">
        <v>0</v>
      </c>
      <c r="AG102" s="11" t="s">
        <v>868</v>
      </c>
      <c r="AH102" s="11"/>
      <c r="AI102" s="11" t="s">
        <v>40</v>
      </c>
      <c r="AJ102" s="11"/>
      <c r="AK102" s="6">
        <v>0</v>
      </c>
      <c r="AM102" s="6">
        <v>0</v>
      </c>
      <c r="AO102" s="6">
        <v>0</v>
      </c>
      <c r="AQ102" s="6">
        <v>0</v>
      </c>
      <c r="AU102" s="6">
        <v>0</v>
      </c>
      <c r="AW102" s="6">
        <f t="shared" si="14"/>
        <v>0</v>
      </c>
      <c r="AY102" s="6">
        <f>+'St of Activites - GA Rev'!AG102-'St of Activities - GA Exp'!AW102</f>
        <v>0</v>
      </c>
      <c r="BC102" s="6">
        <f t="shared" si="15"/>
        <v>0</v>
      </c>
      <c r="BE102" s="6">
        <f>+'St of Net Assets - GA'!Y102-'St of Activities - GA Exp'!BC102</f>
        <v>0</v>
      </c>
    </row>
    <row r="103" spans="1:57">
      <c r="A103" s="11" t="s">
        <v>650</v>
      </c>
      <c r="B103" s="11"/>
      <c r="C103" s="11" t="s">
        <v>50</v>
      </c>
      <c r="E103" s="6">
        <v>39140895</v>
      </c>
      <c r="G103" s="6">
        <v>9478580</v>
      </c>
      <c r="I103" s="6">
        <v>2687393</v>
      </c>
      <c r="K103" s="6">
        <v>0</v>
      </c>
      <c r="M103" s="6">
        <v>1067118</v>
      </c>
      <c r="O103" s="6">
        <v>4822621</v>
      </c>
      <c r="Q103" s="6">
        <v>6816225</v>
      </c>
      <c r="S103" s="6">
        <v>21396</v>
      </c>
      <c r="U103" s="6">
        <v>5021299</v>
      </c>
      <c r="W103" s="6">
        <v>1572000</v>
      </c>
      <c r="Y103" s="6">
        <v>529138</v>
      </c>
      <c r="AA103" s="6">
        <v>6429544</v>
      </c>
      <c r="AC103" s="6">
        <v>8172035</v>
      </c>
      <c r="AE103" s="6">
        <v>57117</v>
      </c>
      <c r="AG103" s="11" t="s">
        <v>650</v>
      </c>
      <c r="AH103" s="11"/>
      <c r="AI103" s="11" t="s">
        <v>50</v>
      </c>
      <c r="AJ103" s="11"/>
      <c r="AK103" s="6">
        <v>0</v>
      </c>
      <c r="AM103" s="6">
        <v>3703033</v>
      </c>
      <c r="AO103" s="6">
        <v>779430</v>
      </c>
      <c r="AQ103" s="6">
        <v>2970734</v>
      </c>
      <c r="AU103" s="6">
        <v>2188015</v>
      </c>
      <c r="AW103" s="6">
        <f t="shared" si="14"/>
        <v>95456573</v>
      </c>
      <c r="AY103" s="6">
        <f>+'St of Activites - GA Rev'!AG103-'St of Activities - GA Exp'!AW103</f>
        <v>7818805</v>
      </c>
      <c r="BA103" s="6">
        <v>49487014</v>
      </c>
      <c r="BC103" s="6">
        <f t="shared" si="15"/>
        <v>57305819</v>
      </c>
      <c r="BE103" s="6">
        <f>+'St of Net Assets - GA'!Y103-'St of Activities - GA Exp'!BC103</f>
        <v>0</v>
      </c>
    </row>
    <row r="104" spans="1:57" hidden="1">
      <c r="A104" s="11" t="s">
        <v>736</v>
      </c>
      <c r="B104" s="11"/>
      <c r="C104" s="11" t="s">
        <v>22</v>
      </c>
      <c r="AG104" s="11" t="s">
        <v>736</v>
      </c>
      <c r="AH104" s="11"/>
      <c r="AI104" s="11" t="s">
        <v>22</v>
      </c>
      <c r="AJ104" s="11"/>
      <c r="AW104" s="6">
        <f t="shared" si="14"/>
        <v>0</v>
      </c>
      <c r="AY104" s="6">
        <f>+'St of Activites - GA Rev'!AG104-'St of Activities - GA Exp'!AW104</f>
        <v>0</v>
      </c>
      <c r="BC104" s="6">
        <f>+AY104+BA104</f>
        <v>0</v>
      </c>
      <c r="BE104" s="6">
        <f>+'St of Net Assets - GA'!Y104-'St of Activities - GA Exp'!BC104</f>
        <v>0</v>
      </c>
    </row>
    <row r="105" spans="1:57">
      <c r="A105" s="11" t="s">
        <v>754</v>
      </c>
      <c r="B105" s="11"/>
      <c r="C105" s="11" t="s">
        <v>20</v>
      </c>
      <c r="E105" s="6">
        <v>13290010</v>
      </c>
      <c r="G105" s="6">
        <v>2424207</v>
      </c>
      <c r="I105" s="6">
        <v>657097</v>
      </c>
      <c r="K105" s="6">
        <v>0</v>
      </c>
      <c r="M105" s="6">
        <v>17778</v>
      </c>
      <c r="O105" s="6">
        <v>1253869</v>
      </c>
      <c r="Q105" s="6">
        <v>1470882</v>
      </c>
      <c r="S105" s="6">
        <v>79204</v>
      </c>
      <c r="U105" s="6">
        <v>2052841</v>
      </c>
      <c r="W105" s="6">
        <v>934832</v>
      </c>
      <c r="Y105" s="6">
        <v>400</v>
      </c>
      <c r="AA105" s="6">
        <v>2463010</v>
      </c>
      <c r="AC105" s="6">
        <v>1226329</v>
      </c>
      <c r="AE105" s="6">
        <v>15564</v>
      </c>
      <c r="AG105" s="11" t="s">
        <v>754</v>
      </c>
      <c r="AH105" s="11"/>
      <c r="AI105" s="11" t="s">
        <v>20</v>
      </c>
      <c r="AJ105" s="11"/>
      <c r="AK105" s="6">
        <v>622261</v>
      </c>
      <c r="AM105" s="6">
        <v>147814</v>
      </c>
      <c r="AO105" s="6">
        <v>887157</v>
      </c>
      <c r="AQ105" s="6">
        <f>1127829+32165</f>
        <v>1159994</v>
      </c>
      <c r="AU105" s="6">
        <v>0</v>
      </c>
      <c r="AW105" s="6">
        <f t="shared" si="14"/>
        <v>28703249</v>
      </c>
      <c r="AY105" s="6">
        <f>+'St of Activites - GA Rev'!AG105-'St of Activities - GA Exp'!AW105</f>
        <v>425846</v>
      </c>
      <c r="BA105" s="6">
        <v>12813137</v>
      </c>
      <c r="BC105" s="6">
        <f t="shared" si="15"/>
        <v>13238983</v>
      </c>
      <c r="BE105" s="6">
        <f>+'St of Net Assets - GA'!Y105-'St of Activities - GA Exp'!BC105</f>
        <v>0</v>
      </c>
    </row>
    <row r="106" spans="1:57">
      <c r="A106" s="11" t="s">
        <v>520</v>
      </c>
      <c r="B106" s="11"/>
      <c r="C106" s="11" t="s">
        <v>64</v>
      </c>
      <c r="E106" s="6">
        <v>5535945</v>
      </c>
      <c r="G106" s="6">
        <v>1530642</v>
      </c>
      <c r="I106" s="6">
        <v>105257</v>
      </c>
      <c r="K106" s="6">
        <v>0</v>
      </c>
      <c r="M106" s="6">
        <v>462189</v>
      </c>
      <c r="O106" s="6">
        <v>586095</v>
      </c>
      <c r="Q106" s="6">
        <v>1031244</v>
      </c>
      <c r="S106" s="6">
        <v>30686</v>
      </c>
      <c r="U106" s="6">
        <v>1116067</v>
      </c>
      <c r="W106" s="6">
        <v>384908</v>
      </c>
      <c r="Y106" s="6">
        <v>0</v>
      </c>
      <c r="AA106" s="6">
        <v>1540501</v>
      </c>
      <c r="AC106" s="6">
        <v>784225</v>
      </c>
      <c r="AE106" s="6">
        <v>3921</v>
      </c>
      <c r="AG106" s="11" t="s">
        <v>520</v>
      </c>
      <c r="AH106" s="11"/>
      <c r="AI106" s="11" t="s">
        <v>64</v>
      </c>
      <c r="AJ106" s="11"/>
      <c r="AK106" s="6">
        <v>451761</v>
      </c>
      <c r="AM106" s="6">
        <v>19477</v>
      </c>
      <c r="AO106" s="6">
        <v>523350</v>
      </c>
      <c r="AQ106" s="6">
        <v>83606</v>
      </c>
      <c r="AU106" s="6">
        <v>0</v>
      </c>
      <c r="AW106" s="6">
        <f t="shared" si="14"/>
        <v>14189874</v>
      </c>
      <c r="AY106" s="6">
        <f>+'St of Activites - GA Rev'!AG106-'St of Activities - GA Exp'!AW106</f>
        <v>-162507</v>
      </c>
      <c r="BA106" s="6">
        <v>228818</v>
      </c>
      <c r="BC106" s="6">
        <f t="shared" si="15"/>
        <v>66311</v>
      </c>
      <c r="BE106" s="6">
        <f>+'St of Net Assets - GA'!Y106-'St of Activities - GA Exp'!BC106</f>
        <v>0</v>
      </c>
    </row>
    <row r="107" spans="1:57" hidden="1">
      <c r="A107" s="11" t="s">
        <v>737</v>
      </c>
      <c r="B107" s="11"/>
      <c r="C107" s="11" t="s">
        <v>30</v>
      </c>
      <c r="AG107" s="11" t="s">
        <v>737</v>
      </c>
      <c r="AH107" s="11"/>
      <c r="AI107" s="11" t="s">
        <v>30</v>
      </c>
      <c r="AJ107" s="11"/>
      <c r="AW107" s="6">
        <f t="shared" si="14"/>
        <v>0</v>
      </c>
      <c r="AY107" s="6">
        <f>+'St of Activites - GA Rev'!AG107-'St of Activities - GA Exp'!AW107</f>
        <v>0</v>
      </c>
      <c r="BC107" s="6">
        <f t="shared" si="15"/>
        <v>0</v>
      </c>
      <c r="BE107" s="6">
        <f>+'St of Net Assets - GA'!Y107-'St of Activities - GA Exp'!BC107</f>
        <v>0</v>
      </c>
    </row>
    <row r="108" spans="1:57">
      <c r="A108" s="11" t="s">
        <v>755</v>
      </c>
      <c r="B108" s="11"/>
      <c r="C108" s="11" t="s">
        <v>366</v>
      </c>
      <c r="E108" s="6">
        <v>7033688</v>
      </c>
      <c r="G108" s="6">
        <v>1127920</v>
      </c>
      <c r="I108" s="6">
        <v>0</v>
      </c>
      <c r="K108" s="6">
        <v>0</v>
      </c>
      <c r="M108" s="6">
        <v>434405</v>
      </c>
      <c r="O108" s="6">
        <v>516568</v>
      </c>
      <c r="Q108" s="6">
        <v>705824</v>
      </c>
      <c r="S108" s="6">
        <v>78498</v>
      </c>
      <c r="U108" s="6">
        <v>1000962</v>
      </c>
      <c r="W108" s="6">
        <v>313870</v>
      </c>
      <c r="Y108" s="6">
        <v>0</v>
      </c>
      <c r="AA108" s="6">
        <v>1162059</v>
      </c>
      <c r="AC108" s="6">
        <v>800623</v>
      </c>
      <c r="AE108" s="6">
        <v>212986</v>
      </c>
      <c r="AG108" s="11" t="s">
        <v>755</v>
      </c>
      <c r="AH108" s="11"/>
      <c r="AI108" s="11" t="s">
        <v>366</v>
      </c>
      <c r="AJ108" s="11"/>
      <c r="AK108" s="6">
        <v>0</v>
      </c>
      <c r="AM108" s="6">
        <v>561082</v>
      </c>
      <c r="AO108" s="6">
        <v>282793</v>
      </c>
      <c r="AQ108" s="6">
        <v>73451</v>
      </c>
      <c r="AU108" s="6">
        <v>0</v>
      </c>
      <c r="AW108" s="6">
        <f t="shared" si="14"/>
        <v>14304729</v>
      </c>
      <c r="AY108" s="6">
        <f>+'St of Activites - GA Rev'!AG108-'St of Activities - GA Exp'!AW108</f>
        <v>31941</v>
      </c>
      <c r="BA108" s="6">
        <v>19606514</v>
      </c>
      <c r="BC108" s="6">
        <f t="shared" si="15"/>
        <v>19638455</v>
      </c>
      <c r="BE108" s="6">
        <f>+'St of Net Assets - GA'!Y108-'St of Activities - GA Exp'!BC108</f>
        <v>0</v>
      </c>
    </row>
    <row r="109" spans="1:57">
      <c r="A109" s="11" t="s">
        <v>473</v>
      </c>
      <c r="B109" s="11"/>
      <c r="C109" s="11" t="s">
        <v>58</v>
      </c>
      <c r="E109" s="6">
        <v>17677007</v>
      </c>
      <c r="G109" s="6">
        <v>2923985</v>
      </c>
      <c r="I109" s="6">
        <v>1625</v>
      </c>
      <c r="K109" s="6">
        <v>0</v>
      </c>
      <c r="M109" s="6">
        <v>334270</v>
      </c>
      <c r="O109" s="6">
        <v>1838391</v>
      </c>
      <c r="Q109" s="6">
        <v>1283085</v>
      </c>
      <c r="S109" s="6">
        <v>75602</v>
      </c>
      <c r="U109" s="6">
        <v>2786107</v>
      </c>
      <c r="W109" s="6">
        <v>888888</v>
      </c>
      <c r="Y109" s="6">
        <v>94099</v>
      </c>
      <c r="AA109" s="6">
        <v>2497451</v>
      </c>
      <c r="AC109" s="6">
        <v>1013626</v>
      </c>
      <c r="AE109" s="6">
        <v>228315</v>
      </c>
      <c r="AG109" s="11" t="s">
        <v>473</v>
      </c>
      <c r="AH109" s="11"/>
      <c r="AI109" s="11" t="s">
        <v>58</v>
      </c>
      <c r="AJ109" s="11"/>
      <c r="AK109" s="6">
        <v>0</v>
      </c>
      <c r="AM109" s="6">
        <v>1670669</v>
      </c>
      <c r="AO109" s="6">
        <v>679467</v>
      </c>
      <c r="AQ109" s="6">
        <v>1585559</v>
      </c>
      <c r="AU109" s="6">
        <v>0</v>
      </c>
      <c r="AW109" s="6">
        <f t="shared" si="14"/>
        <v>35578146</v>
      </c>
      <c r="AY109" s="6">
        <f>+'St of Activites - GA Rev'!AG109-'St of Activities - GA Exp'!AW109</f>
        <v>-4446166</v>
      </c>
      <c r="BA109" s="6">
        <v>8568199</v>
      </c>
      <c r="BC109" s="6">
        <f t="shared" si="15"/>
        <v>4122033</v>
      </c>
      <c r="BE109" s="6">
        <f>+'St of Net Assets - GA'!Y109-'St of Activities - GA Exp'!BC109</f>
        <v>0</v>
      </c>
    </row>
    <row r="110" spans="1:57" ht="12" customHeight="1">
      <c r="A110" s="11" t="s">
        <v>551</v>
      </c>
      <c r="B110" s="11"/>
      <c r="C110" s="11" t="s">
        <v>71</v>
      </c>
      <c r="E110" s="6">
        <v>5406532</v>
      </c>
      <c r="G110" s="6">
        <v>1037570</v>
      </c>
      <c r="I110" s="6">
        <v>10457</v>
      </c>
      <c r="K110" s="6">
        <v>0</v>
      </c>
      <c r="M110" s="6">
        <v>290074</v>
      </c>
      <c r="O110" s="6">
        <v>135673</v>
      </c>
      <c r="Q110" s="6">
        <v>463279</v>
      </c>
      <c r="S110" s="6">
        <v>31910</v>
      </c>
      <c r="U110" s="6">
        <v>1251652</v>
      </c>
      <c r="W110" s="6">
        <v>366244</v>
      </c>
      <c r="Y110" s="6">
        <v>0</v>
      </c>
      <c r="AA110" s="6">
        <v>1256382</v>
      </c>
      <c r="AC110" s="6">
        <v>664772</v>
      </c>
      <c r="AE110" s="6">
        <v>192708</v>
      </c>
      <c r="AG110" s="11" t="s">
        <v>551</v>
      </c>
      <c r="AH110" s="11"/>
      <c r="AI110" s="11" t="s">
        <v>71</v>
      </c>
      <c r="AJ110" s="11"/>
      <c r="AK110" s="6">
        <v>447511</v>
      </c>
      <c r="AM110" s="6">
        <v>115501</v>
      </c>
      <c r="AO110" s="6">
        <v>527778</v>
      </c>
      <c r="AQ110" s="6">
        <v>0</v>
      </c>
      <c r="AU110" s="6">
        <v>0</v>
      </c>
      <c r="AW110" s="6">
        <f t="shared" si="14"/>
        <v>12198043</v>
      </c>
      <c r="AY110" s="6">
        <f>+'St of Activites - GA Rev'!AG110-'St of Activities - GA Exp'!AW110</f>
        <v>848567</v>
      </c>
      <c r="BA110" s="6">
        <v>10606190</v>
      </c>
      <c r="BC110" s="6">
        <f t="shared" si="15"/>
        <v>11454757</v>
      </c>
      <c r="BE110" s="6">
        <f>+'St of Net Assets - GA'!Y110-'St of Activities - GA Exp'!BC110</f>
        <v>0</v>
      </c>
    </row>
    <row r="111" spans="1:57" ht="12" customHeight="1">
      <c r="A111" s="11" t="s">
        <v>652</v>
      </c>
      <c r="B111" s="11"/>
      <c r="C111" s="11" t="s">
        <v>32</v>
      </c>
      <c r="E111" s="6">
        <v>221930107</v>
      </c>
      <c r="G111" s="6">
        <v>73856224</v>
      </c>
      <c r="I111" s="6">
        <v>3793083</v>
      </c>
      <c r="K111" s="6">
        <v>0</v>
      </c>
      <c r="M111" s="6">
        <v>577036</v>
      </c>
      <c r="O111" s="6">
        <v>27942924</v>
      </c>
      <c r="Q111" s="6">
        <v>46927907</v>
      </c>
      <c r="S111" s="6">
        <v>398130</v>
      </c>
      <c r="U111" s="6">
        <v>29292929</v>
      </c>
      <c r="W111" s="6">
        <v>7369914</v>
      </c>
      <c r="Y111" s="6">
        <v>1607145</v>
      </c>
      <c r="AA111" s="6">
        <v>47844700</v>
      </c>
      <c r="AC111" s="6">
        <v>30269005</v>
      </c>
      <c r="AE111" s="6">
        <v>18435505</v>
      </c>
      <c r="AG111" s="11" t="s">
        <v>652</v>
      </c>
      <c r="AH111" s="11"/>
      <c r="AI111" s="11" t="s">
        <v>32</v>
      </c>
      <c r="AJ111" s="11"/>
      <c r="AK111" s="6">
        <v>0</v>
      </c>
      <c r="AM111" s="6">
        <v>46614547</v>
      </c>
      <c r="AO111" s="6">
        <v>7140306</v>
      </c>
      <c r="AQ111" s="6">
        <v>34028545</v>
      </c>
      <c r="AU111" s="6">
        <v>0</v>
      </c>
      <c r="AW111" s="6">
        <f t="shared" si="14"/>
        <v>598028007</v>
      </c>
      <c r="AY111" s="6">
        <f>+'St of Activites - GA Rev'!AG111-'St of Activities - GA Exp'!AW111</f>
        <v>-4179019</v>
      </c>
      <c r="BA111" s="6">
        <v>615927380</v>
      </c>
      <c r="BC111" s="6">
        <f t="shared" si="15"/>
        <v>611748361</v>
      </c>
      <c r="BE111" s="6">
        <f>+'St of Net Assets - GA'!Y111-'St of Activities - GA Exp'!BC111</f>
        <v>0</v>
      </c>
    </row>
    <row r="112" spans="1:57">
      <c r="A112" s="11" t="s">
        <v>452</v>
      </c>
      <c r="B112" s="11"/>
      <c r="C112" s="11" t="s">
        <v>54</v>
      </c>
      <c r="E112" s="6">
        <v>11002837</v>
      </c>
      <c r="G112" s="6">
        <v>2989899</v>
      </c>
      <c r="I112" s="6">
        <v>110155</v>
      </c>
      <c r="K112" s="6">
        <v>0</v>
      </c>
      <c r="M112" s="6">
        <v>1759</v>
      </c>
      <c r="O112" s="6">
        <v>1186113</v>
      </c>
      <c r="Q112" s="6">
        <v>2040914</v>
      </c>
      <c r="S112" s="6">
        <v>110203</v>
      </c>
      <c r="U112" s="6">
        <v>2044180</v>
      </c>
      <c r="W112" s="6">
        <v>598047</v>
      </c>
      <c r="Y112" s="6">
        <v>0</v>
      </c>
      <c r="AA112" s="6">
        <v>1708239</v>
      </c>
      <c r="AC112" s="6">
        <v>882930</v>
      </c>
      <c r="AE112" s="6">
        <v>18372</v>
      </c>
      <c r="AG112" s="11" t="s">
        <v>452</v>
      </c>
      <c r="AH112" s="11"/>
      <c r="AI112" s="11" t="s">
        <v>54</v>
      </c>
      <c r="AJ112" s="11"/>
      <c r="AK112" s="6">
        <v>985659</v>
      </c>
      <c r="AM112" s="6">
        <v>129285</v>
      </c>
      <c r="AO112" s="6">
        <v>455763</v>
      </c>
      <c r="AQ112" s="6">
        <v>2780499</v>
      </c>
      <c r="AU112" s="6">
        <v>0</v>
      </c>
      <c r="AW112" s="6">
        <f t="shared" si="14"/>
        <v>27044854</v>
      </c>
      <c r="AY112" s="6">
        <f>+'St of Activites - GA Rev'!AG112-'St of Activities - GA Exp'!AW112</f>
        <v>178619</v>
      </c>
      <c r="BA112" s="6">
        <v>47993359</v>
      </c>
      <c r="BC112" s="6">
        <f t="shared" si="15"/>
        <v>48171978</v>
      </c>
      <c r="BE112" s="6">
        <f>+'St of Net Assets - GA'!Y112-'St of Activities - GA Exp'!BC112</f>
        <v>0</v>
      </c>
    </row>
    <row r="113" spans="1:57">
      <c r="A113" s="11" t="s">
        <v>231</v>
      </c>
      <c r="B113" s="11"/>
      <c r="C113" s="11" t="s">
        <v>17</v>
      </c>
      <c r="E113" s="6">
        <v>9588224</v>
      </c>
      <c r="G113" s="6">
        <v>2125781</v>
      </c>
      <c r="I113" s="6">
        <v>207748</v>
      </c>
      <c r="K113" s="6">
        <v>11236</v>
      </c>
      <c r="M113" s="6">
        <v>342409</v>
      </c>
      <c r="O113" s="6">
        <v>726912</v>
      </c>
      <c r="Q113" s="6">
        <v>734281</v>
      </c>
      <c r="S113" s="6">
        <v>103948</v>
      </c>
      <c r="U113" s="6">
        <v>1636746</v>
      </c>
      <c r="W113" s="6">
        <v>436554</v>
      </c>
      <c r="Y113" s="6">
        <v>8615</v>
      </c>
      <c r="AA113" s="6">
        <v>1983481</v>
      </c>
      <c r="AC113" s="6">
        <v>1202262</v>
      </c>
      <c r="AE113" s="6">
        <v>29809</v>
      </c>
      <c r="AG113" s="11" t="s">
        <v>231</v>
      </c>
      <c r="AH113" s="11"/>
      <c r="AI113" s="11" t="s">
        <v>17</v>
      </c>
      <c r="AJ113" s="11"/>
      <c r="AK113" s="6">
        <v>0</v>
      </c>
      <c r="AM113" s="6">
        <v>949606</v>
      </c>
      <c r="AO113" s="6">
        <v>957993</v>
      </c>
      <c r="AQ113" s="6">
        <v>119</v>
      </c>
      <c r="AU113" s="6">
        <v>0</v>
      </c>
      <c r="AW113" s="6">
        <f t="shared" si="14"/>
        <v>21045724</v>
      </c>
      <c r="AY113" s="6">
        <f>+'St of Activites - GA Rev'!AG113-'St of Activities - GA Exp'!AW113</f>
        <v>-2048375</v>
      </c>
      <c r="BA113" s="6">
        <v>15945247</v>
      </c>
      <c r="BC113" s="6">
        <f t="shared" si="15"/>
        <v>13896872</v>
      </c>
      <c r="BE113" s="6">
        <f>+'St of Net Assets - GA'!Y113-'St of Activities - GA Exp'!BC113</f>
        <v>0</v>
      </c>
    </row>
    <row r="114" spans="1:57">
      <c r="A114" s="11" t="s">
        <v>480</v>
      </c>
      <c r="B114" s="11"/>
      <c r="C114" s="11" t="s">
        <v>59</v>
      </c>
      <c r="E114" s="6">
        <v>4213056</v>
      </c>
      <c r="G114" s="6">
        <v>628584</v>
      </c>
      <c r="I114" s="6">
        <v>464</v>
      </c>
      <c r="K114" s="6">
        <v>0</v>
      </c>
      <c r="M114" s="6">
        <v>110517</v>
      </c>
      <c r="O114" s="6">
        <v>444799</v>
      </c>
      <c r="Q114" s="6">
        <v>710780</v>
      </c>
      <c r="S114" s="6">
        <v>39316</v>
      </c>
      <c r="U114" s="6">
        <v>716362</v>
      </c>
      <c r="W114" s="6">
        <v>196158</v>
      </c>
      <c r="Y114" s="6">
        <v>0</v>
      </c>
      <c r="AA114" s="6">
        <v>858445</v>
      </c>
      <c r="AC114" s="6">
        <v>430296</v>
      </c>
      <c r="AE114" s="6">
        <v>149333</v>
      </c>
      <c r="AG114" s="11" t="s">
        <v>480</v>
      </c>
      <c r="AH114" s="11"/>
      <c r="AI114" s="11" t="s">
        <v>59</v>
      </c>
      <c r="AJ114" s="11"/>
      <c r="AK114" s="6">
        <v>430248</v>
      </c>
      <c r="AM114" s="6">
        <v>0</v>
      </c>
      <c r="AO114" s="6">
        <v>150226</v>
      </c>
      <c r="AQ114" s="6">
        <v>280782</v>
      </c>
      <c r="AU114" s="6">
        <v>0</v>
      </c>
      <c r="AW114" s="6">
        <f t="shared" si="14"/>
        <v>9359366</v>
      </c>
      <c r="AY114" s="6">
        <f>+'St of Activites - GA Rev'!AG114-'St of Activities - GA Exp'!AW114</f>
        <v>-2511196</v>
      </c>
      <c r="BA114" s="6">
        <v>20733494</v>
      </c>
      <c r="BC114" s="6">
        <f t="shared" si="15"/>
        <v>18222298</v>
      </c>
      <c r="BE114" s="6">
        <f>+'St of Net Assets - GA'!Y114-'St of Activities - GA Exp'!BC114</f>
        <v>0</v>
      </c>
    </row>
    <row r="115" spans="1:57">
      <c r="A115" s="11" t="s">
        <v>533</v>
      </c>
      <c r="B115" s="11"/>
      <c r="C115" s="11" t="s">
        <v>65</v>
      </c>
      <c r="E115" s="6">
        <v>10131269</v>
      </c>
      <c r="G115" s="6">
        <v>2832759</v>
      </c>
      <c r="I115" s="6">
        <v>91824</v>
      </c>
      <c r="K115" s="6">
        <v>0</v>
      </c>
      <c r="M115" s="6">
        <v>30611</v>
      </c>
      <c r="O115" s="6">
        <v>1005180</v>
      </c>
      <c r="Q115" s="6">
        <v>1525913</v>
      </c>
      <c r="S115" s="6">
        <v>22178</v>
      </c>
      <c r="U115" s="6">
        <v>1488081</v>
      </c>
      <c r="W115" s="6">
        <v>389684</v>
      </c>
      <c r="Y115" s="6">
        <v>71230</v>
      </c>
      <c r="AA115" s="6">
        <v>1967395</v>
      </c>
      <c r="AC115" s="6">
        <v>765432</v>
      </c>
      <c r="AE115" s="6">
        <v>54197</v>
      </c>
      <c r="AG115" s="11" t="s">
        <v>533</v>
      </c>
      <c r="AH115" s="11"/>
      <c r="AI115" s="11" t="s">
        <v>65</v>
      </c>
      <c r="AJ115" s="11"/>
      <c r="AK115" s="6">
        <v>857112</v>
      </c>
      <c r="AM115" s="6">
        <v>92640</v>
      </c>
      <c r="AO115" s="6">
        <v>581149</v>
      </c>
      <c r="AQ115" s="6">
        <v>181057</v>
      </c>
      <c r="AU115" s="6">
        <v>0</v>
      </c>
      <c r="AW115" s="6">
        <f t="shared" si="14"/>
        <v>22087711</v>
      </c>
      <c r="AY115" s="6">
        <f>+'St of Activites - GA Rev'!AG115-'St of Activities - GA Exp'!AW115</f>
        <v>-947168</v>
      </c>
      <c r="BA115" s="6">
        <v>20257574</v>
      </c>
      <c r="BC115" s="6">
        <f t="shared" si="15"/>
        <v>19310406</v>
      </c>
      <c r="BE115" s="6">
        <f>+'St of Net Assets - GA'!Y115-'St of Activities - GA Exp'!BC115</f>
        <v>0</v>
      </c>
    </row>
    <row r="116" spans="1:57">
      <c r="A116" s="11" t="s">
        <v>468</v>
      </c>
      <c r="B116" s="11"/>
      <c r="C116" s="11" t="s">
        <v>110</v>
      </c>
      <c r="E116" s="6">
        <v>6593574</v>
      </c>
      <c r="G116" s="6">
        <v>1639550</v>
      </c>
      <c r="I116" s="6">
        <v>191250</v>
      </c>
      <c r="K116" s="6">
        <v>0</v>
      </c>
      <c r="M116" s="6">
        <v>540722</v>
      </c>
      <c r="O116" s="6">
        <v>549641</v>
      </c>
      <c r="Q116" s="6">
        <v>787838</v>
      </c>
      <c r="S116" s="6">
        <v>51484</v>
      </c>
      <c r="U116" s="6">
        <v>1091788</v>
      </c>
      <c r="W116" s="6">
        <v>350945</v>
      </c>
      <c r="Y116" s="6">
        <v>0</v>
      </c>
      <c r="AA116" s="6">
        <v>1538155</v>
      </c>
      <c r="AC116" s="6">
        <v>1254736</v>
      </c>
      <c r="AE116" s="6">
        <v>22113</v>
      </c>
      <c r="AG116" s="11" t="s">
        <v>468</v>
      </c>
      <c r="AH116" s="11"/>
      <c r="AI116" s="11" t="s">
        <v>110</v>
      </c>
      <c r="AJ116" s="11"/>
      <c r="AK116" s="6">
        <v>820668</v>
      </c>
      <c r="AM116" s="6">
        <v>472</v>
      </c>
      <c r="AO116" s="6">
        <v>427591</v>
      </c>
      <c r="AQ116" s="6">
        <v>397488</v>
      </c>
      <c r="AU116" s="6">
        <v>0</v>
      </c>
      <c r="AW116" s="6">
        <f t="shared" si="14"/>
        <v>16258015</v>
      </c>
      <c r="AY116" s="6">
        <f>+'St of Activites - GA Rev'!AG116-'St of Activities - GA Exp'!AW116</f>
        <v>26669</v>
      </c>
      <c r="BA116" s="6">
        <v>10143424</v>
      </c>
      <c r="BC116" s="6">
        <f t="shared" si="15"/>
        <v>10170093</v>
      </c>
      <c r="BE116" s="6">
        <f>+'St of Net Assets - GA'!Y116-'St of Activities - GA Exp'!BC116</f>
        <v>0</v>
      </c>
    </row>
    <row r="117" spans="1:57">
      <c r="A117" s="11" t="s">
        <v>382</v>
      </c>
      <c r="B117" s="11"/>
      <c r="C117" s="11" t="s">
        <v>44</v>
      </c>
      <c r="E117" s="6">
        <v>7639347</v>
      </c>
      <c r="G117" s="6">
        <v>1486106</v>
      </c>
      <c r="I117" s="6">
        <v>197304</v>
      </c>
      <c r="K117" s="6">
        <v>0</v>
      </c>
      <c r="M117" s="6">
        <v>0</v>
      </c>
      <c r="O117" s="6">
        <v>1127860</v>
      </c>
      <c r="Q117" s="6">
        <v>635964</v>
      </c>
      <c r="S117" s="6">
        <v>57443</v>
      </c>
      <c r="U117" s="6">
        <v>1260672</v>
      </c>
      <c r="W117" s="6">
        <v>440002</v>
      </c>
      <c r="Y117" s="6">
        <v>348563</v>
      </c>
      <c r="AA117" s="6">
        <v>1681590</v>
      </c>
      <c r="AC117" s="6">
        <v>486448</v>
      </c>
      <c r="AE117" s="6">
        <v>187509</v>
      </c>
      <c r="AG117" s="11" t="s">
        <v>382</v>
      </c>
      <c r="AH117" s="11"/>
      <c r="AI117" s="11" t="s">
        <v>44</v>
      </c>
      <c r="AJ117" s="11"/>
      <c r="AK117" s="6">
        <v>1017646</v>
      </c>
      <c r="AM117" s="6">
        <f>15557+62427</f>
        <v>77984</v>
      </c>
      <c r="AO117" s="6">
        <v>464431</v>
      </c>
      <c r="AQ117" s="6">
        <v>247865</v>
      </c>
      <c r="AU117" s="6">
        <v>0</v>
      </c>
      <c r="AW117" s="6">
        <f t="shared" si="14"/>
        <v>17356734</v>
      </c>
      <c r="AY117" s="6">
        <f>+'St of Activites - GA Rev'!AG117-'St of Activities - GA Exp'!AW117</f>
        <v>-1727693</v>
      </c>
      <c r="BA117" s="6">
        <v>13789305</v>
      </c>
      <c r="BC117" s="6">
        <f t="shared" si="15"/>
        <v>12061612</v>
      </c>
      <c r="BE117" s="6">
        <f>+'St of Net Assets - GA'!Y117-'St of Activities - GA Exp'!BC117</f>
        <v>0</v>
      </c>
    </row>
    <row r="118" spans="1:57">
      <c r="A118" s="11" t="s">
        <v>653</v>
      </c>
      <c r="B118" s="11"/>
      <c r="C118" s="11" t="s">
        <v>113</v>
      </c>
      <c r="E118" s="6">
        <v>7123374</v>
      </c>
      <c r="G118" s="6">
        <v>1976589</v>
      </c>
      <c r="I118" s="6">
        <v>0</v>
      </c>
      <c r="K118" s="6">
        <v>0</v>
      </c>
      <c r="M118" s="6">
        <v>350584</v>
      </c>
      <c r="O118" s="6">
        <v>817614</v>
      </c>
      <c r="Q118" s="6">
        <v>702306</v>
      </c>
      <c r="S118" s="6">
        <v>39502</v>
      </c>
      <c r="U118" s="6">
        <v>1337570</v>
      </c>
      <c r="W118" s="6">
        <v>517760</v>
      </c>
      <c r="Y118" s="6">
        <v>65722</v>
      </c>
      <c r="AA118" s="6">
        <v>1111332</v>
      </c>
      <c r="AC118" s="6">
        <v>1929680</v>
      </c>
      <c r="AE118" s="6">
        <v>275350</v>
      </c>
      <c r="AG118" s="11" t="s">
        <v>653</v>
      </c>
      <c r="AH118" s="11"/>
      <c r="AI118" s="11" t="s">
        <v>113</v>
      </c>
      <c r="AJ118" s="11"/>
      <c r="AK118" s="6">
        <v>826253</v>
      </c>
      <c r="AM118" s="6">
        <v>69547</v>
      </c>
      <c r="AO118" s="6">
        <v>260114</v>
      </c>
      <c r="AQ118" s="6">
        <v>319833</v>
      </c>
      <c r="AU118" s="6">
        <v>0</v>
      </c>
      <c r="AW118" s="6">
        <f t="shared" si="14"/>
        <v>17723130</v>
      </c>
      <c r="AY118" s="6">
        <f>+'St of Activites - GA Rev'!AG118-'St of Activities - GA Exp'!AW118</f>
        <v>-372382</v>
      </c>
      <c r="BA118" s="6">
        <v>7659973</v>
      </c>
      <c r="BC118" s="6">
        <f t="shared" si="15"/>
        <v>7287591</v>
      </c>
      <c r="BE118" s="6">
        <f>+'St of Net Assets - GA'!Y118-'St of Activities - GA Exp'!BC118</f>
        <v>0</v>
      </c>
    </row>
    <row r="119" spans="1:57">
      <c r="A119" s="11" t="s">
        <v>651</v>
      </c>
      <c r="B119" s="11"/>
      <c r="C119" s="11" t="s">
        <v>20</v>
      </c>
      <c r="E119" s="6">
        <v>45225809</v>
      </c>
      <c r="G119" s="6">
        <v>12970062</v>
      </c>
      <c r="I119" s="6">
        <v>2312435</v>
      </c>
      <c r="K119" s="6">
        <v>335345</v>
      </c>
      <c r="M119" s="6">
        <v>7166394</v>
      </c>
      <c r="O119" s="6">
        <v>9956027</v>
      </c>
      <c r="Q119" s="6">
        <v>6485407</v>
      </c>
      <c r="S119" s="6">
        <v>586707</v>
      </c>
      <c r="U119" s="6">
        <v>1869013</v>
      </c>
      <c r="W119" s="6">
        <v>2596673</v>
      </c>
      <c r="Y119" s="6">
        <v>1560377</v>
      </c>
      <c r="AA119" s="6">
        <v>12662292</v>
      </c>
      <c r="AC119" s="6">
        <v>5371480</v>
      </c>
      <c r="AE119" s="6">
        <v>5469724</v>
      </c>
      <c r="AG119" s="11" t="s">
        <v>651</v>
      </c>
      <c r="AH119" s="11"/>
      <c r="AI119" s="11" t="s">
        <v>20</v>
      </c>
      <c r="AJ119" s="11"/>
      <c r="AK119" s="6">
        <v>3067</v>
      </c>
      <c r="AM119" s="6">
        <v>2066948</v>
      </c>
      <c r="AO119" s="6">
        <v>1782372</v>
      </c>
      <c r="AQ119" s="6">
        <v>461235</v>
      </c>
      <c r="AU119" s="6">
        <v>0</v>
      </c>
      <c r="AW119" s="6">
        <f t="shared" si="14"/>
        <v>118881367</v>
      </c>
      <c r="AY119" s="6">
        <f>+'St of Activites - GA Rev'!AG119-'St of Activities - GA Exp'!AW119</f>
        <v>-4597007</v>
      </c>
      <c r="BA119" s="6">
        <v>84572376</v>
      </c>
      <c r="BC119" s="6">
        <f t="shared" si="15"/>
        <v>79975369</v>
      </c>
      <c r="BE119" s="6">
        <f>+'St of Net Assets - GA'!Y119-'St of Activities - GA Exp'!BC119</f>
        <v>0</v>
      </c>
    </row>
    <row r="120" spans="1:57">
      <c r="A120" s="11" t="s">
        <v>265</v>
      </c>
      <c r="B120" s="11"/>
      <c r="C120" s="11" t="s">
        <v>20</v>
      </c>
      <c r="E120" s="6">
        <v>322367731</v>
      </c>
      <c r="G120" s="6">
        <v>174228202</v>
      </c>
      <c r="I120" s="6">
        <v>11316290</v>
      </c>
      <c r="K120" s="6">
        <v>0</v>
      </c>
      <c r="M120" s="6">
        <v>4493188</v>
      </c>
      <c r="O120" s="6">
        <v>36216356</v>
      </c>
      <c r="Q120" s="6">
        <v>50834523</v>
      </c>
      <c r="S120" s="6">
        <v>285033</v>
      </c>
      <c r="U120" s="6">
        <v>41533976</v>
      </c>
      <c r="W120" s="6">
        <v>12498573</v>
      </c>
      <c r="Y120" s="6">
        <v>1700249</v>
      </c>
      <c r="AA120" s="6">
        <v>55146243</v>
      </c>
      <c r="AC120" s="6">
        <v>27896118</v>
      </c>
      <c r="AE120" s="6">
        <v>11966119</v>
      </c>
      <c r="AG120" s="11" t="s">
        <v>265</v>
      </c>
      <c r="AH120" s="11"/>
      <c r="AI120" s="11" t="s">
        <v>20</v>
      </c>
      <c r="AJ120" s="11"/>
      <c r="AK120" s="6">
        <v>0</v>
      </c>
      <c r="AM120" s="6">
        <v>39718319</v>
      </c>
      <c r="AO120" s="6">
        <v>5857755</v>
      </c>
      <c r="AQ120" s="6">
        <v>9640956</v>
      </c>
      <c r="AU120" s="6">
        <v>0</v>
      </c>
      <c r="AW120" s="6">
        <f t="shared" si="14"/>
        <v>805699631</v>
      </c>
      <c r="AY120" s="6">
        <f>+'St of Activites - GA Rev'!AG120-'St of Activities - GA Exp'!AW120</f>
        <v>40085171</v>
      </c>
      <c r="BA120" s="6">
        <v>949219985</v>
      </c>
      <c r="BC120" s="6">
        <f t="shared" si="15"/>
        <v>989305156</v>
      </c>
      <c r="BE120" s="6">
        <f>+'St of Net Assets - GA'!Y120-'St of Activities - GA Exp'!BC120</f>
        <v>0</v>
      </c>
    </row>
    <row r="121" spans="1:57">
      <c r="A121" s="11" t="s">
        <v>243</v>
      </c>
      <c r="B121" s="11"/>
      <c r="C121" s="11" t="s">
        <v>18</v>
      </c>
      <c r="E121" s="6">
        <v>9441379</v>
      </c>
      <c r="G121" s="6">
        <v>1000779</v>
      </c>
      <c r="I121" s="6">
        <v>0</v>
      </c>
      <c r="K121" s="6">
        <v>0</v>
      </c>
      <c r="M121" s="6">
        <v>1158233</v>
      </c>
      <c r="O121" s="6">
        <v>995174</v>
      </c>
      <c r="Q121" s="6">
        <v>1037110</v>
      </c>
      <c r="S121" s="6">
        <v>37537</v>
      </c>
      <c r="U121" s="6">
        <v>1120324</v>
      </c>
      <c r="W121" s="6">
        <v>421328</v>
      </c>
      <c r="Y121" s="6">
        <v>0</v>
      </c>
      <c r="AA121" s="6">
        <v>1620761</v>
      </c>
      <c r="AC121" s="6">
        <v>1018790</v>
      </c>
      <c r="AE121" s="6">
        <v>87</v>
      </c>
      <c r="AG121" s="11" t="s">
        <v>243</v>
      </c>
      <c r="AH121" s="11"/>
      <c r="AI121" s="11" t="s">
        <v>18</v>
      </c>
      <c r="AJ121" s="11"/>
      <c r="AK121" s="6">
        <v>0</v>
      </c>
      <c r="AM121" s="6">
        <v>1717582</v>
      </c>
      <c r="AO121" s="6">
        <v>622984</v>
      </c>
      <c r="AQ121" s="6">
        <v>425332</v>
      </c>
      <c r="AU121" s="6">
        <v>0</v>
      </c>
      <c r="AW121" s="6">
        <f t="shared" si="14"/>
        <v>20617400</v>
      </c>
      <c r="AY121" s="6">
        <f>+'St of Activites - GA Rev'!AG121-'St of Activities - GA Exp'!AW121</f>
        <v>-2772303</v>
      </c>
      <c r="BA121" s="6">
        <v>41569845</v>
      </c>
      <c r="BC121" s="6">
        <f t="shared" si="15"/>
        <v>38797542</v>
      </c>
      <c r="BE121" s="6">
        <f>+'St of Net Assets - GA'!Y121-'St of Activities - GA Exp'!BC121</f>
        <v>0</v>
      </c>
    </row>
    <row r="122" spans="1:57">
      <c r="A122" s="11" t="s">
        <v>416</v>
      </c>
      <c r="B122" s="11"/>
      <c r="C122" s="11" t="s">
        <v>47</v>
      </c>
      <c r="E122" s="6">
        <v>11962324</v>
      </c>
      <c r="G122" s="6">
        <v>2269754</v>
      </c>
      <c r="I122" s="6">
        <v>83899</v>
      </c>
      <c r="K122" s="6">
        <v>0</v>
      </c>
      <c r="M122" s="6">
        <v>2021241</v>
      </c>
      <c r="O122" s="6">
        <v>1460324</v>
      </c>
      <c r="Q122" s="6">
        <v>1861931</v>
      </c>
      <c r="S122" s="6">
        <v>26315</v>
      </c>
      <c r="U122" s="6">
        <v>1359310</v>
      </c>
      <c r="W122" s="6">
        <v>575141</v>
      </c>
      <c r="Y122" s="6">
        <v>285642</v>
      </c>
      <c r="AA122" s="6">
        <v>1963661</v>
      </c>
      <c r="AC122" s="6">
        <v>2353451</v>
      </c>
      <c r="AE122" s="6">
        <v>309358</v>
      </c>
      <c r="AG122" s="11" t="s">
        <v>416</v>
      </c>
      <c r="AH122" s="11"/>
      <c r="AI122" s="11" t="s">
        <v>47</v>
      </c>
      <c r="AJ122" s="11"/>
      <c r="AK122" s="6">
        <v>1012796</v>
      </c>
      <c r="AM122" s="6">
        <v>484978</v>
      </c>
      <c r="AO122" s="6">
        <v>802612</v>
      </c>
      <c r="AQ122" s="6">
        <v>1884119</v>
      </c>
      <c r="AU122" s="6">
        <v>0</v>
      </c>
      <c r="AW122" s="6">
        <f t="shared" si="14"/>
        <v>30716856</v>
      </c>
      <c r="AY122" s="6">
        <f>+'St of Activites - GA Rev'!AG122-'St of Activities - GA Exp'!AW122</f>
        <v>650870</v>
      </c>
      <c r="BA122" s="6">
        <v>11301576</v>
      </c>
      <c r="BC122" s="6">
        <f t="shared" si="15"/>
        <v>11952446</v>
      </c>
      <c r="BE122" s="6">
        <f>+'St of Net Assets - GA'!Y122-'St of Activities - GA Exp'!BC122</f>
        <v>0</v>
      </c>
    </row>
    <row r="123" spans="1:57">
      <c r="A123" s="11" t="s">
        <v>756</v>
      </c>
      <c r="B123" s="11"/>
      <c r="C123" s="11" t="s">
        <v>79</v>
      </c>
      <c r="E123" s="6">
        <v>10896926</v>
      </c>
      <c r="G123" s="6">
        <v>2447955</v>
      </c>
      <c r="I123" s="6">
        <v>2418</v>
      </c>
      <c r="K123" s="6">
        <v>0</v>
      </c>
      <c r="M123" s="6">
        <v>742992</v>
      </c>
      <c r="O123" s="6">
        <v>1314435</v>
      </c>
      <c r="Q123" s="6">
        <v>625478</v>
      </c>
      <c r="S123" s="6">
        <v>21449</v>
      </c>
      <c r="U123" s="6">
        <v>1703347</v>
      </c>
      <c r="W123" s="6">
        <v>482808</v>
      </c>
      <c r="Y123" s="6">
        <v>9062</v>
      </c>
      <c r="AA123" s="6">
        <v>1851987</v>
      </c>
      <c r="AC123" s="6">
        <v>1113218</v>
      </c>
      <c r="AE123" s="6">
        <v>150597</v>
      </c>
      <c r="AG123" s="11" t="s">
        <v>756</v>
      </c>
      <c r="AH123" s="11"/>
      <c r="AI123" s="11" t="s">
        <v>79</v>
      </c>
      <c r="AJ123" s="11"/>
      <c r="AK123" s="6">
        <v>1174563</v>
      </c>
      <c r="AM123" s="6">
        <v>6136</v>
      </c>
      <c r="AO123" s="6">
        <v>716049</v>
      </c>
      <c r="AQ123" s="6">
        <v>1365169</v>
      </c>
      <c r="AU123" s="6">
        <v>0</v>
      </c>
      <c r="AW123" s="6">
        <f t="shared" si="14"/>
        <v>24624589</v>
      </c>
      <c r="AY123" s="6">
        <f>+'St of Activites - GA Rev'!AG123-'St of Activities - GA Exp'!AW123</f>
        <v>-1709739</v>
      </c>
      <c r="BA123" s="6">
        <v>31684379</v>
      </c>
      <c r="BC123" s="6">
        <f t="shared" si="15"/>
        <v>29974640</v>
      </c>
      <c r="BE123" s="6">
        <f>+'St of Net Assets - GA'!Y123-'St of Activities - GA Exp'!BC123</f>
        <v>0</v>
      </c>
    </row>
    <row r="124" spans="1:57" hidden="1">
      <c r="A124" s="11" t="s">
        <v>654</v>
      </c>
      <c r="B124" s="11"/>
      <c r="C124" s="11" t="s">
        <v>422</v>
      </c>
      <c r="AG124" s="11" t="s">
        <v>654</v>
      </c>
      <c r="AH124" s="11"/>
      <c r="AI124" s="11" t="s">
        <v>422</v>
      </c>
      <c r="AJ124" s="11"/>
      <c r="AW124" s="6">
        <f t="shared" si="14"/>
        <v>0</v>
      </c>
      <c r="AY124" s="6">
        <f>+'St of Activites - GA Rev'!AG124-'St of Activities - GA Exp'!AW124</f>
        <v>0</v>
      </c>
      <c r="BC124" s="6">
        <f t="shared" si="15"/>
        <v>0</v>
      </c>
      <c r="BE124" s="6">
        <f>+'St of Net Assets - GA'!Y124-'St of Activities - GA Exp'!BC124</f>
        <v>0</v>
      </c>
    </row>
    <row r="125" spans="1:57" ht="12" hidden="1" customHeight="1">
      <c r="A125" s="11" t="s">
        <v>610</v>
      </c>
      <c r="B125" s="11"/>
      <c r="C125" s="11" t="s">
        <v>57</v>
      </c>
      <c r="AG125" s="11" t="s">
        <v>610</v>
      </c>
      <c r="AH125" s="11"/>
      <c r="AI125" s="11" t="s">
        <v>57</v>
      </c>
      <c r="AJ125" s="11"/>
      <c r="AW125" s="6">
        <f t="shared" si="14"/>
        <v>0</v>
      </c>
      <c r="AY125" s="6">
        <f>+'St of Activites - GA Rev'!AG125-'St of Activities - GA Exp'!AW125</f>
        <v>0</v>
      </c>
      <c r="BC125" s="6">
        <f t="shared" si="15"/>
        <v>0</v>
      </c>
      <c r="BE125" s="6">
        <f>+'St of Net Assets - GA'!Y125-'St of Activities - GA Exp'!BC125</f>
        <v>0</v>
      </c>
    </row>
    <row r="126" spans="1:57">
      <c r="A126" s="11" t="s">
        <v>258</v>
      </c>
      <c r="B126" s="11"/>
      <c r="C126" s="11" t="s">
        <v>111</v>
      </c>
      <c r="E126" s="6">
        <v>4343950</v>
      </c>
      <c r="G126" s="6">
        <v>1235562</v>
      </c>
      <c r="I126" s="6">
        <v>25013</v>
      </c>
      <c r="K126" s="6">
        <v>0</v>
      </c>
      <c r="M126" s="6">
        <v>1175</v>
      </c>
      <c r="O126" s="6">
        <v>698794</v>
      </c>
      <c r="Q126" s="6">
        <v>254627</v>
      </c>
      <c r="S126" s="6">
        <v>23267</v>
      </c>
      <c r="U126" s="6">
        <v>628353</v>
      </c>
      <c r="W126" s="6">
        <v>340525</v>
      </c>
      <c r="Y126" s="6">
        <v>2461</v>
      </c>
      <c r="AA126" s="6">
        <v>960884</v>
      </c>
      <c r="AC126" s="6">
        <v>665812</v>
      </c>
      <c r="AE126" s="6">
        <v>53545</v>
      </c>
      <c r="AG126" s="11" t="s">
        <v>258</v>
      </c>
      <c r="AH126" s="11"/>
      <c r="AI126" s="11" t="s">
        <v>111</v>
      </c>
      <c r="AJ126" s="11"/>
      <c r="AK126" s="6">
        <v>351737</v>
      </c>
      <c r="AM126" s="6">
        <v>50888</v>
      </c>
      <c r="AO126" s="6">
        <v>401431</v>
      </c>
      <c r="AQ126" s="6">
        <v>657921</v>
      </c>
      <c r="AU126" s="6">
        <v>0</v>
      </c>
      <c r="AW126" s="6">
        <f t="shared" si="14"/>
        <v>10695945</v>
      </c>
      <c r="AY126" s="6">
        <f>+'St of Activites - GA Rev'!AG126-'St of Activities - GA Exp'!AW126</f>
        <v>33040</v>
      </c>
      <c r="BA126" s="6">
        <v>5198336</v>
      </c>
      <c r="BC126" s="6">
        <f t="shared" si="15"/>
        <v>5231376</v>
      </c>
      <c r="BE126" s="6">
        <f>+'St of Net Assets - GA'!Y126-'St of Activities - GA Exp'!BC126</f>
        <v>0</v>
      </c>
    </row>
    <row r="127" spans="1:57">
      <c r="A127" s="11" t="s">
        <v>383</v>
      </c>
      <c r="B127" s="11"/>
      <c r="C127" s="11" t="s">
        <v>44</v>
      </c>
      <c r="E127" s="6">
        <v>4626958</v>
      </c>
      <c r="G127" s="6">
        <v>1137677</v>
      </c>
      <c r="I127" s="6">
        <v>168747</v>
      </c>
      <c r="K127" s="6">
        <v>0</v>
      </c>
      <c r="M127" s="6">
        <v>389210</v>
      </c>
      <c r="O127" s="6">
        <v>711195</v>
      </c>
      <c r="Q127" s="6">
        <v>402991</v>
      </c>
      <c r="S127" s="6">
        <v>34933</v>
      </c>
      <c r="U127" s="6">
        <v>1070331</v>
      </c>
      <c r="W127" s="6">
        <v>372077</v>
      </c>
      <c r="Y127" s="6">
        <v>0</v>
      </c>
      <c r="AA127" s="6">
        <v>1041177</v>
      </c>
      <c r="AC127" s="6">
        <v>719878</v>
      </c>
      <c r="AE127" s="6">
        <v>124575</v>
      </c>
      <c r="AG127" s="11" t="s">
        <v>383</v>
      </c>
      <c r="AH127" s="11"/>
      <c r="AI127" s="11" t="s">
        <v>44</v>
      </c>
      <c r="AJ127" s="11"/>
      <c r="AK127" s="6">
        <v>379065</v>
      </c>
      <c r="AM127" s="6">
        <v>100</v>
      </c>
      <c r="AO127" s="6">
        <v>450366</v>
      </c>
      <c r="AQ127" s="6">
        <v>198495</v>
      </c>
      <c r="AU127" s="6">
        <v>0</v>
      </c>
      <c r="AW127" s="6">
        <f t="shared" si="14"/>
        <v>11827775</v>
      </c>
      <c r="AY127" s="6">
        <f>+'St of Activites - GA Rev'!AG127-'St of Activities - GA Exp'!AW127</f>
        <v>-980544</v>
      </c>
      <c r="BA127" s="6">
        <v>2583346</v>
      </c>
      <c r="BC127" s="6">
        <f t="shared" si="15"/>
        <v>1602802</v>
      </c>
      <c r="BE127" s="6">
        <f>+'St of Net Assets - GA'!Y127-'St of Activities - GA Exp'!BC127</f>
        <v>0</v>
      </c>
    </row>
    <row r="128" spans="1:57">
      <c r="A128" s="11" t="s">
        <v>757</v>
      </c>
      <c r="B128" s="11"/>
      <c r="C128" s="11" t="s">
        <v>112</v>
      </c>
      <c r="E128" s="6">
        <v>4877537</v>
      </c>
      <c r="G128" s="6">
        <v>1237137</v>
      </c>
      <c r="I128" s="6">
        <v>0</v>
      </c>
      <c r="K128" s="6">
        <v>0</v>
      </c>
      <c r="M128" s="6">
        <v>0</v>
      </c>
      <c r="O128" s="6">
        <v>406457</v>
      </c>
      <c r="Q128" s="6">
        <v>327768</v>
      </c>
      <c r="S128" s="6">
        <v>25758</v>
      </c>
      <c r="U128" s="6">
        <v>769117</v>
      </c>
      <c r="W128" s="6">
        <v>353542</v>
      </c>
      <c r="Y128" s="6">
        <v>0</v>
      </c>
      <c r="AA128" s="6">
        <v>646095</v>
      </c>
      <c r="AC128" s="6">
        <v>302375</v>
      </c>
      <c r="AE128" s="6">
        <v>25619</v>
      </c>
      <c r="AG128" s="11" t="s">
        <v>757</v>
      </c>
      <c r="AH128" s="11"/>
      <c r="AI128" s="11" t="s">
        <v>112</v>
      </c>
      <c r="AJ128" s="11"/>
      <c r="AK128" s="6">
        <v>327904</v>
      </c>
      <c r="AM128" s="6">
        <v>0</v>
      </c>
      <c r="AO128" s="6">
        <v>390813</v>
      </c>
      <c r="AQ128" s="6">
        <v>842836</v>
      </c>
      <c r="AU128" s="6">
        <v>0</v>
      </c>
      <c r="AW128" s="6">
        <f t="shared" si="14"/>
        <v>10532958</v>
      </c>
      <c r="AY128" s="6">
        <f>+'St of Activites - GA Rev'!AG128-'St of Activities - GA Exp'!AW128</f>
        <v>975777</v>
      </c>
      <c r="BA128" s="6">
        <v>1961842</v>
      </c>
      <c r="BC128" s="6">
        <f t="shared" si="15"/>
        <v>2937619</v>
      </c>
      <c r="BE128" s="6">
        <f>+'St of Net Assets - GA'!Y128-'St of Activities - GA Exp'!BC128</f>
        <v>0</v>
      </c>
    </row>
    <row r="129" spans="1:57">
      <c r="A129" s="11" t="s">
        <v>301</v>
      </c>
      <c r="B129" s="11"/>
      <c r="C129" s="11" t="s">
        <v>27</v>
      </c>
      <c r="E129" s="6">
        <v>363350312</v>
      </c>
      <c r="G129" s="6">
        <v>113555621</v>
      </c>
      <c r="I129" s="6">
        <v>8793721</v>
      </c>
      <c r="K129" s="6">
        <f>2322568+893357</f>
        <v>3215925</v>
      </c>
      <c r="M129" s="6">
        <v>1928771</v>
      </c>
      <c r="O129" s="6">
        <v>58608038</v>
      </c>
      <c r="Q129" s="6">
        <v>69855454</v>
      </c>
      <c r="S129" s="6">
        <v>172214</v>
      </c>
      <c r="U129" s="6">
        <v>63285952</v>
      </c>
      <c r="W129" s="6">
        <v>11349201</v>
      </c>
      <c r="Y129" s="6">
        <v>4026978</v>
      </c>
      <c r="AA129" s="6">
        <v>61498712</v>
      </c>
      <c r="AC129" s="6">
        <v>58842329</v>
      </c>
      <c r="AE129" s="6">
        <v>10094432</v>
      </c>
      <c r="AG129" s="11" t="s">
        <v>301</v>
      </c>
      <c r="AH129" s="11"/>
      <c r="AI129" s="11" t="s">
        <v>27</v>
      </c>
      <c r="AJ129" s="11"/>
      <c r="AK129" s="6">
        <v>0</v>
      </c>
      <c r="AM129" s="6">
        <v>38337183</v>
      </c>
      <c r="AO129" s="6">
        <v>9152699</v>
      </c>
      <c r="AQ129" s="6">
        <v>23949799</v>
      </c>
      <c r="AU129" s="6">
        <v>0</v>
      </c>
      <c r="AW129" s="6">
        <f t="shared" si="14"/>
        <v>900017341</v>
      </c>
      <c r="AY129" s="6">
        <f>+'St of Activites - GA Rev'!AG129-'St of Activities - GA Exp'!AW129</f>
        <v>3486710</v>
      </c>
      <c r="BA129" s="6">
        <v>591851196</v>
      </c>
      <c r="BC129" s="6">
        <f t="shared" si="15"/>
        <v>595337906</v>
      </c>
      <c r="BE129" s="6">
        <f>+'St of Net Assets - GA'!Y129-'St of Activities - GA Exp'!BC129</f>
        <v>0</v>
      </c>
    </row>
    <row r="130" spans="1:57" ht="12" hidden="1" customHeight="1">
      <c r="A130" s="11" t="s">
        <v>611</v>
      </c>
      <c r="B130" s="11"/>
      <c r="C130" s="11" t="s">
        <v>467</v>
      </c>
      <c r="AG130" s="11" t="s">
        <v>611</v>
      </c>
      <c r="AH130" s="11"/>
      <c r="AI130" s="11" t="s">
        <v>467</v>
      </c>
      <c r="AJ130" s="11"/>
      <c r="AW130" s="6">
        <f t="shared" si="14"/>
        <v>0</v>
      </c>
      <c r="AY130" s="6">
        <f>+'St of Activites - GA Rev'!AG130-'St of Activities - GA Exp'!AW130</f>
        <v>0</v>
      </c>
      <c r="BC130" s="6">
        <f t="shared" si="15"/>
        <v>0</v>
      </c>
      <c r="BE130" s="6">
        <f>+'St of Net Assets - GA'!Y130-'St of Activities - GA Exp'!BC130</f>
        <v>0</v>
      </c>
    </row>
    <row r="131" spans="1:57">
      <c r="A131" s="11" t="s">
        <v>207</v>
      </c>
      <c r="B131" s="11"/>
      <c r="C131" s="11" t="s">
        <v>12</v>
      </c>
      <c r="E131" s="6">
        <v>8986849</v>
      </c>
      <c r="G131" s="6">
        <v>2134243</v>
      </c>
      <c r="I131" s="6">
        <v>148885</v>
      </c>
      <c r="K131" s="6">
        <v>0</v>
      </c>
      <c r="M131" s="6">
        <v>1451992</v>
      </c>
      <c r="O131" s="6">
        <v>1066973</v>
      </c>
      <c r="Q131" s="6">
        <v>1316986</v>
      </c>
      <c r="S131" s="6">
        <v>26070</v>
      </c>
      <c r="U131" s="6">
        <v>1784183</v>
      </c>
      <c r="W131" s="6">
        <v>426959</v>
      </c>
      <c r="Y131" s="6">
        <v>172</v>
      </c>
      <c r="AA131" s="6">
        <v>1847777</v>
      </c>
      <c r="AC131" s="6">
        <v>673670</v>
      </c>
      <c r="AE131" s="6">
        <v>50547</v>
      </c>
      <c r="AG131" s="11" t="s">
        <v>207</v>
      </c>
      <c r="AH131" s="11"/>
      <c r="AI131" s="11" t="s">
        <v>12</v>
      </c>
      <c r="AJ131" s="11"/>
      <c r="AK131" s="6">
        <v>830147</v>
      </c>
      <c r="AM131" s="6">
        <v>0</v>
      </c>
      <c r="AO131" s="6">
        <v>319354</v>
      </c>
      <c r="AQ131" s="6">
        <v>168162</v>
      </c>
      <c r="AU131" s="6">
        <v>0</v>
      </c>
      <c r="AW131" s="6">
        <f t="shared" si="14"/>
        <v>21232969</v>
      </c>
      <c r="AY131" s="6">
        <f>+'St of Activites - GA Rev'!AG131-'St of Activities - GA Exp'!AW131</f>
        <v>-1634188</v>
      </c>
      <c r="BA131" s="6">
        <v>41512859</v>
      </c>
      <c r="BC131" s="6">
        <f t="shared" si="15"/>
        <v>39878671</v>
      </c>
      <c r="BE131" s="6">
        <f>+'St of Net Assets - GA'!Y131-'St of Activities - GA Exp'!BC131</f>
        <v>0</v>
      </c>
    </row>
    <row r="132" spans="1:57">
      <c r="A132" s="11" t="s">
        <v>342</v>
      </c>
      <c r="B132" s="11"/>
      <c r="C132" s="11" t="s">
        <v>343</v>
      </c>
      <c r="E132" s="6">
        <v>2880645</v>
      </c>
      <c r="G132" s="6">
        <v>565982</v>
      </c>
      <c r="I132" s="6">
        <v>56481</v>
      </c>
      <c r="K132" s="6">
        <v>0</v>
      </c>
      <c r="M132" s="6">
        <v>8936</v>
      </c>
      <c r="O132" s="6">
        <v>188498</v>
      </c>
      <c r="Q132" s="6">
        <v>201354</v>
      </c>
      <c r="S132" s="6">
        <v>14103</v>
      </c>
      <c r="U132" s="6">
        <v>501797</v>
      </c>
      <c r="W132" s="6">
        <v>239094</v>
      </c>
      <c r="Y132" s="6">
        <v>37</v>
      </c>
      <c r="AA132" s="6">
        <v>464222</v>
      </c>
      <c r="AC132" s="6">
        <v>439026</v>
      </c>
      <c r="AE132" s="6">
        <v>20441</v>
      </c>
      <c r="AG132" s="11" t="s">
        <v>342</v>
      </c>
      <c r="AH132" s="11"/>
      <c r="AI132" s="11" t="s">
        <v>343</v>
      </c>
      <c r="AJ132" s="11"/>
      <c r="AK132" s="6">
        <v>239447</v>
      </c>
      <c r="AM132" s="6">
        <v>0</v>
      </c>
      <c r="AO132" s="6">
        <v>138156</v>
      </c>
      <c r="AQ132" s="6">
        <v>979</v>
      </c>
      <c r="AU132" s="6">
        <v>0</v>
      </c>
      <c r="AW132" s="6">
        <f t="shared" si="14"/>
        <v>5959198</v>
      </c>
      <c r="AY132" s="6">
        <f>+'St of Activites - GA Rev'!AG132-'St of Activities - GA Exp'!AW132</f>
        <v>-328838</v>
      </c>
      <c r="BA132" s="6">
        <v>1371840</v>
      </c>
      <c r="BC132" s="6">
        <f t="shared" si="15"/>
        <v>1043002</v>
      </c>
      <c r="BE132" s="6">
        <f>+'St of Net Assets - GA'!Y132-'St of Activities - GA Exp'!BC132</f>
        <v>0</v>
      </c>
    </row>
    <row r="133" spans="1:57" ht="12" hidden="1" customHeight="1">
      <c r="A133" s="11" t="s">
        <v>676</v>
      </c>
      <c r="B133" s="11"/>
      <c r="C133" s="11" t="s">
        <v>467</v>
      </c>
      <c r="AG133" s="11" t="s">
        <v>676</v>
      </c>
      <c r="AH133" s="11"/>
      <c r="AI133" s="11" t="s">
        <v>467</v>
      </c>
      <c r="AJ133" s="11"/>
      <c r="AW133" s="6">
        <f t="shared" si="14"/>
        <v>0</v>
      </c>
      <c r="AY133" s="6">
        <f>+'St of Activites - GA Rev'!AG133-'St of Activities - GA Exp'!AW133</f>
        <v>0</v>
      </c>
      <c r="BC133" s="6">
        <f t="shared" si="15"/>
        <v>0</v>
      </c>
      <c r="BE133" s="6">
        <f>+'St of Net Assets - GA'!Y133-'St of Activities - GA Exp'!BC133</f>
        <v>0</v>
      </c>
    </row>
    <row r="134" spans="1:57">
      <c r="A134" s="11" t="s">
        <v>508</v>
      </c>
      <c r="B134" s="11"/>
      <c r="C134" s="11" t="s">
        <v>63</v>
      </c>
      <c r="E134" s="6">
        <v>17288991</v>
      </c>
      <c r="G134" s="6">
        <v>3181423</v>
      </c>
      <c r="I134" s="6">
        <v>594481</v>
      </c>
      <c r="K134" s="6">
        <v>0</v>
      </c>
      <c r="M134" s="6">
        <v>0</v>
      </c>
      <c r="O134" s="6">
        <v>1737213</v>
      </c>
      <c r="Q134" s="6">
        <v>1668967</v>
      </c>
      <c r="S134" s="6">
        <v>97180</v>
      </c>
      <c r="U134" s="6">
        <v>1905069</v>
      </c>
      <c r="W134" s="6">
        <v>1044193</v>
      </c>
      <c r="Y134" s="6">
        <v>124536</v>
      </c>
      <c r="AA134" s="6">
        <v>3330573</v>
      </c>
      <c r="AC134" s="6">
        <v>1682702</v>
      </c>
      <c r="AE134" s="6">
        <v>224566</v>
      </c>
      <c r="AG134" s="11" t="s">
        <v>508</v>
      </c>
      <c r="AH134" s="11"/>
      <c r="AI134" s="11" t="s">
        <v>63</v>
      </c>
      <c r="AJ134" s="11"/>
      <c r="AK134" s="6">
        <v>791983</v>
      </c>
      <c r="AM134" s="6">
        <v>602483</v>
      </c>
      <c r="AO134" s="6">
        <v>1214235</v>
      </c>
      <c r="AQ134" s="6">
        <v>101405</v>
      </c>
      <c r="AU134" s="6">
        <v>0</v>
      </c>
      <c r="AW134" s="6">
        <f t="shared" si="14"/>
        <v>35590000</v>
      </c>
      <c r="AY134" s="6">
        <f>+'St of Activites - GA Rev'!AG134-'St of Activities - GA Exp'!AW134</f>
        <v>2929238</v>
      </c>
      <c r="BA134" s="6">
        <v>25049727</v>
      </c>
      <c r="BC134" s="6">
        <f t="shared" si="15"/>
        <v>27978965</v>
      </c>
      <c r="BE134" s="6">
        <f>+'St of Net Assets - GA'!Y134-'St of Activities - GA Exp'!BC134</f>
        <v>0</v>
      </c>
    </row>
    <row r="135" spans="1:57" ht="12" customHeight="1">
      <c r="A135" s="11" t="s">
        <v>336</v>
      </c>
      <c r="B135" s="11"/>
      <c r="C135" s="11" t="s">
        <v>33</v>
      </c>
      <c r="E135" s="6">
        <v>3189947</v>
      </c>
      <c r="G135" s="6">
        <v>610113</v>
      </c>
      <c r="I135" s="6">
        <v>248169</v>
      </c>
      <c r="K135" s="6">
        <v>0</v>
      </c>
      <c r="M135" s="6">
        <v>0</v>
      </c>
      <c r="O135" s="6">
        <v>281211</v>
      </c>
      <c r="Q135" s="6">
        <v>317408</v>
      </c>
      <c r="S135" s="6">
        <v>34949</v>
      </c>
      <c r="U135" s="6">
        <v>882313</v>
      </c>
      <c r="W135" s="6">
        <v>243017</v>
      </c>
      <c r="Y135" s="6">
        <v>0</v>
      </c>
      <c r="AA135" s="6">
        <v>698541</v>
      </c>
      <c r="AC135" s="6">
        <v>421730</v>
      </c>
      <c r="AE135" s="6">
        <v>9429</v>
      </c>
      <c r="AG135" s="11" t="s">
        <v>336</v>
      </c>
      <c r="AH135" s="11"/>
      <c r="AI135" s="11" t="s">
        <v>33</v>
      </c>
      <c r="AJ135" s="11"/>
      <c r="AK135" s="6">
        <v>0</v>
      </c>
      <c r="AM135" s="6">
        <v>294555</v>
      </c>
      <c r="AO135" s="6">
        <v>298159</v>
      </c>
      <c r="AQ135" s="6">
        <v>368889</v>
      </c>
      <c r="AU135" s="6">
        <v>0</v>
      </c>
      <c r="AW135" s="6">
        <f t="shared" si="14"/>
        <v>7898430</v>
      </c>
      <c r="AY135" s="6">
        <f>+'St of Activites - GA Rev'!AG135-'St of Activities - GA Exp'!AW135</f>
        <v>312587</v>
      </c>
      <c r="BA135" s="6">
        <v>9471244</v>
      </c>
      <c r="BC135" s="6">
        <f t="shared" si="15"/>
        <v>9783831</v>
      </c>
      <c r="BE135" s="6">
        <f>+'St of Net Assets - GA'!Y135-'St of Activities - GA Exp'!BC135</f>
        <v>0</v>
      </c>
    </row>
    <row r="136" spans="1:57">
      <c r="A136" s="11" t="s">
        <v>253</v>
      </c>
      <c r="B136" s="11"/>
      <c r="C136" s="11" t="s">
        <v>19</v>
      </c>
      <c r="E136" s="6">
        <v>11676008</v>
      </c>
      <c r="G136" s="6">
        <v>0</v>
      </c>
      <c r="I136" s="6">
        <v>0</v>
      </c>
      <c r="K136" s="6">
        <v>0</v>
      </c>
      <c r="M136" s="6">
        <v>0</v>
      </c>
      <c r="O136" s="6">
        <v>748355</v>
      </c>
      <c r="Q136" s="6">
        <v>811737</v>
      </c>
      <c r="S136" s="6">
        <v>25740</v>
      </c>
      <c r="U136" s="6">
        <v>1394036</v>
      </c>
      <c r="W136" s="6">
        <v>495730</v>
      </c>
      <c r="Y136" s="6">
        <v>297489</v>
      </c>
      <c r="AA136" s="6">
        <v>1528743</v>
      </c>
      <c r="AC136" s="6">
        <v>326693</v>
      </c>
      <c r="AE136" s="6">
        <v>37274</v>
      </c>
      <c r="AG136" s="11" t="s">
        <v>253</v>
      </c>
      <c r="AH136" s="11"/>
      <c r="AI136" s="11" t="s">
        <v>19</v>
      </c>
      <c r="AJ136" s="11"/>
      <c r="AK136" s="6">
        <v>774676</v>
      </c>
      <c r="AM136" s="6">
        <v>36431</v>
      </c>
      <c r="AO136" s="6">
        <v>379972</v>
      </c>
      <c r="AQ136" s="6">
        <v>503789</v>
      </c>
      <c r="AU136" s="6">
        <v>0</v>
      </c>
      <c r="AW136" s="6">
        <f t="shared" si="14"/>
        <v>19036673</v>
      </c>
      <c r="AY136" s="6">
        <f>+'St of Activites - GA Rev'!AG136-'St of Activities - GA Exp'!AW136</f>
        <v>1419434</v>
      </c>
      <c r="BA136" s="6">
        <v>24329283</v>
      </c>
      <c r="BC136" s="6">
        <f t="shared" si="15"/>
        <v>25748717</v>
      </c>
      <c r="BE136" s="6">
        <f>+'St of Net Assets - GA'!Y136-'St of Activities - GA Exp'!BC136</f>
        <v>0</v>
      </c>
    </row>
    <row r="137" spans="1:57">
      <c r="A137" s="11" t="s">
        <v>604</v>
      </c>
      <c r="B137" s="11"/>
      <c r="C137" s="11" t="s">
        <v>63</v>
      </c>
      <c r="E137" s="6">
        <v>9908397</v>
      </c>
      <c r="G137" s="6">
        <v>2629917</v>
      </c>
      <c r="I137" s="6">
        <v>86072</v>
      </c>
      <c r="K137" s="6">
        <v>0</v>
      </c>
      <c r="M137" s="6">
        <f>217+822718</f>
        <v>822935</v>
      </c>
      <c r="O137" s="6">
        <v>1029099</v>
      </c>
      <c r="Q137" s="6">
        <v>1272788</v>
      </c>
      <c r="S137" s="6">
        <v>53233</v>
      </c>
      <c r="U137" s="6">
        <v>1740875</v>
      </c>
      <c r="W137" s="6">
        <v>444603</v>
      </c>
      <c r="Y137" s="6">
        <v>47889</v>
      </c>
      <c r="AA137" s="6">
        <v>2342842</v>
      </c>
      <c r="AC137" s="6">
        <v>1302921</v>
      </c>
      <c r="AE137" s="6">
        <v>208506</v>
      </c>
      <c r="AG137" s="11" t="s">
        <v>604</v>
      </c>
      <c r="AH137" s="11"/>
      <c r="AI137" s="11" t="s">
        <v>63</v>
      </c>
      <c r="AJ137" s="11"/>
      <c r="AK137" s="6">
        <v>769826</v>
      </c>
      <c r="AM137" s="6">
        <v>248234</v>
      </c>
      <c r="AO137" s="6">
        <v>432386</v>
      </c>
      <c r="AQ137" s="6">
        <v>289416</v>
      </c>
      <c r="AU137" s="6">
        <v>0</v>
      </c>
      <c r="AW137" s="6">
        <f t="shared" si="14"/>
        <v>23629939</v>
      </c>
      <c r="AY137" s="6">
        <f>+'St of Activites - GA Rev'!AG137-'St of Activities - GA Exp'!AW137</f>
        <v>217872</v>
      </c>
      <c r="BA137" s="6">
        <v>-3287046</v>
      </c>
      <c r="BC137" s="6">
        <f t="shared" si="15"/>
        <v>-3069174</v>
      </c>
      <c r="BE137" s="6">
        <f>+'St of Net Assets - GA'!Y137-'St of Activities - GA Exp'!BC137</f>
        <v>0</v>
      </c>
    </row>
    <row r="138" spans="1:57">
      <c r="A138" s="11" t="s">
        <v>758</v>
      </c>
      <c r="B138" s="11"/>
      <c r="C138" s="11" t="s">
        <v>48</v>
      </c>
      <c r="E138" s="6">
        <v>3563923</v>
      </c>
      <c r="G138" s="6">
        <v>924524</v>
      </c>
      <c r="I138" s="6">
        <v>0</v>
      </c>
      <c r="K138" s="6">
        <v>0</v>
      </c>
      <c r="M138" s="6">
        <v>4949</v>
      </c>
      <c r="O138" s="6">
        <v>395604</v>
      </c>
      <c r="Q138" s="6">
        <v>369428</v>
      </c>
      <c r="S138" s="6">
        <v>10351</v>
      </c>
      <c r="U138" s="6">
        <v>755549</v>
      </c>
      <c r="W138" s="6">
        <v>257271</v>
      </c>
      <c r="Y138" s="6">
        <v>4008</v>
      </c>
      <c r="AA138" s="6">
        <v>592119</v>
      </c>
      <c r="AC138" s="6">
        <v>420474</v>
      </c>
      <c r="AE138" s="6">
        <v>138334</v>
      </c>
      <c r="AG138" s="11" t="s">
        <v>758</v>
      </c>
      <c r="AH138" s="11"/>
      <c r="AI138" s="11" t="s">
        <v>48</v>
      </c>
      <c r="AJ138" s="11"/>
      <c r="AK138" s="6">
        <v>343620</v>
      </c>
      <c r="AM138" s="6">
        <v>117481</v>
      </c>
      <c r="AO138" s="6">
        <v>494365</v>
      </c>
      <c r="AQ138" s="6">
        <v>8672</v>
      </c>
      <c r="AU138" s="6">
        <v>0</v>
      </c>
      <c r="AW138" s="6">
        <f t="shared" si="14"/>
        <v>8400672</v>
      </c>
      <c r="AY138" s="6">
        <f>+'St of Activites - GA Rev'!AG138-'St of Activities - GA Exp'!AW138</f>
        <v>34039</v>
      </c>
      <c r="BA138" s="6">
        <v>2607442</v>
      </c>
      <c r="BC138" s="6">
        <f t="shared" si="15"/>
        <v>2641481</v>
      </c>
      <c r="BE138" s="6">
        <f>+'St of Net Assets - GA'!Y138-'St of Activities - GA Exp'!BC138</f>
        <v>0</v>
      </c>
    </row>
    <row r="139" spans="1:57" hidden="1">
      <c r="A139" s="11" t="s">
        <v>831</v>
      </c>
      <c r="B139" s="11"/>
      <c r="C139" s="11" t="s">
        <v>111</v>
      </c>
      <c r="AG139" s="11" t="s">
        <v>831</v>
      </c>
      <c r="AH139" s="11"/>
      <c r="AI139" s="11" t="s">
        <v>111</v>
      </c>
      <c r="AJ139" s="11"/>
      <c r="AW139" s="6">
        <f t="shared" si="14"/>
        <v>0</v>
      </c>
      <c r="AY139" s="6">
        <f>+'St of Activites - GA Rev'!AG139-'St of Activities - GA Exp'!AW139</f>
        <v>0</v>
      </c>
      <c r="BC139" s="6">
        <f t="shared" si="15"/>
        <v>0</v>
      </c>
      <c r="BE139" s="6">
        <f>+'St of Net Assets - GA'!Y139-'St of Activities - GA Exp'!BC139</f>
        <v>0</v>
      </c>
    </row>
    <row r="140" spans="1:57">
      <c r="A140" s="11" t="s">
        <v>247</v>
      </c>
      <c r="B140" s="11"/>
      <c r="C140" s="11" t="s">
        <v>112</v>
      </c>
      <c r="E140" s="6">
        <v>5641897</v>
      </c>
      <c r="G140" s="6">
        <v>1090440</v>
      </c>
      <c r="I140" s="6">
        <v>106316</v>
      </c>
      <c r="K140" s="6">
        <v>0</v>
      </c>
      <c r="M140" s="6">
        <v>99912</v>
      </c>
      <c r="O140" s="6">
        <v>551689</v>
      </c>
      <c r="Q140" s="6">
        <v>435725</v>
      </c>
      <c r="S140" s="6">
        <v>22156</v>
      </c>
      <c r="U140" s="6">
        <v>952377</v>
      </c>
      <c r="W140" s="6">
        <v>356259</v>
      </c>
      <c r="Y140" s="6">
        <v>345</v>
      </c>
      <c r="AA140" s="6">
        <v>1230404</v>
      </c>
      <c r="AC140" s="6">
        <v>744787</v>
      </c>
      <c r="AE140" s="6">
        <v>26245</v>
      </c>
      <c r="AG140" s="11" t="s">
        <v>247</v>
      </c>
      <c r="AH140" s="11"/>
      <c r="AI140" s="11" t="s">
        <v>112</v>
      </c>
      <c r="AJ140" s="11"/>
      <c r="AK140" s="6">
        <v>593104</v>
      </c>
      <c r="AM140" s="6">
        <v>1585</v>
      </c>
      <c r="AO140" s="6">
        <v>395012</v>
      </c>
      <c r="AQ140" s="6">
        <v>335312</v>
      </c>
      <c r="AU140" s="6">
        <v>0</v>
      </c>
      <c r="AW140" s="6">
        <f t="shared" si="14"/>
        <v>12583565</v>
      </c>
      <c r="AY140" s="6">
        <f>+'St of Activites - GA Rev'!AG140-'St of Activities - GA Exp'!AW140</f>
        <v>513818</v>
      </c>
      <c r="BA140" s="6">
        <v>12301616</v>
      </c>
      <c r="BC140" s="6">
        <f t="shared" si="15"/>
        <v>12815434</v>
      </c>
      <c r="BE140" s="6">
        <f>+'St of Net Assets - GA'!Y140-'St of Activities - GA Exp'!BC140</f>
        <v>0</v>
      </c>
    </row>
    <row r="141" spans="1:57">
      <c r="A141" s="11" t="s">
        <v>247</v>
      </c>
      <c r="B141" s="11"/>
      <c r="C141" s="11" t="s">
        <v>110</v>
      </c>
      <c r="E141" s="6">
        <v>5956355</v>
      </c>
      <c r="G141" s="6">
        <v>1187291</v>
      </c>
      <c r="I141" s="6">
        <v>263683</v>
      </c>
      <c r="K141" s="6">
        <v>0</v>
      </c>
      <c r="M141" s="6">
        <v>0</v>
      </c>
      <c r="O141" s="6">
        <v>569768</v>
      </c>
      <c r="Q141" s="6">
        <v>656726</v>
      </c>
      <c r="S141" s="6">
        <v>101057</v>
      </c>
      <c r="U141" s="6">
        <v>802548</v>
      </c>
      <c r="W141" s="6">
        <v>292580</v>
      </c>
      <c r="Y141" s="6">
        <v>720</v>
      </c>
      <c r="AA141" s="6">
        <v>1116259</v>
      </c>
      <c r="AC141" s="6">
        <v>911693</v>
      </c>
      <c r="AE141" s="6">
        <v>21524</v>
      </c>
      <c r="AG141" s="11" t="s">
        <v>247</v>
      </c>
      <c r="AH141" s="11"/>
      <c r="AI141" s="11" t="s">
        <v>110</v>
      </c>
      <c r="AJ141" s="11"/>
      <c r="AK141" s="6">
        <v>500625</v>
      </c>
      <c r="AM141" s="6">
        <v>0</v>
      </c>
      <c r="AO141" s="6">
        <v>522470</v>
      </c>
      <c r="AQ141" s="6">
        <v>209794</v>
      </c>
      <c r="AU141" s="6">
        <v>0</v>
      </c>
      <c r="AW141" s="6">
        <f t="shared" si="14"/>
        <v>13113093</v>
      </c>
      <c r="AY141" s="6">
        <f>+'St of Activites - GA Rev'!AG141-'St of Activities - GA Exp'!AW141</f>
        <v>-525456</v>
      </c>
      <c r="BA141" s="6">
        <v>27168957</v>
      </c>
      <c r="BC141" s="6">
        <f t="shared" si="15"/>
        <v>26643501</v>
      </c>
      <c r="BE141" s="6">
        <f>+'St of Net Assets - GA'!Y141-'St of Activities - GA Exp'!BC141</f>
        <v>0</v>
      </c>
    </row>
    <row r="142" spans="1:57" hidden="1">
      <c r="A142" s="11" t="s">
        <v>655</v>
      </c>
      <c r="B142" s="11"/>
      <c r="C142" s="11" t="s">
        <v>67</v>
      </c>
      <c r="AG142" s="11" t="s">
        <v>655</v>
      </c>
      <c r="AH142" s="11"/>
      <c r="AI142" s="11" t="s">
        <v>67</v>
      </c>
      <c r="AJ142" s="11"/>
      <c r="AW142" s="6">
        <f t="shared" si="14"/>
        <v>0</v>
      </c>
      <c r="AY142" s="6">
        <f>+'St of Activites - GA Rev'!AG142-'St of Activities - GA Exp'!AW142</f>
        <v>0</v>
      </c>
      <c r="BC142" s="6">
        <f t="shared" si="15"/>
        <v>0</v>
      </c>
      <c r="BE142" s="6">
        <f>+'St of Net Assets - GA'!Y142-'St of Activities - GA Exp'!BC142</f>
        <v>0</v>
      </c>
    </row>
    <row r="143" spans="1:57">
      <c r="A143" s="11" t="s">
        <v>718</v>
      </c>
      <c r="B143" s="11"/>
      <c r="C143" s="11" t="s">
        <v>56</v>
      </c>
      <c r="E143" s="6">
        <v>9439178</v>
      </c>
      <c r="G143" s="6">
        <v>2094573</v>
      </c>
      <c r="I143" s="6">
        <v>89185</v>
      </c>
      <c r="K143" s="6">
        <v>64</v>
      </c>
      <c r="M143" s="6">
        <f>77684+1111379</f>
        <v>1189063</v>
      </c>
      <c r="O143" s="6">
        <v>915490</v>
      </c>
      <c r="Q143" s="6">
        <v>1009669</v>
      </c>
      <c r="S143" s="6">
        <v>20410</v>
      </c>
      <c r="U143" s="6">
        <v>2175227</v>
      </c>
      <c r="W143" s="6">
        <v>494757</v>
      </c>
      <c r="Y143" s="6">
        <v>21731</v>
      </c>
      <c r="AA143" s="6">
        <v>2246311</v>
      </c>
      <c r="AC143" s="6">
        <v>1554316</v>
      </c>
      <c r="AE143" s="6">
        <v>404353</v>
      </c>
      <c r="AG143" s="11" t="s">
        <v>718</v>
      </c>
      <c r="AH143" s="11"/>
      <c r="AI143" s="11" t="s">
        <v>56</v>
      </c>
      <c r="AJ143" s="11"/>
      <c r="AK143" s="6">
        <v>595882</v>
      </c>
      <c r="AM143" s="6">
        <v>23338</v>
      </c>
      <c r="AO143" s="6">
        <v>580233</v>
      </c>
      <c r="AQ143" s="6">
        <v>206379</v>
      </c>
      <c r="AU143" s="6">
        <v>0</v>
      </c>
      <c r="AW143" s="6">
        <f t="shared" si="14"/>
        <v>23060159</v>
      </c>
      <c r="AY143" s="6">
        <f>+'St of Activites - GA Rev'!AG143-'St of Activities - GA Exp'!AW143</f>
        <v>-1120423</v>
      </c>
      <c r="BA143" s="6">
        <v>21610511</v>
      </c>
      <c r="BC143" s="6">
        <f t="shared" si="15"/>
        <v>20490088</v>
      </c>
      <c r="BE143" s="6">
        <f>+'St of Net Assets - GA'!Y143-'St of Activities - GA Exp'!BC143</f>
        <v>0</v>
      </c>
    </row>
    <row r="144" spans="1:57">
      <c r="A144" s="11" t="s">
        <v>759</v>
      </c>
      <c r="B144" s="11"/>
      <c r="C144" s="11" t="s">
        <v>451</v>
      </c>
      <c r="E144" s="6">
        <v>7267617</v>
      </c>
      <c r="G144" s="6">
        <v>0</v>
      </c>
      <c r="I144" s="6">
        <v>0</v>
      </c>
      <c r="K144" s="6">
        <v>0</v>
      </c>
      <c r="M144" s="6">
        <v>0</v>
      </c>
      <c r="O144" s="6">
        <v>885653</v>
      </c>
      <c r="Q144" s="6">
        <v>432289</v>
      </c>
      <c r="S144" s="6">
        <v>48930</v>
      </c>
      <c r="U144" s="6">
        <v>1028305</v>
      </c>
      <c r="W144" s="6">
        <v>330901</v>
      </c>
      <c r="Y144" s="6">
        <v>0</v>
      </c>
      <c r="AA144" s="6">
        <v>1085587</v>
      </c>
      <c r="AC144" s="6">
        <v>656669</v>
      </c>
      <c r="AE144" s="6">
        <v>5003</v>
      </c>
      <c r="AG144" s="11" t="s">
        <v>759</v>
      </c>
      <c r="AH144" s="11"/>
      <c r="AI144" s="11" t="s">
        <v>451</v>
      </c>
      <c r="AJ144" s="11"/>
      <c r="AK144" s="6">
        <v>0</v>
      </c>
      <c r="AM144" s="6">
        <v>590278</v>
      </c>
      <c r="AO144" s="6">
        <v>327770</v>
      </c>
      <c r="AQ144" s="6">
        <v>75810</v>
      </c>
      <c r="AU144" s="6">
        <v>0</v>
      </c>
      <c r="AW144" s="6">
        <f t="shared" si="14"/>
        <v>12734812</v>
      </c>
      <c r="AY144" s="6">
        <f>+'St of Activites - GA Rev'!AG144-'St of Activities - GA Exp'!AW144</f>
        <v>-215658</v>
      </c>
      <c r="BA144" s="6">
        <v>9548811</v>
      </c>
      <c r="BC144" s="6">
        <f t="shared" si="15"/>
        <v>9333153</v>
      </c>
      <c r="BE144" s="6">
        <f>+'St of Net Assets - GA'!Y144-'St of Activities - GA Exp'!BC144</f>
        <v>0</v>
      </c>
    </row>
    <row r="145" spans="1:57">
      <c r="A145" s="11" t="s">
        <v>656</v>
      </c>
      <c r="B145" s="11"/>
      <c r="C145" s="11" t="s">
        <v>63</v>
      </c>
      <c r="E145" s="6">
        <v>21988407</v>
      </c>
      <c r="G145" s="6">
        <v>5030491</v>
      </c>
      <c r="I145" s="6">
        <v>1042067</v>
      </c>
      <c r="K145" s="6">
        <v>0</v>
      </c>
      <c r="M145" s="6">
        <v>5451141</v>
      </c>
      <c r="O145" s="6">
        <v>2821549</v>
      </c>
      <c r="Q145" s="6">
        <v>1806927</v>
      </c>
      <c r="S145" s="6">
        <v>64800</v>
      </c>
      <c r="U145" s="6">
        <v>2733646</v>
      </c>
      <c r="W145" s="6">
        <v>942567</v>
      </c>
      <c r="Y145" s="6">
        <v>388831</v>
      </c>
      <c r="AA145" s="6">
        <v>4377498</v>
      </c>
      <c r="AC145" s="6">
        <v>1465455</v>
      </c>
      <c r="AE145" s="6">
        <v>423830</v>
      </c>
      <c r="AG145" s="11" t="s">
        <v>656</v>
      </c>
      <c r="AH145" s="11"/>
      <c r="AI145" s="11" t="s">
        <v>63</v>
      </c>
      <c r="AJ145" s="11"/>
      <c r="AK145" s="6">
        <v>1596240</v>
      </c>
      <c r="AM145" s="6">
        <v>1031561</v>
      </c>
      <c r="AO145" s="6">
        <v>1209300</v>
      </c>
      <c r="AQ145" s="6">
        <v>164509</v>
      </c>
      <c r="AU145" s="6">
        <v>0</v>
      </c>
      <c r="AW145" s="6">
        <f t="shared" si="14"/>
        <v>52538819</v>
      </c>
      <c r="AY145" s="6">
        <f>+'St of Activites - GA Rev'!AG145-'St of Activities - GA Exp'!AW145</f>
        <v>-1469297</v>
      </c>
      <c r="BA145" s="6">
        <v>9778845</v>
      </c>
      <c r="BC145" s="6">
        <f t="shared" si="15"/>
        <v>8309548</v>
      </c>
      <c r="BE145" s="6">
        <f>+'St of Net Assets - GA'!Y145-'St of Activities - GA Exp'!BC145</f>
        <v>0</v>
      </c>
    </row>
    <row r="146" spans="1:57">
      <c r="A146" s="11" t="s">
        <v>719</v>
      </c>
      <c r="B146" s="11"/>
      <c r="C146" s="11" t="s">
        <v>20</v>
      </c>
      <c r="E146" s="6">
        <v>6152999</v>
      </c>
      <c r="G146" s="6">
        <v>1402884</v>
      </c>
      <c r="I146" s="6">
        <v>6980</v>
      </c>
      <c r="K146" s="6">
        <v>0</v>
      </c>
      <c r="M146" s="6">
        <v>0</v>
      </c>
      <c r="O146" s="6">
        <v>838251</v>
      </c>
      <c r="Q146" s="6">
        <v>563961</v>
      </c>
      <c r="S146" s="6">
        <v>55666</v>
      </c>
      <c r="U146" s="6">
        <v>1295693</v>
      </c>
      <c r="W146" s="6">
        <v>591973</v>
      </c>
      <c r="Y146" s="6">
        <v>107537</v>
      </c>
      <c r="AA146" s="6">
        <v>1515808</v>
      </c>
      <c r="AC146" s="6">
        <v>817775</v>
      </c>
      <c r="AE146" s="6">
        <v>319509</v>
      </c>
      <c r="AG146" s="11" t="s">
        <v>719</v>
      </c>
      <c r="AH146" s="11"/>
      <c r="AI146" s="11" t="s">
        <v>20</v>
      </c>
      <c r="AJ146" s="11"/>
      <c r="AK146" s="6">
        <v>379884</v>
      </c>
      <c r="AM146" s="6">
        <v>131237</v>
      </c>
      <c r="AO146" s="6">
        <v>790083</v>
      </c>
      <c r="AQ146" s="6">
        <v>112287</v>
      </c>
      <c r="AU146" s="6">
        <v>0</v>
      </c>
      <c r="AW146" s="6">
        <f t="shared" si="14"/>
        <v>15082527</v>
      </c>
      <c r="AY146" s="6">
        <f>+'St of Activites - GA Rev'!AG146-'St of Activities - GA Exp'!AW146</f>
        <v>-487922</v>
      </c>
      <c r="BA146" s="6">
        <v>6709415</v>
      </c>
      <c r="BC146" s="6">
        <f t="shared" si="15"/>
        <v>6221493</v>
      </c>
      <c r="BE146" s="6">
        <f>+'St of Net Assets - GA'!Y146-'St of Activities - GA Exp'!BC146</f>
        <v>0</v>
      </c>
    </row>
    <row r="147" spans="1:57">
      <c r="A147" s="11" t="s">
        <v>609</v>
      </c>
      <c r="B147" s="11"/>
      <c r="C147" s="11" t="s">
        <v>71</v>
      </c>
      <c r="E147" s="6">
        <v>3300585</v>
      </c>
      <c r="G147" s="6">
        <v>899746</v>
      </c>
      <c r="I147" s="6">
        <v>223514</v>
      </c>
      <c r="K147" s="6">
        <v>0</v>
      </c>
      <c r="M147" s="6">
        <v>331263</v>
      </c>
      <c r="O147" s="6">
        <v>404031</v>
      </c>
      <c r="Q147" s="6">
        <v>679409</v>
      </c>
      <c r="S147" s="6">
        <v>25702</v>
      </c>
      <c r="U147" s="6">
        <v>691701</v>
      </c>
      <c r="W147" s="6">
        <v>297611</v>
      </c>
      <c r="Y147" s="6">
        <v>0</v>
      </c>
      <c r="AA147" s="6">
        <v>834903</v>
      </c>
      <c r="AC147" s="6">
        <v>483484</v>
      </c>
      <c r="AE147" s="6">
        <v>25588</v>
      </c>
      <c r="AG147" s="11" t="s">
        <v>609</v>
      </c>
      <c r="AH147" s="11"/>
      <c r="AI147" s="11" t="s">
        <v>71</v>
      </c>
      <c r="AJ147" s="11"/>
      <c r="AK147" s="6">
        <v>244274</v>
      </c>
      <c r="AM147" s="6">
        <v>135806</v>
      </c>
      <c r="AO147" s="6">
        <v>386894</v>
      </c>
      <c r="AQ147" s="6">
        <v>469687</v>
      </c>
      <c r="AU147" s="6">
        <v>0</v>
      </c>
      <c r="AW147" s="6">
        <f t="shared" si="14"/>
        <v>9434198</v>
      </c>
      <c r="AY147" s="6">
        <f>+'St of Activites - GA Rev'!AG147-'St of Activities - GA Exp'!AW147</f>
        <v>1852320</v>
      </c>
      <c r="BA147" s="6">
        <v>2743756</v>
      </c>
      <c r="BC147" s="6">
        <f t="shared" si="15"/>
        <v>4596076</v>
      </c>
      <c r="BE147" s="6">
        <f>+'St of Net Assets - GA'!Y147-'St of Activities - GA Exp'!BC147</f>
        <v>0</v>
      </c>
    </row>
    <row r="148" spans="1:57" ht="12" hidden="1" customHeight="1">
      <c r="A148" s="11" t="s">
        <v>741</v>
      </c>
      <c r="B148" s="11"/>
      <c r="C148" s="11" t="s">
        <v>53</v>
      </c>
      <c r="AG148" s="11" t="s">
        <v>741</v>
      </c>
      <c r="AH148" s="11"/>
      <c r="AI148" s="11" t="s">
        <v>53</v>
      </c>
      <c r="AJ148" s="11"/>
      <c r="AW148" s="6">
        <f t="shared" si="14"/>
        <v>0</v>
      </c>
      <c r="AY148" s="6">
        <f>+'St of Activites - GA Rev'!AG148-'St of Activities - GA Exp'!AW148</f>
        <v>0</v>
      </c>
      <c r="BC148" s="6">
        <f t="shared" si="15"/>
        <v>0</v>
      </c>
      <c r="BE148" s="6">
        <f>+'St of Net Assets - GA'!Y148-'St of Activities - GA Exp'!BC148</f>
        <v>0</v>
      </c>
    </row>
    <row r="149" spans="1:57" hidden="1">
      <c r="A149" s="11" t="s">
        <v>657</v>
      </c>
      <c r="B149" s="11"/>
      <c r="C149" s="11" t="s">
        <v>40</v>
      </c>
      <c r="AG149" s="11" t="s">
        <v>657</v>
      </c>
      <c r="AH149" s="11"/>
      <c r="AI149" s="11" t="s">
        <v>40</v>
      </c>
      <c r="AJ149" s="11"/>
      <c r="AW149" s="6">
        <f t="shared" si="14"/>
        <v>0</v>
      </c>
      <c r="AY149" s="6">
        <f>+'St of Activites - GA Rev'!AG149-'St of Activities - GA Exp'!AW149</f>
        <v>0</v>
      </c>
      <c r="BC149" s="6">
        <f t="shared" si="15"/>
        <v>0</v>
      </c>
      <c r="BE149" s="6">
        <f>+'St of Net Assets - GA'!Y149-'St of Activities - GA Exp'!BC149</f>
        <v>0</v>
      </c>
    </row>
    <row r="150" spans="1:57">
      <c r="A150" s="11" t="s">
        <v>367</v>
      </c>
      <c r="B150" s="11"/>
      <c r="C150" s="11" t="s">
        <v>366</v>
      </c>
      <c r="E150" s="6">
        <v>7359140</v>
      </c>
      <c r="G150" s="6">
        <v>553297</v>
      </c>
      <c r="I150" s="6">
        <v>229685</v>
      </c>
      <c r="K150" s="6">
        <v>0</v>
      </c>
      <c r="M150" s="6">
        <v>0</v>
      </c>
      <c r="O150" s="6">
        <v>653272</v>
      </c>
      <c r="Q150" s="6">
        <v>306474</v>
      </c>
      <c r="S150" s="6">
        <v>31733</v>
      </c>
      <c r="U150" s="6">
        <v>925665</v>
      </c>
      <c r="W150" s="6">
        <v>553575</v>
      </c>
      <c r="Y150" s="6">
        <v>56363</v>
      </c>
      <c r="AA150" s="6">
        <v>1196473</v>
      </c>
      <c r="AC150" s="6">
        <v>881549</v>
      </c>
      <c r="AE150" s="6">
        <v>254143</v>
      </c>
      <c r="AG150" s="11" t="s">
        <v>367</v>
      </c>
      <c r="AH150" s="11"/>
      <c r="AI150" s="11" t="s">
        <v>366</v>
      </c>
      <c r="AJ150" s="11"/>
      <c r="AK150" s="6">
        <v>646769</v>
      </c>
      <c r="AM150" s="6">
        <v>12051</v>
      </c>
      <c r="AO150" s="6">
        <v>458539</v>
      </c>
      <c r="AQ150" s="6">
        <v>165218</v>
      </c>
      <c r="AU150" s="6">
        <v>0</v>
      </c>
      <c r="AW150" s="6">
        <f t="shared" si="14"/>
        <v>14283946</v>
      </c>
      <c r="AY150" s="6">
        <f>+'St of Activites - GA Rev'!AG150-'St of Activities - GA Exp'!AW150</f>
        <v>-547628</v>
      </c>
      <c r="BA150" s="6">
        <v>33453428</v>
      </c>
      <c r="BC150" s="6">
        <f t="shared" si="15"/>
        <v>32905800</v>
      </c>
      <c r="BE150" s="6">
        <f>+'St of Net Assets - GA'!Y150-'St of Activities - GA Exp'!BC150</f>
        <v>0</v>
      </c>
    </row>
    <row r="151" spans="1:57">
      <c r="A151" s="11" t="s">
        <v>429</v>
      </c>
      <c r="B151" s="11"/>
      <c r="C151" s="11" t="s">
        <v>50</v>
      </c>
      <c r="E151" s="6">
        <v>60046277</v>
      </c>
      <c r="G151" s="6">
        <v>27538279</v>
      </c>
      <c r="I151" s="6">
        <v>2979695</v>
      </c>
      <c r="K151" s="6">
        <v>20336</v>
      </c>
      <c r="M151" s="6">
        <v>3536600</v>
      </c>
      <c r="O151" s="6">
        <v>11415832</v>
      </c>
      <c r="Q151" s="6">
        <v>18606460</v>
      </c>
      <c r="S151" s="6">
        <v>660791</v>
      </c>
      <c r="U151" s="6">
        <v>18505586</v>
      </c>
      <c r="W151" s="6">
        <v>4596315</v>
      </c>
      <c r="Y151" s="6">
        <v>2578038</v>
      </c>
      <c r="AA151" s="6">
        <v>21073668</v>
      </c>
      <c r="AC151" s="6">
        <v>17184232</v>
      </c>
      <c r="AE151" s="6">
        <v>10263636</v>
      </c>
      <c r="AG151" s="11" t="s">
        <v>429</v>
      </c>
      <c r="AH151" s="11"/>
      <c r="AI151" s="11" t="s">
        <v>50</v>
      </c>
      <c r="AJ151" s="11"/>
      <c r="AK151" s="6">
        <v>0</v>
      </c>
      <c r="AM151" s="6">
        <v>69881407</v>
      </c>
      <c r="AO151" s="6">
        <v>1773357</v>
      </c>
      <c r="AQ151" s="6">
        <v>9954404</v>
      </c>
      <c r="AU151" s="6">
        <v>9694823</v>
      </c>
      <c r="AW151" s="6">
        <f t="shared" si="14"/>
        <v>290309736</v>
      </c>
      <c r="AY151" s="6">
        <f>+'St of Activites - GA Rev'!AG151-'St of Activities - GA Exp'!AW151</f>
        <v>-42325110</v>
      </c>
      <c r="BA151" s="6">
        <v>394053153</v>
      </c>
      <c r="BC151" s="6">
        <f t="shared" ref="BC151:BC179" si="16">+AY151+BA151</f>
        <v>351728043</v>
      </c>
      <c r="BE151" s="6">
        <f>+'St of Net Assets - GA'!Y151-'St of Activities - GA Exp'!BC151</f>
        <v>0</v>
      </c>
    </row>
    <row r="152" spans="1:57">
      <c r="A152" s="11" t="s">
        <v>889</v>
      </c>
      <c r="B152" s="11"/>
      <c r="C152" s="11" t="s">
        <v>32</v>
      </c>
      <c r="E152" s="6">
        <v>6423211</v>
      </c>
      <c r="G152" s="6">
        <v>1602116</v>
      </c>
      <c r="I152" s="6">
        <v>192848</v>
      </c>
      <c r="K152" s="6">
        <v>0</v>
      </c>
      <c r="M152" s="6">
        <v>0</v>
      </c>
      <c r="O152" s="6">
        <v>900929</v>
      </c>
      <c r="Q152" s="6">
        <v>860495</v>
      </c>
      <c r="S152" s="6">
        <v>83330</v>
      </c>
      <c r="U152" s="6">
        <v>1172995</v>
      </c>
      <c r="W152" s="6">
        <v>588759</v>
      </c>
      <c r="Y152" s="6">
        <v>129467</v>
      </c>
      <c r="AA152" s="6">
        <v>1442664</v>
      </c>
      <c r="AC152" s="6">
        <v>348828</v>
      </c>
      <c r="AE152" s="6">
        <v>159845</v>
      </c>
      <c r="AG152" s="11" t="s">
        <v>889</v>
      </c>
      <c r="AH152" s="11"/>
      <c r="AI152" s="11" t="s">
        <v>32</v>
      </c>
      <c r="AJ152" s="11"/>
      <c r="AK152" s="6">
        <v>0</v>
      </c>
      <c r="AM152" s="6">
        <v>552611</v>
      </c>
      <c r="AO152" s="6">
        <v>507217</v>
      </c>
      <c r="AQ152" s="6">
        <v>15076</v>
      </c>
      <c r="AU152" s="6">
        <v>0</v>
      </c>
      <c r="AW152" s="6">
        <f t="shared" si="14"/>
        <v>14980391</v>
      </c>
      <c r="AY152" s="6">
        <f>+'St of Activites - GA Rev'!AG152-'St of Activities - GA Exp'!AW152</f>
        <v>135295</v>
      </c>
      <c r="BA152" s="6">
        <v>11089564</v>
      </c>
      <c r="BC152" s="6">
        <f t="shared" si="16"/>
        <v>11224859</v>
      </c>
      <c r="BE152" s="6">
        <f>+'St of Net Assets - GA'!Y152-'St of Activities - GA Exp'!BC152</f>
        <v>0</v>
      </c>
    </row>
    <row r="153" spans="1:57" ht="12" hidden="1" customHeight="1">
      <c r="A153" s="11" t="s">
        <v>658</v>
      </c>
      <c r="B153" s="11"/>
      <c r="C153" s="11" t="s">
        <v>22</v>
      </c>
      <c r="AG153" s="11" t="s">
        <v>658</v>
      </c>
      <c r="AH153" s="11"/>
      <c r="AI153" s="11" t="s">
        <v>22</v>
      </c>
      <c r="AJ153" s="11"/>
      <c r="AW153" s="6">
        <f t="shared" si="14"/>
        <v>0</v>
      </c>
      <c r="AY153" s="6">
        <f>+'St of Activites - GA Rev'!AG153-'St of Activities - GA Exp'!AW153</f>
        <v>0</v>
      </c>
      <c r="BC153" s="6">
        <f t="shared" si="16"/>
        <v>0</v>
      </c>
      <c r="BE153" s="6">
        <f>+'St of Net Assets - GA'!Y153-'St of Activities - GA Exp'!BC153</f>
        <v>0</v>
      </c>
    </row>
    <row r="154" spans="1:57">
      <c r="A154" s="11" t="s">
        <v>742</v>
      </c>
      <c r="B154" s="11"/>
      <c r="C154" s="11" t="s">
        <v>23</v>
      </c>
      <c r="E154" s="6">
        <v>21730895</v>
      </c>
      <c r="G154" s="6">
        <v>5731574</v>
      </c>
      <c r="I154" s="6">
        <v>175938</v>
      </c>
      <c r="K154" s="6">
        <v>87694</v>
      </c>
      <c r="M154" s="6">
        <v>2300758</v>
      </c>
      <c r="O154" s="6">
        <v>2519897</v>
      </c>
      <c r="Q154" s="6">
        <v>2589706</v>
      </c>
      <c r="S154" s="6">
        <v>173989</v>
      </c>
      <c r="U154" s="6">
        <v>2942025</v>
      </c>
      <c r="W154" s="6">
        <v>1105356</v>
      </c>
      <c r="Y154" s="6">
        <v>331725</v>
      </c>
      <c r="AA154" s="6">
        <v>4339248</v>
      </c>
      <c r="AC154" s="6">
        <v>3222859</v>
      </c>
      <c r="AE154" s="6">
        <v>264800</v>
      </c>
      <c r="AG154" s="11" t="s">
        <v>742</v>
      </c>
      <c r="AH154" s="11"/>
      <c r="AI154" s="11" t="s">
        <v>23</v>
      </c>
      <c r="AJ154" s="11"/>
      <c r="AK154" s="6">
        <v>0</v>
      </c>
      <c r="AM154" s="6">
        <v>2002275</v>
      </c>
      <c r="AO154" s="6">
        <v>1173635</v>
      </c>
      <c r="AQ154" s="6">
        <v>1320350</v>
      </c>
      <c r="AU154" s="6">
        <v>947128</v>
      </c>
      <c r="AW154" s="6">
        <f t="shared" si="14"/>
        <v>52959852</v>
      </c>
      <c r="AY154" s="6">
        <f>+'St of Activites - GA Rev'!AG154-'St of Activities - GA Exp'!AW154</f>
        <v>5093361</v>
      </c>
      <c r="BA154" s="6">
        <v>13021997</v>
      </c>
      <c r="BC154" s="6">
        <f t="shared" si="16"/>
        <v>18115358</v>
      </c>
      <c r="BE154" s="6">
        <f>+'St of Net Assets - GA'!Y154-'St of Activities - GA Exp'!BC154</f>
        <v>0</v>
      </c>
    </row>
    <row r="155" spans="1:57">
      <c r="A155" s="11" t="s">
        <v>201</v>
      </c>
      <c r="B155" s="11"/>
      <c r="C155" s="11" t="s">
        <v>10</v>
      </c>
      <c r="E155" s="6">
        <v>4419819</v>
      </c>
      <c r="G155" s="6">
        <v>1266322</v>
      </c>
      <c r="I155" s="6">
        <v>419913</v>
      </c>
      <c r="K155" s="6">
        <v>0</v>
      </c>
      <c r="M155" s="6">
        <v>0</v>
      </c>
      <c r="O155" s="6">
        <v>510319</v>
      </c>
      <c r="Q155" s="6">
        <v>267885</v>
      </c>
      <c r="S155" s="6">
        <v>26199</v>
      </c>
      <c r="U155" s="6">
        <v>846341</v>
      </c>
      <c r="W155" s="6">
        <v>311792</v>
      </c>
      <c r="Y155" s="6">
        <v>0</v>
      </c>
      <c r="AA155" s="6">
        <v>572492</v>
      </c>
      <c r="AC155" s="6">
        <v>480545</v>
      </c>
      <c r="AE155" s="6">
        <v>8435</v>
      </c>
      <c r="AG155" s="11" t="s">
        <v>201</v>
      </c>
      <c r="AH155" s="11"/>
      <c r="AI155" s="11" t="s">
        <v>10</v>
      </c>
      <c r="AJ155" s="11"/>
      <c r="AK155" s="6">
        <v>0</v>
      </c>
      <c r="AM155" s="6">
        <v>970905</v>
      </c>
      <c r="AO155" s="6">
        <v>356094</v>
      </c>
      <c r="AQ155" s="6">
        <v>0</v>
      </c>
      <c r="AU155" s="6">
        <v>0</v>
      </c>
      <c r="AW155" s="6">
        <f t="shared" ref="AW155" si="17">SUM(E155:AV155)</f>
        <v>10457061</v>
      </c>
      <c r="AY155" s="6">
        <f>+'St of Activites - GA Rev'!AG155-'St of Activities - GA Exp'!AW155</f>
        <v>444587</v>
      </c>
      <c r="BA155" s="6">
        <v>4173938</v>
      </c>
      <c r="BC155" s="6">
        <f t="shared" si="16"/>
        <v>4618525</v>
      </c>
      <c r="BE155" s="6">
        <f>+'St of Net Assets - GA'!Y155-'St of Activities - GA Exp'!BC155</f>
        <v>0</v>
      </c>
    </row>
    <row r="156" spans="1:57">
      <c r="A156" s="11" t="s">
        <v>534</v>
      </c>
      <c r="B156" s="11"/>
      <c r="C156" s="11" t="s">
        <v>65</v>
      </c>
      <c r="E156" s="6">
        <v>10581553</v>
      </c>
      <c r="G156" s="6">
        <v>1808783</v>
      </c>
      <c r="I156" s="6">
        <v>25924</v>
      </c>
      <c r="K156" s="6">
        <v>0</v>
      </c>
      <c r="M156" s="6">
        <f>120268+209973</f>
        <v>330241</v>
      </c>
      <c r="O156" s="6">
        <v>1270031</v>
      </c>
      <c r="Q156" s="6">
        <v>1201748</v>
      </c>
      <c r="S156" s="6">
        <v>52392</v>
      </c>
      <c r="U156" s="6">
        <v>1833604</v>
      </c>
      <c r="W156" s="6">
        <v>690132</v>
      </c>
      <c r="Y156" s="6">
        <v>0</v>
      </c>
      <c r="AA156" s="6">
        <v>1747340</v>
      </c>
      <c r="AC156" s="6">
        <v>768987</v>
      </c>
      <c r="AE156" s="6">
        <v>0</v>
      </c>
      <c r="AG156" s="11" t="s">
        <v>534</v>
      </c>
      <c r="AH156" s="11"/>
      <c r="AI156" s="11" t="s">
        <v>65</v>
      </c>
      <c r="AJ156" s="11"/>
      <c r="AK156" s="6">
        <v>848475</v>
      </c>
      <c r="AM156" s="6">
        <v>157651</v>
      </c>
      <c r="AO156" s="6">
        <v>1032326</v>
      </c>
      <c r="AQ156" s="6">
        <v>208306</v>
      </c>
      <c r="AU156" s="6">
        <v>0</v>
      </c>
      <c r="AW156" s="6">
        <f t="shared" ref="AW156:AW179" si="18">SUM(E156:AV156)</f>
        <v>22557493</v>
      </c>
      <c r="AY156" s="6">
        <f>+'St of Activites - GA Rev'!AG156-'St of Activities - GA Exp'!AW156</f>
        <v>1730470</v>
      </c>
      <c r="BA156" s="6">
        <v>12457240</v>
      </c>
      <c r="BC156" s="6">
        <f t="shared" si="16"/>
        <v>14187710</v>
      </c>
      <c r="BE156" s="6">
        <f>+'St of Net Assets - GA'!Y156-'St of Activities - GA Exp'!BC156</f>
        <v>0</v>
      </c>
    </row>
    <row r="157" spans="1:57">
      <c r="A157" s="11" t="s">
        <v>302</v>
      </c>
      <c r="B157" s="11"/>
      <c r="C157" s="11" t="s">
        <v>27</v>
      </c>
      <c r="E157" s="6">
        <v>79783757</v>
      </c>
      <c r="G157" s="6">
        <v>22136066</v>
      </c>
      <c r="I157" s="6">
        <v>242298</v>
      </c>
      <c r="K157" s="6">
        <v>0</v>
      </c>
      <c r="M157" s="6">
        <v>0</v>
      </c>
      <c r="O157" s="6">
        <v>10933815</v>
      </c>
      <c r="Q157" s="6">
        <v>16997614</v>
      </c>
      <c r="S157" s="6">
        <v>190947</v>
      </c>
      <c r="U157" s="6">
        <v>11907470</v>
      </c>
      <c r="W157" s="6">
        <v>3380379</v>
      </c>
      <c r="Y157" s="6">
        <v>979394</v>
      </c>
      <c r="AA157" s="6">
        <v>13480127</v>
      </c>
      <c r="AC157" s="6">
        <v>9225535</v>
      </c>
      <c r="AE157" s="6">
        <v>5920985</v>
      </c>
      <c r="AG157" s="11" t="s">
        <v>302</v>
      </c>
      <c r="AH157" s="11"/>
      <c r="AI157" s="11" t="s">
        <v>27</v>
      </c>
      <c r="AJ157" s="11"/>
      <c r="AK157" s="6">
        <v>0</v>
      </c>
      <c r="AM157" s="6">
        <v>644052</v>
      </c>
      <c r="AO157" s="6">
        <v>5065991</v>
      </c>
      <c r="AQ157" s="6">
        <v>7627237</v>
      </c>
      <c r="AU157" s="6">
        <v>70112</v>
      </c>
      <c r="AW157" s="6">
        <f t="shared" si="18"/>
        <v>188585779</v>
      </c>
      <c r="AY157" s="6">
        <f>+'St of Activites - GA Rev'!AG157-'St of Activities - GA Exp'!AW157</f>
        <v>1665683</v>
      </c>
      <c r="BA157" s="6">
        <v>70808187</v>
      </c>
      <c r="BC157" s="6">
        <f t="shared" si="16"/>
        <v>72473870</v>
      </c>
      <c r="BE157" s="6">
        <f>+'St of Net Assets - GA'!Y157-'St of Activities - GA Exp'!BC157</f>
        <v>0</v>
      </c>
    </row>
    <row r="158" spans="1:57" ht="12" customHeight="1">
      <c r="A158" s="11" t="s">
        <v>266</v>
      </c>
      <c r="B158" s="11"/>
      <c r="C158" s="11" t="s">
        <v>20</v>
      </c>
      <c r="E158" s="6">
        <v>20290754</v>
      </c>
      <c r="G158" s="6">
        <v>11481143</v>
      </c>
      <c r="I158" s="6">
        <v>1697660</v>
      </c>
      <c r="K158" s="6">
        <v>62383</v>
      </c>
      <c r="M158" s="6">
        <v>5967960</v>
      </c>
      <c r="O158" s="6">
        <v>3820719</v>
      </c>
      <c r="Q158" s="6">
        <v>5685135</v>
      </c>
      <c r="S158" s="6">
        <v>53429</v>
      </c>
      <c r="U158" s="6">
        <v>4347732</v>
      </c>
      <c r="W158" s="6">
        <v>2389736</v>
      </c>
      <c r="Y158" s="6">
        <v>267912</v>
      </c>
      <c r="AA158" s="6">
        <v>4951735</v>
      </c>
      <c r="AC158" s="6">
        <v>1212484</v>
      </c>
      <c r="AE158" s="6">
        <v>2583656</v>
      </c>
      <c r="AG158" s="11" t="s">
        <v>266</v>
      </c>
      <c r="AH158" s="11"/>
      <c r="AI158" s="11" t="s">
        <v>20</v>
      </c>
      <c r="AJ158" s="11"/>
      <c r="AK158" s="6">
        <v>1582594</v>
      </c>
      <c r="AM158" s="6">
        <v>186584</v>
      </c>
      <c r="AO158" s="6">
        <v>525480</v>
      </c>
      <c r="AQ158" s="6">
        <v>294912</v>
      </c>
      <c r="AU158" s="6">
        <v>0</v>
      </c>
      <c r="AW158" s="6">
        <f t="shared" si="18"/>
        <v>67402008</v>
      </c>
      <c r="AY158" s="6">
        <f>+'St of Activites - GA Rev'!AG158-'St of Activities - GA Exp'!AW158</f>
        <v>-4987741</v>
      </c>
      <c r="BA158" s="6">
        <v>124448468</v>
      </c>
      <c r="BC158" s="6">
        <f t="shared" si="16"/>
        <v>119460727</v>
      </c>
      <c r="BE158" s="6">
        <f>+'St of Net Assets - GA'!Y158-'St of Activities - GA Exp'!BC158</f>
        <v>0</v>
      </c>
    </row>
    <row r="159" spans="1:57">
      <c r="A159" s="11" t="s">
        <v>244</v>
      </c>
      <c r="B159" s="11"/>
      <c r="C159" s="11" t="s">
        <v>18</v>
      </c>
      <c r="E159" s="6">
        <v>6339922</v>
      </c>
      <c r="G159" s="6">
        <v>1497037</v>
      </c>
      <c r="I159" s="6">
        <v>80519</v>
      </c>
      <c r="K159" s="6">
        <v>0</v>
      </c>
      <c r="M159" s="6">
        <v>413</v>
      </c>
      <c r="O159" s="6">
        <v>420260</v>
      </c>
      <c r="Q159" s="6">
        <v>1046040</v>
      </c>
      <c r="S159" s="6">
        <v>53651</v>
      </c>
      <c r="U159" s="6">
        <v>985826</v>
      </c>
      <c r="W159" s="6">
        <v>346965</v>
      </c>
      <c r="Y159" s="6">
        <v>4418</v>
      </c>
      <c r="AA159" s="6">
        <v>1179511</v>
      </c>
      <c r="AC159" s="6">
        <v>899163</v>
      </c>
      <c r="AE159" s="6">
        <v>93682</v>
      </c>
      <c r="AG159" s="11" t="s">
        <v>244</v>
      </c>
      <c r="AH159" s="11"/>
      <c r="AI159" s="11" t="s">
        <v>18</v>
      </c>
      <c r="AJ159" s="11"/>
      <c r="AK159" s="6">
        <v>698856</v>
      </c>
      <c r="AM159" s="6">
        <v>17439</v>
      </c>
      <c r="AO159" s="6">
        <v>351307</v>
      </c>
      <c r="AQ159" s="6">
        <v>144379</v>
      </c>
      <c r="AU159" s="6">
        <v>0</v>
      </c>
      <c r="AW159" s="6">
        <f t="shared" si="18"/>
        <v>14159388</v>
      </c>
      <c r="AY159" s="6">
        <f>+'St of Activites - GA Rev'!AG159-'St of Activities - GA Exp'!AW159</f>
        <v>355842</v>
      </c>
      <c r="BA159" s="6">
        <v>16126359</v>
      </c>
      <c r="BC159" s="6">
        <f t="shared" si="16"/>
        <v>16482201</v>
      </c>
      <c r="BE159" s="6">
        <f>+'St of Net Assets - GA'!Y159-'St of Activities - GA Exp'!BC159</f>
        <v>0</v>
      </c>
    </row>
    <row r="160" spans="1:57">
      <c r="A160" s="11" t="s">
        <v>320</v>
      </c>
      <c r="B160" s="11"/>
      <c r="C160" s="11" t="s">
        <v>31</v>
      </c>
      <c r="E160" s="6">
        <v>4686869</v>
      </c>
      <c r="G160" s="6">
        <v>1340279</v>
      </c>
      <c r="I160" s="6">
        <v>283182</v>
      </c>
      <c r="K160" s="6">
        <v>6668</v>
      </c>
      <c r="M160" s="6">
        <v>4773</v>
      </c>
      <c r="O160" s="6">
        <v>694692</v>
      </c>
      <c r="Q160" s="6">
        <v>542230</v>
      </c>
      <c r="S160" s="6">
        <v>32910</v>
      </c>
      <c r="U160" s="6">
        <v>857710</v>
      </c>
      <c r="W160" s="6">
        <v>354265</v>
      </c>
      <c r="Y160" s="6">
        <v>0</v>
      </c>
      <c r="AA160" s="6">
        <v>1193967</v>
      </c>
      <c r="AC160" s="6">
        <v>1038868</v>
      </c>
      <c r="AE160" s="6">
        <v>43965</v>
      </c>
      <c r="AG160" s="11" t="s">
        <v>320</v>
      </c>
      <c r="AH160" s="11"/>
      <c r="AI160" s="11" t="s">
        <v>31</v>
      </c>
      <c r="AJ160" s="11"/>
      <c r="AK160" s="6">
        <v>541414</v>
      </c>
      <c r="AM160" s="6">
        <v>0</v>
      </c>
      <c r="AO160" s="6">
        <v>319896</v>
      </c>
      <c r="AQ160" s="6">
        <v>207418</v>
      </c>
      <c r="AU160" s="6">
        <v>0</v>
      </c>
      <c r="AW160" s="6">
        <f t="shared" si="18"/>
        <v>12149106</v>
      </c>
      <c r="AY160" s="6">
        <f>+'St of Activites - GA Rev'!AG160-'St of Activities - GA Exp'!AW160</f>
        <v>1541729</v>
      </c>
      <c r="BA160" s="6">
        <v>24375393</v>
      </c>
      <c r="BC160" s="6">
        <f t="shared" si="16"/>
        <v>25917122</v>
      </c>
      <c r="BE160" s="6">
        <f>+'St of Net Assets - GA'!Y160-'St of Activities - GA Exp'!BC160</f>
        <v>0</v>
      </c>
    </row>
    <row r="161" spans="1:57" ht="12" customHeight="1">
      <c r="A161" s="11" t="s">
        <v>353</v>
      </c>
      <c r="B161" s="11"/>
      <c r="C161" s="11" t="s">
        <v>36</v>
      </c>
      <c r="E161" s="6">
        <v>8140268</v>
      </c>
      <c r="G161" s="6">
        <v>2137871</v>
      </c>
      <c r="I161" s="6">
        <v>396563</v>
      </c>
      <c r="K161" s="6">
        <v>0</v>
      </c>
      <c r="M161" s="6">
        <v>0</v>
      </c>
      <c r="O161" s="6">
        <v>922744</v>
      </c>
      <c r="Q161" s="6">
        <v>956241</v>
      </c>
      <c r="S161" s="6">
        <v>26850</v>
      </c>
      <c r="U161" s="6">
        <v>1555211</v>
      </c>
      <c r="W161" s="6">
        <v>502528</v>
      </c>
      <c r="Y161" s="6">
        <v>0</v>
      </c>
      <c r="AA161" s="6">
        <v>1507213</v>
      </c>
      <c r="AC161" s="6">
        <v>1297170</v>
      </c>
      <c r="AE161" s="6">
        <v>126607</v>
      </c>
      <c r="AG161" s="11" t="s">
        <v>353</v>
      </c>
      <c r="AH161" s="11"/>
      <c r="AI161" s="11" t="s">
        <v>36</v>
      </c>
      <c r="AJ161" s="11"/>
      <c r="AK161" s="6">
        <v>823868</v>
      </c>
      <c r="AM161" s="6">
        <v>0</v>
      </c>
      <c r="AO161" s="6">
        <v>618396</v>
      </c>
      <c r="AQ161" s="6">
        <v>107689</v>
      </c>
      <c r="AU161" s="6">
        <v>0</v>
      </c>
      <c r="AW161" s="6">
        <f t="shared" si="18"/>
        <v>19119219</v>
      </c>
      <c r="AY161" s="6">
        <f>+'St of Activites - GA Rev'!AG161-'St of Activities - GA Exp'!AW161</f>
        <v>-763027</v>
      </c>
      <c r="BA161" s="6">
        <v>13822787</v>
      </c>
      <c r="BC161" s="6">
        <f t="shared" si="16"/>
        <v>13059760</v>
      </c>
      <c r="BE161" s="6">
        <f>+'St of Net Assets - GA'!Y161-'St of Activities - GA Exp'!BC161</f>
        <v>0</v>
      </c>
    </row>
    <row r="162" spans="1:57" ht="12" hidden="1" customHeight="1">
      <c r="A162" s="11" t="s">
        <v>659</v>
      </c>
      <c r="B162" s="11"/>
      <c r="C162" s="11" t="s">
        <v>40</v>
      </c>
      <c r="AG162" s="11" t="s">
        <v>659</v>
      </c>
      <c r="AH162" s="11"/>
      <c r="AI162" s="11" t="s">
        <v>40</v>
      </c>
      <c r="AJ162" s="11"/>
      <c r="AW162" s="6">
        <f t="shared" si="18"/>
        <v>0</v>
      </c>
      <c r="AY162" s="6">
        <f>+'St of Activites - GA Rev'!AG162-'St of Activities - GA Exp'!AW162</f>
        <v>0</v>
      </c>
      <c r="BC162" s="6">
        <f t="shared" si="16"/>
        <v>0</v>
      </c>
      <c r="BE162" s="6">
        <f>+'St of Net Assets - GA'!Y162-'St of Activities - GA Exp'!BC162</f>
        <v>0</v>
      </c>
    </row>
    <row r="163" spans="1:57">
      <c r="A163" s="11" t="s">
        <v>248</v>
      </c>
      <c r="B163" s="11"/>
      <c r="C163" s="11" t="s">
        <v>112</v>
      </c>
      <c r="E163" s="6">
        <v>12197494</v>
      </c>
      <c r="G163" s="6">
        <v>3021913</v>
      </c>
      <c r="I163" s="6">
        <v>1028225</v>
      </c>
      <c r="K163" s="6">
        <v>4710</v>
      </c>
      <c r="M163" s="6">
        <f>67123+1753739</f>
        <v>1820862</v>
      </c>
      <c r="O163" s="6">
        <v>1282186</v>
      </c>
      <c r="Q163" s="6">
        <v>1709997</v>
      </c>
      <c r="S163" s="6">
        <v>268760</v>
      </c>
      <c r="U163" s="6">
        <v>2188887</v>
      </c>
      <c r="W163" s="6">
        <v>535874</v>
      </c>
      <c r="Y163" s="6">
        <v>28586</v>
      </c>
      <c r="AA163" s="6">
        <v>3124359</v>
      </c>
      <c r="AC163" s="6">
        <v>1180590</v>
      </c>
      <c r="AE163" s="6">
        <v>44563</v>
      </c>
      <c r="AG163" s="11" t="s">
        <v>248</v>
      </c>
      <c r="AH163" s="11"/>
      <c r="AI163" s="11" t="s">
        <v>112</v>
      </c>
      <c r="AJ163" s="11"/>
      <c r="AK163" s="6">
        <v>1313877</v>
      </c>
      <c r="AM163" s="6">
        <v>22917</v>
      </c>
      <c r="AO163" s="6">
        <v>414297</v>
      </c>
      <c r="AQ163" s="6">
        <v>82805</v>
      </c>
      <c r="AU163" s="6">
        <v>0</v>
      </c>
      <c r="AW163" s="6">
        <f t="shared" si="18"/>
        <v>30270902</v>
      </c>
      <c r="AY163" s="6">
        <f>+'St of Activites - GA Rev'!AG163-'St of Activities - GA Exp'!AW163</f>
        <v>-2466977</v>
      </c>
      <c r="BA163" s="6">
        <v>52282103</v>
      </c>
      <c r="BC163" s="6">
        <f t="shared" si="16"/>
        <v>49815126</v>
      </c>
      <c r="BE163" s="6">
        <f>+'St of Net Assets - GA'!Y163-'St of Activities - GA Exp'!BC163</f>
        <v>0</v>
      </c>
    </row>
    <row r="164" spans="1:57">
      <c r="A164" s="11" t="s">
        <v>443</v>
      </c>
      <c r="B164" s="11"/>
      <c r="C164" s="11" t="s">
        <v>51</v>
      </c>
      <c r="E164" s="6">
        <v>9297624</v>
      </c>
      <c r="G164" s="6">
        <v>2512032</v>
      </c>
      <c r="I164" s="6">
        <v>218705</v>
      </c>
      <c r="K164" s="6">
        <v>0</v>
      </c>
      <c r="M164" s="6">
        <v>414113</v>
      </c>
      <c r="O164" s="6">
        <v>458486</v>
      </c>
      <c r="Q164" s="6">
        <v>891043</v>
      </c>
      <c r="S164" s="6">
        <v>74248</v>
      </c>
      <c r="U164" s="6">
        <v>2024862</v>
      </c>
      <c r="W164" s="6">
        <v>448308</v>
      </c>
      <c r="Y164" s="6">
        <v>0</v>
      </c>
      <c r="AA164" s="6">
        <v>1880659</v>
      </c>
      <c r="AC164" s="6">
        <v>1308655</v>
      </c>
      <c r="AE164" s="6">
        <v>137119</v>
      </c>
      <c r="AG164" s="11" t="s">
        <v>443</v>
      </c>
      <c r="AH164" s="11"/>
      <c r="AI164" s="11" t="s">
        <v>51</v>
      </c>
      <c r="AJ164" s="11"/>
      <c r="AK164" s="6">
        <v>1112534</v>
      </c>
      <c r="AM164" s="6">
        <v>0</v>
      </c>
      <c r="AO164" s="6">
        <v>479056</v>
      </c>
      <c r="AQ164" s="6">
        <v>250203</v>
      </c>
      <c r="AU164" s="6">
        <v>0</v>
      </c>
      <c r="AW164" s="6">
        <f t="shared" si="18"/>
        <v>21507647</v>
      </c>
      <c r="AY164" s="6">
        <f>+'St of Activites - GA Rev'!AG164-'St of Activities - GA Exp'!AW164</f>
        <v>1625829</v>
      </c>
      <c r="BA164" s="6">
        <v>27409664</v>
      </c>
      <c r="BC164" s="6">
        <f t="shared" si="16"/>
        <v>29035493</v>
      </c>
      <c r="BE164" s="6">
        <f>+'St of Net Assets - GA'!Y164-'St of Activities - GA Exp'!BC164</f>
        <v>0</v>
      </c>
    </row>
    <row r="165" spans="1:57">
      <c r="A165" s="11" t="s">
        <v>249</v>
      </c>
      <c r="B165" s="11"/>
      <c r="C165" s="11" t="s">
        <v>112</v>
      </c>
      <c r="E165" s="6">
        <v>4528453</v>
      </c>
      <c r="G165" s="6">
        <v>2038504</v>
      </c>
      <c r="I165" s="6">
        <v>36692</v>
      </c>
      <c r="K165" s="6">
        <v>0</v>
      </c>
      <c r="M165" s="6">
        <v>0</v>
      </c>
      <c r="O165" s="6">
        <v>605687</v>
      </c>
      <c r="Q165" s="6">
        <v>377530</v>
      </c>
      <c r="S165" s="6">
        <v>28488</v>
      </c>
      <c r="U165" s="6">
        <v>681624</v>
      </c>
      <c r="W165" s="6">
        <v>264452</v>
      </c>
      <c r="Y165" s="6">
        <v>726905</v>
      </c>
      <c r="AA165" s="6">
        <v>1008071</v>
      </c>
      <c r="AC165" s="6">
        <v>749177</v>
      </c>
      <c r="AE165" s="6">
        <v>0</v>
      </c>
      <c r="AG165" s="11" t="s">
        <v>249</v>
      </c>
      <c r="AH165" s="11"/>
      <c r="AI165" s="11" t="s">
        <v>112</v>
      </c>
      <c r="AJ165" s="11"/>
      <c r="AK165" s="6">
        <v>497116</v>
      </c>
      <c r="AM165" s="6">
        <v>1500</v>
      </c>
      <c r="AO165" s="6">
        <v>705103</v>
      </c>
      <c r="AQ165" s="6">
        <v>97349</v>
      </c>
      <c r="AU165" s="6">
        <v>0</v>
      </c>
      <c r="AW165" s="6">
        <f t="shared" si="18"/>
        <v>12346651</v>
      </c>
      <c r="AY165" s="6">
        <f>+'St of Activites - GA Rev'!AG165-'St of Activities - GA Exp'!AW165</f>
        <v>-400697</v>
      </c>
      <c r="BA165" s="6">
        <v>22876426</v>
      </c>
      <c r="BC165" s="6">
        <f t="shared" si="16"/>
        <v>22475729</v>
      </c>
      <c r="BE165" s="6">
        <f>+'St of Net Assets - GA'!Y165-'St of Activities - GA Exp'!BC165</f>
        <v>0</v>
      </c>
    </row>
    <row r="166" spans="1:57">
      <c r="A166" s="11" t="s">
        <v>218</v>
      </c>
      <c r="B166" s="11"/>
      <c r="C166" s="11" t="s">
        <v>77</v>
      </c>
      <c r="E166" s="6">
        <v>6144788</v>
      </c>
      <c r="G166" s="6">
        <v>1407486</v>
      </c>
      <c r="I166" s="6">
        <v>111943</v>
      </c>
      <c r="K166" s="6">
        <v>0</v>
      </c>
      <c r="M166" s="6">
        <v>1263430</v>
      </c>
      <c r="O166" s="6">
        <v>389131</v>
      </c>
      <c r="Q166" s="6">
        <v>1017372</v>
      </c>
      <c r="S166" s="6">
        <v>30762</v>
      </c>
      <c r="U166" s="6">
        <v>1002652</v>
      </c>
      <c r="W166" s="6">
        <v>432840</v>
      </c>
      <c r="Y166" s="6">
        <v>0</v>
      </c>
      <c r="AA166" s="6">
        <v>1051438</v>
      </c>
      <c r="AC166" s="6">
        <v>1162929</v>
      </c>
      <c r="AE166" s="6">
        <v>36540</v>
      </c>
      <c r="AG166" s="11" t="s">
        <v>218</v>
      </c>
      <c r="AH166" s="11"/>
      <c r="AI166" s="11" t="s">
        <v>77</v>
      </c>
      <c r="AJ166" s="11"/>
      <c r="AK166" s="6">
        <v>0</v>
      </c>
      <c r="AM166" s="6">
        <v>609854</v>
      </c>
      <c r="AO166" s="6">
        <v>210799</v>
      </c>
      <c r="AQ166" s="6">
        <v>381608</v>
      </c>
      <c r="AU166" s="6">
        <v>0</v>
      </c>
      <c r="AW166" s="6">
        <f t="shared" si="18"/>
        <v>15253572</v>
      </c>
      <c r="AY166" s="6">
        <f>+'St of Activites - GA Rev'!AG166-'St of Activities - GA Exp'!AW166</f>
        <v>-4435804</v>
      </c>
      <c r="BA166" s="6">
        <v>44619178</v>
      </c>
      <c r="BC166" s="6">
        <f t="shared" si="16"/>
        <v>40183374</v>
      </c>
      <c r="BE166" s="6">
        <f>+'St of Net Assets - GA'!Y166-'St of Activities - GA Exp'!BC166</f>
        <v>0</v>
      </c>
    </row>
    <row r="167" spans="1:57">
      <c r="A167" s="11" t="s">
        <v>218</v>
      </c>
      <c r="B167" s="11"/>
      <c r="C167" s="11" t="s">
        <v>420</v>
      </c>
      <c r="E167" s="6">
        <v>4028563</v>
      </c>
      <c r="G167" s="6">
        <v>767382</v>
      </c>
      <c r="I167" s="6">
        <v>0</v>
      </c>
      <c r="K167" s="6">
        <v>0</v>
      </c>
      <c r="M167" s="6">
        <v>70</v>
      </c>
      <c r="O167" s="6">
        <v>487328</v>
      </c>
      <c r="Q167" s="6">
        <v>362769</v>
      </c>
      <c r="S167" s="6">
        <v>39463</v>
      </c>
      <c r="U167" s="6">
        <v>473355</v>
      </c>
      <c r="W167" s="6">
        <v>244921</v>
      </c>
      <c r="Y167" s="6">
        <v>0</v>
      </c>
      <c r="AA167" s="6">
        <v>827049</v>
      </c>
      <c r="AC167" s="6">
        <v>628567</v>
      </c>
      <c r="AE167" s="6">
        <v>97327</v>
      </c>
      <c r="AG167" s="11" t="s">
        <v>218</v>
      </c>
      <c r="AH167" s="11"/>
      <c r="AI167" s="11" t="s">
        <v>420</v>
      </c>
      <c r="AJ167" s="11"/>
      <c r="AK167" s="6">
        <v>0</v>
      </c>
      <c r="AM167" s="6">
        <v>377282</v>
      </c>
      <c r="AO167" s="6">
        <v>249939</v>
      </c>
      <c r="AQ167" s="6">
        <v>42144</v>
      </c>
      <c r="AU167" s="6">
        <v>0</v>
      </c>
      <c r="AW167" s="6">
        <f t="shared" si="18"/>
        <v>8626159</v>
      </c>
      <c r="AY167" s="6">
        <f>+'St of Activites - GA Rev'!AG167-'St of Activities - GA Exp'!AW167</f>
        <v>740191</v>
      </c>
      <c r="BA167" s="6">
        <v>8523871</v>
      </c>
      <c r="BC167" s="6">
        <f t="shared" si="16"/>
        <v>9264062</v>
      </c>
      <c r="BE167" s="6">
        <f>+'St of Net Assets - GA'!Y167-'St of Activities - GA Exp'!BC167</f>
        <v>0</v>
      </c>
    </row>
    <row r="168" spans="1:57" ht="12" hidden="1" customHeight="1">
      <c r="A168" s="11" t="s">
        <v>660</v>
      </c>
      <c r="B168" s="11"/>
      <c r="C168" s="11" t="s">
        <v>55</v>
      </c>
      <c r="AG168" s="11" t="s">
        <v>660</v>
      </c>
      <c r="AH168" s="11"/>
      <c r="AI168" s="11" t="s">
        <v>55</v>
      </c>
      <c r="AJ168" s="11"/>
      <c r="AW168" s="6">
        <f t="shared" si="18"/>
        <v>0</v>
      </c>
      <c r="AY168" s="6">
        <f>+'St of Activites - GA Rev'!AG168-'St of Activities - GA Exp'!AW168</f>
        <v>0</v>
      </c>
      <c r="BC168" s="6">
        <f t="shared" si="16"/>
        <v>0</v>
      </c>
      <c r="BE168" s="6">
        <f>+'St of Net Assets - GA'!Y168-'St of Activities - GA Exp'!BC168</f>
        <v>0</v>
      </c>
    </row>
    <row r="169" spans="1:57">
      <c r="A169" s="11" t="s">
        <v>555</v>
      </c>
      <c r="B169" s="11"/>
      <c r="C169" s="11" t="s">
        <v>72</v>
      </c>
      <c r="E169" s="6">
        <v>7260792</v>
      </c>
      <c r="G169" s="6">
        <v>1405694</v>
      </c>
      <c r="I169" s="6">
        <v>100992</v>
      </c>
      <c r="K169" s="6">
        <v>7</v>
      </c>
      <c r="M169" s="6">
        <v>0</v>
      </c>
      <c r="O169" s="6">
        <v>394746</v>
      </c>
      <c r="Q169" s="6">
        <v>499989</v>
      </c>
      <c r="S169" s="6">
        <v>71408</v>
      </c>
      <c r="U169" s="6">
        <v>1213436</v>
      </c>
      <c r="W169" s="6">
        <v>754970</v>
      </c>
      <c r="Y169" s="6">
        <v>7</v>
      </c>
      <c r="AA169" s="6">
        <v>1641692</v>
      </c>
      <c r="AC169" s="6">
        <v>1024209</v>
      </c>
      <c r="AE169" s="6">
        <v>185</v>
      </c>
      <c r="AG169" s="11" t="s">
        <v>555</v>
      </c>
      <c r="AH169" s="11"/>
      <c r="AI169" s="11" t="s">
        <v>72</v>
      </c>
      <c r="AJ169" s="11"/>
      <c r="AK169" s="6">
        <v>0</v>
      </c>
      <c r="AM169" s="6">
        <v>741485</v>
      </c>
      <c r="AO169" s="6">
        <v>703959</v>
      </c>
      <c r="AQ169" s="6">
        <v>150145</v>
      </c>
      <c r="AU169" s="6">
        <v>0</v>
      </c>
      <c r="AW169" s="6">
        <f t="shared" si="18"/>
        <v>15963716</v>
      </c>
      <c r="AY169" s="6">
        <f>+'St of Activites - GA Rev'!AG169-'St of Activities - GA Exp'!AW169</f>
        <v>1848740</v>
      </c>
      <c r="BA169" s="6">
        <v>7392268</v>
      </c>
      <c r="BC169" s="6">
        <f t="shared" si="16"/>
        <v>9241008</v>
      </c>
      <c r="BE169" s="6">
        <f>+'St of Net Assets - GA'!Y169-'St of Activities - GA Exp'!BC169</f>
        <v>0</v>
      </c>
    </row>
    <row r="170" spans="1:57" hidden="1">
      <c r="A170" s="10" t="s">
        <v>870</v>
      </c>
      <c r="B170" s="11"/>
      <c r="C170" s="11" t="s">
        <v>57</v>
      </c>
      <c r="E170" s="6">
        <v>0</v>
      </c>
      <c r="G170" s="6">
        <v>0</v>
      </c>
      <c r="I170" s="6">
        <v>0</v>
      </c>
      <c r="K170" s="6">
        <v>0</v>
      </c>
      <c r="M170" s="6">
        <v>0</v>
      </c>
      <c r="O170" s="6">
        <v>0</v>
      </c>
      <c r="Q170" s="6">
        <v>0</v>
      </c>
      <c r="S170" s="6">
        <v>0</v>
      </c>
      <c r="U170" s="6">
        <v>0</v>
      </c>
      <c r="W170" s="6">
        <v>0</v>
      </c>
      <c r="Y170" s="6">
        <v>0</v>
      </c>
      <c r="AA170" s="6">
        <v>0</v>
      </c>
      <c r="AC170" s="6">
        <v>0</v>
      </c>
      <c r="AE170" s="6">
        <v>0</v>
      </c>
      <c r="AG170" s="10" t="s">
        <v>870</v>
      </c>
      <c r="AH170" s="11"/>
      <c r="AI170" s="11" t="s">
        <v>57</v>
      </c>
      <c r="AJ170" s="11"/>
      <c r="AK170" s="6">
        <v>0</v>
      </c>
      <c r="AM170" s="6">
        <v>0</v>
      </c>
      <c r="AO170" s="6">
        <v>0</v>
      </c>
      <c r="AQ170" s="6">
        <v>0</v>
      </c>
      <c r="AU170" s="6">
        <v>0</v>
      </c>
      <c r="AW170" s="6">
        <f t="shared" si="18"/>
        <v>0</v>
      </c>
      <c r="AY170" s="6">
        <f>+'St of Activites - GA Rev'!AG170-'St of Activities - GA Exp'!AW170</f>
        <v>0</v>
      </c>
      <c r="BC170" s="6">
        <f t="shared" si="16"/>
        <v>0</v>
      </c>
      <c r="BE170" s="6">
        <f>+'St of Net Assets - GA'!Y170-'St of Activities - GA Exp'!BC170</f>
        <v>0</v>
      </c>
    </row>
    <row r="171" spans="1:57" hidden="1">
      <c r="A171" s="11" t="s">
        <v>661</v>
      </c>
      <c r="B171" s="11"/>
      <c r="C171" s="11" t="s">
        <v>552</v>
      </c>
      <c r="AG171" s="11" t="s">
        <v>661</v>
      </c>
      <c r="AH171" s="11"/>
      <c r="AI171" s="11" t="s">
        <v>552</v>
      </c>
      <c r="AJ171" s="11"/>
      <c r="AW171" s="6">
        <f t="shared" si="18"/>
        <v>0</v>
      </c>
      <c r="AY171" s="6">
        <f>+'St of Activites - GA Rev'!AG171-'St of Activities - GA Exp'!AW171</f>
        <v>0</v>
      </c>
      <c r="BC171" s="6">
        <f t="shared" si="16"/>
        <v>0</v>
      </c>
      <c r="BE171" s="6">
        <f>+'St of Net Assets - GA'!Y171-'St of Activities - GA Exp'!BC171</f>
        <v>0</v>
      </c>
    </row>
    <row r="172" spans="1:57" ht="12" customHeight="1">
      <c r="A172" s="11" t="s">
        <v>662</v>
      </c>
      <c r="B172" s="11"/>
      <c r="C172" s="11" t="s">
        <v>221</v>
      </c>
      <c r="E172" s="6">
        <v>14883397</v>
      </c>
      <c r="G172" s="6">
        <v>4083842</v>
      </c>
      <c r="I172" s="6">
        <v>0</v>
      </c>
      <c r="K172" s="6">
        <v>0</v>
      </c>
      <c r="M172" s="6">
        <v>53587</v>
      </c>
      <c r="O172" s="6">
        <v>2274157</v>
      </c>
      <c r="Q172" s="6">
        <v>3124104</v>
      </c>
      <c r="S172" s="6">
        <v>142585</v>
      </c>
      <c r="U172" s="6">
        <v>1451551</v>
      </c>
      <c r="W172" s="6">
        <v>748942</v>
      </c>
      <c r="Y172" s="6">
        <v>21166</v>
      </c>
      <c r="AA172" s="6">
        <v>2555398</v>
      </c>
      <c r="AC172" s="6">
        <v>1400912</v>
      </c>
      <c r="AE172" s="6">
        <v>236946</v>
      </c>
      <c r="AG172" s="11" t="s">
        <v>662</v>
      </c>
      <c r="AH172" s="11"/>
      <c r="AI172" s="11" t="s">
        <v>221</v>
      </c>
      <c r="AJ172" s="11"/>
      <c r="AK172" s="6">
        <v>1415746</v>
      </c>
      <c r="AM172" s="6">
        <v>23732</v>
      </c>
      <c r="AO172" s="6">
        <v>655484</v>
      </c>
      <c r="AQ172" s="6">
        <v>2773264</v>
      </c>
      <c r="AU172" s="6">
        <v>0</v>
      </c>
      <c r="AW172" s="6">
        <f t="shared" si="18"/>
        <v>35844813</v>
      </c>
      <c r="AY172" s="6">
        <f>+'St of Activites - GA Rev'!AG172-'St of Activities - GA Exp'!AW172</f>
        <v>904364</v>
      </c>
      <c r="BA172" s="6">
        <v>30671012</v>
      </c>
      <c r="BC172" s="6">
        <f t="shared" si="16"/>
        <v>31575376</v>
      </c>
      <c r="BE172" s="6">
        <f>+'St of Net Assets - GA'!Y172-'St of Activities - GA Exp'!BC172</f>
        <v>0</v>
      </c>
    </row>
    <row r="173" spans="1:57">
      <c r="A173" s="11" t="s">
        <v>362</v>
      </c>
      <c r="B173" s="11"/>
      <c r="C173" s="11" t="s">
        <v>24</v>
      </c>
      <c r="E173" s="6">
        <v>7137541</v>
      </c>
      <c r="G173" s="6">
        <v>2326034</v>
      </c>
      <c r="I173" s="6">
        <v>83155</v>
      </c>
      <c r="K173" s="6">
        <v>0</v>
      </c>
      <c r="M173" s="6">
        <v>880435</v>
      </c>
      <c r="O173" s="6">
        <v>444410</v>
      </c>
      <c r="Q173" s="6">
        <v>788171</v>
      </c>
      <c r="S173" s="6">
        <v>45734</v>
      </c>
      <c r="U173" s="6">
        <v>1158618</v>
      </c>
      <c r="W173" s="6">
        <v>350038</v>
      </c>
      <c r="Y173" s="6">
        <v>0</v>
      </c>
      <c r="AA173" s="6">
        <v>1080747</v>
      </c>
      <c r="AC173" s="6">
        <v>992300</v>
      </c>
      <c r="AE173" s="6">
        <v>176724</v>
      </c>
      <c r="AG173" s="11" t="s">
        <v>362</v>
      </c>
      <c r="AH173" s="11"/>
      <c r="AI173" s="11" t="s">
        <v>24</v>
      </c>
      <c r="AJ173" s="11"/>
      <c r="AK173" s="6">
        <v>680326</v>
      </c>
      <c r="AM173" s="6">
        <v>121106</v>
      </c>
      <c r="AO173" s="6">
        <v>609578</v>
      </c>
      <c r="AQ173" s="6">
        <v>5468</v>
      </c>
      <c r="AU173" s="6">
        <v>0</v>
      </c>
      <c r="AW173" s="6">
        <f t="shared" ref="AW173" si="19">SUM(E173:AV173)</f>
        <v>16880385</v>
      </c>
      <c r="AY173" s="6">
        <f>+'St of Activites - GA Rev'!AG173-'St of Activities - GA Exp'!AW173</f>
        <v>-1124446</v>
      </c>
      <c r="BA173" s="6">
        <v>9676386</v>
      </c>
      <c r="BC173" s="6">
        <f t="shared" ref="BC173" si="20">+AY173+BA173</f>
        <v>8551940</v>
      </c>
      <c r="BE173" s="6">
        <f>+'St of Net Assets - GA'!Y173-'St of Activities - GA Exp'!BC173</f>
        <v>0</v>
      </c>
    </row>
    <row r="174" spans="1:57">
      <c r="A174" s="11" t="s">
        <v>362</v>
      </c>
      <c r="B174" s="11"/>
      <c r="C174" s="11" t="s">
        <v>39</v>
      </c>
      <c r="E174" s="6">
        <v>7619666</v>
      </c>
      <c r="G174" s="6">
        <v>1851466</v>
      </c>
      <c r="I174" s="6">
        <v>97523</v>
      </c>
      <c r="K174" s="6">
        <v>5000</v>
      </c>
      <c r="M174" s="6">
        <v>2654783</v>
      </c>
      <c r="O174" s="6">
        <v>918878</v>
      </c>
      <c r="Q174" s="6">
        <v>1131175</v>
      </c>
      <c r="S174" s="6">
        <v>155426</v>
      </c>
      <c r="U174" s="6">
        <v>1614821</v>
      </c>
      <c r="W174" s="6">
        <v>509944</v>
      </c>
      <c r="Y174" s="6">
        <v>111846</v>
      </c>
      <c r="AA174" s="6">
        <v>1425139</v>
      </c>
      <c r="AC174" s="6">
        <v>1842837</v>
      </c>
      <c r="AE174" s="6">
        <v>243656</v>
      </c>
      <c r="AG174" s="11" t="s">
        <v>362</v>
      </c>
      <c r="AH174" s="11"/>
      <c r="AI174" s="11" t="s">
        <v>39</v>
      </c>
      <c r="AJ174" s="11"/>
      <c r="AK174" s="6">
        <v>879687</v>
      </c>
      <c r="AM174" s="6">
        <v>2023</v>
      </c>
      <c r="AO174" s="6">
        <v>354341</v>
      </c>
      <c r="AQ174" s="6">
        <v>13313</v>
      </c>
      <c r="AU174" s="6">
        <v>0</v>
      </c>
      <c r="AW174" s="6">
        <f t="shared" si="18"/>
        <v>21431524</v>
      </c>
      <c r="AY174" s="6">
        <f>+'St of Activites - GA Rev'!AG174-'St of Activities - GA Exp'!AW174</f>
        <v>-1016607</v>
      </c>
      <c r="BA174" s="6">
        <v>3984510</v>
      </c>
      <c r="BC174" s="6">
        <f t="shared" si="16"/>
        <v>2967903</v>
      </c>
      <c r="BE174" s="6">
        <f>+'St of Net Assets - GA'!Y174-'St of Activities - GA Exp'!BC174</f>
        <v>0</v>
      </c>
    </row>
    <row r="175" spans="1:57" hidden="1">
      <c r="A175" s="11" t="s">
        <v>871</v>
      </c>
      <c r="B175" s="11"/>
      <c r="C175" s="11" t="s">
        <v>552</v>
      </c>
      <c r="AG175" s="11" t="s">
        <v>871</v>
      </c>
      <c r="AH175" s="11"/>
      <c r="AI175" s="11" t="s">
        <v>552</v>
      </c>
      <c r="AJ175" s="11"/>
      <c r="AW175" s="6">
        <f t="shared" si="18"/>
        <v>0</v>
      </c>
      <c r="AY175" s="6">
        <f>+'St of Activites - GA Rev'!AG175-'St of Activities - GA Exp'!AW175</f>
        <v>0</v>
      </c>
      <c r="BC175" s="6">
        <f t="shared" si="16"/>
        <v>0</v>
      </c>
      <c r="BE175" s="6">
        <f>+'St of Net Assets - GA'!Y175-'St of Activities - GA Exp'!BC175</f>
        <v>0</v>
      </c>
    </row>
    <row r="176" spans="1:57">
      <c r="A176" s="11" t="s">
        <v>677</v>
      </c>
      <c r="B176" s="11"/>
      <c r="C176" s="11" t="s">
        <v>46</v>
      </c>
      <c r="E176" s="6">
        <v>6044318</v>
      </c>
      <c r="G176" s="6">
        <v>1436736</v>
      </c>
      <c r="I176" s="6">
        <v>112161</v>
      </c>
      <c r="K176" s="6">
        <v>0</v>
      </c>
      <c r="M176" s="6">
        <v>0</v>
      </c>
      <c r="O176" s="6">
        <v>778678</v>
      </c>
      <c r="Q176" s="6">
        <v>219611</v>
      </c>
      <c r="S176" s="6">
        <v>46425</v>
      </c>
      <c r="U176" s="6">
        <v>1037100</v>
      </c>
      <c r="W176" s="6">
        <v>470928</v>
      </c>
      <c r="Y176" s="6">
        <v>0</v>
      </c>
      <c r="AA176" s="6">
        <v>955534</v>
      </c>
      <c r="AC176" s="6">
        <v>829837</v>
      </c>
      <c r="AE176" s="6">
        <v>8080</v>
      </c>
      <c r="AG176" s="11" t="s">
        <v>677</v>
      </c>
      <c r="AH176" s="11"/>
      <c r="AI176" s="11" t="s">
        <v>46</v>
      </c>
      <c r="AJ176" s="11"/>
      <c r="AK176" s="6">
        <v>0</v>
      </c>
      <c r="AM176" s="6">
        <v>594477</v>
      </c>
      <c r="AO176" s="6">
        <v>353027</v>
      </c>
      <c r="AQ176" s="6">
        <v>903819</v>
      </c>
      <c r="AU176" s="6">
        <v>0</v>
      </c>
      <c r="AW176" s="6">
        <f t="shared" ref="AW176" si="21">SUM(E176:AV176)</f>
        <v>13790731</v>
      </c>
      <c r="AY176" s="6">
        <f>+'St of Activites - GA Rev'!AG176-'St of Activities - GA Exp'!AW176</f>
        <v>1961535</v>
      </c>
      <c r="BA176" s="6">
        <v>27275822</v>
      </c>
      <c r="BC176" s="6">
        <f t="shared" ref="BC176" si="22">+AY176+BA176</f>
        <v>29237357</v>
      </c>
      <c r="BE176" s="6">
        <f>+'St of Net Assets - GA'!Y176-'St of Activities - GA Exp'!BC176</f>
        <v>0</v>
      </c>
    </row>
    <row r="177" spans="1:57" hidden="1">
      <c r="A177" s="11" t="s">
        <v>663</v>
      </c>
      <c r="B177" s="11"/>
      <c r="C177" s="11" t="s">
        <v>10</v>
      </c>
      <c r="AG177" s="11" t="s">
        <v>663</v>
      </c>
      <c r="AH177" s="11"/>
      <c r="AI177" s="11" t="s">
        <v>10</v>
      </c>
      <c r="AJ177" s="11"/>
      <c r="AW177" s="6">
        <f t="shared" si="18"/>
        <v>0</v>
      </c>
      <c r="AY177" s="6">
        <f>+'St of Activites - GA Rev'!AG177-'St of Activities - GA Exp'!AW177</f>
        <v>0</v>
      </c>
      <c r="BC177" s="6">
        <f t="shared" si="16"/>
        <v>0</v>
      </c>
      <c r="BE177" s="6">
        <f>+'St of Net Assets - GA'!Y177-'St of Activities - GA Exp'!BC177</f>
        <v>0</v>
      </c>
    </row>
    <row r="178" spans="1:57" hidden="1">
      <c r="A178" s="11" t="s">
        <v>692</v>
      </c>
      <c r="B178" s="11"/>
      <c r="C178" s="11" t="s">
        <v>72</v>
      </c>
      <c r="AG178" s="11" t="s">
        <v>692</v>
      </c>
      <c r="AH178" s="11"/>
      <c r="AI178" s="11" t="s">
        <v>72</v>
      </c>
      <c r="AJ178" s="11"/>
      <c r="AW178" s="6">
        <f t="shared" si="18"/>
        <v>0</v>
      </c>
      <c r="AY178" s="6">
        <f>+'St of Activites - GA Rev'!AG178-'St of Activities - GA Exp'!AW178</f>
        <v>0</v>
      </c>
      <c r="BC178" s="6">
        <f t="shared" si="16"/>
        <v>0</v>
      </c>
      <c r="BE178" s="6">
        <f>+'St of Net Assets - GA'!Y178-'St of Activities - GA Exp'!BC178</f>
        <v>0</v>
      </c>
    </row>
    <row r="179" spans="1:57">
      <c r="A179" s="11" t="s">
        <v>384</v>
      </c>
      <c r="B179" s="11"/>
      <c r="C179" s="11" t="s">
        <v>44</v>
      </c>
      <c r="E179" s="6">
        <v>31558545</v>
      </c>
      <c r="G179" s="6">
        <v>9971233</v>
      </c>
      <c r="I179" s="6">
        <v>271168</v>
      </c>
      <c r="K179" s="6">
        <v>0</v>
      </c>
      <c r="M179" s="6">
        <f>391685+9264416</f>
        <v>9656101</v>
      </c>
      <c r="O179" s="6">
        <v>4008503</v>
      </c>
      <c r="Q179" s="6">
        <v>4596716</v>
      </c>
      <c r="S179" s="6">
        <v>38553</v>
      </c>
      <c r="U179" s="6">
        <v>5134013</v>
      </c>
      <c r="W179" s="6">
        <v>1694615</v>
      </c>
      <c r="Y179" s="6">
        <v>616011</v>
      </c>
      <c r="AA179" s="6">
        <v>6185693</v>
      </c>
      <c r="AC179" s="6">
        <v>3818599</v>
      </c>
      <c r="AE179" s="6">
        <v>1538268</v>
      </c>
      <c r="AG179" s="11" t="s">
        <v>384</v>
      </c>
      <c r="AH179" s="11"/>
      <c r="AI179" s="11" t="s">
        <v>44</v>
      </c>
      <c r="AJ179" s="11"/>
      <c r="AK179" s="6">
        <v>0</v>
      </c>
      <c r="AM179" s="6">
        <v>1608596</v>
      </c>
      <c r="AO179" s="6">
        <v>1436361</v>
      </c>
      <c r="AQ179" s="6">
        <v>2469247</v>
      </c>
      <c r="AU179" s="6">
        <v>0</v>
      </c>
      <c r="AW179" s="6">
        <f t="shared" si="18"/>
        <v>84602222</v>
      </c>
      <c r="AY179" s="6">
        <f>+'St of Activites - GA Rev'!AG179-'St of Activities - GA Exp'!AW179</f>
        <v>948270</v>
      </c>
      <c r="BA179" s="6">
        <v>32014590</v>
      </c>
      <c r="BC179" s="6">
        <f t="shared" si="16"/>
        <v>32962860</v>
      </c>
      <c r="BE179" s="6">
        <f>+'St of Net Assets - GA'!Y179-'St of Activities - GA Exp'!BC179</f>
        <v>0</v>
      </c>
    </row>
    <row r="180" spans="1:57">
      <c r="A180" s="11" t="s">
        <v>267</v>
      </c>
      <c r="B180" s="11"/>
      <c r="C180" s="11" t="s">
        <v>20</v>
      </c>
      <c r="E180" s="6">
        <v>25933517</v>
      </c>
      <c r="G180" s="6">
        <v>15583365</v>
      </c>
      <c r="I180" s="6">
        <v>1311831</v>
      </c>
      <c r="K180" s="6">
        <v>152170</v>
      </c>
      <c r="M180" s="6">
        <v>12978</v>
      </c>
      <c r="O180" s="6">
        <v>4493068</v>
      </c>
      <c r="Q180" s="6">
        <v>5288715</v>
      </c>
      <c r="S180" s="6">
        <v>205005</v>
      </c>
      <c r="U180" s="6">
        <v>4779028</v>
      </c>
      <c r="W180" s="6">
        <v>1904032</v>
      </c>
      <c r="Y180" s="6">
        <v>616646</v>
      </c>
      <c r="AA180" s="6">
        <v>7099301</v>
      </c>
      <c r="AC180" s="6">
        <v>4959507</v>
      </c>
      <c r="AE180" s="6">
        <v>1637045</v>
      </c>
      <c r="AG180" s="11" t="s">
        <v>267</v>
      </c>
      <c r="AH180" s="11"/>
      <c r="AI180" s="11" t="s">
        <v>20</v>
      </c>
      <c r="AJ180" s="11"/>
      <c r="AK180" s="6">
        <v>0</v>
      </c>
      <c r="AM180" s="6">
        <v>815280</v>
      </c>
      <c r="AO180" s="6">
        <v>1099554</v>
      </c>
      <c r="AQ180" s="6">
        <v>2045555</v>
      </c>
      <c r="AU180" s="6">
        <v>0</v>
      </c>
      <c r="AW180" s="6">
        <f t="shared" ref="AW180:AW247" si="23">SUM(E180:AV180)</f>
        <v>77936597</v>
      </c>
      <c r="AY180" s="6">
        <f>+'St of Activites - GA Rev'!AG180-'St of Activities - GA Exp'!AW180</f>
        <v>766011</v>
      </c>
      <c r="BA180" s="6">
        <v>64206662</v>
      </c>
      <c r="BC180" s="6">
        <f t="shared" ref="BC180:BC248" si="24">+AY180+BA180</f>
        <v>64972673</v>
      </c>
      <c r="BE180" s="6">
        <f>+'St of Net Assets - GA'!Y180-'St of Activities - GA Exp'!BC180</f>
        <v>0</v>
      </c>
    </row>
    <row r="181" spans="1:57" ht="12" hidden="1" customHeight="1">
      <c r="A181" s="11" t="s">
        <v>619</v>
      </c>
      <c r="B181" s="11"/>
      <c r="C181" s="11" t="s">
        <v>28</v>
      </c>
      <c r="AG181" s="11" t="s">
        <v>619</v>
      </c>
      <c r="AH181" s="11"/>
      <c r="AI181" s="11" t="s">
        <v>28</v>
      </c>
      <c r="AJ181" s="11"/>
      <c r="AW181" s="6">
        <f t="shared" si="23"/>
        <v>0</v>
      </c>
      <c r="AY181" s="6">
        <f>+'St of Activites - GA Rev'!AG181-'St of Activities - GA Exp'!AW181</f>
        <v>0</v>
      </c>
      <c r="BC181" s="6">
        <f t="shared" si="24"/>
        <v>0</v>
      </c>
      <c r="BE181" s="6">
        <f>+'St of Net Assets - GA'!Y181-'St of Activities - GA Exp'!BC181</f>
        <v>0</v>
      </c>
    </row>
    <row r="182" spans="1:57">
      <c r="A182" s="11" t="s">
        <v>539</v>
      </c>
      <c r="B182" s="11"/>
      <c r="C182" s="11" t="s">
        <v>66</v>
      </c>
      <c r="E182" s="6">
        <v>4839952</v>
      </c>
      <c r="G182" s="6">
        <v>981733</v>
      </c>
      <c r="I182" s="6">
        <v>11693</v>
      </c>
      <c r="K182" s="6">
        <v>0</v>
      </c>
      <c r="M182" s="6">
        <v>80740</v>
      </c>
      <c r="O182" s="6">
        <v>714719</v>
      </c>
      <c r="Q182" s="6">
        <v>391594</v>
      </c>
      <c r="S182" s="6">
        <v>57217</v>
      </c>
      <c r="U182" s="6">
        <v>817157</v>
      </c>
      <c r="W182" s="6">
        <v>426983</v>
      </c>
      <c r="Y182" s="6">
        <v>0</v>
      </c>
      <c r="AA182" s="6">
        <v>1018540</v>
      </c>
      <c r="AC182" s="6">
        <v>614787</v>
      </c>
      <c r="AE182" s="6">
        <v>0</v>
      </c>
      <c r="AG182" s="11" t="s">
        <v>539</v>
      </c>
      <c r="AH182" s="11"/>
      <c r="AI182" s="11" t="s">
        <v>66</v>
      </c>
      <c r="AJ182" s="11"/>
      <c r="AK182" s="6">
        <v>322805</v>
      </c>
      <c r="AM182" s="6">
        <v>182959</v>
      </c>
      <c r="AO182" s="6">
        <v>291133</v>
      </c>
      <c r="AQ182" s="6">
        <v>552850</v>
      </c>
      <c r="AU182" s="6">
        <v>0</v>
      </c>
      <c r="AW182" s="6">
        <f t="shared" si="23"/>
        <v>11304862</v>
      </c>
      <c r="AY182" s="6">
        <f>+'St of Activites - GA Rev'!AG182-'St of Activities - GA Exp'!AW182</f>
        <v>1082947</v>
      </c>
      <c r="BA182" s="6">
        <v>7819027</v>
      </c>
      <c r="BC182" s="6">
        <f t="shared" si="24"/>
        <v>8901974</v>
      </c>
      <c r="BE182" s="6">
        <f>+'St of Net Assets - GA'!Y182-'St of Activities - GA Exp'!BC182</f>
        <v>0</v>
      </c>
    </row>
    <row r="183" spans="1:57">
      <c r="A183" s="11" t="s">
        <v>626</v>
      </c>
      <c r="B183" s="11"/>
      <c r="C183" s="11" t="s">
        <v>114</v>
      </c>
      <c r="E183" s="6">
        <v>18664716</v>
      </c>
      <c r="G183" s="6">
        <v>7412089</v>
      </c>
      <c r="I183" s="6">
        <v>0</v>
      </c>
      <c r="K183" s="6">
        <v>0</v>
      </c>
      <c r="M183" s="6">
        <v>2743893</v>
      </c>
      <c r="O183" s="6">
        <v>2681951</v>
      </c>
      <c r="Q183" s="6">
        <v>2176997</v>
      </c>
      <c r="S183" s="6">
        <v>50486</v>
      </c>
      <c r="U183" s="6">
        <v>3257389</v>
      </c>
      <c r="W183" s="6">
        <v>837236</v>
      </c>
      <c r="Y183" s="6">
        <v>245617</v>
      </c>
      <c r="AA183" s="6">
        <v>3788308</v>
      </c>
      <c r="AC183" s="6">
        <v>2812606</v>
      </c>
      <c r="AE183" s="6">
        <v>443363</v>
      </c>
      <c r="AG183" s="11" t="s">
        <v>626</v>
      </c>
      <c r="AH183" s="11"/>
      <c r="AI183" s="11" t="s">
        <v>114</v>
      </c>
      <c r="AJ183" s="11"/>
      <c r="AK183" s="6">
        <v>0</v>
      </c>
      <c r="AM183" s="6">
        <v>1836826</v>
      </c>
      <c r="AO183" s="6">
        <v>816457</v>
      </c>
      <c r="AQ183" s="6">
        <v>885831</v>
      </c>
      <c r="AU183" s="6">
        <v>0</v>
      </c>
      <c r="AW183" s="6">
        <f t="shared" si="23"/>
        <v>48653765</v>
      </c>
      <c r="AY183" s="6">
        <f>+'St of Activites - GA Rev'!AG183-'St of Activities - GA Exp'!AW183</f>
        <v>139857</v>
      </c>
      <c r="BA183" s="6">
        <v>314072</v>
      </c>
      <c r="BC183" s="6">
        <f t="shared" si="24"/>
        <v>453929</v>
      </c>
      <c r="BE183" s="6">
        <f>+'St of Net Assets - GA'!Y183-'St of Activities - GA Exp'!BC183</f>
        <v>0</v>
      </c>
    </row>
    <row r="184" spans="1:57">
      <c r="A184" s="11" t="s">
        <v>222</v>
      </c>
      <c r="B184" s="11"/>
      <c r="C184" s="11" t="s">
        <v>221</v>
      </c>
      <c r="E184" s="6">
        <v>35016190</v>
      </c>
      <c r="G184" s="6">
        <v>11296898</v>
      </c>
      <c r="I184" s="6">
        <v>291348</v>
      </c>
      <c r="K184" s="6">
        <v>0</v>
      </c>
      <c r="M184" s="6">
        <v>2618443</v>
      </c>
      <c r="O184" s="6">
        <v>4005588</v>
      </c>
      <c r="Q184" s="6">
        <v>5789011</v>
      </c>
      <c r="S184" s="6">
        <v>17982</v>
      </c>
      <c r="U184" s="6">
        <v>6387512</v>
      </c>
      <c r="W184" s="6">
        <v>1296228</v>
      </c>
      <c r="Y184" s="6">
        <v>247023</v>
      </c>
      <c r="AA184" s="6">
        <v>4925127</v>
      </c>
      <c r="AC184" s="6">
        <v>6252422</v>
      </c>
      <c r="AE184" s="6">
        <v>131611</v>
      </c>
      <c r="AG184" s="11" t="s">
        <v>222</v>
      </c>
      <c r="AH184" s="11"/>
      <c r="AI184" s="11" t="s">
        <v>221</v>
      </c>
      <c r="AJ184" s="11"/>
      <c r="AK184" s="6">
        <v>0</v>
      </c>
      <c r="AM184" s="6">
        <v>5117312</v>
      </c>
      <c r="AO184" s="6">
        <v>1573111</v>
      </c>
      <c r="AQ184" s="6">
        <v>2026033</v>
      </c>
      <c r="AU184" s="6">
        <v>0</v>
      </c>
      <c r="AW184" s="6">
        <f t="shared" si="23"/>
        <v>86991839</v>
      </c>
      <c r="AY184" s="6">
        <f>+'St of Activites - GA Rev'!AG184-'St of Activities - GA Exp'!AW184</f>
        <v>2822878</v>
      </c>
      <c r="BA184" s="6">
        <v>29437939</v>
      </c>
      <c r="BC184" s="6">
        <f t="shared" si="24"/>
        <v>32260817</v>
      </c>
      <c r="BE184" s="6">
        <f>+'St of Net Assets - GA'!Y184-'St of Activities - GA Exp'!BC184</f>
        <v>0</v>
      </c>
    </row>
    <row r="185" spans="1:57">
      <c r="A185" s="11" t="s">
        <v>349</v>
      </c>
      <c r="B185" s="11"/>
      <c r="C185" s="11" t="s">
        <v>348</v>
      </c>
      <c r="E185" s="6">
        <v>3973318</v>
      </c>
      <c r="G185" s="6">
        <v>614301</v>
      </c>
      <c r="I185" s="6">
        <v>176510</v>
      </c>
      <c r="K185" s="6">
        <v>0</v>
      </c>
      <c r="M185" s="6">
        <v>5636</v>
      </c>
      <c r="O185" s="6">
        <v>265182</v>
      </c>
      <c r="Q185" s="6">
        <v>563536</v>
      </c>
      <c r="S185" s="6">
        <v>36605</v>
      </c>
      <c r="U185" s="6">
        <v>684321</v>
      </c>
      <c r="W185" s="6">
        <v>339542</v>
      </c>
      <c r="Y185" s="6">
        <v>168057</v>
      </c>
      <c r="AA185" s="6">
        <v>699950</v>
      </c>
      <c r="AC185" s="6">
        <v>507765</v>
      </c>
      <c r="AE185" s="6">
        <v>142906</v>
      </c>
      <c r="AG185" s="11" t="s">
        <v>349</v>
      </c>
      <c r="AH185" s="11"/>
      <c r="AI185" s="11" t="s">
        <v>348</v>
      </c>
      <c r="AJ185" s="11"/>
      <c r="AK185" s="6">
        <v>396848</v>
      </c>
      <c r="AM185" s="6">
        <v>3907</v>
      </c>
      <c r="AO185" s="6">
        <v>170383</v>
      </c>
      <c r="AQ185" s="6">
        <v>82413</v>
      </c>
      <c r="AU185" s="6">
        <v>0</v>
      </c>
      <c r="AW185" s="6">
        <f t="shared" si="23"/>
        <v>8831180</v>
      </c>
      <c r="AY185" s="6">
        <f>+'St of Activites - GA Rev'!AG185-'St of Activities - GA Exp'!AW185</f>
        <v>-136369</v>
      </c>
      <c r="BA185" s="6">
        <v>14912412</v>
      </c>
      <c r="BC185" s="6">
        <f t="shared" si="24"/>
        <v>14776043</v>
      </c>
      <c r="BE185" s="6">
        <f>+'St of Net Assets - GA'!Y185-'St of Activities - GA Exp'!BC185</f>
        <v>0</v>
      </c>
    </row>
    <row r="186" spans="1:57">
      <c r="A186" s="11" t="s">
        <v>294</v>
      </c>
      <c r="B186" s="11"/>
      <c r="C186" s="11" t="s">
        <v>25</v>
      </c>
      <c r="E186" s="6">
        <v>7855280</v>
      </c>
      <c r="G186" s="6">
        <v>2203353</v>
      </c>
      <c r="I186" s="6">
        <v>399942</v>
      </c>
      <c r="K186" s="6">
        <v>0</v>
      </c>
      <c r="M186" s="6">
        <v>230255</v>
      </c>
      <c r="O186" s="6">
        <v>848865</v>
      </c>
      <c r="Q186" s="6">
        <v>795433</v>
      </c>
      <c r="S186" s="6">
        <v>35588</v>
      </c>
      <c r="U186" s="6">
        <v>1349878</v>
      </c>
      <c r="W186" s="6">
        <v>599400</v>
      </c>
      <c r="Y186" s="6">
        <v>0</v>
      </c>
      <c r="AA186" s="6">
        <v>1413589</v>
      </c>
      <c r="AC186" s="6">
        <v>1655907</v>
      </c>
      <c r="AE186" s="6">
        <v>95300</v>
      </c>
      <c r="AG186" s="11" t="s">
        <v>294</v>
      </c>
      <c r="AH186" s="11"/>
      <c r="AI186" s="11" t="s">
        <v>25</v>
      </c>
      <c r="AJ186" s="11"/>
      <c r="AK186" s="6">
        <v>919684</v>
      </c>
      <c r="AM186" s="6">
        <v>1046</v>
      </c>
      <c r="AO186" s="6">
        <v>659437</v>
      </c>
      <c r="AQ186" s="6">
        <v>1128616</v>
      </c>
      <c r="AU186" s="6">
        <v>0</v>
      </c>
      <c r="AW186" s="6">
        <f t="shared" si="23"/>
        <v>20191573</v>
      </c>
      <c r="AY186" s="6">
        <f>+'St of Activites - GA Rev'!AG186-'St of Activities - GA Exp'!AW186</f>
        <v>2155172</v>
      </c>
      <c r="BA186" s="6">
        <v>58114270</v>
      </c>
      <c r="BC186" s="6">
        <f t="shared" si="24"/>
        <v>60269442</v>
      </c>
      <c r="BE186" s="6">
        <f>+'St of Net Assets - GA'!Y186-'St of Activities - GA Exp'!BC186</f>
        <v>0</v>
      </c>
    </row>
    <row r="187" spans="1:57">
      <c r="A187" s="11" t="s">
        <v>368</v>
      </c>
      <c r="B187" s="11"/>
      <c r="C187" s="11" t="s">
        <v>366</v>
      </c>
      <c r="E187" s="6">
        <v>7772857</v>
      </c>
      <c r="G187" s="6">
        <v>1941148</v>
      </c>
      <c r="I187" s="6">
        <v>76095</v>
      </c>
      <c r="K187" s="6">
        <v>0</v>
      </c>
      <c r="M187" s="6">
        <f>9231+101087</f>
        <v>110318</v>
      </c>
      <c r="O187" s="6">
        <v>512136</v>
      </c>
      <c r="Q187" s="6">
        <v>812273</v>
      </c>
      <c r="S187" s="6">
        <v>102826</v>
      </c>
      <c r="U187" s="6">
        <v>1211797</v>
      </c>
      <c r="W187" s="6">
        <v>418311</v>
      </c>
      <c r="Y187" s="6">
        <v>42936</v>
      </c>
      <c r="AA187" s="6">
        <v>2172230</v>
      </c>
      <c r="AC187" s="6">
        <v>800938</v>
      </c>
      <c r="AE187" s="6">
        <v>6838</v>
      </c>
      <c r="AG187" s="11" t="s">
        <v>368</v>
      </c>
      <c r="AH187" s="11"/>
      <c r="AI187" s="11" t="s">
        <v>366</v>
      </c>
      <c r="AJ187" s="11"/>
      <c r="AK187" s="6">
        <v>0</v>
      </c>
      <c r="AM187" s="6">
        <v>572677</v>
      </c>
      <c r="AO187" s="6">
        <v>272539</v>
      </c>
      <c r="AQ187" s="6">
        <v>120136</v>
      </c>
      <c r="AU187" s="6">
        <v>0</v>
      </c>
      <c r="AW187" s="6">
        <f t="shared" si="23"/>
        <v>16946055</v>
      </c>
      <c r="AY187" s="6">
        <f>+'St of Activites - GA Rev'!AG187-'St of Activities - GA Exp'!AW187</f>
        <v>-571160</v>
      </c>
      <c r="BA187" s="6">
        <v>32145655</v>
      </c>
      <c r="BC187" s="6">
        <f t="shared" si="24"/>
        <v>31574495</v>
      </c>
      <c r="BE187" s="6">
        <f>+'St of Net Assets - GA'!Y187-'St of Activities - GA Exp'!BC187</f>
        <v>0</v>
      </c>
    </row>
    <row r="188" spans="1:57" ht="12" hidden="1" customHeight="1">
      <c r="A188" s="11" t="s">
        <v>620</v>
      </c>
      <c r="B188" s="11"/>
      <c r="C188" s="11" t="s">
        <v>61</v>
      </c>
      <c r="AG188" s="11" t="s">
        <v>620</v>
      </c>
      <c r="AH188" s="11"/>
      <c r="AI188" s="11" t="s">
        <v>61</v>
      </c>
      <c r="AJ188" s="11"/>
      <c r="AW188" s="6">
        <f t="shared" si="23"/>
        <v>0</v>
      </c>
      <c r="AY188" s="6">
        <f>+'St of Activites - GA Rev'!AG188-'St of Activities - GA Exp'!AW188</f>
        <v>0</v>
      </c>
      <c r="BC188" s="6">
        <f t="shared" si="24"/>
        <v>0</v>
      </c>
      <c r="BE188" s="6">
        <f>+'St of Net Assets - GA'!Y188-'St of Activities - GA Exp'!BC188</f>
        <v>0</v>
      </c>
    </row>
    <row r="189" spans="1:57">
      <c r="A189" s="11" t="s">
        <v>496</v>
      </c>
      <c r="B189" s="11"/>
      <c r="C189" s="11" t="s">
        <v>62</v>
      </c>
      <c r="E189" s="6">
        <v>7428838</v>
      </c>
      <c r="G189" s="6">
        <v>2307977</v>
      </c>
      <c r="I189" s="6">
        <v>221668</v>
      </c>
      <c r="K189" s="6">
        <v>0</v>
      </c>
      <c r="M189" s="6">
        <v>317894</v>
      </c>
      <c r="O189" s="6">
        <v>978527</v>
      </c>
      <c r="Q189" s="6">
        <v>503054</v>
      </c>
      <c r="S189" s="6">
        <v>17699</v>
      </c>
      <c r="U189" s="6">
        <v>1541611</v>
      </c>
      <c r="W189" s="6">
        <v>478027</v>
      </c>
      <c r="Y189" s="6">
        <v>0</v>
      </c>
      <c r="AA189" s="6">
        <v>1484720</v>
      </c>
      <c r="AC189" s="6">
        <v>1101187</v>
      </c>
      <c r="AE189" s="6">
        <v>140107</v>
      </c>
      <c r="AG189" s="11" t="s">
        <v>496</v>
      </c>
      <c r="AH189" s="11"/>
      <c r="AI189" s="11" t="s">
        <v>62</v>
      </c>
      <c r="AJ189" s="11"/>
      <c r="AK189" s="6">
        <v>739136</v>
      </c>
      <c r="AM189" s="6">
        <v>30473</v>
      </c>
      <c r="AO189" s="6">
        <v>510720</v>
      </c>
      <c r="AQ189" s="6">
        <v>391294</v>
      </c>
      <c r="AU189" s="6">
        <v>0</v>
      </c>
      <c r="AW189" s="6">
        <f t="shared" si="23"/>
        <v>18192932</v>
      </c>
      <c r="AY189" s="6">
        <f>+'St of Activites - GA Rev'!AG189-'St of Activities - GA Exp'!AW189</f>
        <v>-657622</v>
      </c>
      <c r="BA189" s="6">
        <v>19384941</v>
      </c>
      <c r="BC189" s="6">
        <f t="shared" si="24"/>
        <v>18727319</v>
      </c>
      <c r="BE189" s="6">
        <f>+'St of Net Assets - GA'!Y189-'St of Activities - GA Exp'!BC189</f>
        <v>0</v>
      </c>
    </row>
    <row r="190" spans="1:57" ht="12" hidden="1" customHeight="1">
      <c r="A190" s="10" t="s">
        <v>890</v>
      </c>
      <c r="B190" s="11"/>
      <c r="C190" s="11" t="s">
        <v>41</v>
      </c>
      <c r="AG190" s="10" t="s">
        <v>890</v>
      </c>
      <c r="AH190" s="11"/>
      <c r="AI190" s="11" t="s">
        <v>41</v>
      </c>
      <c r="AJ190" s="11"/>
      <c r="AW190" s="6">
        <f t="shared" si="23"/>
        <v>0</v>
      </c>
      <c r="AY190" s="6">
        <f>+'St of Activites - GA Rev'!AG190-'St of Activities - GA Exp'!AW190</f>
        <v>0</v>
      </c>
      <c r="BC190" s="6">
        <f t="shared" si="24"/>
        <v>0</v>
      </c>
      <c r="BE190" s="6">
        <f>+'St of Net Assets - GA'!Y190-'St of Activities - GA Exp'!BC190</f>
        <v>0</v>
      </c>
    </row>
    <row r="191" spans="1:57" s="28" customFormat="1">
      <c r="A191" s="27" t="s">
        <v>268</v>
      </c>
      <c r="B191" s="27"/>
      <c r="C191" s="27" t="s">
        <v>20</v>
      </c>
      <c r="E191" s="28">
        <v>10527461</v>
      </c>
      <c r="G191" s="28">
        <v>2044031</v>
      </c>
      <c r="I191" s="28">
        <v>101336</v>
      </c>
      <c r="K191" s="28">
        <v>0</v>
      </c>
      <c r="M191" s="28">
        <v>26963</v>
      </c>
      <c r="O191" s="28">
        <v>1402845</v>
      </c>
      <c r="Q191" s="28">
        <v>1227221</v>
      </c>
      <c r="S191" s="28">
        <v>24499</v>
      </c>
      <c r="U191" s="28">
        <v>1525224</v>
      </c>
      <c r="W191" s="28">
        <v>808236</v>
      </c>
      <c r="Y191" s="28">
        <v>15108</v>
      </c>
      <c r="AA191" s="28">
        <v>1848672</v>
      </c>
      <c r="AC191" s="28">
        <v>598342</v>
      </c>
      <c r="AE191" s="28">
        <v>703144</v>
      </c>
      <c r="AG191" s="27" t="s">
        <v>268</v>
      </c>
      <c r="AH191" s="27"/>
      <c r="AI191" s="27" t="s">
        <v>20</v>
      </c>
      <c r="AJ191" s="27"/>
      <c r="AK191" s="28">
        <v>0</v>
      </c>
      <c r="AM191" s="28">
        <v>440844</v>
      </c>
      <c r="AO191" s="28">
        <v>546593</v>
      </c>
      <c r="AQ191" s="28">
        <v>1343335</v>
      </c>
      <c r="AU191" s="28">
        <v>0</v>
      </c>
      <c r="AW191" s="28">
        <f t="shared" si="23"/>
        <v>23183854</v>
      </c>
      <c r="AY191" s="28">
        <f>+'St of Activites - GA Rev'!AG191-'St of Activities - GA Exp'!AW191</f>
        <v>1449316</v>
      </c>
      <c r="BA191" s="28">
        <v>22101165</v>
      </c>
      <c r="BC191" s="28">
        <f t="shared" si="24"/>
        <v>23550481</v>
      </c>
      <c r="BE191" s="28">
        <f>+'St of Net Assets - GA'!Y191-'St of Activities - GA Exp'!BC191</f>
        <v>0</v>
      </c>
    </row>
    <row r="192" spans="1:57" hidden="1">
      <c r="A192" s="11" t="s">
        <v>745</v>
      </c>
      <c r="B192" s="11"/>
      <c r="C192" s="11" t="s">
        <v>28</v>
      </c>
      <c r="AG192" s="11" t="s">
        <v>745</v>
      </c>
      <c r="AH192" s="11"/>
      <c r="AI192" s="11" t="s">
        <v>28</v>
      </c>
      <c r="AJ192" s="11"/>
      <c r="AW192" s="6">
        <f t="shared" si="23"/>
        <v>0</v>
      </c>
      <c r="AY192" s="6">
        <f>+'St of Activites - GA Rev'!AG192-'St of Activities - GA Exp'!AW192</f>
        <v>0</v>
      </c>
      <c r="BC192" s="6">
        <f t="shared" si="24"/>
        <v>0</v>
      </c>
      <c r="BE192" s="6">
        <f>+'St of Net Assets - GA'!Y192-'St of Activities - GA Exp'!BC192</f>
        <v>0</v>
      </c>
    </row>
    <row r="193" spans="1:57">
      <c r="A193" s="11" t="s">
        <v>219</v>
      </c>
      <c r="B193" s="11"/>
      <c r="C193" s="11" t="s">
        <v>77</v>
      </c>
      <c r="E193" s="6">
        <v>3663375</v>
      </c>
      <c r="G193" s="6">
        <v>844000</v>
      </c>
      <c r="I193" s="6">
        <v>200506</v>
      </c>
      <c r="K193" s="6">
        <v>0</v>
      </c>
      <c r="M193" s="6">
        <v>1669</v>
      </c>
      <c r="O193" s="6">
        <v>255902</v>
      </c>
      <c r="Q193" s="6">
        <v>762024</v>
      </c>
      <c r="S193" s="6">
        <v>60541</v>
      </c>
      <c r="U193" s="6">
        <v>732846</v>
      </c>
      <c r="W193" s="6">
        <v>319772</v>
      </c>
      <c r="Y193" s="6">
        <v>0</v>
      </c>
      <c r="AA193" s="6">
        <v>961574</v>
      </c>
      <c r="AC193" s="6">
        <v>598978</v>
      </c>
      <c r="AE193" s="6">
        <v>3086</v>
      </c>
      <c r="AG193" s="11" t="s">
        <v>219</v>
      </c>
      <c r="AH193" s="11"/>
      <c r="AI193" s="11" t="s">
        <v>77</v>
      </c>
      <c r="AJ193" s="11"/>
      <c r="AK193" s="6">
        <v>527506</v>
      </c>
      <c r="AM193" s="6">
        <v>81500</v>
      </c>
      <c r="AO193" s="6">
        <v>221309</v>
      </c>
      <c r="AQ193" s="6">
        <v>330257</v>
      </c>
      <c r="AU193" s="6">
        <v>0</v>
      </c>
      <c r="AW193" s="6">
        <f t="shared" si="23"/>
        <v>9564845</v>
      </c>
      <c r="AY193" s="6">
        <f>+'St of Activites - GA Rev'!AG193-'St of Activities - GA Exp'!AW193</f>
        <v>242904</v>
      </c>
      <c r="BA193" s="6">
        <v>23745657</v>
      </c>
      <c r="BC193" s="6">
        <f t="shared" si="24"/>
        <v>23988561</v>
      </c>
      <c r="BE193" s="6">
        <f>+'St of Net Assets - GA'!Y193-'St of Activities - GA Exp'!BC193</f>
        <v>0</v>
      </c>
    </row>
    <row r="194" spans="1:57">
      <c r="A194" s="11" t="s">
        <v>743</v>
      </c>
      <c r="B194" s="11"/>
      <c r="C194" s="11" t="s">
        <v>13</v>
      </c>
      <c r="E194" s="6">
        <v>6271804</v>
      </c>
      <c r="G194" s="6">
        <v>1660793</v>
      </c>
      <c r="I194" s="6">
        <v>226166</v>
      </c>
      <c r="K194" s="6">
        <v>0</v>
      </c>
      <c r="M194" s="6">
        <v>0</v>
      </c>
      <c r="O194" s="6">
        <v>316461</v>
      </c>
      <c r="Q194" s="6">
        <v>427688</v>
      </c>
      <c r="S194" s="6">
        <v>44352</v>
      </c>
      <c r="U194" s="6">
        <v>1240514</v>
      </c>
      <c r="W194" s="6">
        <v>363360</v>
      </c>
      <c r="Y194" s="6">
        <v>0</v>
      </c>
      <c r="AA194" s="6">
        <v>888488</v>
      </c>
      <c r="AC194" s="6">
        <v>1206224</v>
      </c>
      <c r="AE194" s="6">
        <v>63038</v>
      </c>
      <c r="AG194" s="11" t="s">
        <v>743</v>
      </c>
      <c r="AH194" s="11"/>
      <c r="AI194" s="11" t="s">
        <v>13</v>
      </c>
      <c r="AJ194" s="11"/>
      <c r="AK194" s="6">
        <v>574606</v>
      </c>
      <c r="AM194" s="6">
        <v>12733</v>
      </c>
      <c r="AO194" s="6">
        <v>131403</v>
      </c>
      <c r="AQ194" s="6">
        <v>24675</v>
      </c>
      <c r="AU194" s="6">
        <v>0</v>
      </c>
      <c r="AW194" s="6">
        <f t="shared" si="23"/>
        <v>13452305</v>
      </c>
      <c r="AY194" s="6">
        <f>+'St of Activites - GA Rev'!AG194-'St of Activities - GA Exp'!AW194</f>
        <v>417859</v>
      </c>
      <c r="BA194" s="6">
        <v>11273844</v>
      </c>
      <c r="BC194" s="6">
        <f t="shared" si="24"/>
        <v>11691703</v>
      </c>
      <c r="BE194" s="6">
        <f>+'St of Net Assets - GA'!Y194-'St of Activities - GA Exp'!BC194</f>
        <v>0</v>
      </c>
    </row>
    <row r="195" spans="1:57">
      <c r="A195" s="11" t="s">
        <v>239</v>
      </c>
      <c r="B195" s="11"/>
      <c r="C195" s="11" t="s">
        <v>113</v>
      </c>
      <c r="E195" s="6">
        <v>4849113</v>
      </c>
      <c r="G195" s="6">
        <v>2060875</v>
      </c>
      <c r="I195" s="6">
        <v>0</v>
      </c>
      <c r="K195" s="6">
        <v>0</v>
      </c>
      <c r="M195" s="6">
        <v>113161</v>
      </c>
      <c r="O195" s="6">
        <v>528899</v>
      </c>
      <c r="Q195" s="6">
        <v>313464</v>
      </c>
      <c r="S195" s="6">
        <v>15061</v>
      </c>
      <c r="U195" s="6">
        <v>644563</v>
      </c>
      <c r="W195" s="6">
        <v>334480</v>
      </c>
      <c r="Y195" s="6">
        <v>0</v>
      </c>
      <c r="AA195" s="6">
        <v>1127877</v>
      </c>
      <c r="AC195" s="6">
        <v>589757</v>
      </c>
      <c r="AE195" s="6">
        <v>47462</v>
      </c>
      <c r="AG195" s="11" t="s">
        <v>239</v>
      </c>
      <c r="AH195" s="11"/>
      <c r="AI195" s="11" t="s">
        <v>113</v>
      </c>
      <c r="AJ195" s="11"/>
      <c r="AK195" s="6">
        <v>490616</v>
      </c>
      <c r="AM195" s="6">
        <v>0</v>
      </c>
      <c r="AO195" s="6">
        <v>169401</v>
      </c>
      <c r="AQ195" s="6">
        <v>149192</v>
      </c>
      <c r="AU195" s="6">
        <v>0</v>
      </c>
      <c r="AW195" s="6">
        <f t="shared" si="23"/>
        <v>11433921</v>
      </c>
      <c r="AY195" s="6">
        <f>+'St of Activites - GA Rev'!AG195-'St of Activities - GA Exp'!AW195</f>
        <v>-350265</v>
      </c>
      <c r="BA195" s="6">
        <v>18008962</v>
      </c>
      <c r="BC195" s="6">
        <f t="shared" si="24"/>
        <v>17658697</v>
      </c>
      <c r="BE195" s="6">
        <f>+'St of Net Assets - GA'!Y195-'St of Activities - GA Exp'!BC195</f>
        <v>0</v>
      </c>
    </row>
    <row r="196" spans="1:57">
      <c r="A196" s="11" t="s">
        <v>720</v>
      </c>
      <c r="B196" s="11"/>
      <c r="C196" s="11" t="s">
        <v>56</v>
      </c>
      <c r="E196" s="6">
        <v>11805254</v>
      </c>
      <c r="G196" s="6">
        <v>1797333</v>
      </c>
      <c r="I196" s="6">
        <v>144486</v>
      </c>
      <c r="K196" s="6">
        <v>2891</v>
      </c>
      <c r="M196" s="6">
        <v>8599</v>
      </c>
      <c r="O196" s="6">
        <v>937672</v>
      </c>
      <c r="Q196" s="6">
        <v>975414</v>
      </c>
      <c r="S196" s="6">
        <v>26424</v>
      </c>
      <c r="U196" s="6">
        <v>2290325</v>
      </c>
      <c r="W196" s="6">
        <v>494435</v>
      </c>
      <c r="Y196" s="6">
        <v>204</v>
      </c>
      <c r="AA196" s="6">
        <v>1849361</v>
      </c>
      <c r="AC196" s="6">
        <v>1301836</v>
      </c>
      <c r="AE196" s="6">
        <v>102754</v>
      </c>
      <c r="AG196" s="11" t="s">
        <v>720</v>
      </c>
      <c r="AH196" s="11"/>
      <c r="AI196" s="11" t="s">
        <v>56</v>
      </c>
      <c r="AJ196" s="11"/>
      <c r="AK196" s="6">
        <v>0</v>
      </c>
      <c r="AM196" s="6">
        <v>30250</v>
      </c>
      <c r="AO196" s="6">
        <v>495729</v>
      </c>
      <c r="AQ196" s="6">
        <v>1185890</v>
      </c>
      <c r="AU196" s="6">
        <v>0</v>
      </c>
      <c r="AW196" s="6">
        <f t="shared" si="23"/>
        <v>23448857</v>
      </c>
      <c r="AY196" s="6">
        <f>+'St of Activites - GA Rev'!AG196-'St of Activities - GA Exp'!AW196</f>
        <v>-1364532</v>
      </c>
      <c r="BA196" s="6">
        <v>5392925</v>
      </c>
      <c r="BC196" s="6">
        <f t="shared" si="24"/>
        <v>4028393</v>
      </c>
      <c r="BE196" s="6">
        <f>+'St of Net Assets - GA'!Y196-'St of Activities - GA Exp'!BC196</f>
        <v>0</v>
      </c>
    </row>
    <row r="197" spans="1:57">
      <c r="A197" s="11" t="s">
        <v>337</v>
      </c>
      <c r="B197" s="11"/>
      <c r="C197" s="11" t="s">
        <v>33</v>
      </c>
      <c r="E197" s="6">
        <v>23783570</v>
      </c>
      <c r="G197" s="6">
        <v>6927703</v>
      </c>
      <c r="I197" s="6">
        <v>2671736</v>
      </c>
      <c r="K197" s="6">
        <v>92038</v>
      </c>
      <c r="M197" s="6">
        <v>5027978</v>
      </c>
      <c r="O197" s="6">
        <v>2715860</v>
      </c>
      <c r="Q197" s="6">
        <v>4571308</v>
      </c>
      <c r="S197" s="6">
        <v>133632</v>
      </c>
      <c r="U197" s="6">
        <v>3818259</v>
      </c>
      <c r="W197" s="6">
        <v>1467637</v>
      </c>
      <c r="Y197" s="6">
        <v>0</v>
      </c>
      <c r="AA197" s="6">
        <v>5412920</v>
      </c>
      <c r="AC197" s="6">
        <v>2131581</v>
      </c>
      <c r="AE197" s="6">
        <v>151120</v>
      </c>
      <c r="AG197" s="11" t="s">
        <v>337</v>
      </c>
      <c r="AH197" s="11"/>
      <c r="AI197" s="11" t="s">
        <v>33</v>
      </c>
      <c r="AJ197" s="11"/>
      <c r="AK197" s="6">
        <v>1782101</v>
      </c>
      <c r="AM197" s="6">
        <v>577016</v>
      </c>
      <c r="AO197" s="6">
        <v>1154589</v>
      </c>
      <c r="AQ197" s="6">
        <v>2980343</v>
      </c>
      <c r="AU197" s="6">
        <v>0</v>
      </c>
      <c r="AW197" s="6">
        <f t="shared" si="23"/>
        <v>65399391</v>
      </c>
      <c r="AY197" s="6">
        <f>+'St of Activites - GA Rev'!AG197-'St of Activities - GA Exp'!AW197</f>
        <v>5395377</v>
      </c>
      <c r="BA197" s="6">
        <v>48706343</v>
      </c>
      <c r="BC197" s="6">
        <f t="shared" si="24"/>
        <v>54101720</v>
      </c>
      <c r="BE197" s="6">
        <f>+'St of Net Assets - GA'!Y197-'St of Activities - GA Exp'!BC197</f>
        <v>0</v>
      </c>
    </row>
    <row r="198" spans="1:57">
      <c r="A198" s="11" t="s">
        <v>322</v>
      </c>
      <c r="B198" s="11"/>
      <c r="C198" s="11" t="s">
        <v>32</v>
      </c>
      <c r="E198" s="6">
        <v>7154488</v>
      </c>
      <c r="G198" s="6">
        <v>2337951</v>
      </c>
      <c r="I198" s="6">
        <v>152427</v>
      </c>
      <c r="K198" s="6">
        <v>0</v>
      </c>
      <c r="M198" s="6">
        <v>1100510</v>
      </c>
      <c r="O198" s="6">
        <v>1383786</v>
      </c>
      <c r="Q198" s="6">
        <v>1346461</v>
      </c>
      <c r="S198" s="6">
        <v>25405</v>
      </c>
      <c r="U198" s="6">
        <v>1121231</v>
      </c>
      <c r="W198" s="6">
        <v>499860</v>
      </c>
      <c r="Y198" s="6">
        <v>407154</v>
      </c>
      <c r="AA198" s="6">
        <v>1921739</v>
      </c>
      <c r="AC198" s="6">
        <v>1041307</v>
      </c>
      <c r="AE198" s="6">
        <v>240315</v>
      </c>
      <c r="AG198" s="11" t="s">
        <v>322</v>
      </c>
      <c r="AH198" s="11"/>
      <c r="AI198" s="11" t="s">
        <v>32</v>
      </c>
      <c r="AJ198" s="11"/>
      <c r="AK198" s="6">
        <v>0</v>
      </c>
      <c r="AM198" s="6">
        <v>2122420</v>
      </c>
      <c r="AO198" s="6">
        <v>597778</v>
      </c>
      <c r="AQ198" s="6">
        <v>275693</v>
      </c>
      <c r="AU198" s="6">
        <v>0</v>
      </c>
      <c r="AW198" s="6">
        <f t="shared" si="23"/>
        <v>21728525</v>
      </c>
      <c r="AY198" s="6">
        <f>+'St of Activites - GA Rev'!AG198-'St of Activities - GA Exp'!AW198</f>
        <v>248356</v>
      </c>
      <c r="BA198" s="6">
        <v>5301528</v>
      </c>
      <c r="BC198" s="6">
        <f t="shared" si="24"/>
        <v>5549884</v>
      </c>
      <c r="BE198" s="6">
        <f>+'St of Net Assets - GA'!Y198-'St of Activities - GA Exp'!BC198</f>
        <v>0</v>
      </c>
    </row>
    <row r="199" spans="1:57">
      <c r="A199" s="11" t="s">
        <v>385</v>
      </c>
      <c r="B199" s="11"/>
      <c r="C199" s="11" t="s">
        <v>44</v>
      </c>
      <c r="E199" s="6">
        <v>7295769</v>
      </c>
      <c r="G199" s="6">
        <v>1952146</v>
      </c>
      <c r="I199" s="6">
        <v>263870</v>
      </c>
      <c r="K199" s="6">
        <v>0</v>
      </c>
      <c r="M199" s="6">
        <v>1588960</v>
      </c>
      <c r="O199" s="6">
        <v>1013000</v>
      </c>
      <c r="Q199" s="6">
        <v>497976</v>
      </c>
      <c r="S199" s="6">
        <v>26757</v>
      </c>
      <c r="U199" s="6">
        <v>1384842</v>
      </c>
      <c r="W199" s="6">
        <v>417257</v>
      </c>
      <c r="Y199" s="6">
        <v>0</v>
      </c>
      <c r="AA199" s="6">
        <v>1230594</v>
      </c>
      <c r="AC199" s="6">
        <v>1354324</v>
      </c>
      <c r="AE199" s="6">
        <v>376112</v>
      </c>
      <c r="AG199" s="11" t="s">
        <v>385</v>
      </c>
      <c r="AH199" s="11"/>
      <c r="AI199" s="11" t="s">
        <v>44</v>
      </c>
      <c r="AJ199" s="11"/>
      <c r="AK199" s="6">
        <v>678044</v>
      </c>
      <c r="AM199" s="6">
        <v>28955</v>
      </c>
      <c r="AO199" s="6">
        <v>487456</v>
      </c>
      <c r="AQ199" s="6">
        <v>61525</v>
      </c>
      <c r="AU199" s="6">
        <v>0</v>
      </c>
      <c r="AW199" s="6">
        <f t="shared" si="23"/>
        <v>18657587</v>
      </c>
      <c r="AY199" s="6">
        <f>+'St of Activites - GA Rev'!AG199-'St of Activities - GA Exp'!AW199</f>
        <v>640954</v>
      </c>
      <c r="BA199" s="6">
        <v>5370235</v>
      </c>
      <c r="BC199" s="6">
        <f t="shared" si="24"/>
        <v>6011189</v>
      </c>
      <c r="BE199" s="6">
        <f>+'St of Net Assets - GA'!Y199-'St of Activities - GA Exp'!BC199</f>
        <v>0</v>
      </c>
    </row>
    <row r="200" spans="1:57">
      <c r="A200" s="11" t="s">
        <v>323</v>
      </c>
      <c r="B200" s="11"/>
      <c r="C200" s="11" t="s">
        <v>32</v>
      </c>
      <c r="E200" s="6">
        <v>35718439</v>
      </c>
      <c r="G200" s="6">
        <v>7643508</v>
      </c>
      <c r="I200" s="6">
        <v>0</v>
      </c>
      <c r="K200" s="6">
        <v>0</v>
      </c>
      <c r="M200" s="6">
        <v>1469430</v>
      </c>
      <c r="O200" s="6">
        <v>5262246</v>
      </c>
      <c r="Q200" s="6">
        <v>6780745</v>
      </c>
      <c r="S200" s="6">
        <v>31242</v>
      </c>
      <c r="U200" s="6">
        <v>4873702</v>
      </c>
      <c r="W200" s="6">
        <v>1260362</v>
      </c>
      <c r="Y200" s="6">
        <v>212882</v>
      </c>
      <c r="AA200" s="6">
        <v>5602016</v>
      </c>
      <c r="AC200" s="6">
        <v>4102245</v>
      </c>
      <c r="AE200" s="6">
        <v>642202</v>
      </c>
      <c r="AG200" s="11" t="s">
        <v>323</v>
      </c>
      <c r="AH200" s="11"/>
      <c r="AI200" s="11" t="s">
        <v>32</v>
      </c>
      <c r="AJ200" s="11"/>
      <c r="AK200" s="6">
        <v>2101732</v>
      </c>
      <c r="AM200" s="6">
        <v>859733</v>
      </c>
      <c r="AO200" s="6">
        <v>2202097</v>
      </c>
      <c r="AQ200" s="6">
        <v>374785</v>
      </c>
      <c r="AU200" s="6">
        <v>0</v>
      </c>
      <c r="AW200" s="6">
        <f t="shared" si="23"/>
        <v>79137366</v>
      </c>
      <c r="AY200" s="6">
        <f>+'St of Activites - GA Rev'!AG200-'St of Activities - GA Exp'!AW200</f>
        <v>-544322</v>
      </c>
      <c r="BA200" s="6">
        <v>41411993</v>
      </c>
      <c r="BC200" s="6">
        <f t="shared" si="24"/>
        <v>40867671</v>
      </c>
      <c r="BE200" s="6">
        <f>+'St of Net Assets - GA'!Y200-'St of Activities - GA Exp'!BC200</f>
        <v>0</v>
      </c>
    </row>
    <row r="201" spans="1:57" hidden="1">
      <c r="A201" s="11" t="s">
        <v>616</v>
      </c>
      <c r="B201" s="11"/>
      <c r="C201" s="11" t="s">
        <v>70</v>
      </c>
      <c r="AG201" s="11" t="s">
        <v>616</v>
      </c>
      <c r="AH201" s="11"/>
      <c r="AI201" s="11" t="s">
        <v>70</v>
      </c>
      <c r="AJ201" s="11"/>
      <c r="AW201" s="6">
        <f t="shared" si="23"/>
        <v>0</v>
      </c>
      <c r="AY201" s="6">
        <f>+'St of Activites - GA Rev'!AG201-'St of Activities - GA Exp'!AW201</f>
        <v>0</v>
      </c>
      <c r="BC201" s="6">
        <f t="shared" si="24"/>
        <v>0</v>
      </c>
      <c r="BE201" s="6">
        <f>+'St of Net Assets - GA'!Y201-'St of Activities - GA Exp'!BC201</f>
        <v>0</v>
      </c>
    </row>
    <row r="202" spans="1:57">
      <c r="A202" s="11" t="s">
        <v>490</v>
      </c>
      <c r="B202" s="11"/>
      <c r="C202" s="11" t="s">
        <v>61</v>
      </c>
      <c r="E202" s="6">
        <v>3626966</v>
      </c>
      <c r="G202" s="6">
        <v>571237</v>
      </c>
      <c r="I202" s="6">
        <v>14510</v>
      </c>
      <c r="K202" s="6">
        <v>0</v>
      </c>
      <c r="M202" s="6">
        <v>0</v>
      </c>
      <c r="O202" s="6">
        <v>786320</v>
      </c>
      <c r="Q202" s="6">
        <v>440146</v>
      </c>
      <c r="S202" s="6">
        <v>15617</v>
      </c>
      <c r="U202" s="6">
        <v>536806</v>
      </c>
      <c r="W202" s="6">
        <v>252362</v>
      </c>
      <c r="Y202" s="6">
        <v>730</v>
      </c>
      <c r="AA202" s="6">
        <v>684960</v>
      </c>
      <c r="AC202" s="6">
        <v>279259</v>
      </c>
      <c r="AE202" s="6">
        <v>67781</v>
      </c>
      <c r="AG202" s="11" t="s">
        <v>490</v>
      </c>
      <c r="AH202" s="11"/>
      <c r="AI202" s="11" t="s">
        <v>61</v>
      </c>
      <c r="AJ202" s="11"/>
      <c r="AK202" s="6">
        <v>0</v>
      </c>
      <c r="AM202" s="6">
        <v>415013</v>
      </c>
      <c r="AO202" s="6">
        <v>473927</v>
      </c>
      <c r="AQ202" s="6">
        <v>477481</v>
      </c>
      <c r="AU202" s="6">
        <v>77172</v>
      </c>
      <c r="AW202" s="6">
        <f t="shared" si="23"/>
        <v>8720287</v>
      </c>
      <c r="AY202" s="6">
        <f>+'St of Activites - GA Rev'!AG202-'St of Activities - GA Exp'!AW202</f>
        <v>148966</v>
      </c>
      <c r="BA202" s="6">
        <v>16606757</v>
      </c>
      <c r="BC202" s="6">
        <f t="shared" si="24"/>
        <v>16755723</v>
      </c>
      <c r="BE202" s="6">
        <f>+'St of Net Assets - GA'!Y202-'St of Activities - GA Exp'!BC202</f>
        <v>0</v>
      </c>
    </row>
    <row r="203" spans="1:57" hidden="1">
      <c r="A203" s="11" t="s">
        <v>764</v>
      </c>
      <c r="B203" s="11"/>
      <c r="C203" s="11" t="s">
        <v>422</v>
      </c>
      <c r="AG203" s="11" t="s">
        <v>764</v>
      </c>
      <c r="AH203" s="11"/>
      <c r="AI203" s="11" t="s">
        <v>422</v>
      </c>
      <c r="AJ203" s="11"/>
      <c r="AW203" s="6">
        <f t="shared" si="23"/>
        <v>0</v>
      </c>
      <c r="AY203" s="6">
        <f>+'St of Activites - GA Rev'!AG203-'St of Activities - GA Exp'!AW203</f>
        <v>0</v>
      </c>
      <c r="BC203" s="6">
        <f t="shared" si="24"/>
        <v>0</v>
      </c>
      <c r="BE203" s="6">
        <f>+'St of Net Assets - GA'!Y203-'St of Activities - GA Exp'!BC203</f>
        <v>0</v>
      </c>
    </row>
    <row r="204" spans="1:57" hidden="1">
      <c r="A204" s="11" t="s">
        <v>747</v>
      </c>
      <c r="B204" s="11"/>
      <c r="C204" s="11" t="s">
        <v>60</v>
      </c>
      <c r="AG204" s="11" t="s">
        <v>747</v>
      </c>
      <c r="AH204" s="11"/>
      <c r="AI204" s="11" t="s">
        <v>60</v>
      </c>
      <c r="AJ204" s="11"/>
      <c r="AW204" s="6">
        <f t="shared" si="23"/>
        <v>0</v>
      </c>
      <c r="AY204" s="6">
        <f>+'St of Activites - GA Rev'!AG204-'St of Activities - GA Exp'!AW204</f>
        <v>0</v>
      </c>
      <c r="BC204" s="6">
        <f t="shared" si="24"/>
        <v>0</v>
      </c>
      <c r="BE204" s="6">
        <f>+'St of Net Assets - GA'!Y204-'St of Activities - GA Exp'!BC204</f>
        <v>0</v>
      </c>
    </row>
    <row r="205" spans="1:57">
      <c r="A205" s="11" t="s">
        <v>544</v>
      </c>
      <c r="B205" s="11"/>
      <c r="C205" s="11" t="s">
        <v>69</v>
      </c>
      <c r="E205" s="6">
        <v>14350098</v>
      </c>
      <c r="G205" s="6">
        <v>3779943</v>
      </c>
      <c r="I205" s="6">
        <v>356642</v>
      </c>
      <c r="K205" s="6">
        <v>1346</v>
      </c>
      <c r="M205" s="6">
        <f>345+70117</f>
        <v>70462</v>
      </c>
      <c r="O205" s="6">
        <v>1259874</v>
      </c>
      <c r="Q205" s="6">
        <v>1574419</v>
      </c>
      <c r="S205" s="6">
        <v>30144</v>
      </c>
      <c r="U205" s="6">
        <v>2149404</v>
      </c>
      <c r="W205" s="6">
        <v>558473</v>
      </c>
      <c r="Y205" s="6">
        <v>184607</v>
      </c>
      <c r="AA205" s="6">
        <v>2412105</v>
      </c>
      <c r="AC205" s="6">
        <v>1242994</v>
      </c>
      <c r="AE205" s="6">
        <v>400195</v>
      </c>
      <c r="AG205" s="11" t="s">
        <v>544</v>
      </c>
      <c r="AH205" s="11"/>
      <c r="AI205" s="11" t="s">
        <v>69</v>
      </c>
      <c r="AJ205" s="11"/>
      <c r="AK205" s="6">
        <v>0</v>
      </c>
      <c r="AM205" s="6">
        <v>1632498</v>
      </c>
      <c r="AO205" s="6">
        <v>835347</v>
      </c>
      <c r="AQ205" s="6">
        <v>283516</v>
      </c>
      <c r="AU205" s="6">
        <v>0</v>
      </c>
      <c r="AW205" s="6">
        <f t="shared" si="23"/>
        <v>31122067</v>
      </c>
      <c r="AY205" s="6">
        <f>+'St of Activites - GA Rev'!AG205-'St of Activities - GA Exp'!AW205</f>
        <v>1368917</v>
      </c>
      <c r="BA205" s="6">
        <v>21547183</v>
      </c>
      <c r="BC205" s="6">
        <f t="shared" si="24"/>
        <v>22916100</v>
      </c>
      <c r="BE205" s="6">
        <f>+'St of Net Assets - GA'!Y205-'St of Activities - GA Exp'!BC205</f>
        <v>0</v>
      </c>
    </row>
    <row r="206" spans="1:57">
      <c r="A206" s="11" t="s">
        <v>444</v>
      </c>
      <c r="B206" s="11"/>
      <c r="C206" s="11" t="s">
        <v>51</v>
      </c>
      <c r="E206" s="6">
        <v>11803575</v>
      </c>
      <c r="G206" s="6">
        <v>2461294</v>
      </c>
      <c r="I206" s="6">
        <v>120474</v>
      </c>
      <c r="K206" s="6">
        <v>0</v>
      </c>
      <c r="M206" s="6">
        <v>186844</v>
      </c>
      <c r="O206" s="6">
        <v>805893</v>
      </c>
      <c r="Q206" s="6">
        <v>1411392</v>
      </c>
      <c r="S206" s="6">
        <v>89444</v>
      </c>
      <c r="U206" s="6">
        <v>1517647</v>
      </c>
      <c r="W206" s="6">
        <v>507785</v>
      </c>
      <c r="Y206" s="6">
        <v>0</v>
      </c>
      <c r="AA206" s="6">
        <v>2128487</v>
      </c>
      <c r="AC206" s="6">
        <v>1580295</v>
      </c>
      <c r="AE206" s="6">
        <v>212012</v>
      </c>
      <c r="AG206" s="11" t="s">
        <v>444</v>
      </c>
      <c r="AH206" s="11"/>
      <c r="AI206" s="11" t="s">
        <v>51</v>
      </c>
      <c r="AJ206" s="11"/>
      <c r="AK206" s="6">
        <v>1342328</v>
      </c>
      <c r="AM206" s="6">
        <v>6646</v>
      </c>
      <c r="AO206" s="6">
        <v>583457</v>
      </c>
      <c r="AQ206" s="6">
        <v>297244</v>
      </c>
      <c r="AU206" s="6">
        <v>0</v>
      </c>
      <c r="AW206" s="6">
        <f t="shared" si="23"/>
        <v>25054817</v>
      </c>
      <c r="AY206" s="6">
        <f>+'St of Activites - GA Rev'!AG206-'St of Activities - GA Exp'!AW206</f>
        <v>4266095</v>
      </c>
      <c r="BA206" s="6">
        <v>39322329</v>
      </c>
      <c r="BC206" s="6">
        <f t="shared" si="24"/>
        <v>43588424</v>
      </c>
      <c r="BE206" s="6">
        <f>+'St of Net Assets - GA'!Y206-'St of Activities - GA Exp'!BC206</f>
        <v>0</v>
      </c>
    </row>
    <row r="207" spans="1:57" ht="12" hidden="1" customHeight="1">
      <c r="A207" s="11" t="s">
        <v>615</v>
      </c>
      <c r="B207" s="11"/>
      <c r="C207" s="11" t="s">
        <v>21</v>
      </c>
      <c r="AG207" s="11" t="s">
        <v>615</v>
      </c>
      <c r="AH207" s="11"/>
      <c r="AI207" s="11" t="s">
        <v>21</v>
      </c>
      <c r="AJ207" s="11"/>
      <c r="AW207" s="6">
        <f t="shared" si="23"/>
        <v>0</v>
      </c>
      <c r="AY207" s="6">
        <f>+'St of Activites - GA Rev'!AG207-'St of Activities - GA Exp'!AW207</f>
        <v>0</v>
      </c>
      <c r="BC207" s="6">
        <f t="shared" si="24"/>
        <v>0</v>
      </c>
      <c r="BE207" s="6">
        <f>+'St of Net Assets - GA'!Y207-'St of Activities - GA Exp'!BC207</f>
        <v>0</v>
      </c>
    </row>
    <row r="208" spans="1:57" hidden="1">
      <c r="A208" s="11" t="s">
        <v>664</v>
      </c>
      <c r="B208" s="11"/>
      <c r="C208" s="11" t="s">
        <v>40</v>
      </c>
      <c r="AG208" s="11" t="s">
        <v>664</v>
      </c>
      <c r="AH208" s="11"/>
      <c r="AI208" s="11" t="s">
        <v>40</v>
      </c>
      <c r="AJ208" s="11"/>
      <c r="AW208" s="6">
        <f t="shared" si="23"/>
        <v>0</v>
      </c>
      <c r="AY208" s="6">
        <f>+'St of Activites - GA Rev'!AG208-'St of Activities - GA Exp'!AW208</f>
        <v>0</v>
      </c>
      <c r="BC208" s="6">
        <f t="shared" si="24"/>
        <v>0</v>
      </c>
      <c r="BE208" s="6">
        <f>+'St of Net Assets - GA'!Y208-'St of Activities - GA Exp'!BC208</f>
        <v>0</v>
      </c>
    </row>
    <row r="209" spans="1:57" ht="12" customHeight="1">
      <c r="A209" s="11" t="s">
        <v>644</v>
      </c>
      <c r="B209" s="11"/>
      <c r="C209" s="11" t="s">
        <v>79</v>
      </c>
      <c r="E209" s="6">
        <v>18089821</v>
      </c>
      <c r="G209" s="6">
        <v>6218490</v>
      </c>
      <c r="I209" s="6">
        <v>66961</v>
      </c>
      <c r="K209" s="6">
        <v>0</v>
      </c>
      <c r="M209" s="6">
        <v>532125</v>
      </c>
      <c r="O209" s="6">
        <v>2878859</v>
      </c>
      <c r="Q209" s="6">
        <v>2382719</v>
      </c>
      <c r="S209" s="6">
        <v>73267</v>
      </c>
      <c r="U209" s="6">
        <v>3336861</v>
      </c>
      <c r="W209" s="6">
        <v>782221</v>
      </c>
      <c r="Y209" s="6">
        <v>140753</v>
      </c>
      <c r="AA209" s="6">
        <v>3211495</v>
      </c>
      <c r="AC209" s="6">
        <v>1359099</v>
      </c>
      <c r="AE209" s="6">
        <v>111701</v>
      </c>
      <c r="AG209" s="11" t="s">
        <v>644</v>
      </c>
      <c r="AH209" s="11"/>
      <c r="AI209" s="11" t="s">
        <v>79</v>
      </c>
      <c r="AJ209" s="11"/>
      <c r="AK209" s="6">
        <v>0</v>
      </c>
      <c r="AM209" s="6">
        <v>1979813</v>
      </c>
      <c r="AO209" s="6">
        <v>870929</v>
      </c>
      <c r="AQ209" s="6">
        <v>1002008</v>
      </c>
      <c r="AU209" s="6">
        <v>0</v>
      </c>
      <c r="AW209" s="6">
        <f t="shared" si="23"/>
        <v>43037122</v>
      </c>
      <c r="AY209" s="6">
        <f>+'St of Activites - GA Rev'!AG209-'St of Activities - GA Exp'!AW209</f>
        <v>3099234</v>
      </c>
      <c r="BA209" s="6">
        <v>35983508</v>
      </c>
      <c r="BC209" s="6">
        <f t="shared" si="24"/>
        <v>39082742</v>
      </c>
      <c r="BE209" s="6">
        <f>+'St of Net Assets - GA'!Y209-'St of Activities - GA Exp'!BC209</f>
        <v>0</v>
      </c>
    </row>
    <row r="210" spans="1:57">
      <c r="A210" s="11" t="s">
        <v>548</v>
      </c>
      <c r="B210" s="11"/>
      <c r="C210" s="11" t="s">
        <v>70</v>
      </c>
      <c r="E210" s="6">
        <v>3857390</v>
      </c>
      <c r="G210" s="6">
        <v>1200581</v>
      </c>
      <c r="I210" s="6">
        <v>242774</v>
      </c>
      <c r="K210" s="6">
        <v>0</v>
      </c>
      <c r="M210" s="6">
        <v>0</v>
      </c>
      <c r="O210" s="6">
        <v>304480</v>
      </c>
      <c r="Q210" s="6">
        <v>126966</v>
      </c>
      <c r="S210" s="6">
        <v>22380</v>
      </c>
      <c r="U210" s="6">
        <v>980453</v>
      </c>
      <c r="W210" s="6">
        <v>282812</v>
      </c>
      <c r="Y210" s="6">
        <v>16</v>
      </c>
      <c r="AA210" s="6">
        <v>1042747</v>
      </c>
      <c r="AC210" s="6">
        <v>882469</v>
      </c>
      <c r="AE210" s="6">
        <v>11880</v>
      </c>
      <c r="AG210" s="11" t="s">
        <v>548</v>
      </c>
      <c r="AH210" s="11"/>
      <c r="AI210" s="11" t="s">
        <v>70</v>
      </c>
      <c r="AJ210" s="11"/>
      <c r="AK210" s="6">
        <v>441606</v>
      </c>
      <c r="AM210" s="6">
        <v>0</v>
      </c>
      <c r="AO210" s="6">
        <v>138366</v>
      </c>
      <c r="AQ210" s="6">
        <v>91736</v>
      </c>
      <c r="AU210" s="6">
        <v>0</v>
      </c>
      <c r="AW210" s="6">
        <f t="shared" si="23"/>
        <v>9626656</v>
      </c>
      <c r="AY210" s="6">
        <f>+'St of Activites - GA Rev'!AG210-'St of Activities - GA Exp'!AW210</f>
        <v>-1293568</v>
      </c>
      <c r="BA210" s="6">
        <v>19412461</v>
      </c>
      <c r="BC210" s="6">
        <f t="shared" si="24"/>
        <v>18118893</v>
      </c>
      <c r="BE210" s="6">
        <f>+'St of Net Assets - GA'!Y210-'St of Activities - GA Exp'!BC210</f>
        <v>0</v>
      </c>
    </row>
    <row r="211" spans="1:57" ht="12" customHeight="1">
      <c r="A211" s="11" t="s">
        <v>641</v>
      </c>
      <c r="B211" s="11"/>
      <c r="C211" s="11" t="s">
        <v>27</v>
      </c>
      <c r="E211" s="6">
        <v>40399412</v>
      </c>
      <c r="G211" s="6">
        <v>11158887</v>
      </c>
      <c r="I211" s="6">
        <v>875019</v>
      </c>
      <c r="K211" s="6">
        <v>0</v>
      </c>
      <c r="M211" s="6">
        <v>0</v>
      </c>
      <c r="O211" s="6">
        <v>3642669</v>
      </c>
      <c r="Q211" s="6">
        <v>3316790</v>
      </c>
      <c r="S211" s="6">
        <v>283478</v>
      </c>
      <c r="U211" s="6">
        <v>6828574</v>
      </c>
      <c r="W211" s="6">
        <v>1525658</v>
      </c>
      <c r="Y211" s="6">
        <v>123736</v>
      </c>
      <c r="AA211" s="6">
        <v>6078724</v>
      </c>
      <c r="AC211" s="6">
        <v>2772503</v>
      </c>
      <c r="AE211" s="6">
        <v>334534</v>
      </c>
      <c r="AG211" s="11" t="s">
        <v>641</v>
      </c>
      <c r="AH211" s="11"/>
      <c r="AI211" s="11" t="s">
        <v>27</v>
      </c>
      <c r="AJ211" s="11"/>
      <c r="AK211" s="6">
        <v>2358904</v>
      </c>
      <c r="AM211" s="6">
        <v>1109710</v>
      </c>
      <c r="AO211" s="6">
        <v>1265564</v>
      </c>
      <c r="AQ211" s="6">
        <v>1511207</v>
      </c>
      <c r="AU211" s="6">
        <v>0</v>
      </c>
      <c r="AW211" s="6">
        <f t="shared" si="23"/>
        <v>83585369</v>
      </c>
      <c r="AY211" s="6">
        <f>+'St of Activites - GA Rev'!AG211-'St of Activities - GA Exp'!AW211</f>
        <v>7119271</v>
      </c>
      <c r="BA211" s="6">
        <v>33340797</v>
      </c>
      <c r="BC211" s="6">
        <f t="shared" si="24"/>
        <v>40460068</v>
      </c>
      <c r="BE211" s="6">
        <f>+'St of Net Assets - GA'!Y211-'St of Activities - GA Exp'!BC211</f>
        <v>0</v>
      </c>
    </row>
    <row r="212" spans="1:57">
      <c r="A212" s="11" t="s">
        <v>259</v>
      </c>
      <c r="B212" s="11"/>
      <c r="C212" s="11" t="s">
        <v>111</v>
      </c>
      <c r="E212" s="6">
        <v>9149553</v>
      </c>
      <c r="G212" s="6">
        <v>3109671</v>
      </c>
      <c r="I212" s="6">
        <v>113243</v>
      </c>
      <c r="K212" s="6">
        <v>0</v>
      </c>
      <c r="M212" s="6">
        <v>0</v>
      </c>
      <c r="O212" s="6">
        <v>856283</v>
      </c>
      <c r="Q212" s="6">
        <v>1058030</v>
      </c>
      <c r="S212" s="6">
        <v>69112</v>
      </c>
      <c r="U212" s="6">
        <v>1372018</v>
      </c>
      <c r="W212" s="6">
        <v>442044</v>
      </c>
      <c r="Y212" s="6">
        <v>0</v>
      </c>
      <c r="AA212" s="6">
        <v>1698430</v>
      </c>
      <c r="AC212" s="6">
        <v>762353</v>
      </c>
      <c r="AE212" s="6">
        <v>184368</v>
      </c>
      <c r="AG212" s="11" t="s">
        <v>259</v>
      </c>
      <c r="AH212" s="11"/>
      <c r="AI212" s="11" t="s">
        <v>111</v>
      </c>
      <c r="AJ212" s="11"/>
      <c r="AK212" s="6">
        <v>0</v>
      </c>
      <c r="AM212" s="6">
        <v>1148520</v>
      </c>
      <c r="AO212" s="6">
        <v>600764</v>
      </c>
      <c r="AQ212" s="6">
        <v>850631</v>
      </c>
      <c r="AU212" s="6">
        <v>0</v>
      </c>
      <c r="AW212" s="6">
        <f t="shared" si="23"/>
        <v>21415020</v>
      </c>
      <c r="AY212" s="6">
        <f>+'St of Activites - GA Rev'!AG212-'St of Activities - GA Exp'!AW212</f>
        <v>-1314305</v>
      </c>
      <c r="BA212" s="6">
        <v>42265049</v>
      </c>
      <c r="BC212" s="6">
        <f t="shared" si="24"/>
        <v>40950744</v>
      </c>
      <c r="BE212" s="6">
        <f>+'St of Net Assets - GA'!Y212-'St of Activities - GA Exp'!BC212</f>
        <v>0</v>
      </c>
    </row>
    <row r="213" spans="1:57" ht="12" customHeight="1">
      <c r="A213" s="11" t="s">
        <v>642</v>
      </c>
      <c r="B213" s="11"/>
      <c r="C213" s="11" t="s">
        <v>29</v>
      </c>
      <c r="E213" s="6">
        <v>10457950</v>
      </c>
      <c r="G213" s="6">
        <v>3383995</v>
      </c>
      <c r="I213" s="6">
        <v>395118</v>
      </c>
      <c r="K213" s="6">
        <v>0</v>
      </c>
      <c r="M213" s="6">
        <v>2001166</v>
      </c>
      <c r="O213" s="6">
        <v>612366</v>
      </c>
      <c r="Q213" s="6">
        <v>994581</v>
      </c>
      <c r="S213" s="6">
        <v>106253</v>
      </c>
      <c r="U213" s="6">
        <v>1879101</v>
      </c>
      <c r="W213" s="6">
        <v>674964</v>
      </c>
      <c r="Y213" s="6">
        <v>31317</v>
      </c>
      <c r="AA213" s="6">
        <v>1612431</v>
      </c>
      <c r="AC213" s="6">
        <v>2259419</v>
      </c>
      <c r="AE213" s="6">
        <v>640594</v>
      </c>
      <c r="AG213" s="11" t="s">
        <v>642</v>
      </c>
      <c r="AH213" s="11"/>
      <c r="AI213" s="11" t="s">
        <v>29</v>
      </c>
      <c r="AJ213" s="11"/>
      <c r="AK213" s="6">
        <v>0</v>
      </c>
      <c r="AM213" s="6">
        <v>1055317</v>
      </c>
      <c r="AO213" s="6">
        <v>524302</v>
      </c>
      <c r="AQ213" s="6">
        <v>1939409</v>
      </c>
      <c r="AU213" s="6">
        <v>0</v>
      </c>
      <c r="AW213" s="6">
        <f t="shared" si="23"/>
        <v>28568283</v>
      </c>
      <c r="AY213" s="6">
        <f>+'St of Activites - GA Rev'!AG213-'St of Activities - GA Exp'!AW213</f>
        <v>2219438</v>
      </c>
      <c r="BA213" s="6">
        <v>26582314</v>
      </c>
      <c r="BC213" s="6">
        <f t="shared" si="24"/>
        <v>28801752</v>
      </c>
      <c r="BE213" s="6">
        <f>+'St of Net Assets - GA'!Y213-'St of Activities - GA Exp'!BC213</f>
        <v>0</v>
      </c>
    </row>
    <row r="214" spans="1:57">
      <c r="A214" s="11" t="s">
        <v>313</v>
      </c>
      <c r="B214" s="11"/>
      <c r="C214" s="11" t="s">
        <v>29</v>
      </c>
      <c r="E214" s="6">
        <v>10369703</v>
      </c>
      <c r="G214" s="6">
        <v>3836656</v>
      </c>
      <c r="I214" s="6">
        <v>104494</v>
      </c>
      <c r="K214" s="6">
        <v>0</v>
      </c>
      <c r="M214" s="6">
        <v>259673</v>
      </c>
      <c r="O214" s="6">
        <v>1331504</v>
      </c>
      <c r="Q214" s="6">
        <v>1476900</v>
      </c>
      <c r="S214" s="6">
        <v>33537</v>
      </c>
      <c r="U214" s="6">
        <v>2201280</v>
      </c>
      <c r="W214" s="6">
        <v>440784</v>
      </c>
      <c r="Y214" s="6">
        <v>0</v>
      </c>
      <c r="AA214" s="6">
        <v>2249725</v>
      </c>
      <c r="AC214" s="6">
        <v>1699821</v>
      </c>
      <c r="AE214" s="6">
        <v>133918</v>
      </c>
      <c r="AG214" s="11" t="s">
        <v>313</v>
      </c>
      <c r="AH214" s="11"/>
      <c r="AI214" s="11" t="s">
        <v>29</v>
      </c>
      <c r="AJ214" s="11"/>
      <c r="AK214" s="6">
        <v>932011</v>
      </c>
      <c r="AM214" s="6">
        <v>0</v>
      </c>
      <c r="AO214" s="6">
        <v>602937</v>
      </c>
      <c r="AQ214" s="6">
        <v>1020933</v>
      </c>
      <c r="AU214" s="6">
        <v>0</v>
      </c>
      <c r="AW214" s="6">
        <f t="shared" si="23"/>
        <v>26693876</v>
      </c>
      <c r="AY214" s="6">
        <f>+'St of Activites - GA Rev'!AG214-'St of Activities - GA Exp'!AW214</f>
        <v>-1693178</v>
      </c>
      <c r="BA214" s="6">
        <v>55751923</v>
      </c>
      <c r="BC214" s="6">
        <f t="shared" si="24"/>
        <v>54058745</v>
      </c>
      <c r="BE214" s="6">
        <f>+'St of Net Assets - GA'!Y214-'St of Activities - GA Exp'!BC214</f>
        <v>0</v>
      </c>
    </row>
    <row r="215" spans="1:57">
      <c r="A215" s="11" t="s">
        <v>535</v>
      </c>
      <c r="B215" s="11"/>
      <c r="C215" s="11" t="s">
        <v>65</v>
      </c>
      <c r="E215" s="6">
        <v>5806894</v>
      </c>
      <c r="G215" s="6">
        <v>1388003</v>
      </c>
      <c r="I215" s="6">
        <v>1824</v>
      </c>
      <c r="K215" s="6">
        <v>0</v>
      </c>
      <c r="M215" s="6">
        <v>62638</v>
      </c>
      <c r="O215" s="6">
        <v>325154</v>
      </c>
      <c r="Q215" s="6">
        <v>809286</v>
      </c>
      <c r="S215" s="6">
        <v>16760</v>
      </c>
      <c r="U215" s="6">
        <v>1026279</v>
      </c>
      <c r="W215" s="6">
        <v>394964</v>
      </c>
      <c r="Y215" s="6">
        <v>0</v>
      </c>
      <c r="AA215" s="6">
        <v>911672</v>
      </c>
      <c r="AC215" s="6">
        <v>807772</v>
      </c>
      <c r="AE215" s="6">
        <v>40458</v>
      </c>
      <c r="AG215" s="11" t="s">
        <v>535</v>
      </c>
      <c r="AH215" s="11"/>
      <c r="AI215" s="11" t="s">
        <v>65</v>
      </c>
      <c r="AJ215" s="11"/>
      <c r="AK215" s="6">
        <v>465667</v>
      </c>
      <c r="AM215" s="6">
        <v>0</v>
      </c>
      <c r="AO215" s="6">
        <v>375516</v>
      </c>
      <c r="AQ215" s="6">
        <v>37808</v>
      </c>
      <c r="AU215" s="6">
        <v>0</v>
      </c>
      <c r="AW215" s="6">
        <f t="shared" si="23"/>
        <v>12470695</v>
      </c>
      <c r="AY215" s="6">
        <f>+'St of Activites - GA Rev'!AG215-'St of Activities - GA Exp'!AW215</f>
        <v>-253647</v>
      </c>
      <c r="BA215" s="6">
        <v>4823842</v>
      </c>
      <c r="BC215" s="6">
        <f t="shared" si="24"/>
        <v>4570195</v>
      </c>
      <c r="BE215" s="6">
        <f>+'St of Net Assets - GA'!Y215-'St of Activities - GA Exp'!BC215</f>
        <v>0</v>
      </c>
    </row>
    <row r="216" spans="1:57" ht="12" customHeight="1">
      <c r="A216" s="11" t="s">
        <v>678</v>
      </c>
      <c r="B216" s="11"/>
      <c r="C216" s="11" t="s">
        <v>20</v>
      </c>
      <c r="E216" s="6">
        <v>16647135</v>
      </c>
      <c r="G216" s="6">
        <v>3835072</v>
      </c>
      <c r="I216" s="6">
        <v>187630</v>
      </c>
      <c r="K216" s="6">
        <v>0</v>
      </c>
      <c r="M216" s="6">
        <v>3371030</v>
      </c>
      <c r="O216" s="6">
        <v>2480029</v>
      </c>
      <c r="Q216" s="6">
        <v>1996748</v>
      </c>
      <c r="S216" s="6">
        <v>165334</v>
      </c>
      <c r="U216" s="6">
        <v>3866113</v>
      </c>
      <c r="W216" s="6">
        <v>1122663</v>
      </c>
      <c r="Y216" s="6">
        <v>665312</v>
      </c>
      <c r="AA216" s="6">
        <v>3236443</v>
      </c>
      <c r="AC216" s="6">
        <v>798921</v>
      </c>
      <c r="AE216" s="6">
        <v>361900</v>
      </c>
      <c r="AG216" s="11" t="s">
        <v>678</v>
      </c>
      <c r="AH216" s="11"/>
      <c r="AI216" s="11" t="s">
        <v>20</v>
      </c>
      <c r="AJ216" s="11"/>
      <c r="AK216" s="6">
        <v>1286376</v>
      </c>
      <c r="AM216" s="6">
        <v>1027174</v>
      </c>
      <c r="AO216" s="6">
        <v>476186</v>
      </c>
      <c r="AQ216" s="6">
        <v>2422807</v>
      </c>
      <c r="AU216" s="6">
        <v>0</v>
      </c>
      <c r="AW216" s="6">
        <f t="shared" si="23"/>
        <v>43946873</v>
      </c>
      <c r="AY216" s="6">
        <f>+'St of Activites - GA Rev'!AG216-'St of Activities - GA Exp'!AW216</f>
        <v>-1652198</v>
      </c>
      <c r="BA216" s="6">
        <v>23778137</v>
      </c>
      <c r="BC216" s="6">
        <f t="shared" si="24"/>
        <v>22125939</v>
      </c>
      <c r="BE216" s="6">
        <f>+'St of Net Assets - GA'!Y216-'St of Activities - GA Exp'!BC216</f>
        <v>0</v>
      </c>
    </row>
    <row r="217" spans="1:57" ht="12" customHeight="1">
      <c r="A217" s="11" t="s">
        <v>643</v>
      </c>
      <c r="B217" s="11"/>
      <c r="C217" s="11" t="s">
        <v>12</v>
      </c>
      <c r="E217" s="6">
        <v>10577413</v>
      </c>
      <c r="G217" s="6">
        <v>3548848</v>
      </c>
      <c r="I217" s="6">
        <v>263599</v>
      </c>
      <c r="K217" s="6">
        <v>0</v>
      </c>
      <c r="M217" s="6">
        <v>1208966</v>
      </c>
      <c r="O217" s="6">
        <v>1274038</v>
      </c>
      <c r="Q217" s="6">
        <v>600883</v>
      </c>
      <c r="S217" s="6">
        <v>17526</v>
      </c>
      <c r="U217" s="6">
        <v>1963260</v>
      </c>
      <c r="W217" s="6">
        <v>552210</v>
      </c>
      <c r="Y217" s="6">
        <v>30752</v>
      </c>
      <c r="AA217" s="6">
        <v>2449292</v>
      </c>
      <c r="AC217" s="6">
        <v>1538454</v>
      </c>
      <c r="AE217" s="6">
        <v>22349</v>
      </c>
      <c r="AG217" s="11" t="s">
        <v>643</v>
      </c>
      <c r="AH217" s="11"/>
      <c r="AI217" s="11" t="s">
        <v>12</v>
      </c>
      <c r="AJ217" s="11"/>
      <c r="AK217" s="6">
        <v>0</v>
      </c>
      <c r="AM217" s="6">
        <v>1477031</v>
      </c>
      <c r="AO217" s="6">
        <v>742038</v>
      </c>
      <c r="AQ217" s="6">
        <v>1861973</v>
      </c>
      <c r="AU217" s="6">
        <v>0</v>
      </c>
      <c r="AW217" s="6">
        <f t="shared" si="23"/>
        <v>28128632</v>
      </c>
      <c r="AY217" s="6">
        <f>+'St of Activites - GA Rev'!AG217-'St of Activities - GA Exp'!AW217</f>
        <v>9946216</v>
      </c>
      <c r="BA217" s="6">
        <v>54434308</v>
      </c>
      <c r="BC217" s="6">
        <f t="shared" si="24"/>
        <v>64380524</v>
      </c>
      <c r="BE217" s="6">
        <f>+'St of Net Assets - GA'!Y217-'St of Activities - GA Exp'!BC217</f>
        <v>0</v>
      </c>
    </row>
    <row r="218" spans="1:57" hidden="1">
      <c r="A218" s="11" t="s">
        <v>832</v>
      </c>
      <c r="B218" s="11"/>
      <c r="C218" s="11" t="s">
        <v>53</v>
      </c>
      <c r="AG218" s="11" t="s">
        <v>832</v>
      </c>
      <c r="AH218" s="11"/>
      <c r="AI218" s="11" t="s">
        <v>53</v>
      </c>
      <c r="AJ218" s="11"/>
      <c r="AW218" s="6">
        <f t="shared" si="23"/>
        <v>0</v>
      </c>
      <c r="AY218" s="6">
        <f>+'St of Activites - GA Rev'!AG218-'St of Activities - GA Exp'!AW218</f>
        <v>0</v>
      </c>
      <c r="BC218" s="6">
        <f t="shared" si="24"/>
        <v>0</v>
      </c>
      <c r="BE218" s="6">
        <f>+'St of Net Assets - GA'!Y218-'St of Activities - GA Exp'!BC218</f>
        <v>0</v>
      </c>
    </row>
    <row r="219" spans="1:57" hidden="1">
      <c r="A219" s="11" t="s">
        <v>665</v>
      </c>
      <c r="B219" s="11"/>
      <c r="C219" s="11" t="s">
        <v>77</v>
      </c>
      <c r="AG219" s="11" t="s">
        <v>665</v>
      </c>
      <c r="AH219" s="11"/>
      <c r="AI219" s="11" t="s">
        <v>77</v>
      </c>
      <c r="AJ219" s="11"/>
      <c r="AW219" s="6">
        <f t="shared" si="23"/>
        <v>0</v>
      </c>
      <c r="AY219" s="6">
        <f>+'St of Activites - GA Rev'!AG219-'St of Activities - GA Exp'!AW219</f>
        <v>0</v>
      </c>
      <c r="BC219" s="6">
        <f t="shared" si="24"/>
        <v>0</v>
      </c>
      <c r="BE219" s="6">
        <f>+'St of Net Assets - GA'!Y219-'St of Activities - GA Exp'!BC219</f>
        <v>0</v>
      </c>
    </row>
    <row r="220" spans="1:57">
      <c r="A220" s="11" t="s">
        <v>748</v>
      </c>
      <c r="B220" s="11"/>
      <c r="C220" s="11" t="s">
        <v>79</v>
      </c>
      <c r="E220" s="6">
        <v>5252219</v>
      </c>
      <c r="G220" s="6">
        <v>980940</v>
      </c>
      <c r="I220" s="6">
        <v>199769</v>
      </c>
      <c r="K220" s="6">
        <v>0</v>
      </c>
      <c r="M220" s="6">
        <v>0</v>
      </c>
      <c r="O220" s="6">
        <v>426683</v>
      </c>
      <c r="Q220" s="6">
        <v>101262</v>
      </c>
      <c r="S220" s="6">
        <v>69244</v>
      </c>
      <c r="U220" s="6">
        <v>882427</v>
      </c>
      <c r="W220" s="6">
        <v>412406</v>
      </c>
      <c r="Y220" s="6">
        <v>6281</v>
      </c>
      <c r="AA220" s="6">
        <v>1193872</v>
      </c>
      <c r="AC220" s="6">
        <v>451460</v>
      </c>
      <c r="AE220" s="6">
        <v>2099</v>
      </c>
      <c r="AG220" s="11" t="s">
        <v>748</v>
      </c>
      <c r="AH220" s="11"/>
      <c r="AI220" s="11" t="s">
        <v>79</v>
      </c>
      <c r="AJ220" s="11"/>
      <c r="AK220" s="6">
        <v>564754</v>
      </c>
      <c r="AM220" s="6">
        <v>110874</v>
      </c>
      <c r="AO220" s="6">
        <v>384254</v>
      </c>
      <c r="AQ220" s="6">
        <v>211016</v>
      </c>
      <c r="AU220" s="6">
        <v>0</v>
      </c>
      <c r="AW220" s="6">
        <f t="shared" si="23"/>
        <v>11249560</v>
      </c>
      <c r="AY220" s="6">
        <f>+'St of Activites - GA Rev'!AG220-'St of Activities - GA Exp'!AW220</f>
        <v>-1583755</v>
      </c>
      <c r="BA220" s="6">
        <v>20883852</v>
      </c>
      <c r="BC220" s="6">
        <f t="shared" si="24"/>
        <v>19300097</v>
      </c>
      <c r="BE220" s="6">
        <f>+'St of Net Assets - GA'!Y220-'St of Activities - GA Exp'!BC220</f>
        <v>0</v>
      </c>
    </row>
    <row r="221" spans="1:57" ht="12" customHeight="1">
      <c r="A221" s="11" t="s">
        <v>521</v>
      </c>
      <c r="B221" s="11"/>
      <c r="C221" s="11" t="s">
        <v>64</v>
      </c>
      <c r="E221" s="6">
        <v>7325333</v>
      </c>
      <c r="G221" s="6">
        <v>2122760</v>
      </c>
      <c r="I221" s="6">
        <v>202239</v>
      </c>
      <c r="K221" s="6">
        <v>0</v>
      </c>
      <c r="M221" s="6">
        <v>810215</v>
      </c>
      <c r="O221" s="6">
        <v>999284</v>
      </c>
      <c r="Q221" s="6">
        <v>218785</v>
      </c>
      <c r="S221" s="6">
        <v>29003</v>
      </c>
      <c r="U221" s="6">
        <v>1247809</v>
      </c>
      <c r="W221" s="6">
        <v>842339</v>
      </c>
      <c r="Y221" s="6">
        <v>0</v>
      </c>
      <c r="AA221" s="6">
        <v>1978738</v>
      </c>
      <c r="AC221" s="6">
        <v>609716</v>
      </c>
      <c r="AE221" s="6">
        <v>4000</v>
      </c>
      <c r="AG221" s="11" t="s">
        <v>521</v>
      </c>
      <c r="AH221" s="11"/>
      <c r="AI221" s="11" t="s">
        <v>64</v>
      </c>
      <c r="AJ221" s="11"/>
      <c r="AK221" s="6">
        <v>684391</v>
      </c>
      <c r="AM221" s="6">
        <v>237169</v>
      </c>
      <c r="AO221" s="6">
        <v>729812</v>
      </c>
      <c r="AQ221" s="6">
        <v>554674</v>
      </c>
      <c r="AU221" s="6">
        <v>0</v>
      </c>
      <c r="AW221" s="6">
        <f t="shared" si="23"/>
        <v>18596267</v>
      </c>
      <c r="AY221" s="6">
        <f>+'St of Activites - GA Rev'!AG221-'St of Activities - GA Exp'!AW221</f>
        <v>-2933973</v>
      </c>
      <c r="BA221" s="6">
        <v>35471453</v>
      </c>
      <c r="BC221" s="6">
        <f t="shared" si="24"/>
        <v>32537480</v>
      </c>
      <c r="BE221" s="6">
        <f>+'St of Net Assets - GA'!Y221-'St of Activities - GA Exp'!BC221</f>
        <v>0</v>
      </c>
    </row>
    <row r="222" spans="1:57" hidden="1">
      <c r="A222" s="11" t="s">
        <v>790</v>
      </c>
      <c r="B222" s="11"/>
      <c r="C222" s="11" t="s">
        <v>28</v>
      </c>
      <c r="AG222" s="11" t="s">
        <v>790</v>
      </c>
      <c r="AH222" s="11"/>
      <c r="AI222" s="11" t="s">
        <v>28</v>
      </c>
      <c r="AJ222" s="11"/>
      <c r="AW222" s="6">
        <f t="shared" si="23"/>
        <v>0</v>
      </c>
      <c r="AY222" s="6">
        <f>+'St of Activites - GA Rev'!AG222-'St of Activities - GA Exp'!AW222</f>
        <v>0</v>
      </c>
      <c r="BC222" s="6">
        <f t="shared" si="24"/>
        <v>0</v>
      </c>
      <c r="BE222" s="6">
        <f>+'St of Net Assets - GA'!Y222-'St of Activities - GA Exp'!BC222</f>
        <v>0</v>
      </c>
    </row>
    <row r="223" spans="1:57">
      <c r="A223" s="11" t="s">
        <v>240</v>
      </c>
      <c r="B223" s="11"/>
      <c r="C223" s="11" t="s">
        <v>113</v>
      </c>
      <c r="E223" s="6">
        <v>11243211</v>
      </c>
      <c r="G223" s="6">
        <v>4027663</v>
      </c>
      <c r="I223" s="6">
        <v>411737</v>
      </c>
      <c r="K223" s="6">
        <v>0</v>
      </c>
      <c r="M223" s="6">
        <v>0</v>
      </c>
      <c r="O223" s="6">
        <v>2404386</v>
      </c>
      <c r="Q223" s="6">
        <v>1833789</v>
      </c>
      <c r="S223" s="6">
        <v>38345</v>
      </c>
      <c r="U223" s="6">
        <v>1706804</v>
      </c>
      <c r="W223" s="6">
        <v>582460</v>
      </c>
      <c r="Y223" s="6">
        <v>179897</v>
      </c>
      <c r="AA223" s="6">
        <v>2068545</v>
      </c>
      <c r="AC223" s="6">
        <v>2195803</v>
      </c>
      <c r="AE223" s="6">
        <v>0</v>
      </c>
      <c r="AG223" s="11" t="s">
        <v>240</v>
      </c>
      <c r="AH223" s="11"/>
      <c r="AI223" s="11" t="s">
        <v>113</v>
      </c>
      <c r="AJ223" s="11"/>
      <c r="AK223" s="6">
        <v>1358977</v>
      </c>
      <c r="AM223" s="6">
        <v>22282</v>
      </c>
      <c r="AO223" s="6">
        <v>585873</v>
      </c>
      <c r="AQ223" s="6">
        <v>568131</v>
      </c>
      <c r="AU223" s="6">
        <v>0</v>
      </c>
      <c r="AW223" s="6">
        <f t="shared" si="23"/>
        <v>29227903</v>
      </c>
      <c r="AY223" s="6">
        <f>+'St of Activites - GA Rev'!AG223-'St of Activities - GA Exp'!AW223</f>
        <v>-1410100</v>
      </c>
      <c r="BA223" s="6">
        <v>30159407</v>
      </c>
      <c r="BC223" s="6">
        <f t="shared" si="24"/>
        <v>28749307</v>
      </c>
      <c r="BE223" s="6">
        <f>+'St of Net Assets - GA'!Y223-'St of Activities - GA Exp'!BC223</f>
        <v>0</v>
      </c>
    </row>
    <row r="224" spans="1:57" hidden="1">
      <c r="A224" s="11" t="s">
        <v>791</v>
      </c>
      <c r="B224" s="11"/>
      <c r="C224" s="11" t="s">
        <v>228</v>
      </c>
      <c r="AG224" s="11" t="s">
        <v>791</v>
      </c>
      <c r="AH224" s="11"/>
      <c r="AI224" s="11" t="s">
        <v>228</v>
      </c>
      <c r="AJ224" s="11"/>
      <c r="AW224" s="6">
        <f t="shared" si="23"/>
        <v>0</v>
      </c>
      <c r="AY224" s="6">
        <f>+'St of Activites - GA Rev'!AG224-'St of Activities - GA Exp'!AW224</f>
        <v>0</v>
      </c>
      <c r="BC224" s="6">
        <f t="shared" si="24"/>
        <v>0</v>
      </c>
      <c r="BE224" s="6">
        <f>+'St of Net Assets - GA'!Y224-'St of Activities - GA Exp'!BC224</f>
        <v>0</v>
      </c>
    </row>
    <row r="225" spans="1:57">
      <c r="A225" s="11" t="s">
        <v>208</v>
      </c>
      <c r="B225" s="11"/>
      <c r="C225" s="11" t="s">
        <v>12</v>
      </c>
      <c r="E225" s="6">
        <v>6975423</v>
      </c>
      <c r="G225" s="6">
        <v>816061</v>
      </c>
      <c r="I225" s="6">
        <v>182301</v>
      </c>
      <c r="K225" s="6">
        <v>0</v>
      </c>
      <c r="M225" s="6">
        <v>66627</v>
      </c>
      <c r="O225" s="6">
        <v>564022</v>
      </c>
      <c r="Q225" s="6">
        <v>249549</v>
      </c>
      <c r="S225" s="6">
        <v>17030</v>
      </c>
      <c r="U225" s="6">
        <v>1241662</v>
      </c>
      <c r="W225" s="6">
        <v>316986</v>
      </c>
      <c r="Y225" s="6">
        <v>26893</v>
      </c>
      <c r="AA225" s="6">
        <v>1091108</v>
      </c>
      <c r="AC225" s="6">
        <v>1172473</v>
      </c>
      <c r="AE225" s="6">
        <v>27393</v>
      </c>
      <c r="AG225" s="11" t="s">
        <v>208</v>
      </c>
      <c r="AH225" s="11"/>
      <c r="AI225" s="11" t="s">
        <v>12</v>
      </c>
      <c r="AJ225" s="11"/>
      <c r="AK225" s="6">
        <v>501609</v>
      </c>
      <c r="AM225" s="6">
        <v>0</v>
      </c>
      <c r="AO225" s="6">
        <v>418444</v>
      </c>
      <c r="AQ225" s="6">
        <v>265364</v>
      </c>
      <c r="AU225" s="6">
        <v>0</v>
      </c>
      <c r="AW225" s="6">
        <f t="shared" si="23"/>
        <v>13932945</v>
      </c>
      <c r="AY225" s="6">
        <f>+'St of Activites - GA Rev'!AG225-'St of Activities - GA Exp'!AW225</f>
        <v>-395850</v>
      </c>
      <c r="BA225" s="6">
        <v>27764359</v>
      </c>
      <c r="BC225" s="6">
        <f t="shared" si="24"/>
        <v>27368509</v>
      </c>
      <c r="BE225" s="6">
        <f>+'St of Net Assets - GA'!Y225-'St of Activities - GA Exp'!BC225</f>
        <v>0</v>
      </c>
    </row>
    <row r="226" spans="1:57">
      <c r="A226" s="11" t="s">
        <v>303</v>
      </c>
      <c r="B226" s="11"/>
      <c r="C226" s="11" t="s">
        <v>27</v>
      </c>
      <c r="E226" s="6">
        <v>7336862</v>
      </c>
      <c r="G226" s="6">
        <v>2350523</v>
      </c>
      <c r="I226" s="6">
        <v>116511</v>
      </c>
      <c r="K226" s="6">
        <v>0</v>
      </c>
      <c r="M226" s="6">
        <v>0</v>
      </c>
      <c r="O226" s="6">
        <v>1591856</v>
      </c>
      <c r="Q226" s="6">
        <v>924713</v>
      </c>
      <c r="S226" s="6">
        <v>17112</v>
      </c>
      <c r="U226" s="6">
        <v>1077490</v>
      </c>
      <c r="W226" s="6">
        <v>518647</v>
      </c>
      <c r="Y226" s="6">
        <v>71476</v>
      </c>
      <c r="AA226" s="6">
        <v>1369050</v>
      </c>
      <c r="AC226" s="6">
        <v>14281</v>
      </c>
      <c r="AE226" s="6">
        <v>61806</v>
      </c>
      <c r="AG226" s="11" t="s">
        <v>303</v>
      </c>
      <c r="AH226" s="11"/>
      <c r="AI226" s="11" t="s">
        <v>27</v>
      </c>
      <c r="AJ226" s="11"/>
      <c r="AK226" s="6">
        <v>0</v>
      </c>
      <c r="AM226" s="6">
        <v>744284</v>
      </c>
      <c r="AO226" s="6">
        <v>870516</v>
      </c>
      <c r="AQ226" s="6">
        <v>318412</v>
      </c>
      <c r="AU226" s="6">
        <v>0</v>
      </c>
      <c r="AW226" s="6">
        <f t="shared" si="23"/>
        <v>17383539</v>
      </c>
      <c r="AY226" s="6">
        <f>+'St of Activites - GA Rev'!AG226-'St of Activities - GA Exp'!AW226</f>
        <v>1361313</v>
      </c>
      <c r="BA226" s="6">
        <v>15984379</v>
      </c>
      <c r="BC226" s="6">
        <f t="shared" si="24"/>
        <v>17345692</v>
      </c>
      <c r="BE226" s="6">
        <f>+'St of Net Assets - GA'!Y226-'St of Activities - GA Exp'!BC226</f>
        <v>0</v>
      </c>
    </row>
    <row r="227" spans="1:57">
      <c r="A227" s="11" t="s">
        <v>666</v>
      </c>
      <c r="B227" s="11"/>
      <c r="C227" s="11" t="s">
        <v>42</v>
      </c>
      <c r="E227" s="6">
        <v>12544810</v>
      </c>
      <c r="G227" s="6">
        <v>2676625</v>
      </c>
      <c r="I227" s="6">
        <v>164309</v>
      </c>
      <c r="K227" s="6">
        <v>0</v>
      </c>
      <c r="M227" s="6">
        <v>0</v>
      </c>
      <c r="O227" s="6">
        <v>1705021</v>
      </c>
      <c r="Q227" s="6">
        <v>1386516</v>
      </c>
      <c r="S227" s="6">
        <v>90042</v>
      </c>
      <c r="U227" s="6">
        <v>1592557</v>
      </c>
      <c r="W227" s="6">
        <v>852777</v>
      </c>
      <c r="Y227" s="6">
        <v>134451</v>
      </c>
      <c r="AA227" s="6">
        <v>2157006</v>
      </c>
      <c r="AC227" s="6">
        <v>1679275</v>
      </c>
      <c r="AE227" s="6">
        <v>576711</v>
      </c>
      <c r="AG227" s="11" t="s">
        <v>666</v>
      </c>
      <c r="AH227" s="11"/>
      <c r="AI227" s="11" t="s">
        <v>42</v>
      </c>
      <c r="AJ227" s="11"/>
      <c r="AK227" s="6">
        <v>0</v>
      </c>
      <c r="AM227" s="6">
        <v>1115490</v>
      </c>
      <c r="AO227" s="6">
        <v>1327444</v>
      </c>
      <c r="AQ227" s="6">
        <v>2177803</v>
      </c>
      <c r="AU227" s="6">
        <v>0</v>
      </c>
      <c r="AW227" s="6">
        <f t="shared" si="23"/>
        <v>30180837</v>
      </c>
      <c r="AY227" s="6">
        <f>+'St of Activites - GA Rev'!AG227-'St of Activities - GA Exp'!AW227</f>
        <v>-3358291</v>
      </c>
      <c r="BA227" s="6">
        <v>7230288</v>
      </c>
      <c r="BC227" s="6">
        <f t="shared" si="24"/>
        <v>3871997</v>
      </c>
      <c r="BE227" s="6">
        <f>+'St of Net Assets - GA'!Y227-'St of Activities - GA Exp'!BC227</f>
        <v>0</v>
      </c>
    </row>
    <row r="228" spans="1:57">
      <c r="A228" s="11" t="s">
        <v>481</v>
      </c>
      <c r="B228" s="11"/>
      <c r="C228" s="11" t="s">
        <v>59</v>
      </c>
      <c r="E228" s="6">
        <v>2291460</v>
      </c>
      <c r="G228" s="6">
        <v>630105</v>
      </c>
      <c r="I228" s="6">
        <v>8099</v>
      </c>
      <c r="K228" s="6">
        <v>0</v>
      </c>
      <c r="M228" s="6">
        <v>1075651</v>
      </c>
      <c r="O228" s="6">
        <v>382443</v>
      </c>
      <c r="Q228" s="6">
        <v>413068</v>
      </c>
      <c r="S228" s="6">
        <v>44658</v>
      </c>
      <c r="U228" s="6">
        <v>545186</v>
      </c>
      <c r="W228" s="6">
        <v>259414</v>
      </c>
      <c r="Y228" s="6">
        <v>0</v>
      </c>
      <c r="AA228" s="6">
        <v>474198</v>
      </c>
      <c r="AC228" s="6">
        <v>468206</v>
      </c>
      <c r="AE228" s="6">
        <v>0</v>
      </c>
      <c r="AG228" s="11" t="s">
        <v>481</v>
      </c>
      <c r="AH228" s="11"/>
      <c r="AI228" s="11" t="s">
        <v>59</v>
      </c>
      <c r="AJ228" s="11"/>
      <c r="AK228" s="6">
        <v>0</v>
      </c>
      <c r="AM228" s="6">
        <v>242134</v>
      </c>
      <c r="AO228" s="6">
        <v>112841</v>
      </c>
      <c r="AQ228" s="6">
        <v>8149</v>
      </c>
      <c r="AU228" s="6">
        <v>0</v>
      </c>
      <c r="AW228" s="6">
        <f t="shared" si="23"/>
        <v>6955612</v>
      </c>
      <c r="AY228" s="6">
        <f>+'St of Activites - GA Rev'!AG228-'St of Activities - GA Exp'!AW228</f>
        <v>598541</v>
      </c>
      <c r="BA228" s="6">
        <v>2841914</v>
      </c>
      <c r="BC228" s="6">
        <f t="shared" si="24"/>
        <v>3440455</v>
      </c>
      <c r="BE228" s="6">
        <f>+'St of Net Assets - GA'!Y228-'St of Activities - GA Exp'!BC228</f>
        <v>0</v>
      </c>
    </row>
    <row r="229" spans="1:57">
      <c r="A229" s="11" t="s">
        <v>481</v>
      </c>
      <c r="B229" s="11"/>
      <c r="C229" s="11" t="s">
        <v>63</v>
      </c>
      <c r="E229" s="6">
        <v>16516526</v>
      </c>
      <c r="G229" s="6">
        <v>5956314</v>
      </c>
      <c r="I229" s="6">
        <v>147298</v>
      </c>
      <c r="K229" s="6">
        <v>0</v>
      </c>
      <c r="M229" s="6">
        <f>96065+1221324</f>
        <v>1317389</v>
      </c>
      <c r="O229" s="6">
        <v>2097293</v>
      </c>
      <c r="Q229" s="6">
        <v>1916213</v>
      </c>
      <c r="S229" s="6">
        <v>18167</v>
      </c>
      <c r="U229" s="6">
        <v>2952906</v>
      </c>
      <c r="W229" s="6">
        <v>1650495</v>
      </c>
      <c r="Y229" s="6">
        <v>208353</v>
      </c>
      <c r="AA229" s="6">
        <v>3642618</v>
      </c>
      <c r="AC229" s="6">
        <v>2008556</v>
      </c>
      <c r="AE229" s="6">
        <v>0</v>
      </c>
      <c r="AG229" s="11" t="s">
        <v>481</v>
      </c>
      <c r="AH229" s="11"/>
      <c r="AI229" s="11" t="s">
        <v>63</v>
      </c>
      <c r="AJ229" s="11"/>
      <c r="AK229" s="6">
        <v>1119105</v>
      </c>
      <c r="AM229" s="6">
        <v>139849</v>
      </c>
      <c r="AO229" s="6">
        <v>1544665</v>
      </c>
      <c r="AQ229" s="6">
        <v>0</v>
      </c>
      <c r="AU229" s="6">
        <v>915133</v>
      </c>
      <c r="AW229" s="6">
        <f t="shared" si="23"/>
        <v>42150880</v>
      </c>
      <c r="AY229" s="6">
        <f>+'St of Activites - GA Rev'!AG229-'St of Activities - GA Exp'!AW229</f>
        <v>-395430</v>
      </c>
      <c r="BA229" s="6">
        <v>2406830</v>
      </c>
      <c r="BC229" s="6">
        <f t="shared" si="24"/>
        <v>2011400</v>
      </c>
      <c r="BE229" s="6">
        <f>+'St of Net Assets - GA'!Y229-'St of Activities - GA Exp'!BC229</f>
        <v>0</v>
      </c>
    </row>
    <row r="230" spans="1:57" hidden="1">
      <c r="A230" s="10" t="s">
        <v>856</v>
      </c>
      <c r="B230" s="11"/>
      <c r="C230" s="11" t="s">
        <v>71</v>
      </c>
      <c r="E230" s="6">
        <v>0</v>
      </c>
      <c r="G230" s="6">
        <v>0</v>
      </c>
      <c r="I230" s="6">
        <v>0</v>
      </c>
      <c r="K230" s="6">
        <v>0</v>
      </c>
      <c r="M230" s="6">
        <v>0</v>
      </c>
      <c r="O230" s="6">
        <v>0</v>
      </c>
      <c r="Q230" s="6">
        <v>0</v>
      </c>
      <c r="S230" s="6">
        <v>0</v>
      </c>
      <c r="U230" s="6">
        <v>0</v>
      </c>
      <c r="W230" s="6">
        <v>0</v>
      </c>
      <c r="Y230" s="6">
        <v>0</v>
      </c>
      <c r="AA230" s="6">
        <v>0</v>
      </c>
      <c r="AC230" s="6">
        <v>0</v>
      </c>
      <c r="AE230" s="6">
        <v>0</v>
      </c>
      <c r="AG230" s="10" t="s">
        <v>856</v>
      </c>
      <c r="AH230" s="11"/>
      <c r="AI230" s="11" t="s">
        <v>71</v>
      </c>
      <c r="AJ230" s="11"/>
      <c r="AK230" s="6">
        <v>0</v>
      </c>
      <c r="AM230" s="6">
        <v>0</v>
      </c>
      <c r="AO230" s="6">
        <v>0</v>
      </c>
      <c r="AQ230" s="6">
        <v>0</v>
      </c>
      <c r="AU230" s="6">
        <v>0</v>
      </c>
      <c r="AW230" s="6">
        <f t="shared" si="23"/>
        <v>0</v>
      </c>
      <c r="AY230" s="6">
        <f>+'St of Activites - GA Rev'!AG230-'St of Activities - GA Exp'!AW230</f>
        <v>0</v>
      </c>
      <c r="BC230" s="6">
        <f t="shared" si="24"/>
        <v>0</v>
      </c>
      <c r="BE230" s="6">
        <f>+'St of Net Assets - GA'!Y230-'St of Activities - GA Exp'!BC230</f>
        <v>0</v>
      </c>
    </row>
    <row r="231" spans="1:57">
      <c r="A231" s="11" t="s">
        <v>318</v>
      </c>
      <c r="B231" s="11"/>
      <c r="C231" s="11" t="s">
        <v>114</v>
      </c>
      <c r="E231" s="6">
        <v>6720893</v>
      </c>
      <c r="G231" s="6">
        <v>1474407</v>
      </c>
      <c r="I231" s="6">
        <v>1643</v>
      </c>
      <c r="K231" s="6">
        <v>0</v>
      </c>
      <c r="M231" s="6">
        <v>13739</v>
      </c>
      <c r="O231" s="6">
        <v>696089</v>
      </c>
      <c r="Q231" s="6">
        <v>742343</v>
      </c>
      <c r="S231" s="6">
        <v>79058</v>
      </c>
      <c r="U231" s="6">
        <v>1334943</v>
      </c>
      <c r="W231" s="6">
        <v>369994</v>
      </c>
      <c r="Y231" s="6">
        <v>347</v>
      </c>
      <c r="AA231" s="6">
        <v>991397</v>
      </c>
      <c r="AC231" s="6">
        <v>907726</v>
      </c>
      <c r="AE231" s="6">
        <v>0</v>
      </c>
      <c r="AG231" s="11" t="s">
        <v>318</v>
      </c>
      <c r="AH231" s="11"/>
      <c r="AI231" s="11" t="s">
        <v>114</v>
      </c>
      <c r="AJ231" s="11"/>
      <c r="AK231" s="6">
        <v>0</v>
      </c>
      <c r="AM231" s="6">
        <v>445826</v>
      </c>
      <c r="AO231" s="6">
        <v>455014</v>
      </c>
      <c r="AQ231" s="6">
        <v>340854</v>
      </c>
      <c r="AU231" s="6">
        <v>0</v>
      </c>
      <c r="AW231" s="6">
        <f t="shared" si="23"/>
        <v>14574273</v>
      </c>
      <c r="AY231" s="6">
        <f>+'St of Activites - GA Rev'!AG231-'St of Activities - GA Exp'!AW231</f>
        <v>-187985</v>
      </c>
      <c r="BA231" s="6">
        <v>26660873</v>
      </c>
      <c r="BC231" s="6">
        <f t="shared" si="24"/>
        <v>26472888</v>
      </c>
      <c r="BE231" s="6">
        <f>+'St of Net Assets - GA'!Y231-'St of Activities - GA Exp'!BC231</f>
        <v>0</v>
      </c>
    </row>
    <row r="232" spans="1:57" ht="12" customHeight="1">
      <c r="A232" s="11" t="s">
        <v>760</v>
      </c>
      <c r="B232" s="11"/>
      <c r="C232" s="11" t="s">
        <v>348</v>
      </c>
      <c r="E232" s="6">
        <v>9427898</v>
      </c>
      <c r="G232" s="6">
        <v>1373978</v>
      </c>
      <c r="I232" s="6">
        <v>444992</v>
      </c>
      <c r="K232" s="6">
        <v>0</v>
      </c>
      <c r="M232" s="6">
        <v>1281314</v>
      </c>
      <c r="O232" s="6">
        <v>852588</v>
      </c>
      <c r="Q232" s="6">
        <v>796253</v>
      </c>
      <c r="S232" s="6">
        <v>38849</v>
      </c>
      <c r="U232" s="6">
        <v>1674517</v>
      </c>
      <c r="W232" s="6">
        <v>438572</v>
      </c>
      <c r="Y232" s="6">
        <v>0</v>
      </c>
      <c r="AA232" s="6">
        <v>1648635</v>
      </c>
      <c r="AC232" s="6">
        <v>1152705</v>
      </c>
      <c r="AE232" s="6">
        <v>64430</v>
      </c>
      <c r="AG232" s="11" t="s">
        <v>760</v>
      </c>
      <c r="AH232" s="11"/>
      <c r="AI232" s="11" t="s">
        <v>348</v>
      </c>
      <c r="AJ232" s="11"/>
      <c r="AK232" s="6">
        <v>0</v>
      </c>
      <c r="AM232" s="6">
        <v>697636</v>
      </c>
      <c r="AO232" s="6">
        <v>414065</v>
      </c>
      <c r="AQ232" s="6">
        <v>95516</v>
      </c>
      <c r="AU232" s="6">
        <v>0</v>
      </c>
      <c r="AW232" s="6">
        <f t="shared" si="23"/>
        <v>20401948</v>
      </c>
      <c r="AY232" s="6">
        <f>+'St of Activites - GA Rev'!AG232-'St of Activities - GA Exp'!AW232</f>
        <v>1950434</v>
      </c>
      <c r="BA232" s="6">
        <v>30596321</v>
      </c>
      <c r="BC232" s="6">
        <f t="shared" si="24"/>
        <v>32546755</v>
      </c>
      <c r="BE232" s="6">
        <f>+'St of Net Assets - GA'!Y232-'St of Activities - GA Exp'!BC232</f>
        <v>0</v>
      </c>
    </row>
    <row r="233" spans="1:57">
      <c r="A233" s="11" t="s">
        <v>232</v>
      </c>
      <c r="B233" s="11"/>
      <c r="C233" s="11" t="s">
        <v>17</v>
      </c>
      <c r="E233" s="6">
        <v>7265831</v>
      </c>
      <c r="G233" s="6">
        <v>1709027</v>
      </c>
      <c r="I233" s="6">
        <v>404318</v>
      </c>
      <c r="K233" s="6">
        <v>0</v>
      </c>
      <c r="M233" s="6">
        <f>50392+375447</f>
        <v>425839</v>
      </c>
      <c r="O233" s="6">
        <v>1019143</v>
      </c>
      <c r="Q233" s="6">
        <v>634872</v>
      </c>
      <c r="S233" s="6">
        <v>113208</v>
      </c>
      <c r="U233" s="6">
        <v>1500244</v>
      </c>
      <c r="W233" s="6">
        <v>512100</v>
      </c>
      <c r="Y233" s="6">
        <v>103285</v>
      </c>
      <c r="AA233" s="6">
        <v>1409036</v>
      </c>
      <c r="AC233" s="6">
        <v>1193858</v>
      </c>
      <c r="AE233" s="6">
        <v>166224</v>
      </c>
      <c r="AG233" s="11" t="s">
        <v>232</v>
      </c>
      <c r="AH233" s="11"/>
      <c r="AI233" s="11" t="s">
        <v>17</v>
      </c>
      <c r="AJ233" s="11"/>
      <c r="AK233" s="6">
        <v>814777</v>
      </c>
      <c r="AM233" s="6">
        <v>34586</v>
      </c>
      <c r="AO233" s="6">
        <v>561925</v>
      </c>
      <c r="AQ233" s="6">
        <v>835</v>
      </c>
      <c r="AU233" s="6">
        <v>0</v>
      </c>
      <c r="AW233" s="6">
        <f>SUM(E233:AV233)</f>
        <v>17869108</v>
      </c>
      <c r="AY233" s="6">
        <f>+'St of Activites - GA Rev'!AG233-'St of Activities - GA Exp'!AW233</f>
        <v>-339907</v>
      </c>
      <c r="BA233" s="6">
        <v>9757633</v>
      </c>
      <c r="BC233" s="6">
        <f t="shared" si="24"/>
        <v>9417726</v>
      </c>
      <c r="BE233" s="6">
        <f>+'St of Net Assets - GA'!Y233-'St of Activities - GA Exp'!BC233</f>
        <v>0</v>
      </c>
    </row>
    <row r="234" spans="1:57">
      <c r="A234" s="11" t="s">
        <v>282</v>
      </c>
      <c r="B234" s="11"/>
      <c r="C234" s="11" t="s">
        <v>21</v>
      </c>
      <c r="E234" s="6">
        <v>13324386</v>
      </c>
      <c r="G234" s="6">
        <v>3608635</v>
      </c>
      <c r="I234" s="6">
        <v>1827279</v>
      </c>
      <c r="K234" s="6">
        <v>48987</v>
      </c>
      <c r="M234" s="6">
        <f>278079+500</f>
        <v>278579</v>
      </c>
      <c r="O234" s="6">
        <v>1257990</v>
      </c>
      <c r="Q234" s="6">
        <v>1544944</v>
      </c>
      <c r="S234" s="6">
        <v>89084</v>
      </c>
      <c r="U234" s="6">
        <v>2287315</v>
      </c>
      <c r="W234" s="6">
        <v>743794</v>
      </c>
      <c r="Y234" s="6">
        <v>10458</v>
      </c>
      <c r="AA234" s="6">
        <v>1870294</v>
      </c>
      <c r="AC234" s="6">
        <v>1071134</v>
      </c>
      <c r="AE234" s="6">
        <v>222022</v>
      </c>
      <c r="AG234" s="11" t="s">
        <v>282</v>
      </c>
      <c r="AH234" s="11"/>
      <c r="AI234" s="11" t="s">
        <v>21</v>
      </c>
      <c r="AJ234" s="11"/>
      <c r="AK234" s="6">
        <v>749137</v>
      </c>
      <c r="AM234" s="6">
        <f>356591+7936</f>
        <v>364527</v>
      </c>
      <c r="AO234" s="6">
        <f>291178+80219+264396+155</f>
        <v>635948</v>
      </c>
      <c r="AQ234" s="6">
        <v>0</v>
      </c>
      <c r="AU234" s="6">
        <v>0</v>
      </c>
      <c r="AW234" s="6">
        <f t="shared" si="23"/>
        <v>29934513</v>
      </c>
      <c r="AY234" s="6">
        <f>+'St of Activites - GA Rev'!AG234-'St of Activities - GA Exp'!AW234</f>
        <v>-946080</v>
      </c>
      <c r="BA234" s="6">
        <v>20208288</v>
      </c>
      <c r="BC234" s="6">
        <f t="shared" si="24"/>
        <v>19262208</v>
      </c>
      <c r="BE234" s="6">
        <f>+'St of Net Assets - GA'!Y234-'St of Activities - GA Exp'!BC234</f>
        <v>0</v>
      </c>
    </row>
    <row r="235" spans="1:57">
      <c r="A235" s="11" t="s">
        <v>304</v>
      </c>
      <c r="B235" s="11"/>
      <c r="C235" s="11" t="s">
        <v>27</v>
      </c>
      <c r="E235" s="6">
        <v>33020168</v>
      </c>
      <c r="G235" s="6">
        <v>8821805</v>
      </c>
      <c r="I235" s="6">
        <v>99579</v>
      </c>
      <c r="K235" s="6">
        <v>0</v>
      </c>
      <c r="M235" s="6">
        <v>72294</v>
      </c>
      <c r="O235" s="6">
        <v>3466402</v>
      </c>
      <c r="Q235" s="6">
        <v>4716605</v>
      </c>
      <c r="S235" s="6">
        <v>1375465</v>
      </c>
      <c r="U235" s="6">
        <v>4592990</v>
      </c>
      <c r="W235" s="6">
        <v>1405438</v>
      </c>
      <c r="Y235" s="6">
        <v>92772</v>
      </c>
      <c r="AA235" s="6">
        <v>5996669</v>
      </c>
      <c r="AC235" s="6">
        <v>5488941</v>
      </c>
      <c r="AE235" s="6">
        <v>911149</v>
      </c>
      <c r="AG235" s="11" t="s">
        <v>304</v>
      </c>
      <c r="AH235" s="11"/>
      <c r="AI235" s="11" t="s">
        <v>27</v>
      </c>
      <c r="AJ235" s="11"/>
      <c r="AK235" s="6">
        <v>0</v>
      </c>
      <c r="AM235" s="6">
        <v>2935679</v>
      </c>
      <c r="AO235" s="6">
        <v>838830</v>
      </c>
      <c r="AQ235" s="6">
        <v>104886</v>
      </c>
      <c r="AU235" s="6">
        <v>0</v>
      </c>
      <c r="AW235" s="6">
        <f t="shared" si="23"/>
        <v>73939672</v>
      </c>
      <c r="AY235" s="6">
        <f>+'St of Activites - GA Rev'!AG235-'St of Activities - GA Exp'!AW235</f>
        <v>-3583439</v>
      </c>
      <c r="BA235" s="6">
        <v>18944423</v>
      </c>
      <c r="BC235" s="6">
        <f t="shared" si="24"/>
        <v>15360984</v>
      </c>
      <c r="BE235" s="6">
        <f>+'St of Net Assets - GA'!Y235-'St of Activities - GA Exp'!BC235</f>
        <v>0</v>
      </c>
    </row>
    <row r="236" spans="1:57" ht="11.25" hidden="1" customHeight="1">
      <c r="A236" s="10" t="s">
        <v>857</v>
      </c>
      <c r="B236" s="11"/>
      <c r="C236" s="11" t="s">
        <v>221</v>
      </c>
      <c r="AG236" s="10" t="s">
        <v>857</v>
      </c>
      <c r="AH236" s="11"/>
      <c r="AI236" s="11" t="s">
        <v>221</v>
      </c>
      <c r="AJ236" s="11"/>
      <c r="AW236" s="6">
        <f>SUM(E236:AV236)</f>
        <v>0</v>
      </c>
      <c r="AY236" s="6">
        <f>+'St of Activites - GA Rev'!AG236-'St of Activities - GA Exp'!AW236</f>
        <v>0</v>
      </c>
      <c r="BC236" s="6">
        <f t="shared" si="24"/>
        <v>0</v>
      </c>
      <c r="BE236" s="6">
        <f>+'St of Net Assets - GA'!Y236-'St of Activities - GA Exp'!BC236</f>
        <v>0</v>
      </c>
    </row>
    <row r="237" spans="1:57">
      <c r="A237" s="10" t="s">
        <v>802</v>
      </c>
      <c r="B237" s="11"/>
      <c r="C237" s="11" t="s">
        <v>27</v>
      </c>
      <c r="E237" s="6">
        <v>11444658</v>
      </c>
      <c r="G237" s="6">
        <v>3552876</v>
      </c>
      <c r="I237" s="6">
        <v>203122</v>
      </c>
      <c r="K237" s="6">
        <v>0</v>
      </c>
      <c r="M237" s="6">
        <v>1511474</v>
      </c>
      <c r="O237" s="6">
        <v>1128952</v>
      </c>
      <c r="Q237" s="6">
        <v>600855</v>
      </c>
      <c r="S237" s="6">
        <v>18977</v>
      </c>
      <c r="U237" s="6">
        <v>2206763</v>
      </c>
      <c r="W237" s="6">
        <v>1394439</v>
      </c>
      <c r="Y237" s="6">
        <v>38225</v>
      </c>
      <c r="AA237" s="6">
        <v>2916889</v>
      </c>
      <c r="AC237" s="6">
        <v>956261</v>
      </c>
      <c r="AE237" s="6">
        <v>84028</v>
      </c>
      <c r="AG237" s="10" t="s">
        <v>802</v>
      </c>
      <c r="AH237" s="11"/>
      <c r="AI237" s="11" t="s">
        <v>27</v>
      </c>
      <c r="AJ237" s="11"/>
      <c r="AK237" s="6">
        <v>0</v>
      </c>
      <c r="AM237" s="6">
        <v>1527399</v>
      </c>
      <c r="AO237" s="6">
        <v>949695</v>
      </c>
      <c r="AQ237" s="6">
        <v>1040089</v>
      </c>
      <c r="AU237" s="6">
        <v>0</v>
      </c>
      <c r="AW237" s="6">
        <f t="shared" ref="AW237" si="25">SUM(E237:AV237)</f>
        <v>29574702</v>
      </c>
      <c r="AY237" s="6">
        <f>+'St of Activites - GA Rev'!AG237-'St of Activities - GA Exp'!AW237</f>
        <v>3018739</v>
      </c>
      <c r="BA237" s="6">
        <v>58616185</v>
      </c>
      <c r="BC237" s="6">
        <f t="shared" si="24"/>
        <v>61634924</v>
      </c>
      <c r="BE237" s="6">
        <f>+'St of Net Assets - GA'!Y237-'St of Activities - GA Exp'!BC237</f>
        <v>0</v>
      </c>
    </row>
    <row r="238" spans="1:57">
      <c r="A238" s="10" t="s">
        <v>340</v>
      </c>
      <c r="B238" s="11"/>
      <c r="C238" s="11" t="s">
        <v>339</v>
      </c>
      <c r="E238" s="6">
        <v>2321618</v>
      </c>
      <c r="G238" s="6">
        <v>402551</v>
      </c>
      <c r="I238" s="6">
        <v>207626</v>
      </c>
      <c r="K238" s="6">
        <v>0</v>
      </c>
      <c r="M238" s="6">
        <v>0</v>
      </c>
      <c r="O238" s="6">
        <v>163895</v>
      </c>
      <c r="Q238" s="6">
        <v>140113</v>
      </c>
      <c r="S238" s="6">
        <v>35012</v>
      </c>
      <c r="U238" s="6">
        <v>626939</v>
      </c>
      <c r="W238" s="6">
        <v>215262</v>
      </c>
      <c r="Y238" s="6">
        <v>0</v>
      </c>
      <c r="AA238" s="6">
        <v>408597</v>
      </c>
      <c r="AC238" s="6">
        <v>203481</v>
      </c>
      <c r="AE238" s="6">
        <v>503</v>
      </c>
      <c r="AG238" s="10" t="s">
        <v>340</v>
      </c>
      <c r="AH238" s="11"/>
      <c r="AI238" s="11" t="s">
        <v>339</v>
      </c>
      <c r="AJ238" s="11"/>
      <c r="AK238" s="6">
        <v>0</v>
      </c>
      <c r="AM238" s="6">
        <v>145422</v>
      </c>
      <c r="AO238" s="6">
        <v>205793</v>
      </c>
      <c r="AQ238" s="6">
        <v>200340</v>
      </c>
      <c r="AU238" s="6">
        <v>444914</v>
      </c>
      <c r="AW238" s="6">
        <f t="shared" si="23"/>
        <v>5722066</v>
      </c>
      <c r="AY238" s="6">
        <f>+'St of Activites - GA Rev'!AG238-'St of Activities - GA Exp'!AW238</f>
        <v>275813</v>
      </c>
      <c r="BA238" s="6">
        <v>13738228</v>
      </c>
      <c r="BC238" s="6">
        <f t="shared" si="24"/>
        <v>14014041</v>
      </c>
      <c r="BE238" s="6">
        <f>+'St of Net Assets - GA'!Y238-'St of Activities - GA Exp'!BC238</f>
        <v>0</v>
      </c>
    </row>
    <row r="239" spans="1:57">
      <c r="A239" s="10" t="s">
        <v>491</v>
      </c>
      <c r="B239" s="11"/>
      <c r="C239" s="11" t="s">
        <v>61</v>
      </c>
      <c r="E239" s="6">
        <v>4134338</v>
      </c>
      <c r="G239" s="6">
        <v>638298</v>
      </c>
      <c r="I239" s="6">
        <v>102583</v>
      </c>
      <c r="K239" s="6">
        <v>0</v>
      </c>
      <c r="M239" s="6">
        <f>1307+81526</f>
        <v>82833</v>
      </c>
      <c r="O239" s="6">
        <v>670702</v>
      </c>
      <c r="Q239" s="6">
        <v>328111</v>
      </c>
      <c r="S239" s="6">
        <v>9388</v>
      </c>
      <c r="U239" s="6">
        <v>579544</v>
      </c>
      <c r="W239" s="6">
        <v>268301</v>
      </c>
      <c r="Y239" s="6">
        <v>855</v>
      </c>
      <c r="AA239" s="6">
        <v>1869150</v>
      </c>
      <c r="AC239" s="6">
        <v>508600</v>
      </c>
      <c r="AE239" s="6">
        <v>6682</v>
      </c>
      <c r="AG239" s="10" t="s">
        <v>491</v>
      </c>
      <c r="AH239" s="11"/>
      <c r="AI239" s="11" t="s">
        <v>61</v>
      </c>
      <c r="AJ239" s="11"/>
      <c r="AK239" s="6">
        <v>0</v>
      </c>
      <c r="AM239" s="6">
        <v>296319</v>
      </c>
      <c r="AO239" s="6">
        <v>209413</v>
      </c>
      <c r="AQ239" s="6">
        <v>473556</v>
      </c>
      <c r="AU239" s="6">
        <v>0</v>
      </c>
      <c r="AW239" s="6">
        <f t="shared" si="23"/>
        <v>10178673</v>
      </c>
      <c r="AY239" s="6">
        <f>+'St of Activites - GA Rev'!AG239-'St of Activities - GA Exp'!AW239</f>
        <v>-551625</v>
      </c>
      <c r="BA239" s="6">
        <v>19188330</v>
      </c>
      <c r="BC239" s="6">
        <f t="shared" si="24"/>
        <v>18636705</v>
      </c>
      <c r="BE239" s="6">
        <f>+'St of Net Assets - GA'!Y239-'St of Activities - GA Exp'!BC239</f>
        <v>0</v>
      </c>
    </row>
    <row r="240" spans="1:57" hidden="1">
      <c r="A240" s="10" t="s">
        <v>858</v>
      </c>
      <c r="B240" s="11"/>
      <c r="C240" s="11" t="s">
        <v>343</v>
      </c>
      <c r="AG240" s="10" t="s">
        <v>858</v>
      </c>
      <c r="AH240" s="11"/>
      <c r="AI240" s="11" t="s">
        <v>343</v>
      </c>
      <c r="AJ240" s="11"/>
      <c r="AW240" s="6">
        <f t="shared" si="23"/>
        <v>0</v>
      </c>
      <c r="AY240" s="6">
        <f>+'St of Activites - GA Rev'!AG240-'St of Activities - GA Exp'!AW240</f>
        <v>0</v>
      </c>
      <c r="BC240" s="6">
        <f t="shared" si="24"/>
        <v>0</v>
      </c>
      <c r="BE240" s="6">
        <f>+'St of Net Assets - GA'!Y240-'St of Activities - GA Exp'!BC240</f>
        <v>0</v>
      </c>
    </row>
    <row r="241" spans="1:57">
      <c r="A241" s="11" t="s">
        <v>373</v>
      </c>
      <c r="B241" s="11"/>
      <c r="C241" s="11" t="s">
        <v>42</v>
      </c>
      <c r="E241" s="6">
        <v>9989037</v>
      </c>
      <c r="G241" s="6">
        <v>0</v>
      </c>
      <c r="I241" s="6">
        <v>0</v>
      </c>
      <c r="K241" s="6">
        <v>0</v>
      </c>
      <c r="M241" s="6">
        <v>0</v>
      </c>
      <c r="O241" s="6">
        <v>805150</v>
      </c>
      <c r="Q241" s="6">
        <v>344754</v>
      </c>
      <c r="S241" s="6">
        <v>20516</v>
      </c>
      <c r="U241" s="6">
        <v>1618593</v>
      </c>
      <c r="W241" s="6">
        <v>492224</v>
      </c>
      <c r="Y241" s="6">
        <v>17713</v>
      </c>
      <c r="AA241" s="6">
        <v>1306882</v>
      </c>
      <c r="AC241" s="6">
        <v>638839</v>
      </c>
      <c r="AE241" s="6">
        <v>280810</v>
      </c>
      <c r="AG241" s="11" t="s">
        <v>373</v>
      </c>
      <c r="AH241" s="11"/>
      <c r="AI241" s="11" t="s">
        <v>42</v>
      </c>
      <c r="AJ241" s="11"/>
      <c r="AK241" s="6">
        <v>616504</v>
      </c>
      <c r="AM241" s="6">
        <f>6117+1900</f>
        <v>8017</v>
      </c>
      <c r="AO241" s="6">
        <v>574354</v>
      </c>
      <c r="AQ241" s="6">
        <v>1024811</v>
      </c>
      <c r="AU241" s="6">
        <v>0</v>
      </c>
      <c r="AW241" s="6">
        <f t="shared" si="23"/>
        <v>17738204</v>
      </c>
      <c r="AY241" s="6">
        <f>+'St of Activites - GA Rev'!AG241-'St of Activities - GA Exp'!AW241</f>
        <v>-1443229</v>
      </c>
      <c r="BA241" s="6">
        <v>4445823</v>
      </c>
      <c r="BC241" s="6">
        <f t="shared" si="24"/>
        <v>3002594</v>
      </c>
      <c r="BE241" s="6">
        <f>+'St of Net Assets - GA'!Y241-'St of Activities - GA Exp'!BC241</f>
        <v>0</v>
      </c>
    </row>
    <row r="242" spans="1:57" ht="12" hidden="1" customHeight="1">
      <c r="A242" s="11" t="s">
        <v>667</v>
      </c>
      <c r="B242" s="11"/>
      <c r="C242" s="11" t="s">
        <v>22</v>
      </c>
      <c r="AG242" s="11" t="s">
        <v>667</v>
      </c>
      <c r="AH242" s="11"/>
      <c r="AI242" s="11" t="s">
        <v>22</v>
      </c>
      <c r="AJ242" s="11"/>
      <c r="AW242" s="6">
        <f t="shared" si="23"/>
        <v>0</v>
      </c>
      <c r="AY242" s="6">
        <f>+'St of Activites - GA Rev'!AG242-'St of Activities - GA Exp'!AW242</f>
        <v>0</v>
      </c>
      <c r="BC242" s="6">
        <f t="shared" si="24"/>
        <v>0</v>
      </c>
      <c r="BE242" s="6">
        <f>+'St of Net Assets - GA'!Y242-'St of Activities - GA Exp'!BC242</f>
        <v>0</v>
      </c>
    </row>
    <row r="243" spans="1:57">
      <c r="A243" s="11" t="s">
        <v>417</v>
      </c>
      <c r="B243" s="11"/>
      <c r="C243" s="11" t="s">
        <v>47</v>
      </c>
      <c r="E243" s="6">
        <v>13295407</v>
      </c>
      <c r="G243" s="6">
        <v>3057727</v>
      </c>
      <c r="I243" s="6">
        <v>124250</v>
      </c>
      <c r="K243" s="6">
        <v>0</v>
      </c>
      <c r="M243" s="6">
        <v>182691</v>
      </c>
      <c r="O243" s="6">
        <v>1512642</v>
      </c>
      <c r="Q243" s="6">
        <v>1596863</v>
      </c>
      <c r="S243" s="6">
        <v>28395</v>
      </c>
      <c r="U243" s="6">
        <v>2147082</v>
      </c>
      <c r="W243" s="6">
        <v>828528</v>
      </c>
      <c r="Y243" s="6">
        <v>28600</v>
      </c>
      <c r="AA243" s="6">
        <v>2655492</v>
      </c>
      <c r="AC243" s="6">
        <v>1924504</v>
      </c>
      <c r="AE243" s="6">
        <v>254820</v>
      </c>
      <c r="AG243" s="11" t="s">
        <v>417</v>
      </c>
      <c r="AH243" s="11"/>
      <c r="AI243" s="11" t="s">
        <v>47</v>
      </c>
      <c r="AJ243" s="11"/>
      <c r="AK243" s="6">
        <v>1176518</v>
      </c>
      <c r="AM243" s="6">
        <v>191394</v>
      </c>
      <c r="AO243" s="6">
        <v>1438877</v>
      </c>
      <c r="AQ243" s="6">
        <v>1417530</v>
      </c>
      <c r="AU243" s="6">
        <v>0</v>
      </c>
      <c r="AW243" s="6">
        <f t="shared" si="23"/>
        <v>31861320</v>
      </c>
      <c r="AY243" s="6">
        <f>+'St of Activites - GA Rev'!AG243-'St of Activities - GA Exp'!AW243</f>
        <v>1650337</v>
      </c>
      <c r="BA243" s="6">
        <v>18225035</v>
      </c>
      <c r="BC243" s="6">
        <f t="shared" si="24"/>
        <v>19875372</v>
      </c>
      <c r="BE243" s="6">
        <f>+'St of Net Assets - GA'!Y243-'St of Activities - GA Exp'!BC243</f>
        <v>0</v>
      </c>
    </row>
    <row r="244" spans="1:57">
      <c r="A244" s="11" t="s">
        <v>417</v>
      </c>
      <c r="B244" s="11"/>
      <c r="C244" s="11" t="s">
        <v>78</v>
      </c>
      <c r="E244" s="6">
        <v>8176045</v>
      </c>
      <c r="G244" s="6">
        <v>2432907</v>
      </c>
      <c r="I244" s="6">
        <v>115692</v>
      </c>
      <c r="K244" s="6">
        <v>0</v>
      </c>
      <c r="M244" s="6">
        <v>0</v>
      </c>
      <c r="O244" s="6">
        <v>856383</v>
      </c>
      <c r="Q244" s="6">
        <v>818703</v>
      </c>
      <c r="S244" s="6">
        <v>234264</v>
      </c>
      <c r="U244" s="6">
        <v>1039898</v>
      </c>
      <c r="W244" s="6">
        <v>457670</v>
      </c>
      <c r="Y244" s="6">
        <v>0</v>
      </c>
      <c r="AA244" s="6">
        <v>1678625</v>
      </c>
      <c r="AC244" s="6">
        <v>1413876</v>
      </c>
      <c r="AE244" s="6">
        <v>1053</v>
      </c>
      <c r="AG244" s="11" t="s">
        <v>417</v>
      </c>
      <c r="AH244" s="11"/>
      <c r="AI244" s="11" t="s">
        <v>78</v>
      </c>
      <c r="AJ244" s="11"/>
      <c r="AK244" s="6">
        <v>0</v>
      </c>
      <c r="AM244" s="6">
        <v>774011</v>
      </c>
      <c r="AO244" s="6">
        <v>379556</v>
      </c>
      <c r="AQ244" s="6">
        <v>823698</v>
      </c>
      <c r="AU244" s="6">
        <v>0</v>
      </c>
      <c r="AW244" s="6">
        <f t="shared" si="23"/>
        <v>19202381</v>
      </c>
      <c r="AY244" s="6">
        <f>+'St of Activites - GA Rev'!AG244-'St of Activities - GA Exp'!AW244</f>
        <v>-1017905</v>
      </c>
      <c r="BA244" s="6">
        <v>53491334</v>
      </c>
      <c r="BC244" s="6">
        <f t="shared" si="24"/>
        <v>52473429</v>
      </c>
      <c r="BE244" s="6">
        <f>+'St of Net Assets - GA'!Y244-'St of Activities - GA Exp'!BC244</f>
        <v>0</v>
      </c>
    </row>
    <row r="245" spans="1:57">
      <c r="A245" s="11" t="s">
        <v>305</v>
      </c>
      <c r="B245" s="11"/>
      <c r="C245" s="11" t="s">
        <v>27</v>
      </c>
      <c r="E245" s="6">
        <v>89643622</v>
      </c>
      <c r="G245" s="6">
        <v>24053702</v>
      </c>
      <c r="I245" s="6">
        <v>1112666</v>
      </c>
      <c r="K245" s="6">
        <v>0</v>
      </c>
      <c r="M245" s="6">
        <v>0</v>
      </c>
      <c r="O245" s="6">
        <v>12565375</v>
      </c>
      <c r="Q245" s="6">
        <v>9024280</v>
      </c>
      <c r="S245" s="6">
        <v>8339886</v>
      </c>
      <c r="U245" s="6">
        <v>307354</v>
      </c>
      <c r="W245" s="6">
        <v>3046569</v>
      </c>
      <c r="Y245" s="6">
        <v>770869</v>
      </c>
      <c r="AA245" s="6">
        <v>14659261</v>
      </c>
      <c r="AC245" s="6">
        <v>8441721</v>
      </c>
      <c r="AE245" s="6">
        <v>694076</v>
      </c>
      <c r="AG245" s="11" t="s">
        <v>305</v>
      </c>
      <c r="AH245" s="11"/>
      <c r="AI245" s="11" t="s">
        <v>27</v>
      </c>
      <c r="AJ245" s="11"/>
      <c r="AK245" s="6">
        <v>5582177</v>
      </c>
      <c r="AM245" s="6">
        <v>2645637</v>
      </c>
      <c r="AO245" s="6">
        <v>4443274</v>
      </c>
      <c r="AQ245" s="6">
        <v>10985896</v>
      </c>
      <c r="AU245" s="6">
        <v>0</v>
      </c>
      <c r="AW245" s="6">
        <f t="shared" si="23"/>
        <v>196316365</v>
      </c>
      <c r="AY245" s="6">
        <f>+'St of Activites - GA Rev'!AG245-'St of Activities - GA Exp'!AW245</f>
        <v>7461207</v>
      </c>
      <c r="BA245" s="6">
        <v>50832648</v>
      </c>
      <c r="BC245" s="6">
        <f t="shared" si="24"/>
        <v>58293855</v>
      </c>
      <c r="BE245" s="6">
        <f>+'St of Net Assets - GA'!Y245-'St of Activities - GA Exp'!BC245</f>
        <v>0</v>
      </c>
    </row>
    <row r="246" spans="1:57" ht="12" customHeight="1">
      <c r="A246" s="11" t="s">
        <v>350</v>
      </c>
      <c r="B246" s="11"/>
      <c r="C246" s="11" t="s">
        <v>348</v>
      </c>
      <c r="E246" s="6">
        <v>11893947</v>
      </c>
      <c r="G246" s="6">
        <v>2729009</v>
      </c>
      <c r="I246" s="6">
        <v>601495</v>
      </c>
      <c r="K246" s="6">
        <v>0</v>
      </c>
      <c r="M246" s="6">
        <v>553</v>
      </c>
      <c r="O246" s="6">
        <v>829252</v>
      </c>
      <c r="Q246" s="6">
        <v>2297970</v>
      </c>
      <c r="S246" s="6">
        <v>86363</v>
      </c>
      <c r="U246" s="6">
        <v>1755464</v>
      </c>
      <c r="W246" s="6">
        <v>1238502</v>
      </c>
      <c r="Y246" s="6">
        <v>1931</v>
      </c>
      <c r="AA246" s="6">
        <v>2086340</v>
      </c>
      <c r="AC246" s="6">
        <v>1639666</v>
      </c>
      <c r="AE246" s="6">
        <v>118977</v>
      </c>
      <c r="AG246" s="11" t="s">
        <v>350</v>
      </c>
      <c r="AH246" s="11"/>
      <c r="AI246" s="11" t="s">
        <v>348</v>
      </c>
      <c r="AJ246" s="11"/>
      <c r="AK246" s="6">
        <v>1013175</v>
      </c>
      <c r="AM246" s="6">
        <v>202855</v>
      </c>
      <c r="AO246" s="6">
        <v>626461</v>
      </c>
      <c r="AQ246" s="6">
        <v>482548</v>
      </c>
      <c r="AU246" s="6">
        <v>727673</v>
      </c>
      <c r="AW246" s="6">
        <f t="shared" si="23"/>
        <v>28332181</v>
      </c>
      <c r="AY246" s="6">
        <f>+'St of Activites - GA Rev'!AG246-'St of Activities - GA Exp'!AW246</f>
        <v>-488953</v>
      </c>
      <c r="BA246" s="6">
        <v>56097786</v>
      </c>
      <c r="BC246" s="6">
        <f t="shared" si="24"/>
        <v>55608833</v>
      </c>
      <c r="BE246" s="6">
        <f>+'St of Net Assets - GA'!Y246-'St of Activities - GA Exp'!BC246</f>
        <v>0</v>
      </c>
    </row>
    <row r="247" spans="1:57">
      <c r="A247" s="11" t="s">
        <v>204</v>
      </c>
      <c r="B247" s="11"/>
      <c r="C247" s="11" t="s">
        <v>11</v>
      </c>
      <c r="E247" s="6">
        <v>4937623</v>
      </c>
      <c r="G247" s="6">
        <v>748882</v>
      </c>
      <c r="I247" s="6">
        <v>318314</v>
      </c>
      <c r="K247" s="6">
        <v>0</v>
      </c>
      <c r="M247" s="6">
        <v>272026</v>
      </c>
      <c r="O247" s="6">
        <v>640483</v>
      </c>
      <c r="Q247" s="6">
        <v>417529</v>
      </c>
      <c r="S247" s="6">
        <v>31997</v>
      </c>
      <c r="U247" s="6">
        <v>891028</v>
      </c>
      <c r="W247" s="6">
        <v>360831</v>
      </c>
      <c r="Y247" s="6">
        <v>0</v>
      </c>
      <c r="AA247" s="6">
        <v>591299</v>
      </c>
      <c r="AC247" s="6">
        <v>934476</v>
      </c>
      <c r="AE247" s="6">
        <v>5400</v>
      </c>
      <c r="AG247" s="11" t="s">
        <v>204</v>
      </c>
      <c r="AH247" s="11"/>
      <c r="AI247" s="11" t="s">
        <v>11</v>
      </c>
      <c r="AJ247" s="11"/>
      <c r="AK247" s="6">
        <v>388072</v>
      </c>
      <c r="AM247" s="6">
        <v>1113</v>
      </c>
      <c r="AO247" s="6">
        <v>381042</v>
      </c>
      <c r="AQ247" s="6">
        <v>7551</v>
      </c>
      <c r="AU247" s="6">
        <v>0</v>
      </c>
      <c r="AW247" s="6">
        <f t="shared" si="23"/>
        <v>10927666</v>
      </c>
      <c r="AY247" s="6">
        <f>+'St of Activites - GA Rev'!AG247-'St of Activities - GA Exp'!AW247</f>
        <v>-1101679</v>
      </c>
      <c r="BA247" s="6">
        <v>3579089</v>
      </c>
      <c r="BC247" s="6">
        <f t="shared" si="24"/>
        <v>2477410</v>
      </c>
      <c r="BE247" s="6">
        <f>+'St of Net Assets - GA'!Y247-'St of Activities - GA Exp'!BC247</f>
        <v>0</v>
      </c>
    </row>
    <row r="248" spans="1:57">
      <c r="A248" s="11" t="s">
        <v>344</v>
      </c>
      <c r="B248" s="11"/>
      <c r="C248" s="11" t="s">
        <v>34</v>
      </c>
      <c r="E248" s="6">
        <v>2978602</v>
      </c>
      <c r="G248" s="6">
        <v>567850</v>
      </c>
      <c r="I248" s="6">
        <v>125886</v>
      </c>
      <c r="K248" s="6">
        <v>0</v>
      </c>
      <c r="M248" s="6">
        <v>0</v>
      </c>
      <c r="O248" s="6">
        <v>258342</v>
      </c>
      <c r="Q248" s="6">
        <v>186147</v>
      </c>
      <c r="S248" s="6">
        <v>15547</v>
      </c>
      <c r="U248" s="6">
        <v>487759</v>
      </c>
      <c r="W248" s="6">
        <v>175080</v>
      </c>
      <c r="Y248" s="6">
        <v>8113</v>
      </c>
      <c r="AA248" s="6">
        <v>488444</v>
      </c>
      <c r="AC248" s="6">
        <v>227149</v>
      </c>
      <c r="AE248" s="6">
        <v>63933</v>
      </c>
      <c r="AG248" s="11" t="s">
        <v>344</v>
      </c>
      <c r="AH248" s="11"/>
      <c r="AI248" s="11" t="s">
        <v>34</v>
      </c>
      <c r="AJ248" s="11"/>
      <c r="AK248" s="6">
        <v>0</v>
      </c>
      <c r="AM248" s="6">
        <v>257249</v>
      </c>
      <c r="AO248" s="6">
        <v>274823</v>
      </c>
      <c r="AQ248" s="6">
        <v>281231</v>
      </c>
      <c r="AU248" s="6">
        <v>0</v>
      </c>
      <c r="AW248" s="6">
        <f t="shared" ref="AW248:AW272" si="26">SUM(E248:AV248)</f>
        <v>6396155</v>
      </c>
      <c r="AY248" s="6">
        <f>+'St of Activites - GA Rev'!AG248-'St of Activities - GA Exp'!AW248</f>
        <v>-283461</v>
      </c>
      <c r="BA248" s="6">
        <v>19814326</v>
      </c>
      <c r="BC248" s="6">
        <f t="shared" si="24"/>
        <v>19530865</v>
      </c>
      <c r="BE248" s="6">
        <f>+'St of Net Assets - GA'!Y248-'St of Activities - GA Exp'!BC248</f>
        <v>0</v>
      </c>
    </row>
    <row r="249" spans="1:57" ht="12" hidden="1" customHeight="1">
      <c r="A249" s="10" t="s">
        <v>891</v>
      </c>
      <c r="B249" s="10"/>
      <c r="C249" s="10" t="s">
        <v>60</v>
      </c>
      <c r="E249" s="6">
        <v>0</v>
      </c>
      <c r="G249" s="6">
        <v>0</v>
      </c>
      <c r="I249" s="6">
        <v>0</v>
      </c>
      <c r="K249" s="6">
        <v>0</v>
      </c>
      <c r="M249" s="6">
        <v>0</v>
      </c>
      <c r="O249" s="6">
        <v>0</v>
      </c>
      <c r="Q249" s="6">
        <v>0</v>
      </c>
      <c r="S249" s="6">
        <v>0</v>
      </c>
      <c r="U249" s="6">
        <v>0</v>
      </c>
      <c r="W249" s="6">
        <v>0</v>
      </c>
      <c r="Y249" s="6">
        <v>0</v>
      </c>
      <c r="AA249" s="6">
        <v>0</v>
      </c>
      <c r="AC249" s="6">
        <v>0</v>
      </c>
      <c r="AE249" s="6">
        <v>0</v>
      </c>
      <c r="AG249" s="10" t="s">
        <v>891</v>
      </c>
      <c r="AH249" s="10"/>
      <c r="AI249" s="10" t="s">
        <v>60</v>
      </c>
      <c r="AJ249" s="11"/>
      <c r="AK249" s="6">
        <v>0</v>
      </c>
      <c r="AM249" s="6">
        <v>0</v>
      </c>
      <c r="AO249" s="6">
        <v>0</v>
      </c>
      <c r="AQ249" s="6">
        <v>0</v>
      </c>
      <c r="AU249" s="6">
        <v>0</v>
      </c>
      <c r="AW249" s="6">
        <f t="shared" ref="AW249" si="27">SUM(E249:AV249)</f>
        <v>0</v>
      </c>
      <c r="AY249" s="6">
        <f>+'St of Activites - GA Rev'!AG249-'St of Activities - GA Exp'!AW249</f>
        <v>0</v>
      </c>
      <c r="BC249" s="6">
        <f t="shared" ref="BC249" si="28">+AY249+BA249</f>
        <v>0</v>
      </c>
      <c r="BE249" s="6">
        <f>+'St of Net Assets - GA'!Y249-'St of Activities - GA Exp'!BC249</f>
        <v>0</v>
      </c>
    </row>
    <row r="250" spans="1:57">
      <c r="A250" s="11" t="s">
        <v>522</v>
      </c>
      <c r="B250" s="11"/>
      <c r="C250" s="11" t="s">
        <v>64</v>
      </c>
      <c r="E250" s="6">
        <v>15412121</v>
      </c>
      <c r="G250" s="6">
        <v>3237919</v>
      </c>
      <c r="I250" s="6">
        <v>377775</v>
      </c>
      <c r="K250" s="6">
        <v>0</v>
      </c>
      <c r="M250" s="6">
        <v>0</v>
      </c>
      <c r="O250" s="6">
        <v>1613576</v>
      </c>
      <c r="Q250" s="6">
        <v>844651</v>
      </c>
      <c r="S250" s="6">
        <v>322900</v>
      </c>
      <c r="U250" s="6">
        <v>2453799</v>
      </c>
      <c r="W250" s="6">
        <v>706274</v>
      </c>
      <c r="Y250" s="6">
        <v>103999</v>
      </c>
      <c r="AA250" s="6">
        <v>3476353</v>
      </c>
      <c r="AC250" s="6">
        <v>1770085</v>
      </c>
      <c r="AE250" s="6">
        <v>4147</v>
      </c>
      <c r="AG250" s="11" t="s">
        <v>522</v>
      </c>
      <c r="AH250" s="11"/>
      <c r="AI250" s="11" t="s">
        <v>64</v>
      </c>
      <c r="AJ250" s="11"/>
      <c r="AK250" s="6">
        <v>877713</v>
      </c>
      <c r="AM250" s="6">
        <v>285154</v>
      </c>
      <c r="AO250" s="6">
        <v>715419</v>
      </c>
      <c r="AQ250" s="6">
        <v>66397</v>
      </c>
      <c r="AU250" s="6">
        <v>0</v>
      </c>
      <c r="AW250" s="6">
        <f t="shared" si="26"/>
        <v>32268282</v>
      </c>
      <c r="AY250" s="6">
        <f>+'St of Activites - GA Rev'!AG250-'St of Activities - GA Exp'!AW250</f>
        <v>-1837488</v>
      </c>
      <c r="BA250" s="6">
        <v>4099202</v>
      </c>
      <c r="BC250" s="6">
        <f t="shared" ref="BC250:BC274" si="29">+AY250+BA250</f>
        <v>2261714</v>
      </c>
      <c r="BE250" s="6">
        <f>+'St of Net Assets - GA'!Y250-'St of Activities - GA Exp'!BC250</f>
        <v>0</v>
      </c>
    </row>
    <row r="251" spans="1:57">
      <c r="A251" s="11" t="s">
        <v>761</v>
      </c>
      <c r="B251" s="11"/>
      <c r="C251" s="11" t="s">
        <v>64</v>
      </c>
      <c r="E251" s="6">
        <v>9758311</v>
      </c>
      <c r="G251" s="6">
        <v>1555745</v>
      </c>
      <c r="I251" s="6">
        <v>341353</v>
      </c>
      <c r="K251" s="6">
        <v>0</v>
      </c>
      <c r="M251" s="6">
        <v>0</v>
      </c>
      <c r="O251" s="6">
        <v>1054435</v>
      </c>
      <c r="Q251" s="6">
        <v>813794</v>
      </c>
      <c r="S251" s="6">
        <v>14994</v>
      </c>
      <c r="U251" s="6">
        <v>1570436</v>
      </c>
      <c r="W251" s="6">
        <v>531560</v>
      </c>
      <c r="Y251" s="6">
        <v>25178</v>
      </c>
      <c r="AA251" s="6">
        <v>1780532</v>
      </c>
      <c r="AC251" s="6">
        <v>961352</v>
      </c>
      <c r="AE251" s="6">
        <v>307313</v>
      </c>
      <c r="AG251" s="11" t="s">
        <v>761</v>
      </c>
      <c r="AH251" s="11"/>
      <c r="AI251" s="11" t="s">
        <v>64</v>
      </c>
      <c r="AJ251" s="11"/>
      <c r="AK251" s="6">
        <v>851493</v>
      </c>
      <c r="AM251" s="6">
        <v>450026</v>
      </c>
      <c r="AO251" s="6">
        <v>677627</v>
      </c>
      <c r="AQ251" s="6">
        <v>773956</v>
      </c>
      <c r="AU251" s="6">
        <v>0</v>
      </c>
      <c r="AW251" s="6">
        <f t="shared" si="26"/>
        <v>21468105</v>
      </c>
      <c r="AY251" s="6">
        <f>+'St of Activites - GA Rev'!AG251-'St of Activities - GA Exp'!AW251</f>
        <v>559268</v>
      </c>
      <c r="BA251" s="6">
        <v>48178187</v>
      </c>
      <c r="BC251" s="6">
        <f t="shared" si="29"/>
        <v>48737455</v>
      </c>
      <c r="BE251" s="6">
        <f>+'St of Net Assets - GA'!Y251-'St of Activities - GA Exp'!BC251</f>
        <v>0</v>
      </c>
    </row>
    <row r="252" spans="1:57">
      <c r="A252" s="11" t="s">
        <v>430</v>
      </c>
      <c r="B252" s="11"/>
      <c r="C252" s="11" t="s">
        <v>50</v>
      </c>
      <c r="E252" s="6">
        <v>47354009</v>
      </c>
      <c r="G252" s="6">
        <v>0</v>
      </c>
      <c r="I252" s="6">
        <v>0</v>
      </c>
      <c r="K252" s="6">
        <v>0</v>
      </c>
      <c r="M252" s="6">
        <v>0</v>
      </c>
      <c r="O252" s="6">
        <v>3155439</v>
      </c>
      <c r="Q252" s="6">
        <v>4569897</v>
      </c>
      <c r="S252" s="6">
        <v>23102</v>
      </c>
      <c r="U252" s="6">
        <v>4450211</v>
      </c>
      <c r="W252" s="6">
        <v>1154632</v>
      </c>
      <c r="Y252" s="6">
        <v>444065</v>
      </c>
      <c r="AA252" s="6">
        <v>5307193</v>
      </c>
      <c r="AC252" s="6">
        <v>3636672</v>
      </c>
      <c r="AE252" s="6">
        <v>478556</v>
      </c>
      <c r="AG252" s="11" t="s">
        <v>430</v>
      </c>
      <c r="AH252" s="11"/>
      <c r="AI252" s="11" t="s">
        <v>50</v>
      </c>
      <c r="AJ252" s="11"/>
      <c r="AK252" s="6">
        <v>2392696</v>
      </c>
      <c r="AM252" s="6">
        <v>390276</v>
      </c>
      <c r="AO252" s="6">
        <v>1025995</v>
      </c>
      <c r="AQ252" s="6">
        <v>3792122</v>
      </c>
      <c r="AU252" s="6">
        <v>0</v>
      </c>
      <c r="AW252" s="6">
        <f t="shared" si="26"/>
        <v>78174865</v>
      </c>
      <c r="AY252" s="6">
        <f>+'St of Activites - GA Rev'!AG252-'St of Activities - GA Exp'!AW252</f>
        <v>-6505272</v>
      </c>
      <c r="BA252" s="6">
        <v>116864302</v>
      </c>
      <c r="BC252" s="6">
        <f t="shared" si="29"/>
        <v>110359030</v>
      </c>
      <c r="BE252" s="6">
        <f>+'St of Net Assets - GA'!Y252-'St of Activities - GA Exp'!BC252</f>
        <v>0</v>
      </c>
    </row>
    <row r="253" spans="1:57">
      <c r="A253" s="11" t="s">
        <v>509</v>
      </c>
      <c r="B253" s="11"/>
      <c r="C253" s="11" t="s">
        <v>63</v>
      </c>
      <c r="E253" s="6">
        <v>27296776</v>
      </c>
      <c r="G253" s="6">
        <v>6198419</v>
      </c>
      <c r="I253" s="6">
        <v>263974</v>
      </c>
      <c r="K253" s="6">
        <v>0</v>
      </c>
      <c r="M253" s="6">
        <v>1327522</v>
      </c>
      <c r="O253" s="6">
        <v>5029365</v>
      </c>
      <c r="Q253" s="6">
        <v>4744431</v>
      </c>
      <c r="S253" s="6">
        <v>48947</v>
      </c>
      <c r="U253" s="6">
        <v>4201741</v>
      </c>
      <c r="W253" s="6">
        <v>1488463</v>
      </c>
      <c r="Y253" s="6">
        <v>583773</v>
      </c>
      <c r="AA253" s="6">
        <v>4758948</v>
      </c>
      <c r="AC253" s="6">
        <v>3818376</v>
      </c>
      <c r="AE253" s="6">
        <v>422134</v>
      </c>
      <c r="AG253" s="11" t="s">
        <v>509</v>
      </c>
      <c r="AH253" s="11"/>
      <c r="AI253" s="11" t="s">
        <v>63</v>
      </c>
      <c r="AJ253" s="11"/>
      <c r="AK253" s="6">
        <v>1485582</v>
      </c>
      <c r="AM253" s="6">
        <v>16603</v>
      </c>
      <c r="AO253" s="6">
        <v>1287632</v>
      </c>
      <c r="AQ253" s="6">
        <v>1377679</v>
      </c>
      <c r="AU253" s="6">
        <v>0</v>
      </c>
      <c r="AW253" s="6">
        <f t="shared" si="26"/>
        <v>64350365</v>
      </c>
      <c r="AY253" s="6">
        <f>+'St of Activites - GA Rev'!AG253-'St of Activities - GA Exp'!AW253</f>
        <v>3278669</v>
      </c>
      <c r="BA253" s="6">
        <v>37806414</v>
      </c>
      <c r="BC253" s="6">
        <f t="shared" si="29"/>
        <v>41085083</v>
      </c>
      <c r="BE253" s="6">
        <f>+'St of Net Assets - GA'!Y253-'St of Activities - GA Exp'!BC253</f>
        <v>0</v>
      </c>
    </row>
    <row r="254" spans="1:57">
      <c r="A254" s="11" t="s">
        <v>474</v>
      </c>
      <c r="B254" s="11"/>
      <c r="C254" s="11" t="s">
        <v>58</v>
      </c>
      <c r="E254" s="6">
        <v>7839837</v>
      </c>
      <c r="G254" s="6">
        <v>1292690</v>
      </c>
      <c r="I254" s="6">
        <v>0</v>
      </c>
      <c r="K254" s="6">
        <v>0</v>
      </c>
      <c r="M254" s="6">
        <v>319244</v>
      </c>
      <c r="O254" s="6">
        <v>347249</v>
      </c>
      <c r="Q254" s="6">
        <v>152837</v>
      </c>
      <c r="S254" s="6">
        <v>25752</v>
      </c>
      <c r="U254" s="6">
        <v>901479</v>
      </c>
      <c r="W254" s="6">
        <v>247314</v>
      </c>
      <c r="Y254" s="6">
        <v>0</v>
      </c>
      <c r="AA254" s="6">
        <v>1113877</v>
      </c>
      <c r="AC254" s="6">
        <v>857972</v>
      </c>
      <c r="AE254" s="6">
        <v>0</v>
      </c>
      <c r="AG254" s="11" t="s">
        <v>474</v>
      </c>
      <c r="AH254" s="11"/>
      <c r="AI254" s="11" t="s">
        <v>58</v>
      </c>
      <c r="AJ254" s="11"/>
      <c r="AK254" s="6">
        <v>590633</v>
      </c>
      <c r="AM254" s="6">
        <v>0</v>
      </c>
      <c r="AO254" s="6">
        <v>295906</v>
      </c>
      <c r="AQ254" s="6">
        <v>37353</v>
      </c>
      <c r="AU254" s="6">
        <v>0</v>
      </c>
      <c r="AW254" s="6">
        <f t="shared" si="26"/>
        <v>14022143</v>
      </c>
      <c r="AY254" s="6">
        <f>+'St of Activites - GA Rev'!AG254-'St of Activities - GA Exp'!AW254</f>
        <v>-568896</v>
      </c>
      <c r="BA254" s="6">
        <v>15004059</v>
      </c>
      <c r="BC254" s="6">
        <f t="shared" si="29"/>
        <v>14435163</v>
      </c>
      <c r="BE254" s="6">
        <f>+'St of Net Assets - GA'!Y254-'St of Activities - GA Exp'!BC254</f>
        <v>0</v>
      </c>
    </row>
    <row r="255" spans="1:57">
      <c r="A255" s="11" t="s">
        <v>286</v>
      </c>
      <c r="B255" s="11"/>
      <c r="C255" s="11" t="s">
        <v>24</v>
      </c>
      <c r="E255" s="6">
        <v>7406308</v>
      </c>
      <c r="G255" s="6">
        <v>2157335</v>
      </c>
      <c r="I255" s="6">
        <v>0</v>
      </c>
      <c r="K255" s="6">
        <v>0</v>
      </c>
      <c r="M255" s="6">
        <v>109043</v>
      </c>
      <c r="O255" s="6">
        <v>644300</v>
      </c>
      <c r="Q255" s="6">
        <v>718931</v>
      </c>
      <c r="S255" s="6">
        <v>43398</v>
      </c>
      <c r="U255" s="6">
        <v>1713520</v>
      </c>
      <c r="W255" s="6">
        <v>542557</v>
      </c>
      <c r="Y255" s="6">
        <v>47957</v>
      </c>
      <c r="AA255" s="6">
        <v>1360665</v>
      </c>
      <c r="AC255" s="6">
        <v>984171</v>
      </c>
      <c r="AE255" s="6">
        <v>0</v>
      </c>
      <c r="AG255" s="11" t="s">
        <v>286</v>
      </c>
      <c r="AH255" s="11"/>
      <c r="AI255" s="11" t="s">
        <v>24</v>
      </c>
      <c r="AJ255" s="11"/>
      <c r="AK255" s="6">
        <v>665873</v>
      </c>
      <c r="AM255" s="6">
        <v>281649</v>
      </c>
      <c r="AO255" s="6">
        <v>842853</v>
      </c>
      <c r="AQ255" s="6">
        <v>343841</v>
      </c>
      <c r="AU255" s="6">
        <v>5104</v>
      </c>
      <c r="AW255" s="6">
        <f t="shared" si="26"/>
        <v>17867505</v>
      </c>
      <c r="AY255" s="6">
        <f>+'St of Activites - GA Rev'!AG255-'St of Activities - GA Exp'!AW255</f>
        <v>-357091</v>
      </c>
      <c r="BA255" s="6">
        <v>8616260</v>
      </c>
      <c r="BC255" s="6">
        <f t="shared" si="29"/>
        <v>8259169</v>
      </c>
      <c r="BE255" s="6">
        <f>+'St of Net Assets - GA'!Y255-'St of Activities - GA Exp'!BC255</f>
        <v>0</v>
      </c>
    </row>
    <row r="256" spans="1:57">
      <c r="A256" s="11" t="s">
        <v>269</v>
      </c>
      <c r="B256" s="11"/>
      <c r="C256" s="11" t="s">
        <v>20</v>
      </c>
      <c r="E256" s="6">
        <v>8230246</v>
      </c>
      <c r="G256" s="6">
        <v>417557</v>
      </c>
      <c r="I256" s="6">
        <v>1011</v>
      </c>
      <c r="K256" s="6">
        <v>0</v>
      </c>
      <c r="M256" s="6">
        <f>138905+138369</f>
        <v>277274</v>
      </c>
      <c r="O256" s="6">
        <v>932573</v>
      </c>
      <c r="Q256" s="6">
        <v>2019929</v>
      </c>
      <c r="S256" s="6">
        <v>204225</v>
      </c>
      <c r="U256" s="6">
        <v>1251102</v>
      </c>
      <c r="W256" s="6">
        <v>648896</v>
      </c>
      <c r="Y256" s="6">
        <v>210978</v>
      </c>
      <c r="AA256" s="6">
        <v>2895509</v>
      </c>
      <c r="AC256" s="6">
        <v>975912</v>
      </c>
      <c r="AE256" s="6">
        <v>0</v>
      </c>
      <c r="AG256" s="11" t="s">
        <v>269</v>
      </c>
      <c r="AH256" s="11"/>
      <c r="AI256" s="11" t="s">
        <v>20</v>
      </c>
      <c r="AJ256" s="11"/>
      <c r="AK256" s="6">
        <v>299660</v>
      </c>
      <c r="AM256" s="6">
        <v>247619</v>
      </c>
      <c r="AO256" s="6">
        <v>563740</v>
      </c>
      <c r="AQ256" s="6">
        <v>922736</v>
      </c>
      <c r="AU256" s="6">
        <v>0</v>
      </c>
      <c r="AW256" s="6">
        <f t="shared" si="26"/>
        <v>20098967</v>
      </c>
      <c r="AY256" s="6">
        <f>+'St of Activites - GA Rev'!AG256-'St of Activities - GA Exp'!AW256</f>
        <v>-410556</v>
      </c>
      <c r="BA256" s="6">
        <v>16762323</v>
      </c>
      <c r="BC256" s="6">
        <f t="shared" si="29"/>
        <v>16351767</v>
      </c>
      <c r="BE256" s="6">
        <f>+'St of Net Assets - GA'!Y256-'St of Activities - GA Exp'!BC256</f>
        <v>0</v>
      </c>
    </row>
    <row r="257" spans="1:57">
      <c r="A257" s="11" t="s">
        <v>363</v>
      </c>
      <c r="B257" s="11"/>
      <c r="C257" s="11" t="s">
        <v>39</v>
      </c>
      <c r="E257" s="6">
        <v>10815633</v>
      </c>
      <c r="G257" s="6">
        <v>2285458</v>
      </c>
      <c r="I257" s="6">
        <v>236301</v>
      </c>
      <c r="K257" s="6">
        <v>2510</v>
      </c>
      <c r="M257" s="6">
        <v>245042</v>
      </c>
      <c r="O257" s="6">
        <v>771069</v>
      </c>
      <c r="Q257" s="6">
        <v>1153395</v>
      </c>
      <c r="S257" s="6">
        <v>18857</v>
      </c>
      <c r="U257" s="6">
        <v>1778626</v>
      </c>
      <c r="W257" s="6">
        <v>485703</v>
      </c>
      <c r="Y257" s="6">
        <v>0</v>
      </c>
      <c r="AA257" s="6">
        <v>2071837</v>
      </c>
      <c r="AC257" s="6">
        <v>1170517</v>
      </c>
      <c r="AE257" s="6">
        <v>153244</v>
      </c>
      <c r="AG257" s="11" t="s">
        <v>363</v>
      </c>
      <c r="AH257" s="11"/>
      <c r="AI257" s="11" t="s">
        <v>39</v>
      </c>
      <c r="AJ257" s="11"/>
      <c r="AK257" s="6">
        <v>953707</v>
      </c>
      <c r="AM257" s="6">
        <v>104021</v>
      </c>
      <c r="AO257" s="6">
        <v>370294</v>
      </c>
      <c r="AQ257" s="6">
        <v>595083</v>
      </c>
      <c r="AU257" s="6">
        <v>0</v>
      </c>
      <c r="AW257" s="6">
        <f t="shared" si="26"/>
        <v>23211297</v>
      </c>
      <c r="AY257" s="6">
        <f>+'St of Activites - GA Rev'!AG257-'St of Activities - GA Exp'!AW257</f>
        <v>-479809</v>
      </c>
      <c r="BA257" s="6">
        <v>10645120</v>
      </c>
      <c r="BC257" s="6">
        <f t="shared" si="29"/>
        <v>10165311</v>
      </c>
      <c r="BE257" s="6">
        <f>+'St of Net Assets - GA'!Y257-'St of Activities - GA Exp'!BC257</f>
        <v>0</v>
      </c>
    </row>
    <row r="258" spans="1:57" ht="12" customHeight="1">
      <c r="A258" s="11" t="s">
        <v>762</v>
      </c>
      <c r="B258" s="11"/>
      <c r="C258" s="11" t="s">
        <v>32</v>
      </c>
      <c r="E258" s="6">
        <v>13873431</v>
      </c>
      <c r="G258" s="6">
        <v>2403636</v>
      </c>
      <c r="I258" s="6">
        <v>11045</v>
      </c>
      <c r="K258" s="6">
        <v>0</v>
      </c>
      <c r="M258" s="6">
        <v>455929</v>
      </c>
      <c r="O258" s="6">
        <v>2158776</v>
      </c>
      <c r="Q258" s="6">
        <v>2794398</v>
      </c>
      <c r="S258" s="6">
        <v>54160</v>
      </c>
      <c r="U258" s="6">
        <v>2465035</v>
      </c>
      <c r="W258" s="6">
        <v>811012</v>
      </c>
      <c r="Y258" s="6">
        <v>34048</v>
      </c>
      <c r="AA258" s="6">
        <v>3629239</v>
      </c>
      <c r="AC258" s="6">
        <v>2023868</v>
      </c>
      <c r="AE258" s="6">
        <v>50006</v>
      </c>
      <c r="AG258" s="11" t="s">
        <v>762</v>
      </c>
      <c r="AH258" s="11"/>
      <c r="AI258" s="11" t="s">
        <v>32</v>
      </c>
      <c r="AJ258" s="11"/>
      <c r="AK258" s="6">
        <v>769723</v>
      </c>
      <c r="AM258" s="6">
        <v>1292249</v>
      </c>
      <c r="AO258" s="6">
        <v>888386</v>
      </c>
      <c r="AQ258" s="6">
        <v>1611596</v>
      </c>
      <c r="AU258" s="6">
        <v>0</v>
      </c>
      <c r="AW258" s="6">
        <f t="shared" si="26"/>
        <v>35326537</v>
      </c>
      <c r="AY258" s="6">
        <f>+'St of Activites - GA Rev'!AG258-'St of Activities - GA Exp'!AW258</f>
        <v>3429912</v>
      </c>
      <c r="BA258" s="6">
        <v>47914222</v>
      </c>
      <c r="BC258" s="6">
        <f t="shared" si="29"/>
        <v>51344134</v>
      </c>
      <c r="BE258" s="6">
        <f>+'St of Net Assets - GA'!Y258-'St of Activities - GA Exp'!BC258</f>
        <v>0</v>
      </c>
    </row>
    <row r="259" spans="1:57" ht="12" hidden="1" customHeight="1">
      <c r="A259" s="11" t="s">
        <v>795</v>
      </c>
      <c r="B259" s="11"/>
      <c r="C259" s="11" t="s">
        <v>43</v>
      </c>
      <c r="E259" s="6">
        <v>0</v>
      </c>
      <c r="G259" s="6">
        <v>0</v>
      </c>
      <c r="I259" s="6">
        <v>0</v>
      </c>
      <c r="K259" s="6">
        <v>0</v>
      </c>
      <c r="M259" s="6">
        <v>0</v>
      </c>
      <c r="O259" s="6">
        <v>0</v>
      </c>
      <c r="Q259" s="6">
        <v>0</v>
      </c>
      <c r="S259" s="6">
        <v>0</v>
      </c>
      <c r="U259" s="6">
        <v>0</v>
      </c>
      <c r="W259" s="6">
        <v>0</v>
      </c>
      <c r="Y259" s="6">
        <v>0</v>
      </c>
      <c r="AA259" s="6">
        <v>0</v>
      </c>
      <c r="AC259" s="6">
        <v>0</v>
      </c>
      <c r="AE259" s="6">
        <v>0</v>
      </c>
      <c r="AG259" s="11" t="s">
        <v>795</v>
      </c>
      <c r="AH259" s="11"/>
      <c r="AI259" s="11" t="s">
        <v>43</v>
      </c>
      <c r="AJ259" s="11"/>
      <c r="AK259" s="6">
        <v>0</v>
      </c>
      <c r="AM259" s="6">
        <v>0</v>
      </c>
      <c r="AO259" s="6">
        <v>0</v>
      </c>
      <c r="AQ259" s="6">
        <v>0</v>
      </c>
      <c r="AU259" s="6">
        <v>0</v>
      </c>
      <c r="AW259" s="6">
        <f t="shared" si="26"/>
        <v>0</v>
      </c>
      <c r="AY259" s="6">
        <f>+'St of Activites - GA Rev'!AG259-'St of Activities - GA Exp'!AW259</f>
        <v>0</v>
      </c>
      <c r="BC259" s="6">
        <f t="shared" si="29"/>
        <v>0</v>
      </c>
      <c r="BE259" s="6">
        <f>+'St of Net Assets - GA'!Y259-'St of Activities - GA Exp'!BC259</f>
        <v>0</v>
      </c>
    </row>
    <row r="260" spans="1:57">
      <c r="A260" s="11" t="s">
        <v>536</v>
      </c>
      <c r="B260" s="11"/>
      <c r="C260" s="11" t="s">
        <v>65</v>
      </c>
      <c r="E260" s="6">
        <v>8199806</v>
      </c>
      <c r="G260" s="6">
        <v>1731793</v>
      </c>
      <c r="I260" s="6">
        <v>196893</v>
      </c>
      <c r="K260" s="6">
        <v>0</v>
      </c>
      <c r="M260" s="6">
        <v>1675368</v>
      </c>
      <c r="O260" s="6">
        <v>572095</v>
      </c>
      <c r="Q260" s="6">
        <v>733911</v>
      </c>
      <c r="S260" s="6">
        <v>35518</v>
      </c>
      <c r="U260" s="6">
        <v>1180949</v>
      </c>
      <c r="W260" s="6">
        <v>401270</v>
      </c>
      <c r="Y260" s="6">
        <v>121888</v>
      </c>
      <c r="AA260" s="6">
        <v>1711780</v>
      </c>
      <c r="AC260" s="6">
        <v>1132417</v>
      </c>
      <c r="AE260" s="6">
        <v>11720</v>
      </c>
      <c r="AG260" s="11" t="s">
        <v>536</v>
      </c>
      <c r="AH260" s="11"/>
      <c r="AI260" s="11" t="s">
        <v>65</v>
      </c>
      <c r="AJ260" s="11"/>
      <c r="AK260" s="6">
        <v>930238</v>
      </c>
      <c r="AM260" s="6">
        <v>0</v>
      </c>
      <c r="AO260" s="6">
        <v>517888</v>
      </c>
      <c r="AQ260" s="6">
        <v>547920</v>
      </c>
      <c r="AU260" s="6">
        <v>0</v>
      </c>
      <c r="AW260" s="6">
        <f t="shared" si="26"/>
        <v>19701454</v>
      </c>
      <c r="AY260" s="6">
        <f>+'St of Activites - GA Rev'!AG260-'St of Activities - GA Exp'!AW260</f>
        <v>-1032085</v>
      </c>
      <c r="BA260" s="6">
        <v>34826873</v>
      </c>
      <c r="BC260" s="6">
        <f t="shared" si="29"/>
        <v>33794788</v>
      </c>
      <c r="BE260" s="6">
        <f>+'St of Net Assets - GA'!Y260-'St of Activities - GA Exp'!BC260</f>
        <v>0</v>
      </c>
    </row>
    <row r="261" spans="1:57" ht="12" customHeight="1">
      <c r="A261" s="11" t="s">
        <v>369</v>
      </c>
      <c r="B261" s="11"/>
      <c r="C261" s="11" t="s">
        <v>366</v>
      </c>
      <c r="E261" s="6">
        <v>7754551</v>
      </c>
      <c r="G261" s="6">
        <v>1246778</v>
      </c>
      <c r="I261" s="6">
        <v>153901</v>
      </c>
      <c r="K261" s="6">
        <v>0</v>
      </c>
      <c r="M261" s="6">
        <v>116370</v>
      </c>
      <c r="O261" s="6">
        <v>678617</v>
      </c>
      <c r="Q261" s="6">
        <v>456645</v>
      </c>
      <c r="S261" s="6">
        <v>264076</v>
      </c>
      <c r="U261" s="6">
        <v>944965</v>
      </c>
      <c r="W261" s="6">
        <v>636541</v>
      </c>
      <c r="Y261" s="6">
        <v>0</v>
      </c>
      <c r="AA261" s="6">
        <v>1750897</v>
      </c>
      <c r="AC261" s="6">
        <v>665229</v>
      </c>
      <c r="AE261" s="6">
        <v>80782</v>
      </c>
      <c r="AG261" s="11" t="s">
        <v>369</v>
      </c>
      <c r="AH261" s="11"/>
      <c r="AI261" s="11" t="s">
        <v>366</v>
      </c>
      <c r="AJ261" s="11"/>
      <c r="AK261" s="6">
        <v>660961</v>
      </c>
      <c r="AM261" s="6">
        <v>189614</v>
      </c>
      <c r="AO261" s="6">
        <v>632738</v>
      </c>
      <c r="AQ261" s="6">
        <v>781169</v>
      </c>
      <c r="AU261" s="6">
        <v>0</v>
      </c>
      <c r="AW261" s="6">
        <f t="shared" si="26"/>
        <v>17013834</v>
      </c>
      <c r="AY261" s="6">
        <f>+'St of Activites - GA Rev'!AG261-'St of Activities - GA Exp'!AW261</f>
        <v>-759474</v>
      </c>
      <c r="BA261" s="6">
        <v>36996580</v>
      </c>
      <c r="BC261" s="6">
        <f t="shared" si="29"/>
        <v>36237106</v>
      </c>
      <c r="BE261" s="6">
        <f>+'St of Net Assets - GA'!Y261-'St of Activities - GA Exp'!BC261</f>
        <v>0</v>
      </c>
    </row>
    <row r="262" spans="1:57" ht="12" hidden="1" customHeight="1">
      <c r="A262" s="11" t="s">
        <v>668</v>
      </c>
      <c r="B262" s="11"/>
      <c r="C262" s="11" t="s">
        <v>61</v>
      </c>
      <c r="E262" s="6">
        <v>0</v>
      </c>
      <c r="G262" s="6">
        <v>0</v>
      </c>
      <c r="I262" s="6">
        <v>0</v>
      </c>
      <c r="K262" s="6">
        <v>0</v>
      </c>
      <c r="M262" s="6">
        <v>0</v>
      </c>
      <c r="O262" s="6">
        <v>0</v>
      </c>
      <c r="Q262" s="6">
        <v>0</v>
      </c>
      <c r="S262" s="6">
        <v>0</v>
      </c>
      <c r="U262" s="6">
        <v>0</v>
      </c>
      <c r="W262" s="6">
        <v>0</v>
      </c>
      <c r="Y262" s="6">
        <v>0</v>
      </c>
      <c r="AA262" s="6">
        <v>0</v>
      </c>
      <c r="AC262" s="6">
        <v>0</v>
      </c>
      <c r="AE262" s="6">
        <v>0</v>
      </c>
      <c r="AG262" s="11" t="s">
        <v>668</v>
      </c>
      <c r="AH262" s="11"/>
      <c r="AI262" s="11" t="s">
        <v>61</v>
      </c>
      <c r="AJ262" s="11"/>
      <c r="AK262" s="6">
        <v>0</v>
      </c>
      <c r="AM262" s="6">
        <v>0</v>
      </c>
      <c r="AO262" s="6">
        <v>0</v>
      </c>
      <c r="AQ262" s="6">
        <v>0</v>
      </c>
      <c r="AU262" s="6">
        <v>0</v>
      </c>
      <c r="AW262" s="6">
        <f t="shared" si="26"/>
        <v>0</v>
      </c>
      <c r="AY262" s="6">
        <f>+'St of Activites - GA Rev'!AG262-'St of Activities - GA Exp'!AW262</f>
        <v>0</v>
      </c>
      <c r="BC262" s="6">
        <f t="shared" si="29"/>
        <v>0</v>
      </c>
      <c r="BE262" s="6">
        <f>+'St of Net Assets - GA'!Y262-'St of Activities - GA Exp'!BC262</f>
        <v>0</v>
      </c>
    </row>
    <row r="263" spans="1:57" ht="12" hidden="1" customHeight="1">
      <c r="A263" s="11" t="s">
        <v>679</v>
      </c>
      <c r="B263" s="11"/>
      <c r="C263" s="11" t="s">
        <v>38</v>
      </c>
      <c r="E263" s="6">
        <v>0</v>
      </c>
      <c r="G263" s="6">
        <v>0</v>
      </c>
      <c r="I263" s="6">
        <v>0</v>
      </c>
      <c r="K263" s="6">
        <v>0</v>
      </c>
      <c r="M263" s="6">
        <v>0</v>
      </c>
      <c r="O263" s="6">
        <v>0</v>
      </c>
      <c r="Q263" s="6">
        <v>0</v>
      </c>
      <c r="S263" s="6">
        <v>0</v>
      </c>
      <c r="U263" s="6">
        <v>0</v>
      </c>
      <c r="W263" s="6">
        <v>0</v>
      </c>
      <c r="Y263" s="6">
        <v>0</v>
      </c>
      <c r="AA263" s="6">
        <v>0</v>
      </c>
      <c r="AC263" s="6">
        <v>0</v>
      </c>
      <c r="AE263" s="6">
        <v>0</v>
      </c>
      <c r="AG263" s="11" t="s">
        <v>679</v>
      </c>
      <c r="AH263" s="11"/>
      <c r="AI263" s="11" t="s">
        <v>38</v>
      </c>
      <c r="AJ263" s="11"/>
      <c r="AK263" s="6">
        <v>0</v>
      </c>
      <c r="AM263" s="6">
        <v>0</v>
      </c>
      <c r="AO263" s="6">
        <v>0</v>
      </c>
      <c r="AQ263" s="6">
        <v>0</v>
      </c>
      <c r="AU263" s="6">
        <v>0</v>
      </c>
      <c r="AW263" s="6">
        <f t="shared" si="26"/>
        <v>0</v>
      </c>
      <c r="AY263" s="6">
        <f>+'St of Activites - GA Rev'!AG263-'St of Activities - GA Exp'!AW263</f>
        <v>0</v>
      </c>
      <c r="BC263" s="6">
        <f t="shared" si="29"/>
        <v>0</v>
      </c>
      <c r="BE263" s="6">
        <f>+'St of Net Assets - GA'!Y263-'St of Activities - GA Exp'!BC263</f>
        <v>0</v>
      </c>
    </row>
    <row r="264" spans="1:57">
      <c r="A264" s="11" t="s">
        <v>497</v>
      </c>
      <c r="B264" s="11"/>
      <c r="C264" s="11" t="s">
        <v>62</v>
      </c>
      <c r="E264" s="6">
        <v>23638767</v>
      </c>
      <c r="G264" s="6">
        <v>3256333</v>
      </c>
      <c r="I264" s="6">
        <v>1010803</v>
      </c>
      <c r="K264" s="6">
        <v>34674</v>
      </c>
      <c r="M264" s="6">
        <v>1592279</v>
      </c>
      <c r="O264" s="6">
        <v>3657602</v>
      </c>
      <c r="Q264" s="6">
        <v>3220097</v>
      </c>
      <c r="S264" s="6">
        <v>15311</v>
      </c>
      <c r="U264" s="6">
        <v>3173530</v>
      </c>
      <c r="W264" s="6">
        <v>1223968</v>
      </c>
      <c r="Y264" s="6">
        <v>503953</v>
      </c>
      <c r="AA264" s="6">
        <v>5610350</v>
      </c>
      <c r="AC264" s="6">
        <v>3238047</v>
      </c>
      <c r="AE264" s="6">
        <v>1223028</v>
      </c>
      <c r="AG264" s="11" t="s">
        <v>497</v>
      </c>
      <c r="AH264" s="11"/>
      <c r="AI264" s="11" t="s">
        <v>62</v>
      </c>
      <c r="AJ264" s="11"/>
      <c r="AK264" s="6">
        <v>1899998</v>
      </c>
      <c r="AM264" s="6">
        <v>8740</v>
      </c>
      <c r="AO264" s="6">
        <v>2197694</v>
      </c>
      <c r="AQ264" s="6">
        <v>3255965</v>
      </c>
      <c r="AU264" s="6">
        <v>0</v>
      </c>
      <c r="AW264" s="6">
        <f t="shared" si="26"/>
        <v>58761139</v>
      </c>
      <c r="AY264" s="6">
        <f>+'St of Activites - GA Rev'!AG264-'St of Activities - GA Exp'!AW264</f>
        <v>2747726</v>
      </c>
      <c r="BA264" s="6">
        <v>40847238</v>
      </c>
      <c r="BC264" s="6">
        <f t="shared" si="29"/>
        <v>43594964</v>
      </c>
      <c r="BE264" s="6">
        <f>+'St of Net Assets - GA'!Y264-'St of Activities - GA Exp'!BC264</f>
        <v>0</v>
      </c>
    </row>
    <row r="265" spans="1:57" ht="12" customHeight="1">
      <c r="A265" s="11" t="s">
        <v>404</v>
      </c>
      <c r="B265" s="11"/>
      <c r="C265" s="11" t="s">
        <v>45</v>
      </c>
      <c r="E265" s="6">
        <v>5180049</v>
      </c>
      <c r="G265" s="6">
        <v>1248431</v>
      </c>
      <c r="I265" s="6">
        <v>91030</v>
      </c>
      <c r="K265" s="6">
        <v>0</v>
      </c>
      <c r="M265" s="6">
        <v>0</v>
      </c>
      <c r="O265" s="6">
        <v>519344</v>
      </c>
      <c r="Q265" s="6">
        <v>115603</v>
      </c>
      <c r="S265" s="6">
        <v>62197</v>
      </c>
      <c r="U265" s="6">
        <v>586259</v>
      </c>
      <c r="W265" s="6">
        <v>445202</v>
      </c>
      <c r="Y265" s="6">
        <v>0</v>
      </c>
      <c r="AA265" s="6">
        <v>778556</v>
      </c>
      <c r="AC265" s="6">
        <v>701911</v>
      </c>
      <c r="AE265" s="6">
        <v>4372</v>
      </c>
      <c r="AG265" s="11" t="s">
        <v>404</v>
      </c>
      <c r="AH265" s="11"/>
      <c r="AI265" s="11" t="s">
        <v>45</v>
      </c>
      <c r="AJ265" s="11"/>
      <c r="AK265" s="6">
        <v>394315</v>
      </c>
      <c r="AM265" s="6">
        <v>1878</v>
      </c>
      <c r="AO265" s="6">
        <v>448697</v>
      </c>
      <c r="AQ265" s="6">
        <v>679197</v>
      </c>
      <c r="AU265" s="6">
        <v>0</v>
      </c>
      <c r="AW265" s="6">
        <f t="shared" si="26"/>
        <v>11257041</v>
      </c>
      <c r="AY265" s="6">
        <f>+'St of Activites - GA Rev'!AG265-'St of Activities - GA Exp'!AW265</f>
        <v>-464405</v>
      </c>
      <c r="BA265" s="6">
        <v>5887462</v>
      </c>
      <c r="BC265" s="6">
        <f t="shared" si="29"/>
        <v>5423057</v>
      </c>
      <c r="BE265" s="6">
        <f>+'St of Net Assets - GA'!Y265-'St of Activities - GA Exp'!BC265</f>
        <v>0</v>
      </c>
    </row>
    <row r="266" spans="1:57">
      <c r="A266" s="11" t="s">
        <v>460</v>
      </c>
      <c r="B266" s="11"/>
      <c r="C266" s="11" t="s">
        <v>56</v>
      </c>
      <c r="E266" s="6">
        <v>6782007</v>
      </c>
      <c r="G266" s="6">
        <v>1298055</v>
      </c>
      <c r="I266" s="6">
        <v>0</v>
      </c>
      <c r="K266" s="6">
        <v>0</v>
      </c>
      <c r="M266" s="6">
        <v>5581</v>
      </c>
      <c r="O266" s="6">
        <v>698738</v>
      </c>
      <c r="Q266" s="6">
        <v>585150</v>
      </c>
      <c r="S266" s="6">
        <v>34533</v>
      </c>
      <c r="U266" s="6">
        <v>1025815</v>
      </c>
      <c r="W266" s="6">
        <v>310799</v>
      </c>
      <c r="Y266" s="6">
        <v>0</v>
      </c>
      <c r="AA266" s="6">
        <v>1320993</v>
      </c>
      <c r="AC266" s="6">
        <v>890117</v>
      </c>
      <c r="AE266" s="6">
        <v>36347</v>
      </c>
      <c r="AG266" s="11" t="s">
        <v>460</v>
      </c>
      <c r="AH266" s="11"/>
      <c r="AI266" s="11" t="s">
        <v>56</v>
      </c>
      <c r="AJ266" s="11"/>
      <c r="AK266" s="6">
        <v>627036</v>
      </c>
      <c r="AM266" s="6">
        <v>8072</v>
      </c>
      <c r="AO266" s="6">
        <v>553555</v>
      </c>
      <c r="AQ266" s="6">
        <v>216702</v>
      </c>
      <c r="AU266" s="6">
        <v>0</v>
      </c>
      <c r="AW266" s="6">
        <f t="shared" si="26"/>
        <v>14393500</v>
      </c>
      <c r="AY266" s="6">
        <f>+'St of Activites - GA Rev'!AG266-'St of Activities - GA Exp'!AW266</f>
        <v>-690209</v>
      </c>
      <c r="BA266" s="6">
        <v>4764803</v>
      </c>
      <c r="BC266" s="6">
        <f t="shared" si="29"/>
        <v>4074594</v>
      </c>
      <c r="BE266" s="6">
        <f>+'St of Net Assets - GA'!Y266-'St of Activities - GA Exp'!BC266</f>
        <v>0</v>
      </c>
    </row>
    <row r="267" spans="1:57" ht="12" customHeight="1">
      <c r="A267" s="11" t="s">
        <v>209</v>
      </c>
      <c r="B267" s="11"/>
      <c r="C267" s="11" t="s">
        <v>12</v>
      </c>
      <c r="E267" s="6">
        <v>9133489</v>
      </c>
      <c r="G267" s="6">
        <v>1440369</v>
      </c>
      <c r="I267" s="6">
        <v>176156</v>
      </c>
      <c r="K267" s="6">
        <v>0</v>
      </c>
      <c r="M267" s="6">
        <v>47727</v>
      </c>
      <c r="O267" s="6">
        <v>1441602</v>
      </c>
      <c r="Q267" s="6">
        <v>314004</v>
      </c>
      <c r="S267" s="6">
        <v>17231</v>
      </c>
      <c r="U267" s="6">
        <v>951922</v>
      </c>
      <c r="W267" s="6">
        <v>549081</v>
      </c>
      <c r="Y267" s="6">
        <v>11240</v>
      </c>
      <c r="AA267" s="6">
        <v>1632474</v>
      </c>
      <c r="AC267" s="6">
        <v>1393370</v>
      </c>
      <c r="AE267" s="6">
        <v>71538</v>
      </c>
      <c r="AG267" s="11" t="s">
        <v>209</v>
      </c>
      <c r="AH267" s="11"/>
      <c r="AI267" s="11" t="s">
        <v>12</v>
      </c>
      <c r="AJ267" s="11"/>
      <c r="AK267" s="6">
        <v>908178</v>
      </c>
      <c r="AM267" s="6">
        <v>125265</v>
      </c>
      <c r="AO267" s="6">
        <v>629686</v>
      </c>
      <c r="AQ267" s="6">
        <v>877790</v>
      </c>
      <c r="AU267" s="6">
        <v>0</v>
      </c>
      <c r="AW267" s="6">
        <f t="shared" si="26"/>
        <v>19721122</v>
      </c>
      <c r="AY267" s="6">
        <f>+'St of Activites - GA Rev'!AG267-'St of Activities - GA Exp'!AW267</f>
        <v>60983</v>
      </c>
      <c r="BA267" s="6">
        <v>43470914</v>
      </c>
      <c r="BC267" s="6">
        <f t="shared" si="29"/>
        <v>43531897</v>
      </c>
      <c r="BE267" s="6">
        <f>+'St of Net Assets - GA'!Y267-'St of Activities - GA Exp'!BC267</f>
        <v>0</v>
      </c>
    </row>
    <row r="268" spans="1:57">
      <c r="A268" s="11" t="s">
        <v>397</v>
      </c>
      <c r="B268" s="11"/>
      <c r="C268" s="11" t="s">
        <v>398</v>
      </c>
      <c r="E268" s="6">
        <v>5738082</v>
      </c>
      <c r="G268" s="6">
        <v>1749124</v>
      </c>
      <c r="I268" s="6">
        <v>0</v>
      </c>
      <c r="K268" s="6">
        <v>0</v>
      </c>
      <c r="M268" s="6">
        <v>0</v>
      </c>
      <c r="O268" s="6">
        <v>679745</v>
      </c>
      <c r="Q268" s="6">
        <v>572420</v>
      </c>
      <c r="S268" s="6">
        <v>73199</v>
      </c>
      <c r="U268" s="6">
        <v>954040</v>
      </c>
      <c r="W268" s="6">
        <v>491353</v>
      </c>
      <c r="Y268" s="6">
        <v>62999</v>
      </c>
      <c r="AA268" s="6">
        <v>1127347</v>
      </c>
      <c r="AC268" s="6">
        <v>661778</v>
      </c>
      <c r="AE268" s="6">
        <v>323123</v>
      </c>
      <c r="AG268" s="11" t="s">
        <v>397</v>
      </c>
      <c r="AH268" s="11"/>
      <c r="AI268" s="11" t="s">
        <v>398</v>
      </c>
      <c r="AJ268" s="11"/>
      <c r="AK268" s="6">
        <v>695002</v>
      </c>
      <c r="AM268" s="6">
        <v>10000</v>
      </c>
      <c r="AO268" s="6">
        <v>573149</v>
      </c>
      <c r="AQ268" s="6">
        <v>568135</v>
      </c>
      <c r="AU268" s="6">
        <v>0</v>
      </c>
      <c r="AW268" s="6">
        <f t="shared" si="26"/>
        <v>14279496</v>
      </c>
      <c r="AY268" s="6">
        <f>+'St of Activites - GA Rev'!AG268-'St of Activities - GA Exp'!AW268</f>
        <v>-75982</v>
      </c>
      <c r="BA268" s="6">
        <v>23560187</v>
      </c>
      <c r="BC268" s="6">
        <f t="shared" si="29"/>
        <v>23484205</v>
      </c>
      <c r="BE268" s="6">
        <f>+'St of Net Assets - GA'!Y268-'St of Activities - GA Exp'!BC268</f>
        <v>0</v>
      </c>
    </row>
    <row r="269" spans="1:57" ht="12" customHeight="1">
      <c r="A269" s="11" t="s">
        <v>680</v>
      </c>
      <c r="B269" s="11"/>
      <c r="C269" s="11" t="s">
        <v>50</v>
      </c>
      <c r="E269" s="6">
        <v>2014441</v>
      </c>
      <c r="G269" s="6">
        <v>1101224</v>
      </c>
      <c r="I269" s="6">
        <v>0</v>
      </c>
      <c r="K269" s="6">
        <v>0</v>
      </c>
      <c r="M269" s="6">
        <v>1431424</v>
      </c>
      <c r="O269" s="6">
        <v>244754</v>
      </c>
      <c r="Q269" s="6">
        <v>312547</v>
      </c>
      <c r="S269" s="6">
        <v>54998</v>
      </c>
      <c r="U269" s="6">
        <v>690496</v>
      </c>
      <c r="W269" s="6">
        <v>263948</v>
      </c>
      <c r="Y269" s="6">
        <v>573</v>
      </c>
      <c r="AA269" s="6">
        <v>1034798</v>
      </c>
      <c r="AC269" s="6">
        <v>451744</v>
      </c>
      <c r="AE269" s="6">
        <v>53805</v>
      </c>
      <c r="AG269" s="11" t="s">
        <v>680</v>
      </c>
      <c r="AH269" s="11"/>
      <c r="AI269" s="11" t="s">
        <v>50</v>
      </c>
      <c r="AJ269" s="11"/>
      <c r="AK269" s="6">
        <v>330894</v>
      </c>
      <c r="AM269" s="6">
        <v>9941</v>
      </c>
      <c r="AO269" s="6">
        <v>124987</v>
      </c>
      <c r="AQ269" s="6">
        <v>37713</v>
      </c>
      <c r="AU269" s="6">
        <v>0</v>
      </c>
      <c r="AW269" s="6">
        <f t="shared" si="26"/>
        <v>8158287</v>
      </c>
      <c r="AY269" s="6">
        <f>+'St of Activites - GA Rev'!AG269-'St of Activities - GA Exp'!AW269</f>
        <v>476016</v>
      </c>
      <c r="BA269" s="6">
        <v>3683476</v>
      </c>
      <c r="BC269" s="6">
        <f t="shared" si="29"/>
        <v>4159492</v>
      </c>
      <c r="BE269" s="6">
        <f>+'St of Net Assets - GA'!Y269-'St of Activities - GA Exp'!BC269</f>
        <v>0</v>
      </c>
    </row>
    <row r="270" spans="1:57" ht="12" hidden="1" customHeight="1">
      <c r="A270" s="11" t="s">
        <v>872</v>
      </c>
      <c r="B270" s="11"/>
      <c r="C270" s="11" t="s">
        <v>467</v>
      </c>
      <c r="E270" s="6">
        <v>0</v>
      </c>
      <c r="G270" s="6">
        <v>0</v>
      </c>
      <c r="I270" s="6">
        <v>0</v>
      </c>
      <c r="K270" s="6">
        <v>0</v>
      </c>
      <c r="M270" s="6">
        <v>0</v>
      </c>
      <c r="O270" s="6">
        <v>0</v>
      </c>
      <c r="Q270" s="6">
        <v>0</v>
      </c>
      <c r="S270" s="6">
        <v>0</v>
      </c>
      <c r="U270" s="6">
        <v>0</v>
      </c>
      <c r="W270" s="6">
        <v>0</v>
      </c>
      <c r="Y270" s="6">
        <v>0</v>
      </c>
      <c r="AA270" s="6">
        <v>0</v>
      </c>
      <c r="AC270" s="6">
        <v>0</v>
      </c>
      <c r="AE270" s="6">
        <v>0</v>
      </c>
      <c r="AG270" s="11" t="s">
        <v>872</v>
      </c>
      <c r="AH270" s="11"/>
      <c r="AI270" s="11" t="s">
        <v>467</v>
      </c>
      <c r="AJ270" s="11"/>
      <c r="AK270" s="6">
        <v>0</v>
      </c>
      <c r="AM270" s="6">
        <v>0</v>
      </c>
      <c r="AO270" s="6">
        <v>0</v>
      </c>
      <c r="AQ270" s="6">
        <v>0</v>
      </c>
      <c r="AU270" s="6">
        <v>0</v>
      </c>
      <c r="AW270" s="6">
        <f t="shared" si="26"/>
        <v>0</v>
      </c>
      <c r="AY270" s="6">
        <f>+'St of Activites - GA Rev'!AG270-'St of Activities - GA Exp'!AW270</f>
        <v>0</v>
      </c>
      <c r="BC270" s="6">
        <f t="shared" si="29"/>
        <v>0</v>
      </c>
      <c r="BE270" s="6">
        <f>+'St of Net Assets - GA'!Y270-'St of Activities - GA Exp'!BC270</f>
        <v>0</v>
      </c>
    </row>
    <row r="271" spans="1:57">
      <c r="A271" s="11" t="s">
        <v>374</v>
      </c>
      <c r="B271" s="11"/>
      <c r="C271" s="11" t="s">
        <v>42</v>
      </c>
      <c r="E271" s="6">
        <v>6284184</v>
      </c>
      <c r="G271" s="6">
        <v>1405849</v>
      </c>
      <c r="I271" s="6">
        <v>199756</v>
      </c>
      <c r="K271" s="6">
        <v>0</v>
      </c>
      <c r="M271" s="6">
        <v>376204</v>
      </c>
      <c r="O271" s="6">
        <v>453328</v>
      </c>
      <c r="Q271" s="6">
        <v>555383</v>
      </c>
      <c r="S271" s="6">
        <v>61431</v>
      </c>
      <c r="U271" s="6">
        <v>1062035</v>
      </c>
      <c r="W271" s="6">
        <v>406404</v>
      </c>
      <c r="Y271" s="6">
        <v>825</v>
      </c>
      <c r="AA271" s="6">
        <v>1162166</v>
      </c>
      <c r="AC271" s="6">
        <v>833276</v>
      </c>
      <c r="AE271" s="6">
        <v>41520</v>
      </c>
      <c r="AG271" s="11" t="s">
        <v>374</v>
      </c>
      <c r="AH271" s="11"/>
      <c r="AI271" s="11" t="s">
        <v>42</v>
      </c>
      <c r="AJ271" s="11"/>
      <c r="AK271" s="6">
        <v>313502</v>
      </c>
      <c r="AM271" s="6">
        <v>12582</v>
      </c>
      <c r="AO271" s="6">
        <v>387519</v>
      </c>
      <c r="AQ271" s="6">
        <v>9737</v>
      </c>
      <c r="AU271" s="6">
        <v>0</v>
      </c>
      <c r="AW271" s="6">
        <f t="shared" si="26"/>
        <v>13565701</v>
      </c>
      <c r="AY271" s="6">
        <f>+'St of Activites - GA Rev'!AG271-'St of Activities - GA Exp'!AW271</f>
        <v>2312255</v>
      </c>
      <c r="BA271" s="6">
        <v>11953106</v>
      </c>
      <c r="BC271" s="6">
        <f t="shared" si="29"/>
        <v>14265361</v>
      </c>
      <c r="BE271" s="6">
        <f>+'St of Net Assets - GA'!Y271-'St of Activities - GA Exp'!BC271</f>
        <v>0</v>
      </c>
    </row>
    <row r="272" spans="1:57">
      <c r="A272" s="11" t="s">
        <v>399</v>
      </c>
      <c r="B272" s="11"/>
      <c r="C272" s="11" t="s">
        <v>398</v>
      </c>
      <c r="E272" s="6">
        <v>9213719</v>
      </c>
      <c r="G272" s="6">
        <v>1905112</v>
      </c>
      <c r="I272" s="6">
        <v>76936</v>
      </c>
      <c r="K272" s="6">
        <v>0</v>
      </c>
      <c r="M272" s="6">
        <v>44904</v>
      </c>
      <c r="O272" s="6">
        <v>1459944</v>
      </c>
      <c r="Q272" s="6">
        <v>517068</v>
      </c>
      <c r="S272" s="6">
        <v>130568</v>
      </c>
      <c r="U272" s="6">
        <v>1699491</v>
      </c>
      <c r="W272" s="6">
        <v>766043</v>
      </c>
      <c r="Y272" s="6">
        <v>9868</v>
      </c>
      <c r="AA272" s="6">
        <v>2020895</v>
      </c>
      <c r="AC272" s="6">
        <v>1257494</v>
      </c>
      <c r="AE272" s="6">
        <v>0</v>
      </c>
      <c r="AG272" s="11" t="s">
        <v>399</v>
      </c>
      <c r="AH272" s="11"/>
      <c r="AI272" s="11" t="s">
        <v>398</v>
      </c>
      <c r="AJ272" s="11"/>
      <c r="AK272" s="6">
        <v>1081814</v>
      </c>
      <c r="AM272" s="6">
        <v>0</v>
      </c>
      <c r="AO272" s="6">
        <v>702820</v>
      </c>
      <c r="AQ272" s="6">
        <v>969836</v>
      </c>
      <c r="AU272" s="6">
        <v>1131584</v>
      </c>
      <c r="AW272" s="6">
        <f t="shared" si="26"/>
        <v>22988096</v>
      </c>
      <c r="AY272" s="6">
        <f>+'St of Activites - GA Rev'!AG272-'St of Activities - GA Exp'!AW272</f>
        <v>-103361</v>
      </c>
      <c r="BA272" s="6">
        <v>35918889</v>
      </c>
      <c r="BC272" s="6">
        <f t="shared" si="29"/>
        <v>35815528</v>
      </c>
      <c r="BE272" s="6">
        <f>+'St of Net Assets - GA'!Y272-'St of Activities - GA Exp'!BC272</f>
        <v>0</v>
      </c>
    </row>
    <row r="273" spans="1:57">
      <c r="A273" s="11" t="s">
        <v>523</v>
      </c>
      <c r="B273" s="11"/>
      <c r="C273" s="11" t="s">
        <v>64</v>
      </c>
      <c r="E273" s="6">
        <v>4549369</v>
      </c>
      <c r="G273" s="6">
        <v>748381</v>
      </c>
      <c r="I273" s="6">
        <v>48457</v>
      </c>
      <c r="K273" s="6">
        <v>0</v>
      </c>
      <c r="M273" s="6">
        <v>80989</v>
      </c>
      <c r="O273" s="6">
        <v>408182</v>
      </c>
      <c r="Q273" s="6">
        <v>89150</v>
      </c>
      <c r="S273" s="6">
        <v>48482</v>
      </c>
      <c r="U273" s="6">
        <v>703266</v>
      </c>
      <c r="W273" s="6">
        <v>345436</v>
      </c>
      <c r="Y273" s="6">
        <v>0</v>
      </c>
      <c r="AA273" s="6">
        <v>775672</v>
      </c>
      <c r="AC273" s="6">
        <v>851474</v>
      </c>
      <c r="AE273" s="6">
        <v>127289</v>
      </c>
      <c r="AG273" s="11" t="s">
        <v>523</v>
      </c>
      <c r="AH273" s="11"/>
      <c r="AI273" s="11" t="s">
        <v>64</v>
      </c>
      <c r="AJ273" s="11"/>
      <c r="AK273" s="6">
        <v>0</v>
      </c>
      <c r="AM273" s="6">
        <v>416284</v>
      </c>
      <c r="AO273" s="6">
        <v>260480</v>
      </c>
      <c r="AQ273" s="6">
        <v>170651</v>
      </c>
      <c r="AU273" s="6">
        <v>0</v>
      </c>
      <c r="AW273" s="6">
        <f t="shared" ref="AW273:AW318" si="30">SUM(E273:AV273)</f>
        <v>9623562</v>
      </c>
      <c r="AY273" s="6">
        <f>+'St of Activites - GA Rev'!AG273-'St of Activities - GA Exp'!AW273</f>
        <v>-578225</v>
      </c>
      <c r="BA273" s="6">
        <v>19991867</v>
      </c>
      <c r="BC273" s="6">
        <f t="shared" si="29"/>
        <v>19413642</v>
      </c>
      <c r="BE273" s="6">
        <f>+'St of Net Assets - GA'!Y273-'St of Activities - GA Exp'!BC273</f>
        <v>0</v>
      </c>
    </row>
    <row r="274" spans="1:57" hidden="1">
      <c r="A274" s="10" t="s">
        <v>873</v>
      </c>
      <c r="B274" s="10"/>
      <c r="C274" s="10" t="s">
        <v>467</v>
      </c>
      <c r="E274" s="6">
        <v>0</v>
      </c>
      <c r="G274" s="6">
        <v>0</v>
      </c>
      <c r="I274" s="6">
        <v>0</v>
      </c>
      <c r="K274" s="6">
        <v>0</v>
      </c>
      <c r="M274" s="6">
        <v>0</v>
      </c>
      <c r="O274" s="6">
        <v>0</v>
      </c>
      <c r="Q274" s="6">
        <v>0</v>
      </c>
      <c r="S274" s="6">
        <v>0</v>
      </c>
      <c r="U274" s="6">
        <v>0</v>
      </c>
      <c r="W274" s="6">
        <v>0</v>
      </c>
      <c r="Y274" s="6">
        <v>0</v>
      </c>
      <c r="AA274" s="6">
        <v>0</v>
      </c>
      <c r="AC274" s="6">
        <v>0</v>
      </c>
      <c r="AE274" s="6">
        <v>0</v>
      </c>
      <c r="AG274" s="10" t="s">
        <v>873</v>
      </c>
      <c r="AH274" s="10"/>
      <c r="AI274" s="10" t="s">
        <v>467</v>
      </c>
      <c r="AJ274" s="11"/>
      <c r="AK274" s="6">
        <v>0</v>
      </c>
      <c r="AM274" s="6">
        <v>0</v>
      </c>
      <c r="AO274" s="6">
        <v>0</v>
      </c>
      <c r="AQ274" s="6">
        <v>0</v>
      </c>
      <c r="AU274" s="6">
        <v>0</v>
      </c>
      <c r="AW274" s="6">
        <f t="shared" ref="AW274" si="31">SUM(E274:AV274)</f>
        <v>0</v>
      </c>
      <c r="AY274" s="6">
        <f>+'St of Activites - GA Rev'!AG274-'St of Activities - GA Exp'!AW274</f>
        <v>0</v>
      </c>
      <c r="BA274" s="6">
        <v>0</v>
      </c>
      <c r="BC274" s="6">
        <f t="shared" si="29"/>
        <v>0</v>
      </c>
      <c r="BE274" s="6">
        <f>+'St of Net Assets - GA'!Y274-'St of Activities - GA Exp'!BC274</f>
        <v>0</v>
      </c>
    </row>
    <row r="275" spans="1:57">
      <c r="A275" s="11" t="s">
        <v>287</v>
      </c>
      <c r="B275" s="11"/>
      <c r="C275" s="11" t="s">
        <v>24</v>
      </c>
      <c r="E275" s="6">
        <v>394782</v>
      </c>
      <c r="G275" s="6">
        <v>36</v>
      </c>
      <c r="I275" s="6">
        <v>0</v>
      </c>
      <c r="K275" s="6">
        <v>0</v>
      </c>
      <c r="M275" s="6">
        <v>0</v>
      </c>
      <c r="O275" s="6">
        <v>24909</v>
      </c>
      <c r="Q275" s="6">
        <v>47402</v>
      </c>
      <c r="S275" s="6">
        <v>21052</v>
      </c>
      <c r="U275" s="6">
        <v>109869</v>
      </c>
      <c r="W275" s="6">
        <v>44511</v>
      </c>
      <c r="Y275" s="6">
        <v>0</v>
      </c>
      <c r="AA275" s="6">
        <v>145250</v>
      </c>
      <c r="AC275" s="6">
        <v>0</v>
      </c>
      <c r="AE275" s="6">
        <v>0</v>
      </c>
      <c r="AG275" s="11" t="s">
        <v>287</v>
      </c>
      <c r="AH275" s="11"/>
      <c r="AI275" s="11" t="s">
        <v>24</v>
      </c>
      <c r="AJ275" s="11"/>
      <c r="AK275" s="6">
        <v>0</v>
      </c>
      <c r="AM275" s="6">
        <v>0</v>
      </c>
      <c r="AO275" s="6">
        <v>184</v>
      </c>
      <c r="AQ275" s="6">
        <v>0</v>
      </c>
      <c r="AU275" s="6">
        <v>0</v>
      </c>
      <c r="AW275" s="6">
        <f t="shared" si="30"/>
        <v>787995</v>
      </c>
      <c r="AY275" s="6">
        <f>+'St of Activites - GA Rev'!AG275-'St of Activities - GA Exp'!AW275</f>
        <v>-96147</v>
      </c>
      <c r="BA275" s="6">
        <v>2918920</v>
      </c>
      <c r="BC275" s="6">
        <f t="shared" ref="BC275:BC318" si="32">+AY275+BA275</f>
        <v>2822773</v>
      </c>
      <c r="BE275" s="6">
        <f>+'St of Net Assets - GA'!Y275-'St of Activities - GA Exp'!BC275</f>
        <v>0</v>
      </c>
    </row>
    <row r="276" spans="1:57">
      <c r="A276" s="11" t="s">
        <v>314</v>
      </c>
      <c r="B276" s="11"/>
      <c r="C276" s="11" t="s">
        <v>30</v>
      </c>
      <c r="E276" s="6">
        <v>16625219</v>
      </c>
      <c r="G276" s="6">
        <v>3907785</v>
      </c>
      <c r="I276" s="6">
        <v>149673</v>
      </c>
      <c r="K276" s="6">
        <v>0</v>
      </c>
      <c r="M276" s="6">
        <v>527141</v>
      </c>
      <c r="O276" s="6">
        <v>2383930</v>
      </c>
      <c r="Q276" s="6">
        <v>1334882</v>
      </c>
      <c r="S276" s="6">
        <v>77522</v>
      </c>
      <c r="U276" s="6">
        <v>2752700</v>
      </c>
      <c r="W276" s="6">
        <v>1071883</v>
      </c>
      <c r="Y276" s="6">
        <v>68479</v>
      </c>
      <c r="AA276" s="6">
        <v>3951623</v>
      </c>
      <c r="AC276" s="6">
        <v>2635235</v>
      </c>
      <c r="AE276" s="6">
        <v>35565</v>
      </c>
      <c r="AG276" s="11" t="s">
        <v>314</v>
      </c>
      <c r="AH276" s="11"/>
      <c r="AI276" s="11" t="s">
        <v>30</v>
      </c>
      <c r="AJ276" s="11"/>
      <c r="AK276" s="6">
        <v>0</v>
      </c>
      <c r="AM276" s="6">
        <v>153554</v>
      </c>
      <c r="AO276" s="6">
        <v>1551945</v>
      </c>
      <c r="AQ276" s="6">
        <v>1616742</v>
      </c>
      <c r="AU276" s="6">
        <v>0</v>
      </c>
      <c r="AW276" s="6">
        <f t="shared" si="30"/>
        <v>38843878</v>
      </c>
      <c r="AY276" s="6">
        <f>+'St of Activites - GA Rev'!AG276-'St of Activities - GA Exp'!AW276</f>
        <v>2659538</v>
      </c>
      <c r="BA276" s="6">
        <v>25961597</v>
      </c>
      <c r="BC276" s="6">
        <f t="shared" si="32"/>
        <v>28621135</v>
      </c>
      <c r="BE276" s="6">
        <f>+'St of Net Assets - GA'!Y276-'St of Activities - GA Exp'!BC276</f>
        <v>0</v>
      </c>
    </row>
    <row r="277" spans="1:57">
      <c r="A277" s="11" t="s">
        <v>461</v>
      </c>
      <c r="B277" s="11"/>
      <c r="C277" s="11" t="s">
        <v>56</v>
      </c>
      <c r="E277" s="6">
        <v>20035146</v>
      </c>
      <c r="G277" s="6">
        <v>5320091</v>
      </c>
      <c r="I277" s="6">
        <v>2125679</v>
      </c>
      <c r="K277" s="6">
        <v>35396</v>
      </c>
      <c r="M277" s="6">
        <f>499492+470468</f>
        <v>969960</v>
      </c>
      <c r="O277" s="6">
        <v>2725923</v>
      </c>
      <c r="Q277" s="6">
        <v>2868403</v>
      </c>
      <c r="S277" s="6">
        <v>178356</v>
      </c>
      <c r="U277" s="6">
        <v>3104810</v>
      </c>
      <c r="W277" s="6">
        <v>1001846</v>
      </c>
      <c r="Y277" s="6">
        <v>381984</v>
      </c>
      <c r="AA277" s="6">
        <v>3462001</v>
      </c>
      <c r="AC277" s="6">
        <v>1949344</v>
      </c>
      <c r="AE277" s="6">
        <v>407988</v>
      </c>
      <c r="AG277" s="11" t="s">
        <v>461</v>
      </c>
      <c r="AH277" s="11"/>
      <c r="AI277" s="11" t="s">
        <v>56</v>
      </c>
      <c r="AJ277" s="11"/>
      <c r="AK277" s="6">
        <v>1431901</v>
      </c>
      <c r="AM277" s="6">
        <v>341383</v>
      </c>
      <c r="AO277" s="6">
        <v>1337586</v>
      </c>
      <c r="AQ277" s="6">
        <v>1217646</v>
      </c>
      <c r="AU277" s="6">
        <v>0</v>
      </c>
      <c r="AW277" s="6">
        <f t="shared" si="30"/>
        <v>48895443</v>
      </c>
      <c r="AY277" s="6">
        <f>+'St of Activites - GA Rev'!AG277-'St of Activities - GA Exp'!AW277</f>
        <v>-483596</v>
      </c>
      <c r="BA277" s="6">
        <v>18500406</v>
      </c>
      <c r="BC277" s="6">
        <f t="shared" si="32"/>
        <v>18016810</v>
      </c>
      <c r="BE277" s="6">
        <f>+'St of Net Assets - GA'!Y277-'St of Activities - GA Exp'!BC277</f>
        <v>0</v>
      </c>
    </row>
    <row r="278" spans="1:57" ht="12" customHeight="1">
      <c r="A278" s="11" t="s">
        <v>341</v>
      </c>
      <c r="B278" s="11"/>
      <c r="C278" s="11" t="s">
        <v>339</v>
      </c>
      <c r="E278" s="6">
        <v>9361328</v>
      </c>
      <c r="G278" s="6">
        <v>2288145</v>
      </c>
      <c r="I278" s="6">
        <v>190175</v>
      </c>
      <c r="K278" s="6">
        <v>0</v>
      </c>
      <c r="M278" s="6">
        <v>0</v>
      </c>
      <c r="O278" s="6">
        <v>550225</v>
      </c>
      <c r="Q278" s="6">
        <v>1343221</v>
      </c>
      <c r="S278" s="6">
        <v>25167</v>
      </c>
      <c r="U278" s="6">
        <v>1593033</v>
      </c>
      <c r="W278" s="6">
        <v>457191</v>
      </c>
      <c r="Y278" s="6">
        <v>0</v>
      </c>
      <c r="AA278" s="6">
        <v>1577728</v>
      </c>
      <c r="AC278" s="6">
        <v>730860</v>
      </c>
      <c r="AE278" s="6">
        <v>46270</v>
      </c>
      <c r="AG278" s="11" t="s">
        <v>341</v>
      </c>
      <c r="AH278" s="11"/>
      <c r="AI278" s="11" t="s">
        <v>339</v>
      </c>
      <c r="AJ278" s="11"/>
      <c r="AK278" s="6">
        <v>0</v>
      </c>
      <c r="AM278" s="6">
        <v>903865</v>
      </c>
      <c r="AO278" s="6">
        <v>331681</v>
      </c>
      <c r="AQ278" s="6">
        <v>287083</v>
      </c>
      <c r="AU278" s="6">
        <v>0</v>
      </c>
      <c r="AW278" s="6">
        <f t="shared" si="30"/>
        <v>19685972</v>
      </c>
      <c r="AY278" s="6">
        <f>+'St of Activites - GA Rev'!AG278-'St of Activities - GA Exp'!AW278</f>
        <v>18309353</v>
      </c>
      <c r="BA278" s="6">
        <v>4692692</v>
      </c>
      <c r="BC278" s="6">
        <f t="shared" si="32"/>
        <v>23002045</v>
      </c>
      <c r="BE278" s="6">
        <f>+'St of Net Assets - GA'!Y278-'St of Activities - GA Exp'!BC278</f>
        <v>0</v>
      </c>
    </row>
    <row r="279" spans="1:57">
      <c r="A279" s="11" t="s">
        <v>431</v>
      </c>
      <c r="B279" s="11"/>
      <c r="C279" s="11" t="s">
        <v>50</v>
      </c>
      <c r="E279" s="6">
        <v>34695073</v>
      </c>
      <c r="G279" s="6">
        <v>9646917</v>
      </c>
      <c r="I279" s="6">
        <v>2711654</v>
      </c>
      <c r="K279" s="6">
        <v>55404</v>
      </c>
      <c r="M279" s="6">
        <v>3462802</v>
      </c>
      <c r="O279" s="6">
        <v>7599142</v>
      </c>
      <c r="Q279" s="6">
        <v>6118959</v>
      </c>
      <c r="S279" s="6">
        <v>66586</v>
      </c>
      <c r="U279" s="6">
        <v>5870320</v>
      </c>
      <c r="W279" s="6">
        <v>1753709</v>
      </c>
      <c r="Y279" s="6">
        <v>657346</v>
      </c>
      <c r="AA279" s="6">
        <v>8338608</v>
      </c>
      <c r="AC279" s="6">
        <v>3751327</v>
      </c>
      <c r="AE279" s="6">
        <v>1830592</v>
      </c>
      <c r="AG279" s="11" t="s">
        <v>431</v>
      </c>
      <c r="AH279" s="11"/>
      <c r="AI279" s="11" t="s">
        <v>50</v>
      </c>
      <c r="AJ279" s="11"/>
      <c r="AK279" s="6">
        <v>0</v>
      </c>
      <c r="AM279" s="6">
        <v>5316205</v>
      </c>
      <c r="AO279" s="6">
        <v>1574598</v>
      </c>
      <c r="AQ279" s="6">
        <v>4078415</v>
      </c>
      <c r="AU279" s="6">
        <v>0</v>
      </c>
      <c r="AW279" s="6">
        <f t="shared" si="30"/>
        <v>97527657</v>
      </c>
      <c r="AY279" s="6">
        <f>+'St of Activites - GA Rev'!AG279-'St of Activities - GA Exp'!AW279</f>
        <v>2885106</v>
      </c>
      <c r="BA279" s="6">
        <v>27373555</v>
      </c>
      <c r="BC279" s="6">
        <f t="shared" si="32"/>
        <v>30258661</v>
      </c>
      <c r="BE279" s="6">
        <f>+'St of Net Assets - GA'!Y279-'St of Activities - GA Exp'!BC279</f>
        <v>0</v>
      </c>
    </row>
    <row r="280" spans="1:57" s="28" customFormat="1" ht="12" customHeight="1">
      <c r="A280" s="27" t="s">
        <v>637</v>
      </c>
      <c r="B280" s="27"/>
      <c r="C280" s="27" t="s">
        <v>44</v>
      </c>
      <c r="E280" s="28">
        <v>7812891</v>
      </c>
      <c r="G280" s="28">
        <v>1752181</v>
      </c>
      <c r="I280" s="28">
        <v>106481</v>
      </c>
      <c r="K280" s="28">
        <v>0</v>
      </c>
      <c r="M280" s="28">
        <v>100517</v>
      </c>
      <c r="O280" s="28">
        <v>1018365</v>
      </c>
      <c r="Q280" s="28">
        <v>507328</v>
      </c>
      <c r="S280" s="28">
        <v>51535</v>
      </c>
      <c r="U280" s="28">
        <v>1170114</v>
      </c>
      <c r="W280" s="28">
        <v>497950</v>
      </c>
      <c r="Y280" s="28">
        <v>0</v>
      </c>
      <c r="AA280" s="28">
        <v>1273567</v>
      </c>
      <c r="AC280" s="28">
        <v>963081</v>
      </c>
      <c r="AE280" s="28">
        <v>478171</v>
      </c>
      <c r="AG280" s="27" t="s">
        <v>637</v>
      </c>
      <c r="AH280" s="27"/>
      <c r="AI280" s="27" t="s">
        <v>44</v>
      </c>
      <c r="AJ280" s="27"/>
      <c r="AK280" s="28">
        <v>542523</v>
      </c>
      <c r="AM280" s="28">
        <f>54577+62265</f>
        <v>116842</v>
      </c>
      <c r="AO280" s="28">
        <v>522179</v>
      </c>
      <c r="AQ280" s="28">
        <v>1371695</v>
      </c>
      <c r="AU280" s="28">
        <v>0</v>
      </c>
      <c r="AW280" s="28">
        <f t="shared" si="30"/>
        <v>18285420</v>
      </c>
      <c r="AY280" s="28">
        <f>+'St of Activites - GA Rev'!AG280-'St of Activities - GA Exp'!AW280</f>
        <v>-317315</v>
      </c>
      <c r="BA280" s="28">
        <v>10325497</v>
      </c>
      <c r="BC280" s="28">
        <f t="shared" si="32"/>
        <v>10008182</v>
      </c>
      <c r="BE280" s="28">
        <f>+'St of Net Assets - GA'!Y280-'St of Activities - GA Exp'!BC280</f>
        <v>0</v>
      </c>
    </row>
    <row r="281" spans="1:57">
      <c r="A281" s="11" t="s">
        <v>721</v>
      </c>
      <c r="B281" s="11"/>
      <c r="C281" s="11" t="s">
        <v>69</v>
      </c>
      <c r="E281" s="6">
        <v>17881891</v>
      </c>
      <c r="G281" s="6">
        <v>4603859</v>
      </c>
      <c r="I281" s="6">
        <v>0</v>
      </c>
      <c r="K281" s="6">
        <v>0</v>
      </c>
      <c r="M281" s="6">
        <v>936807</v>
      </c>
      <c r="O281" s="6">
        <v>2032347</v>
      </c>
      <c r="Q281" s="6">
        <v>1588856</v>
      </c>
      <c r="S281" s="6">
        <v>100432</v>
      </c>
      <c r="U281" s="6">
        <v>3577075</v>
      </c>
      <c r="W281" s="6">
        <v>867173</v>
      </c>
      <c r="Y281" s="6">
        <v>229012</v>
      </c>
      <c r="AA281" s="6">
        <v>5679855</v>
      </c>
      <c r="AC281" s="6">
        <v>3209251</v>
      </c>
      <c r="AE281" s="6">
        <v>262560</v>
      </c>
      <c r="AG281" s="11" t="s">
        <v>721</v>
      </c>
      <c r="AH281" s="11"/>
      <c r="AI281" s="11" t="s">
        <v>69</v>
      </c>
      <c r="AJ281" s="11"/>
      <c r="AK281" s="6">
        <v>0</v>
      </c>
      <c r="AM281" s="6">
        <v>454284</v>
      </c>
      <c r="AO281" s="6">
        <v>1657618</v>
      </c>
      <c r="AQ281" s="6">
        <v>2605515</v>
      </c>
      <c r="AU281" s="6">
        <v>0</v>
      </c>
      <c r="AW281" s="6">
        <f t="shared" si="30"/>
        <v>45686535</v>
      </c>
      <c r="AY281" s="6">
        <f>+'St of Activites - GA Rev'!AG281-'St of Activities - GA Exp'!AW281</f>
        <v>426210</v>
      </c>
      <c r="BA281" s="6">
        <v>7998042</v>
      </c>
      <c r="BC281" s="6">
        <f t="shared" si="32"/>
        <v>8424252</v>
      </c>
      <c r="BE281" s="6">
        <f>+'St of Net Assets - GA'!Y281-'St of Activities - GA Exp'!BC281</f>
        <v>0</v>
      </c>
    </row>
    <row r="282" spans="1:57" ht="12" hidden="1" customHeight="1">
      <c r="A282" s="11" t="s">
        <v>693</v>
      </c>
      <c r="B282" s="11"/>
      <c r="C282" s="11" t="s">
        <v>41</v>
      </c>
      <c r="E282" s="6">
        <v>0</v>
      </c>
      <c r="G282" s="6">
        <v>0</v>
      </c>
      <c r="I282" s="6">
        <v>0</v>
      </c>
      <c r="K282" s="6">
        <v>0</v>
      </c>
      <c r="M282" s="6">
        <v>0</v>
      </c>
      <c r="O282" s="6">
        <v>0</v>
      </c>
      <c r="Q282" s="6">
        <v>0</v>
      </c>
      <c r="S282" s="6">
        <v>0</v>
      </c>
      <c r="U282" s="6">
        <v>0</v>
      </c>
      <c r="W282" s="6">
        <v>0</v>
      </c>
      <c r="Y282" s="6">
        <v>0</v>
      </c>
      <c r="AA282" s="6">
        <v>0</v>
      </c>
      <c r="AC282" s="6">
        <v>0</v>
      </c>
      <c r="AE282" s="6">
        <v>0</v>
      </c>
      <c r="AG282" s="11" t="s">
        <v>693</v>
      </c>
      <c r="AH282" s="11"/>
      <c r="AI282" s="11" t="s">
        <v>41</v>
      </c>
      <c r="AJ282" s="11"/>
      <c r="AK282" s="6">
        <v>0</v>
      </c>
      <c r="AM282" s="6">
        <v>0</v>
      </c>
      <c r="AO282" s="6">
        <v>0</v>
      </c>
      <c r="AQ282" s="6">
        <v>0</v>
      </c>
      <c r="AU282" s="6">
        <v>0</v>
      </c>
      <c r="AW282" s="6">
        <f t="shared" si="30"/>
        <v>0</v>
      </c>
      <c r="AY282" s="6">
        <f>+'St of Activites - GA Rev'!AG282-'St of Activities - GA Exp'!AW282</f>
        <v>0</v>
      </c>
      <c r="BC282" s="6">
        <f t="shared" si="32"/>
        <v>0</v>
      </c>
      <c r="BE282" s="6">
        <f>+'St of Net Assets - GA'!Y282-'St of Activities - GA Exp'!BC282</f>
        <v>0</v>
      </c>
    </row>
    <row r="283" spans="1:57">
      <c r="A283" s="11" t="s">
        <v>524</v>
      </c>
      <c r="B283" s="11"/>
      <c r="C283" s="11" t="s">
        <v>64</v>
      </c>
      <c r="E283" s="6">
        <v>7077555</v>
      </c>
      <c r="G283" s="6">
        <v>1686026</v>
      </c>
      <c r="I283" s="6">
        <v>81401</v>
      </c>
      <c r="K283" s="6">
        <v>0</v>
      </c>
      <c r="M283" s="6">
        <v>403520</v>
      </c>
      <c r="O283" s="6">
        <v>776305</v>
      </c>
      <c r="Q283" s="6">
        <v>316925</v>
      </c>
      <c r="S283" s="6">
        <v>38116</v>
      </c>
      <c r="U283" s="6">
        <v>1098110</v>
      </c>
      <c r="W283" s="6">
        <v>323466</v>
      </c>
      <c r="Y283" s="6">
        <v>0</v>
      </c>
      <c r="AA283" s="6">
        <v>1402413</v>
      </c>
      <c r="AC283" s="6">
        <v>645821</v>
      </c>
      <c r="AE283" s="6">
        <v>109760</v>
      </c>
      <c r="AG283" s="11" t="s">
        <v>524</v>
      </c>
      <c r="AH283" s="11"/>
      <c r="AI283" s="11" t="s">
        <v>64</v>
      </c>
      <c r="AJ283" s="11"/>
      <c r="AK283" s="6">
        <v>709422</v>
      </c>
      <c r="AM283" s="6">
        <v>6897</v>
      </c>
      <c r="AO283" s="6">
        <v>506433</v>
      </c>
      <c r="AQ283" s="6">
        <v>389677</v>
      </c>
      <c r="AU283" s="6">
        <v>0</v>
      </c>
      <c r="AW283" s="6">
        <f t="shared" si="30"/>
        <v>15571847</v>
      </c>
      <c r="AY283" s="6">
        <f>+'St of Activites - GA Rev'!AG283-'St of Activities - GA Exp'!AW283</f>
        <v>-1345107</v>
      </c>
      <c r="BA283" s="6">
        <v>21342572</v>
      </c>
      <c r="BC283" s="6">
        <f t="shared" si="32"/>
        <v>19997465</v>
      </c>
      <c r="BE283" s="6">
        <f>+'St of Net Assets - GA'!Y283-'St of Activities - GA Exp'!BC283</f>
        <v>0</v>
      </c>
    </row>
    <row r="284" spans="1:57">
      <c r="A284" s="11" t="s">
        <v>498</v>
      </c>
      <c r="B284" s="11"/>
      <c r="C284" s="11" t="s">
        <v>62</v>
      </c>
      <c r="E284" s="6">
        <v>14251468</v>
      </c>
      <c r="G284" s="6">
        <v>3014559</v>
      </c>
      <c r="I284" s="6">
        <v>490658</v>
      </c>
      <c r="K284" s="6">
        <v>0</v>
      </c>
      <c r="M284" s="6">
        <f>216897+1066917</f>
        <v>1283814</v>
      </c>
      <c r="O284" s="6">
        <v>839519</v>
      </c>
      <c r="Q284" s="6">
        <v>1511115</v>
      </c>
      <c r="S284" s="6">
        <v>39400</v>
      </c>
      <c r="U284" s="6">
        <v>3841200</v>
      </c>
      <c r="W284" s="6">
        <v>688045</v>
      </c>
      <c r="Y284" s="6">
        <v>76615</v>
      </c>
      <c r="AA284" s="6">
        <v>3194829</v>
      </c>
      <c r="AC284" s="6">
        <v>2166425</v>
      </c>
      <c r="AE284" s="6">
        <v>202819</v>
      </c>
      <c r="AG284" s="11" t="s">
        <v>498</v>
      </c>
      <c r="AH284" s="11"/>
      <c r="AI284" s="11" t="s">
        <v>62</v>
      </c>
      <c r="AJ284" s="11"/>
      <c r="AK284" s="6">
        <v>0</v>
      </c>
      <c r="AM284" s="6">
        <v>487397</v>
      </c>
      <c r="AO284" s="6">
        <v>1218263</v>
      </c>
      <c r="AQ284" s="6">
        <v>1294257</v>
      </c>
      <c r="AU284" s="6">
        <v>0</v>
      </c>
      <c r="AW284" s="6">
        <f t="shared" si="30"/>
        <v>34600383</v>
      </c>
      <c r="AY284" s="6">
        <f>+'St of Activites - GA Rev'!AG284-'St of Activities - GA Exp'!AW284</f>
        <v>-3003746</v>
      </c>
      <c r="BA284" s="6">
        <v>16841420</v>
      </c>
      <c r="BC284" s="6">
        <f t="shared" si="32"/>
        <v>13837674</v>
      </c>
      <c r="BE284" s="6">
        <f>+'St of Net Assets - GA'!Y284-'St of Activities - GA Exp'!BC284</f>
        <v>0</v>
      </c>
    </row>
    <row r="285" spans="1:57" hidden="1">
      <c r="A285" s="11" t="s">
        <v>796</v>
      </c>
      <c r="B285" s="11"/>
      <c r="C285" s="11" t="s">
        <v>72</v>
      </c>
      <c r="E285" s="6">
        <v>0</v>
      </c>
      <c r="G285" s="6">
        <v>0</v>
      </c>
      <c r="I285" s="6">
        <v>0</v>
      </c>
      <c r="K285" s="6">
        <v>0</v>
      </c>
      <c r="M285" s="6">
        <v>0</v>
      </c>
      <c r="O285" s="6">
        <v>0</v>
      </c>
      <c r="Q285" s="6">
        <v>0</v>
      </c>
      <c r="S285" s="6">
        <v>0</v>
      </c>
      <c r="U285" s="6">
        <v>0</v>
      </c>
      <c r="W285" s="6">
        <v>0</v>
      </c>
      <c r="Y285" s="6">
        <v>0</v>
      </c>
      <c r="AA285" s="6">
        <v>0</v>
      </c>
      <c r="AC285" s="6">
        <v>0</v>
      </c>
      <c r="AE285" s="6">
        <v>0</v>
      </c>
      <c r="AG285" s="11" t="s">
        <v>796</v>
      </c>
      <c r="AH285" s="11"/>
      <c r="AI285" s="11" t="s">
        <v>72</v>
      </c>
      <c r="AJ285" s="11"/>
      <c r="AK285" s="6">
        <v>0</v>
      </c>
      <c r="AM285" s="6">
        <v>0</v>
      </c>
      <c r="AO285" s="6">
        <v>0</v>
      </c>
      <c r="AQ285" s="6">
        <v>0</v>
      </c>
      <c r="AU285" s="6">
        <v>0</v>
      </c>
      <c r="AW285" s="6">
        <f t="shared" si="30"/>
        <v>0</v>
      </c>
      <c r="AY285" s="6">
        <f>+'St of Activites - GA Rev'!AG285-'St of Activities - GA Exp'!AW285</f>
        <v>0</v>
      </c>
      <c r="BC285" s="6">
        <f t="shared" si="32"/>
        <v>0</v>
      </c>
      <c r="BE285" s="6">
        <f>+'St of Net Assets - GA'!Y285-'St of Activities - GA Exp'!BC285</f>
        <v>0</v>
      </c>
    </row>
    <row r="286" spans="1:57">
      <c r="A286" s="11" t="s">
        <v>525</v>
      </c>
      <c r="B286" s="11"/>
      <c r="C286" s="11" t="s">
        <v>64</v>
      </c>
      <c r="E286" s="6">
        <v>7329018</v>
      </c>
      <c r="G286" s="6">
        <v>2897998</v>
      </c>
      <c r="I286" s="6">
        <v>0</v>
      </c>
      <c r="K286" s="6">
        <v>0</v>
      </c>
      <c r="M286" s="6">
        <v>0</v>
      </c>
      <c r="O286" s="6">
        <v>911780</v>
      </c>
      <c r="Q286" s="6">
        <v>877071</v>
      </c>
      <c r="S286" s="6">
        <v>18605</v>
      </c>
      <c r="U286" s="6">
        <v>1250389</v>
      </c>
      <c r="W286" s="6">
        <v>463374</v>
      </c>
      <c r="Y286" s="6">
        <v>0</v>
      </c>
      <c r="AA286" s="6">
        <v>1594153</v>
      </c>
      <c r="AC286" s="6">
        <v>913741</v>
      </c>
      <c r="AE286" s="6">
        <v>0</v>
      </c>
      <c r="AG286" s="11" t="s">
        <v>525</v>
      </c>
      <c r="AH286" s="11"/>
      <c r="AI286" s="11" t="s">
        <v>64</v>
      </c>
      <c r="AJ286" s="11"/>
      <c r="AK286" s="6">
        <v>599587</v>
      </c>
      <c r="AM286" s="6">
        <v>3842</v>
      </c>
      <c r="AO286" s="6">
        <v>484067</v>
      </c>
      <c r="AQ286" s="6">
        <v>543297</v>
      </c>
      <c r="AU286" s="6">
        <v>0</v>
      </c>
      <c r="AW286" s="6">
        <f t="shared" si="30"/>
        <v>17886922</v>
      </c>
      <c r="AY286" s="6">
        <f>+'St of Activites - GA Rev'!AG286-'St of Activities - GA Exp'!AW286</f>
        <v>167518</v>
      </c>
      <c r="BA286" s="6">
        <v>2106692</v>
      </c>
      <c r="BC286" s="6">
        <f t="shared" si="32"/>
        <v>2274210</v>
      </c>
      <c r="BE286" s="6">
        <f>+'St of Net Assets - GA'!Y286-'St of Activities - GA Exp'!BC286</f>
        <v>0</v>
      </c>
    </row>
    <row r="287" spans="1:57">
      <c r="A287" s="11" t="s">
        <v>270</v>
      </c>
      <c r="B287" s="11"/>
      <c r="C287" s="11" t="s">
        <v>20</v>
      </c>
      <c r="E287" s="6">
        <v>30235236</v>
      </c>
      <c r="G287" s="6">
        <v>12459521</v>
      </c>
      <c r="I287" s="6">
        <v>2799524</v>
      </c>
      <c r="K287" s="6">
        <v>336391</v>
      </c>
      <c r="M287" s="6">
        <v>3439772</v>
      </c>
      <c r="O287" s="6">
        <v>4372941</v>
      </c>
      <c r="Q287" s="6">
        <v>4688599</v>
      </c>
      <c r="S287" s="6">
        <v>84593</v>
      </c>
      <c r="U287" s="6">
        <v>3550527</v>
      </c>
      <c r="W287" s="6">
        <v>1670738</v>
      </c>
      <c r="Y287" s="6">
        <v>857951</v>
      </c>
      <c r="AA287" s="6">
        <v>7879818</v>
      </c>
      <c r="AC287" s="6">
        <v>56159</v>
      </c>
      <c r="AE287" s="6">
        <v>457832</v>
      </c>
      <c r="AG287" s="11" t="s">
        <v>270</v>
      </c>
      <c r="AH287" s="11"/>
      <c r="AI287" s="11" t="s">
        <v>20</v>
      </c>
      <c r="AJ287" s="11"/>
      <c r="AK287" s="6">
        <v>0</v>
      </c>
      <c r="AM287" s="6">
        <v>2882454</v>
      </c>
      <c r="AO287" s="6">
        <v>1420426</v>
      </c>
      <c r="AQ287" s="6">
        <v>6284394</v>
      </c>
      <c r="AU287" s="6">
        <v>0</v>
      </c>
      <c r="AW287" s="6">
        <f t="shared" si="30"/>
        <v>83476876</v>
      </c>
      <c r="AY287" s="6">
        <f>+'St of Activites - GA Rev'!AG287-'St of Activities - GA Exp'!AW287</f>
        <v>1576047</v>
      </c>
      <c r="BA287" s="6">
        <v>24681767</v>
      </c>
      <c r="BC287" s="6">
        <f t="shared" si="32"/>
        <v>26257814</v>
      </c>
      <c r="BE287" s="6">
        <f>+'St of Net Assets - GA'!Y287-'St of Activities - GA Exp'!BC287</f>
        <v>0</v>
      </c>
    </row>
    <row r="288" spans="1:57">
      <c r="A288" s="11" t="s">
        <v>630</v>
      </c>
      <c r="B288" s="11"/>
      <c r="C288" s="11" t="s">
        <v>42</v>
      </c>
      <c r="E288" s="6">
        <v>12333823</v>
      </c>
      <c r="G288" s="6">
        <v>0</v>
      </c>
      <c r="I288" s="6">
        <v>0</v>
      </c>
      <c r="K288" s="6">
        <v>0</v>
      </c>
      <c r="M288" s="6">
        <v>0</v>
      </c>
      <c r="O288" s="6">
        <v>1339037</v>
      </c>
      <c r="Q288" s="6">
        <v>257656</v>
      </c>
      <c r="S288" s="6">
        <v>70084</v>
      </c>
      <c r="U288" s="6">
        <v>1880781</v>
      </c>
      <c r="W288" s="6">
        <v>617723</v>
      </c>
      <c r="Y288" s="6">
        <v>20952</v>
      </c>
      <c r="AA288" s="6">
        <v>1585727</v>
      </c>
      <c r="AC288" s="6">
        <v>1530781</v>
      </c>
      <c r="AE288" s="6">
        <v>284079</v>
      </c>
      <c r="AG288" s="11" t="s">
        <v>630</v>
      </c>
      <c r="AH288" s="11"/>
      <c r="AI288" s="11" t="s">
        <v>42</v>
      </c>
      <c r="AJ288" s="11"/>
      <c r="AK288" s="6">
        <v>0</v>
      </c>
      <c r="AM288" s="6">
        <v>59427</v>
      </c>
      <c r="AO288" s="6">
        <v>526540</v>
      </c>
      <c r="AQ288" s="6">
        <v>550947</v>
      </c>
      <c r="AU288" s="6">
        <v>0</v>
      </c>
      <c r="AW288" s="6">
        <f t="shared" si="30"/>
        <v>21057557</v>
      </c>
      <c r="AY288" s="6">
        <f>+'St of Activites - GA Rev'!AG288-'St of Activities - GA Exp'!AW288</f>
        <v>1299099</v>
      </c>
      <c r="BA288" s="6">
        <v>8887435</v>
      </c>
      <c r="BC288" s="6">
        <f t="shared" si="32"/>
        <v>10186534</v>
      </c>
      <c r="BE288" s="6">
        <f>+'St of Net Assets - GA'!Y288-'St of Activities - GA Exp'!BC288</f>
        <v>0</v>
      </c>
    </row>
    <row r="289" spans="1:57">
      <c r="A289" s="11" t="s">
        <v>223</v>
      </c>
      <c r="B289" s="11"/>
      <c r="C289" s="11" t="s">
        <v>221</v>
      </c>
      <c r="E289" s="6">
        <v>78216974</v>
      </c>
      <c r="G289" s="6">
        <v>14958176</v>
      </c>
      <c r="I289" s="6">
        <v>258</v>
      </c>
      <c r="K289" s="6">
        <v>0</v>
      </c>
      <c r="M289" s="6">
        <v>4991817</v>
      </c>
      <c r="O289" s="6">
        <v>12432349</v>
      </c>
      <c r="Q289" s="6">
        <v>10645860</v>
      </c>
      <c r="S289" s="6">
        <v>93099</v>
      </c>
      <c r="U289" s="6">
        <v>13293359</v>
      </c>
      <c r="W289" s="6">
        <v>1376474</v>
      </c>
      <c r="Y289" s="6">
        <v>410605</v>
      </c>
      <c r="AA289" s="6">
        <v>13471298</v>
      </c>
      <c r="AC289" s="6">
        <v>14483316</v>
      </c>
      <c r="AE289" s="6">
        <v>3383747</v>
      </c>
      <c r="AG289" s="11" t="s">
        <v>223</v>
      </c>
      <c r="AH289" s="11"/>
      <c r="AI289" s="11" t="s">
        <v>221</v>
      </c>
      <c r="AJ289" s="11"/>
      <c r="AK289" s="6">
        <v>0</v>
      </c>
      <c r="AM289" s="6">
        <v>6452226</v>
      </c>
      <c r="AO289" s="6">
        <v>3005242</v>
      </c>
      <c r="AQ289" s="6">
        <v>9242380</v>
      </c>
      <c r="AU289" s="6">
        <v>0</v>
      </c>
      <c r="AW289" s="6">
        <f t="shared" si="30"/>
        <v>186457180</v>
      </c>
      <c r="AY289" s="6">
        <f>+'St of Activites - GA Rev'!AG289-'St of Activities - GA Exp'!AW289</f>
        <v>-9029663</v>
      </c>
      <c r="BA289" s="6">
        <v>55915910</v>
      </c>
      <c r="BC289" s="6">
        <f t="shared" si="32"/>
        <v>46886247</v>
      </c>
      <c r="BE289" s="6">
        <f>+'St of Net Assets - GA'!Y289-'St of Activities - GA Exp'!BC289</f>
        <v>0</v>
      </c>
    </row>
    <row r="290" spans="1:57" hidden="1">
      <c r="A290" s="11" t="s">
        <v>797</v>
      </c>
      <c r="B290" s="11"/>
      <c r="C290" s="11" t="s">
        <v>79</v>
      </c>
      <c r="E290" s="6">
        <v>0</v>
      </c>
      <c r="G290" s="6">
        <v>0</v>
      </c>
      <c r="I290" s="6">
        <v>0</v>
      </c>
      <c r="K290" s="6">
        <v>0</v>
      </c>
      <c r="M290" s="6">
        <v>0</v>
      </c>
      <c r="O290" s="6">
        <v>0</v>
      </c>
      <c r="Q290" s="6">
        <v>0</v>
      </c>
      <c r="S290" s="6">
        <v>0</v>
      </c>
      <c r="U290" s="6">
        <v>0</v>
      </c>
      <c r="W290" s="6">
        <v>0</v>
      </c>
      <c r="Y290" s="6">
        <v>0</v>
      </c>
      <c r="AA290" s="6">
        <v>0</v>
      </c>
      <c r="AC290" s="6">
        <v>0</v>
      </c>
      <c r="AE290" s="6">
        <v>0</v>
      </c>
      <c r="AG290" s="11" t="s">
        <v>797</v>
      </c>
      <c r="AH290" s="11"/>
      <c r="AI290" s="11" t="s">
        <v>79</v>
      </c>
      <c r="AJ290" s="11"/>
      <c r="AK290" s="6">
        <v>0</v>
      </c>
      <c r="AM290" s="6">
        <v>0</v>
      </c>
      <c r="AO290" s="6">
        <v>0</v>
      </c>
      <c r="AQ290" s="6">
        <v>0</v>
      </c>
      <c r="AU290" s="6">
        <v>0</v>
      </c>
      <c r="AW290" s="6">
        <f t="shared" si="30"/>
        <v>0</v>
      </c>
      <c r="AY290" s="6">
        <f>+'St of Activites - GA Rev'!AG290-'St of Activities - GA Exp'!AW290</f>
        <v>0</v>
      </c>
      <c r="BC290" s="6">
        <f t="shared" si="32"/>
        <v>0</v>
      </c>
      <c r="BE290" s="6">
        <f>+'St of Net Assets - GA'!Y290-'St of Activities - GA Exp'!BC290</f>
        <v>0</v>
      </c>
    </row>
    <row r="291" spans="1:57" ht="12" customHeight="1">
      <c r="A291" s="11" t="s">
        <v>295</v>
      </c>
      <c r="B291" s="11"/>
      <c r="C291" s="11" t="s">
        <v>25</v>
      </c>
      <c r="E291" s="6">
        <v>27582357</v>
      </c>
      <c r="G291" s="6">
        <v>6734872</v>
      </c>
      <c r="I291" s="6">
        <v>1861495</v>
      </c>
      <c r="K291" s="6">
        <v>0</v>
      </c>
      <c r="M291" s="6">
        <v>89895</v>
      </c>
      <c r="O291" s="6">
        <v>3816291</v>
      </c>
      <c r="Q291" s="6">
        <v>4143502</v>
      </c>
      <c r="S291" s="6">
        <v>159360</v>
      </c>
      <c r="U291" s="6">
        <v>4363280</v>
      </c>
      <c r="W291" s="6">
        <v>1223058</v>
      </c>
      <c r="Y291" s="6">
        <v>276541</v>
      </c>
      <c r="AA291" s="6">
        <v>4858140</v>
      </c>
      <c r="AC291" s="6">
        <v>1898371</v>
      </c>
      <c r="AE291" s="6">
        <v>897022</v>
      </c>
      <c r="AG291" s="11" t="s">
        <v>295</v>
      </c>
      <c r="AH291" s="11"/>
      <c r="AI291" s="11" t="s">
        <v>25</v>
      </c>
      <c r="AJ291" s="11"/>
      <c r="AK291" s="6">
        <v>2604226</v>
      </c>
      <c r="AM291" s="6">
        <v>1051937</v>
      </c>
      <c r="AO291" s="6">
        <v>1236389</v>
      </c>
      <c r="AQ291" s="6">
        <v>37373</v>
      </c>
      <c r="AU291" s="6">
        <v>0</v>
      </c>
      <c r="AW291" s="6">
        <f t="shared" si="30"/>
        <v>62834109</v>
      </c>
      <c r="AY291" s="6">
        <f>+'St of Activites - GA Rev'!AG291-'St of Activities - GA Exp'!AW291</f>
        <v>2796295</v>
      </c>
      <c r="BA291" s="6">
        <v>52606357</v>
      </c>
      <c r="BC291" s="6">
        <f t="shared" si="32"/>
        <v>55402652</v>
      </c>
      <c r="BE291" s="6">
        <f>+'St of Net Assets - GA'!Y291-'St of Activities - GA Exp'!BC291</f>
        <v>0</v>
      </c>
    </row>
    <row r="292" spans="1:57" ht="12" hidden="1" customHeight="1">
      <c r="A292" s="11" t="s">
        <v>729</v>
      </c>
      <c r="B292" s="11"/>
      <c r="C292" s="11" t="s">
        <v>69</v>
      </c>
      <c r="E292" s="6">
        <v>0</v>
      </c>
      <c r="G292" s="6">
        <v>0</v>
      </c>
      <c r="I292" s="6">
        <v>0</v>
      </c>
      <c r="K292" s="6">
        <v>0</v>
      </c>
      <c r="M292" s="6">
        <v>0</v>
      </c>
      <c r="O292" s="6">
        <v>0</v>
      </c>
      <c r="Q292" s="6">
        <v>0</v>
      </c>
      <c r="S292" s="6">
        <v>0</v>
      </c>
      <c r="U292" s="6">
        <v>0</v>
      </c>
      <c r="W292" s="6">
        <v>0</v>
      </c>
      <c r="Y292" s="6">
        <v>0</v>
      </c>
      <c r="AA292" s="6">
        <v>0</v>
      </c>
      <c r="AC292" s="6">
        <v>0</v>
      </c>
      <c r="AE292" s="6">
        <v>0</v>
      </c>
      <c r="AG292" s="11" t="s">
        <v>729</v>
      </c>
      <c r="AH292" s="11"/>
      <c r="AI292" s="11" t="s">
        <v>69</v>
      </c>
      <c r="AJ292" s="11"/>
      <c r="AK292" s="6">
        <v>0</v>
      </c>
      <c r="AM292" s="6">
        <v>0</v>
      </c>
      <c r="AO292" s="6">
        <v>0</v>
      </c>
      <c r="AQ292" s="6">
        <v>0</v>
      </c>
      <c r="AU292" s="6">
        <v>0</v>
      </c>
      <c r="AW292" s="6">
        <f t="shared" si="30"/>
        <v>0</v>
      </c>
      <c r="AY292" s="6">
        <f>+'St of Activites - GA Rev'!AG292-'St of Activities - GA Exp'!AW292</f>
        <v>0</v>
      </c>
      <c r="BC292" s="6">
        <f t="shared" si="32"/>
        <v>0</v>
      </c>
      <c r="BE292" s="6">
        <f>+'St of Net Assets - GA'!Y292-'St of Activities - GA Exp'!BC292</f>
        <v>0</v>
      </c>
    </row>
    <row r="293" spans="1:57">
      <c r="A293" s="11" t="s">
        <v>315</v>
      </c>
      <c r="B293" s="11"/>
      <c r="C293" s="11" t="s">
        <v>30</v>
      </c>
      <c r="E293" s="6">
        <v>2436670</v>
      </c>
      <c r="G293" s="6">
        <v>936800</v>
      </c>
      <c r="I293" s="6">
        <v>94036</v>
      </c>
      <c r="K293" s="6">
        <v>0</v>
      </c>
      <c r="M293" s="6">
        <v>638155</v>
      </c>
      <c r="O293" s="6">
        <v>157508</v>
      </c>
      <c r="Q293" s="6">
        <v>76440</v>
      </c>
      <c r="S293" s="6">
        <v>18258</v>
      </c>
      <c r="U293" s="6">
        <v>526615</v>
      </c>
      <c r="W293" s="6">
        <v>230140</v>
      </c>
      <c r="Y293" s="6">
        <v>0</v>
      </c>
      <c r="AA293" s="6">
        <v>724823</v>
      </c>
      <c r="AC293" s="6">
        <v>528149</v>
      </c>
      <c r="AE293" s="6">
        <v>23383</v>
      </c>
      <c r="AG293" s="11" t="s">
        <v>315</v>
      </c>
      <c r="AH293" s="11"/>
      <c r="AI293" s="11" t="s">
        <v>30</v>
      </c>
      <c r="AJ293" s="11"/>
      <c r="AK293" s="6">
        <v>188547</v>
      </c>
      <c r="AM293" s="6">
        <v>2799</v>
      </c>
      <c r="AO293" s="6">
        <v>132644</v>
      </c>
      <c r="AQ293" s="6">
        <v>13379</v>
      </c>
      <c r="AU293" s="6">
        <v>0</v>
      </c>
      <c r="AW293" s="6">
        <f t="shared" si="30"/>
        <v>6728346</v>
      </c>
      <c r="AY293" s="6">
        <f>+'St of Activites - GA Rev'!AG293-'St of Activities - GA Exp'!AW293</f>
        <v>-806765</v>
      </c>
      <c r="BA293" s="6">
        <v>-496265</v>
      </c>
      <c r="BC293" s="6">
        <f t="shared" si="32"/>
        <v>-1303030</v>
      </c>
      <c r="BE293" s="6">
        <f>+'St of Net Assets - GA'!Y293-'St of Activities - GA Exp'!BC293</f>
        <v>0</v>
      </c>
    </row>
    <row r="294" spans="1:57" hidden="1">
      <c r="A294" s="11" t="s">
        <v>763</v>
      </c>
      <c r="B294" s="11"/>
      <c r="C294" s="11" t="s">
        <v>112</v>
      </c>
      <c r="E294" s="6">
        <v>0</v>
      </c>
      <c r="G294" s="6">
        <v>0</v>
      </c>
      <c r="I294" s="6">
        <v>0</v>
      </c>
      <c r="K294" s="6">
        <v>0</v>
      </c>
      <c r="M294" s="6">
        <v>0</v>
      </c>
      <c r="O294" s="6">
        <v>0</v>
      </c>
      <c r="Q294" s="6">
        <v>0</v>
      </c>
      <c r="S294" s="6">
        <v>0</v>
      </c>
      <c r="U294" s="6">
        <v>0</v>
      </c>
      <c r="W294" s="6">
        <v>0</v>
      </c>
      <c r="Y294" s="6">
        <v>0</v>
      </c>
      <c r="AA294" s="6">
        <v>0</v>
      </c>
      <c r="AC294" s="6">
        <v>0</v>
      </c>
      <c r="AE294" s="6">
        <v>0</v>
      </c>
      <c r="AG294" s="11" t="s">
        <v>763</v>
      </c>
      <c r="AH294" s="11"/>
      <c r="AI294" s="11" t="s">
        <v>112</v>
      </c>
      <c r="AJ294" s="11"/>
      <c r="AK294" s="6">
        <v>0</v>
      </c>
      <c r="AM294" s="6">
        <v>0</v>
      </c>
      <c r="AO294" s="6">
        <v>0</v>
      </c>
      <c r="AQ294" s="6">
        <v>0</v>
      </c>
      <c r="AU294" s="6">
        <v>0</v>
      </c>
    </row>
    <row r="295" spans="1:57" ht="12" hidden="1" customHeight="1">
      <c r="A295" s="11" t="s">
        <v>681</v>
      </c>
      <c r="B295" s="11"/>
      <c r="C295" s="11" t="s">
        <v>467</v>
      </c>
      <c r="E295" s="6">
        <v>0</v>
      </c>
      <c r="G295" s="6">
        <v>0</v>
      </c>
      <c r="I295" s="6">
        <v>0</v>
      </c>
      <c r="K295" s="6">
        <v>0</v>
      </c>
      <c r="M295" s="6">
        <v>0</v>
      </c>
      <c r="O295" s="6">
        <v>0</v>
      </c>
      <c r="Q295" s="6">
        <v>0</v>
      </c>
      <c r="S295" s="6">
        <v>0</v>
      </c>
      <c r="U295" s="6">
        <v>0</v>
      </c>
      <c r="W295" s="6">
        <v>0</v>
      </c>
      <c r="Y295" s="6">
        <v>0</v>
      </c>
      <c r="AA295" s="6">
        <v>0</v>
      </c>
      <c r="AC295" s="6">
        <v>0</v>
      </c>
      <c r="AE295" s="6">
        <v>0</v>
      </c>
      <c r="AG295" s="11" t="s">
        <v>681</v>
      </c>
      <c r="AH295" s="11"/>
      <c r="AI295" s="11" t="s">
        <v>467</v>
      </c>
      <c r="AJ295" s="11"/>
      <c r="AK295" s="6">
        <v>0</v>
      </c>
      <c r="AM295" s="6">
        <v>0</v>
      </c>
      <c r="AO295" s="6">
        <v>0</v>
      </c>
      <c r="AQ295" s="6">
        <v>0</v>
      </c>
      <c r="AU295" s="6">
        <v>0</v>
      </c>
      <c r="AW295" s="6">
        <f t="shared" si="30"/>
        <v>0</v>
      </c>
      <c r="AY295" s="6">
        <f>+'St of Activites - GA Rev'!AG295-'St of Activities - GA Exp'!AW295</f>
        <v>0</v>
      </c>
      <c r="BC295" s="6">
        <f t="shared" si="32"/>
        <v>0</v>
      </c>
      <c r="BE295" s="6">
        <f>+'St of Net Assets - GA'!Y295-'St of Activities - GA Exp'!BC295</f>
        <v>0</v>
      </c>
    </row>
    <row r="296" spans="1:57" hidden="1">
      <c r="A296" s="11" t="s">
        <v>798</v>
      </c>
      <c r="B296" s="11"/>
      <c r="C296" s="11" t="s">
        <v>110</v>
      </c>
      <c r="E296" s="6">
        <v>0</v>
      </c>
      <c r="G296" s="6">
        <v>0</v>
      </c>
      <c r="I296" s="6">
        <v>0</v>
      </c>
      <c r="K296" s="6">
        <v>0</v>
      </c>
      <c r="M296" s="6">
        <v>0</v>
      </c>
      <c r="O296" s="6">
        <v>0</v>
      </c>
      <c r="Q296" s="6">
        <v>0</v>
      </c>
      <c r="S296" s="6">
        <v>0</v>
      </c>
      <c r="U296" s="6">
        <v>0</v>
      </c>
      <c r="W296" s="6">
        <v>0</v>
      </c>
      <c r="Y296" s="6">
        <v>0</v>
      </c>
      <c r="AA296" s="6">
        <v>0</v>
      </c>
      <c r="AC296" s="6">
        <v>0</v>
      </c>
      <c r="AE296" s="6">
        <v>0</v>
      </c>
      <c r="AG296" s="11" t="s">
        <v>798</v>
      </c>
      <c r="AH296" s="11"/>
      <c r="AI296" s="11" t="s">
        <v>110</v>
      </c>
      <c r="AJ296" s="11"/>
      <c r="AK296" s="6">
        <v>0</v>
      </c>
      <c r="AM296" s="6">
        <v>0</v>
      </c>
      <c r="AO296" s="6">
        <v>0</v>
      </c>
      <c r="AQ296" s="6">
        <v>0</v>
      </c>
      <c r="AU296" s="6">
        <v>0</v>
      </c>
      <c r="AW296" s="6">
        <f t="shared" si="30"/>
        <v>0</v>
      </c>
      <c r="AY296" s="6">
        <f>+'St of Activites - GA Rev'!AG296-'St of Activities - GA Exp'!AW296</f>
        <v>0</v>
      </c>
      <c r="BC296" s="6">
        <f t="shared" si="32"/>
        <v>0</v>
      </c>
      <c r="BE296" s="6">
        <f>+'St of Net Assets - GA'!Y296-'St of Activities - GA Exp'!BC296</f>
        <v>0</v>
      </c>
    </row>
    <row r="297" spans="1:57">
      <c r="A297" s="11" t="s">
        <v>799</v>
      </c>
      <c r="B297" s="11"/>
      <c r="C297" s="11" t="s">
        <v>33</v>
      </c>
      <c r="E297" s="6">
        <v>6267360</v>
      </c>
      <c r="G297" s="6">
        <v>1181815</v>
      </c>
      <c r="I297" s="6">
        <v>324971</v>
      </c>
      <c r="K297" s="6">
        <v>0</v>
      </c>
      <c r="M297" s="6">
        <v>0</v>
      </c>
      <c r="O297" s="6">
        <v>1046227</v>
      </c>
      <c r="Q297" s="6">
        <v>692466</v>
      </c>
      <c r="S297" s="6">
        <v>25589</v>
      </c>
      <c r="U297" s="6">
        <v>996809</v>
      </c>
      <c r="W297" s="6">
        <v>335516</v>
      </c>
      <c r="Y297" s="6">
        <v>1480</v>
      </c>
      <c r="AA297" s="6">
        <v>1134898</v>
      </c>
      <c r="AC297" s="6">
        <v>584371</v>
      </c>
      <c r="AE297" s="6">
        <v>136814</v>
      </c>
      <c r="AG297" s="11" t="s">
        <v>799</v>
      </c>
      <c r="AH297" s="11"/>
      <c r="AI297" s="11" t="s">
        <v>33</v>
      </c>
      <c r="AJ297" s="11"/>
      <c r="AK297" s="6">
        <v>0</v>
      </c>
      <c r="AM297" s="6">
        <v>511906</v>
      </c>
      <c r="AO297" s="6">
        <v>529901</v>
      </c>
      <c r="AQ297" s="6">
        <v>389688</v>
      </c>
      <c r="AU297" s="6">
        <v>0</v>
      </c>
      <c r="AW297" s="6">
        <f>SUM(E297:AV297)</f>
        <v>14159811</v>
      </c>
      <c r="AY297" s="6">
        <f>+'St of Activites - GA Rev'!AG297-'St of Activities - GA Exp'!AW297</f>
        <v>906605</v>
      </c>
      <c r="BA297" s="6">
        <v>11391924</v>
      </c>
      <c r="BC297" s="6">
        <f>+AY297+BA297</f>
        <v>12298529</v>
      </c>
      <c r="BE297" s="6">
        <f>+'St of Net Assets - GA'!Y297-'St of Activities - GA Exp'!BC297</f>
        <v>0</v>
      </c>
    </row>
    <row r="298" spans="1:57">
      <c r="A298" s="11" t="s">
        <v>345</v>
      </c>
      <c r="B298" s="11"/>
      <c r="C298" s="11" t="s">
        <v>34</v>
      </c>
      <c r="E298" s="6">
        <v>5004623</v>
      </c>
      <c r="G298" s="6">
        <v>2226882</v>
      </c>
      <c r="I298" s="6">
        <v>199609</v>
      </c>
      <c r="K298" s="6">
        <v>0</v>
      </c>
      <c r="M298" s="6">
        <f>49385+337629</f>
        <v>387014</v>
      </c>
      <c r="O298" s="6">
        <v>732248</v>
      </c>
      <c r="Q298" s="6">
        <v>408290</v>
      </c>
      <c r="S298" s="6">
        <v>50649</v>
      </c>
      <c r="U298" s="6">
        <v>825578</v>
      </c>
      <c r="W298" s="6">
        <v>399779</v>
      </c>
      <c r="Y298" s="6">
        <v>0</v>
      </c>
      <c r="AA298" s="6">
        <v>791246</v>
      </c>
      <c r="AC298" s="6">
        <v>562409</v>
      </c>
      <c r="AE298" s="6">
        <v>206424</v>
      </c>
      <c r="AG298" s="11" t="s">
        <v>345</v>
      </c>
      <c r="AH298" s="11"/>
      <c r="AI298" s="11" t="s">
        <v>34</v>
      </c>
      <c r="AJ298" s="11"/>
      <c r="AK298" s="6">
        <v>0</v>
      </c>
      <c r="AM298" s="6">
        <v>544297</v>
      </c>
      <c r="AO298" s="6">
        <v>565688</v>
      </c>
      <c r="AQ298" s="6">
        <v>88491</v>
      </c>
      <c r="AU298" s="6">
        <v>146581</v>
      </c>
      <c r="AW298" s="6">
        <f t="shared" si="30"/>
        <v>13139808</v>
      </c>
      <c r="AY298" s="6">
        <f>+'St of Activites - GA Rev'!AG298-'St of Activities - GA Exp'!AW298</f>
        <v>317524</v>
      </c>
      <c r="BA298" s="6">
        <v>10924401</v>
      </c>
      <c r="BC298" s="6">
        <f t="shared" si="32"/>
        <v>11241925</v>
      </c>
      <c r="BE298" s="6">
        <f>+'St of Net Assets - GA'!Y298-'St of Activities - GA Exp'!BC298</f>
        <v>0</v>
      </c>
    </row>
    <row r="299" spans="1:57" ht="12" customHeight="1">
      <c r="A299" s="11" t="s">
        <v>526</v>
      </c>
      <c r="B299" s="11"/>
      <c r="C299" s="11" t="s">
        <v>64</v>
      </c>
      <c r="E299" s="6">
        <v>9042978</v>
      </c>
      <c r="G299" s="6">
        <v>1685473</v>
      </c>
      <c r="I299" s="6">
        <v>0</v>
      </c>
      <c r="K299" s="6">
        <v>0</v>
      </c>
      <c r="M299" s="6">
        <v>0</v>
      </c>
      <c r="O299" s="6">
        <v>454990</v>
      </c>
      <c r="Q299" s="6">
        <v>477658</v>
      </c>
      <c r="S299" s="6">
        <v>17082</v>
      </c>
      <c r="U299" s="6">
        <v>1590814</v>
      </c>
      <c r="W299" s="6">
        <v>431821</v>
      </c>
      <c r="Y299" s="6">
        <v>4077</v>
      </c>
      <c r="AA299" s="6">
        <v>2160285</v>
      </c>
      <c r="AC299" s="6">
        <v>784005</v>
      </c>
      <c r="AE299" s="6">
        <v>40012</v>
      </c>
      <c r="AG299" s="11" t="s">
        <v>526</v>
      </c>
      <c r="AH299" s="11"/>
      <c r="AI299" s="11" t="s">
        <v>64</v>
      </c>
      <c r="AJ299" s="11"/>
      <c r="AK299" s="6">
        <v>847495</v>
      </c>
      <c r="AM299" s="6">
        <v>601</v>
      </c>
      <c r="AO299" s="6">
        <v>365239</v>
      </c>
      <c r="AQ299" s="6">
        <v>663871</v>
      </c>
      <c r="AU299" s="6">
        <v>0</v>
      </c>
      <c r="AW299" s="6">
        <f t="shared" si="30"/>
        <v>18566401</v>
      </c>
      <c r="AY299" s="6">
        <f>+'St of Activites - GA Rev'!AG299-'St of Activities - GA Exp'!AW299</f>
        <v>-140614</v>
      </c>
      <c r="BA299" s="6">
        <v>-511956</v>
      </c>
      <c r="BC299" s="6">
        <f t="shared" si="32"/>
        <v>-652570</v>
      </c>
      <c r="BE299" s="6">
        <f>+'St of Net Assets - GA'!Y299-'St of Activities - GA Exp'!BC299</f>
        <v>0</v>
      </c>
    </row>
    <row r="300" spans="1:57">
      <c r="A300" s="11" t="s">
        <v>744</v>
      </c>
      <c r="B300" s="11"/>
      <c r="C300" s="11" t="s">
        <v>25</v>
      </c>
      <c r="E300" s="6">
        <v>5212814</v>
      </c>
      <c r="G300" s="6">
        <v>1591181</v>
      </c>
      <c r="I300" s="6">
        <v>216989</v>
      </c>
      <c r="K300" s="6">
        <v>0</v>
      </c>
      <c r="M300" s="6">
        <f>486+65527</f>
        <v>66013</v>
      </c>
      <c r="O300" s="6">
        <v>765599</v>
      </c>
      <c r="Q300" s="6">
        <v>692564</v>
      </c>
      <c r="S300" s="6">
        <v>127427</v>
      </c>
      <c r="U300" s="6">
        <v>1068661</v>
      </c>
      <c r="W300" s="6">
        <v>638306</v>
      </c>
      <c r="Y300" s="6">
        <v>0</v>
      </c>
      <c r="AA300" s="6">
        <v>1677458</v>
      </c>
      <c r="AC300" s="6">
        <v>1100774</v>
      </c>
      <c r="AE300" s="6">
        <v>0</v>
      </c>
      <c r="AG300" s="11" t="s">
        <v>744</v>
      </c>
      <c r="AH300" s="11"/>
      <c r="AI300" s="11" t="s">
        <v>25</v>
      </c>
      <c r="AJ300" s="11"/>
      <c r="AK300" s="6">
        <v>0</v>
      </c>
      <c r="AM300" s="6">
        <v>506309</v>
      </c>
      <c r="AO300" s="6">
        <v>691751</v>
      </c>
      <c r="AQ300" s="6">
        <v>390946</v>
      </c>
      <c r="AU300" s="6">
        <v>0</v>
      </c>
      <c r="AW300" s="6">
        <f t="shared" si="30"/>
        <v>14746792</v>
      </c>
      <c r="AY300" s="6">
        <f>+'St of Activites - GA Rev'!AG300-'St of Activities - GA Exp'!AW300</f>
        <v>465233</v>
      </c>
      <c r="BA300" s="6">
        <v>30073077</v>
      </c>
      <c r="BC300" s="6">
        <f t="shared" si="32"/>
        <v>30538310</v>
      </c>
      <c r="BE300" s="6">
        <f>+'St of Net Assets - GA'!Y300-'St of Activities - GA Exp'!BC300</f>
        <v>0</v>
      </c>
    </row>
    <row r="301" spans="1:57" hidden="1">
      <c r="A301" s="11" t="s">
        <v>874</v>
      </c>
      <c r="B301" s="11"/>
      <c r="C301" s="11" t="s">
        <v>42</v>
      </c>
      <c r="E301" s="6">
        <v>0</v>
      </c>
      <c r="G301" s="6">
        <v>0</v>
      </c>
      <c r="I301" s="6">
        <v>0</v>
      </c>
      <c r="K301" s="6">
        <v>0</v>
      </c>
      <c r="M301" s="6">
        <v>0</v>
      </c>
      <c r="O301" s="6">
        <v>0</v>
      </c>
      <c r="Q301" s="6">
        <v>0</v>
      </c>
      <c r="S301" s="6">
        <v>0</v>
      </c>
      <c r="U301" s="6">
        <v>0</v>
      </c>
      <c r="W301" s="6">
        <v>0</v>
      </c>
      <c r="Y301" s="6">
        <v>0</v>
      </c>
      <c r="AA301" s="6">
        <v>0</v>
      </c>
      <c r="AC301" s="6">
        <v>0</v>
      </c>
      <c r="AE301" s="6">
        <v>0</v>
      </c>
      <c r="AG301" s="11" t="s">
        <v>874</v>
      </c>
      <c r="AH301" s="11"/>
      <c r="AI301" s="11" t="s">
        <v>42</v>
      </c>
      <c r="AJ301" s="11"/>
      <c r="AK301" s="6">
        <v>0</v>
      </c>
      <c r="AM301" s="6">
        <v>0</v>
      </c>
      <c r="AO301" s="6">
        <v>0</v>
      </c>
      <c r="AQ301" s="6">
        <v>0</v>
      </c>
      <c r="AU301" s="6">
        <v>0</v>
      </c>
      <c r="AW301" s="6">
        <f t="shared" si="30"/>
        <v>0</v>
      </c>
      <c r="AY301" s="6">
        <f>+'St of Activites - GA Rev'!AG301-'St of Activities - GA Exp'!AW301</f>
        <v>0</v>
      </c>
      <c r="BC301" s="6">
        <f t="shared" si="32"/>
        <v>0</v>
      </c>
      <c r="BE301" s="6">
        <f>+'St of Net Assets - GA'!Y301-'St of Activities - GA Exp'!BC301</f>
        <v>0</v>
      </c>
    </row>
    <row r="302" spans="1:57">
      <c r="A302" s="11" t="s">
        <v>375</v>
      </c>
      <c r="B302" s="11"/>
      <c r="C302" s="11" t="s">
        <v>42</v>
      </c>
      <c r="E302" s="6">
        <v>8671766</v>
      </c>
      <c r="G302" s="6">
        <v>1956747</v>
      </c>
      <c r="I302" s="6">
        <v>349753</v>
      </c>
      <c r="K302" s="6">
        <v>0</v>
      </c>
      <c r="M302" s="6">
        <v>48756</v>
      </c>
      <c r="O302" s="6">
        <v>450178</v>
      </c>
      <c r="Q302" s="6">
        <v>807307</v>
      </c>
      <c r="S302" s="6">
        <v>31332</v>
      </c>
      <c r="U302" s="6">
        <v>2173059</v>
      </c>
      <c r="W302" s="6">
        <v>472860</v>
      </c>
      <c r="Y302" s="6">
        <v>75186</v>
      </c>
      <c r="AA302" s="6">
        <v>1829357</v>
      </c>
      <c r="AC302" s="6">
        <v>1460579</v>
      </c>
      <c r="AE302" s="6">
        <v>183679</v>
      </c>
      <c r="AG302" s="11" t="s">
        <v>375</v>
      </c>
      <c r="AH302" s="11"/>
      <c r="AI302" s="11" t="s">
        <v>42</v>
      </c>
      <c r="AJ302" s="11"/>
      <c r="AK302" s="6">
        <v>0</v>
      </c>
      <c r="AM302" s="6">
        <v>1121472</v>
      </c>
      <c r="AO302" s="6">
        <v>595611</v>
      </c>
      <c r="AQ302" s="6">
        <v>562060</v>
      </c>
      <c r="AU302" s="6">
        <v>0</v>
      </c>
      <c r="AW302" s="6">
        <f t="shared" si="30"/>
        <v>20789702</v>
      </c>
      <c r="AY302" s="6">
        <f>+'St of Activites - GA Rev'!AG302-'St of Activities - GA Exp'!AW302</f>
        <v>-57403</v>
      </c>
      <c r="BA302" s="6">
        <v>31990025</v>
      </c>
      <c r="BC302" s="6">
        <f t="shared" si="32"/>
        <v>31932622</v>
      </c>
      <c r="BE302" s="6">
        <f>+'St of Net Assets - GA'!Y302-'St of Activities - GA Exp'!BC302</f>
        <v>0</v>
      </c>
    </row>
    <row r="303" spans="1:57" hidden="1">
      <c r="A303" s="11" t="s">
        <v>682</v>
      </c>
      <c r="B303" s="11"/>
      <c r="C303" s="11" t="s">
        <v>10</v>
      </c>
      <c r="AG303" s="11" t="s">
        <v>682</v>
      </c>
      <c r="AH303" s="11"/>
      <c r="AI303" s="11" t="s">
        <v>10</v>
      </c>
      <c r="AJ303" s="11"/>
      <c r="AW303" s="6">
        <f t="shared" si="30"/>
        <v>0</v>
      </c>
      <c r="AY303" s="6">
        <f>+'St of Activites - GA Rev'!AG303-'St of Activities - GA Exp'!AW303</f>
        <v>0</v>
      </c>
      <c r="BC303" s="6">
        <f t="shared" si="32"/>
        <v>0</v>
      </c>
      <c r="BE303" s="6">
        <f>+'St of Net Assets - GA'!Y303-'St of Activities - GA Exp'!BC303</f>
        <v>0</v>
      </c>
    </row>
    <row r="304" spans="1:57">
      <c r="A304" s="11" t="s">
        <v>541</v>
      </c>
      <c r="B304" s="11"/>
      <c r="C304" s="11" t="s">
        <v>67</v>
      </c>
      <c r="E304" s="6">
        <v>3909570</v>
      </c>
      <c r="G304" s="6">
        <v>1204856</v>
      </c>
      <c r="I304" s="6">
        <v>181749</v>
      </c>
      <c r="K304" s="6">
        <v>664</v>
      </c>
      <c r="M304" s="6">
        <v>832412</v>
      </c>
      <c r="O304" s="6">
        <v>179839</v>
      </c>
      <c r="Q304" s="6">
        <v>294523</v>
      </c>
      <c r="S304" s="6">
        <v>32554</v>
      </c>
      <c r="U304" s="6">
        <v>839477</v>
      </c>
      <c r="W304" s="6">
        <v>302591</v>
      </c>
      <c r="Y304" s="6">
        <v>0</v>
      </c>
      <c r="AA304" s="6">
        <v>708000</v>
      </c>
      <c r="AC304" s="6">
        <v>417583</v>
      </c>
      <c r="AE304" s="6">
        <v>26606</v>
      </c>
      <c r="AG304" s="11" t="s">
        <v>541</v>
      </c>
      <c r="AH304" s="11"/>
      <c r="AI304" s="11" t="s">
        <v>67</v>
      </c>
      <c r="AJ304" s="11"/>
      <c r="AK304" s="6">
        <v>361594</v>
      </c>
      <c r="AM304" s="6">
        <v>27731</v>
      </c>
      <c r="AO304" s="6">
        <v>264171</v>
      </c>
      <c r="AQ304" s="6">
        <v>613970</v>
      </c>
      <c r="AU304" s="6">
        <v>0</v>
      </c>
      <c r="AW304" s="6">
        <f t="shared" si="30"/>
        <v>10197890</v>
      </c>
      <c r="AY304" s="6">
        <f>+'St of Activites - GA Rev'!AG304-'St of Activities - GA Exp'!AW304</f>
        <v>454137</v>
      </c>
      <c r="BA304" s="6">
        <v>23452128</v>
      </c>
      <c r="BC304" s="6">
        <f t="shared" si="32"/>
        <v>23906265</v>
      </c>
      <c r="BE304" s="6">
        <f>+'St of Net Assets - GA'!Y304-'St of Activities - GA Exp'!BC304</f>
        <v>0</v>
      </c>
    </row>
    <row r="305" spans="1:57">
      <c r="A305" s="11" t="s">
        <v>766</v>
      </c>
      <c r="B305" s="11"/>
      <c r="C305" s="11" t="s">
        <v>112</v>
      </c>
      <c r="E305" s="6">
        <v>5181200</v>
      </c>
      <c r="G305" s="6">
        <v>1165067</v>
      </c>
      <c r="I305" s="6">
        <v>45034</v>
      </c>
      <c r="K305" s="6">
        <v>0</v>
      </c>
      <c r="M305" s="6">
        <v>136884</v>
      </c>
      <c r="O305" s="6">
        <v>484451</v>
      </c>
      <c r="Q305" s="6">
        <v>498830</v>
      </c>
      <c r="S305" s="6">
        <v>36245</v>
      </c>
      <c r="U305" s="6">
        <v>833549</v>
      </c>
      <c r="W305" s="6">
        <v>290434</v>
      </c>
      <c r="Y305" s="6">
        <v>0</v>
      </c>
      <c r="AA305" s="6">
        <v>880215</v>
      </c>
      <c r="AC305" s="6">
        <v>414838</v>
      </c>
      <c r="AE305" s="6">
        <v>53995</v>
      </c>
      <c r="AG305" s="11" t="s">
        <v>766</v>
      </c>
      <c r="AH305" s="11"/>
      <c r="AI305" s="11" t="s">
        <v>112</v>
      </c>
      <c r="AJ305" s="11"/>
      <c r="AK305" s="6">
        <v>483918</v>
      </c>
      <c r="AM305" s="6">
        <v>0</v>
      </c>
      <c r="AO305" s="6">
        <v>433656</v>
      </c>
      <c r="AQ305" s="6">
        <v>321169</v>
      </c>
      <c r="AU305" s="6">
        <v>0</v>
      </c>
      <c r="AW305" s="6">
        <f t="shared" si="30"/>
        <v>11259485</v>
      </c>
      <c r="AY305" s="6">
        <f>+'St of Activites - GA Rev'!AG305-'St of Activities - GA Exp'!AW305</f>
        <v>-551442</v>
      </c>
      <c r="BA305" s="6">
        <v>19897134</v>
      </c>
      <c r="BC305" s="6">
        <f t="shared" si="32"/>
        <v>19345692</v>
      </c>
      <c r="BE305" s="6">
        <f>+'St of Net Assets - GA'!Y305-'St of Activities - GA Exp'!BC305</f>
        <v>0</v>
      </c>
    </row>
    <row r="306" spans="1:57">
      <c r="A306" s="11" t="s">
        <v>545</v>
      </c>
      <c r="B306" s="11"/>
      <c r="C306" s="11" t="s">
        <v>69</v>
      </c>
      <c r="E306" s="6">
        <v>14606371</v>
      </c>
      <c r="G306" s="6">
        <v>4488922</v>
      </c>
      <c r="I306" s="6">
        <v>0</v>
      </c>
      <c r="K306" s="6">
        <v>0</v>
      </c>
      <c r="M306" s="6">
        <v>2903905</v>
      </c>
      <c r="O306" s="6">
        <v>1256420</v>
      </c>
      <c r="Q306" s="6">
        <v>531262</v>
      </c>
      <c r="S306" s="6">
        <v>21763</v>
      </c>
      <c r="U306" s="6">
        <v>1912878</v>
      </c>
      <c r="W306" s="6">
        <v>568127</v>
      </c>
      <c r="Y306" s="6">
        <v>182344</v>
      </c>
      <c r="AA306" s="6">
        <v>2995061</v>
      </c>
      <c r="AC306" s="6">
        <v>3103316</v>
      </c>
      <c r="AE306" s="6">
        <v>593530</v>
      </c>
      <c r="AG306" s="11" t="s">
        <v>545</v>
      </c>
      <c r="AH306" s="11"/>
      <c r="AI306" s="11" t="s">
        <v>69</v>
      </c>
      <c r="AJ306" s="11"/>
      <c r="AK306" s="6">
        <v>0</v>
      </c>
      <c r="AM306" s="6">
        <v>1327885</v>
      </c>
      <c r="AO306" s="6">
        <v>447706</v>
      </c>
      <c r="AQ306" s="6">
        <v>3587979</v>
      </c>
      <c r="AU306" s="6">
        <v>0</v>
      </c>
      <c r="AW306" s="6">
        <f t="shared" si="30"/>
        <v>38527469</v>
      </c>
      <c r="AY306" s="6">
        <f>+'St of Activites - GA Rev'!AG306-'St of Activities - GA Exp'!AW306</f>
        <v>4385889</v>
      </c>
      <c r="BA306" s="6">
        <v>-2478297</v>
      </c>
      <c r="BC306" s="6">
        <f t="shared" si="32"/>
        <v>1907592</v>
      </c>
      <c r="BE306" s="6">
        <f>+'St of Net Assets - GA'!Y306-'St of Activities - GA Exp'!BC306</f>
        <v>0</v>
      </c>
    </row>
    <row r="307" spans="1:57" ht="12" hidden="1" customHeight="1">
      <c r="A307" s="11" t="s">
        <v>800</v>
      </c>
      <c r="B307" s="11"/>
      <c r="C307" s="11" t="s">
        <v>32</v>
      </c>
      <c r="AG307" s="11" t="s">
        <v>800</v>
      </c>
      <c r="AH307" s="11"/>
      <c r="AI307" s="11" t="s">
        <v>32</v>
      </c>
      <c r="AJ307" s="11"/>
      <c r="AW307" s="6">
        <f t="shared" si="30"/>
        <v>0</v>
      </c>
      <c r="AY307" s="6">
        <f>+'St of Activites - GA Rev'!AG307-'St of Activities - GA Exp'!AW307</f>
        <v>0</v>
      </c>
      <c r="BC307" s="6">
        <f t="shared" si="32"/>
        <v>0</v>
      </c>
      <c r="BE307" s="6">
        <f>+'St of Net Assets - GA'!Y307-'St of Activities - GA Exp'!BC307</f>
        <v>0</v>
      </c>
    </row>
    <row r="308" spans="1:57">
      <c r="A308" s="11" t="s">
        <v>453</v>
      </c>
      <c r="B308" s="11"/>
      <c r="C308" s="11" t="s">
        <v>54</v>
      </c>
      <c r="E308" s="6">
        <v>9257064</v>
      </c>
      <c r="G308" s="6">
        <v>2122619</v>
      </c>
      <c r="I308" s="6">
        <v>16628</v>
      </c>
      <c r="K308" s="6">
        <v>0</v>
      </c>
      <c r="M308" s="6">
        <v>154759</v>
      </c>
      <c r="O308" s="6">
        <v>885460</v>
      </c>
      <c r="Q308" s="6">
        <v>700094</v>
      </c>
      <c r="S308" s="6">
        <v>80677</v>
      </c>
      <c r="U308" s="6">
        <v>1388317</v>
      </c>
      <c r="W308" s="6">
        <v>514388</v>
      </c>
      <c r="Y308" s="6">
        <v>0</v>
      </c>
      <c r="AA308" s="6">
        <v>2291226</v>
      </c>
      <c r="AC308" s="6">
        <v>1730736</v>
      </c>
      <c r="AE308" s="6">
        <v>403792</v>
      </c>
      <c r="AG308" s="11" t="s">
        <v>453</v>
      </c>
      <c r="AH308" s="11"/>
      <c r="AI308" s="11" t="s">
        <v>54</v>
      </c>
      <c r="AJ308" s="11"/>
      <c r="AK308" s="6">
        <v>935275</v>
      </c>
      <c r="AM308" s="6">
        <v>602046</v>
      </c>
      <c r="AO308" s="6">
        <v>0</v>
      </c>
      <c r="AQ308" s="6">
        <v>0</v>
      </c>
      <c r="AU308" s="6">
        <v>0</v>
      </c>
      <c r="AW308" s="6">
        <f t="shared" si="30"/>
        <v>21083081</v>
      </c>
      <c r="AY308" s="6">
        <f>+'St of Activites - GA Rev'!AG308-'St of Activities - GA Exp'!AW308</f>
        <v>-806836</v>
      </c>
      <c r="BA308" s="6">
        <v>12321919</v>
      </c>
      <c r="BC308" s="6">
        <f t="shared" si="32"/>
        <v>11515083</v>
      </c>
      <c r="BE308" s="6">
        <f>+'St of Net Assets - GA'!Y308-'St of Activities - GA Exp'!BC308</f>
        <v>0</v>
      </c>
    </row>
    <row r="309" spans="1:57">
      <c r="A309" s="11" t="s">
        <v>352</v>
      </c>
      <c r="B309" s="11"/>
      <c r="C309" s="11" t="s">
        <v>35</v>
      </c>
      <c r="E309" s="6">
        <v>16754832</v>
      </c>
      <c r="G309" s="6">
        <v>6088177</v>
      </c>
      <c r="I309" s="6">
        <v>499171</v>
      </c>
      <c r="K309" s="6">
        <v>0</v>
      </c>
      <c r="M309" s="6">
        <v>6736</v>
      </c>
      <c r="O309" s="6">
        <v>2665877</v>
      </c>
      <c r="Q309" s="6">
        <v>3025216</v>
      </c>
      <c r="S309" s="6">
        <v>96335</v>
      </c>
      <c r="U309" s="6">
        <v>3201529</v>
      </c>
      <c r="W309" s="6">
        <v>925655</v>
      </c>
      <c r="Y309" s="6">
        <v>0</v>
      </c>
      <c r="AA309" s="6">
        <v>3806575</v>
      </c>
      <c r="AC309" s="6">
        <v>3403076</v>
      </c>
      <c r="AE309" s="6">
        <v>71345</v>
      </c>
      <c r="AG309" s="11" t="s">
        <v>352</v>
      </c>
      <c r="AH309" s="11"/>
      <c r="AI309" s="11" t="s">
        <v>35</v>
      </c>
      <c r="AJ309" s="11"/>
      <c r="AK309" s="6">
        <v>0</v>
      </c>
      <c r="AM309" s="6">
        <v>442319</v>
      </c>
      <c r="AO309" s="6">
        <v>1296836</v>
      </c>
      <c r="AQ309" s="6">
        <v>1252498</v>
      </c>
      <c r="AU309" s="6">
        <v>0</v>
      </c>
      <c r="AW309" s="6">
        <f t="shared" si="30"/>
        <v>43536177</v>
      </c>
      <c r="AY309" s="6">
        <f>+'St of Activites - GA Rev'!AG309-'St of Activities - GA Exp'!AW309</f>
        <v>-3350490</v>
      </c>
      <c r="BA309" s="6">
        <v>98840176</v>
      </c>
      <c r="BC309" s="6">
        <f t="shared" si="32"/>
        <v>95489686</v>
      </c>
      <c r="BE309" s="6">
        <f>+'St of Net Assets - GA'!Y309-'St of Activities - GA Exp'!BC309</f>
        <v>0</v>
      </c>
    </row>
    <row r="310" spans="1:57">
      <c r="A310" s="11" t="s">
        <v>400</v>
      </c>
      <c r="B310" s="11"/>
      <c r="C310" s="11" t="s">
        <v>398</v>
      </c>
      <c r="E310" s="6">
        <v>10620760</v>
      </c>
      <c r="G310" s="6">
        <v>2669452</v>
      </c>
      <c r="I310" s="6">
        <v>282823</v>
      </c>
      <c r="K310" s="6">
        <v>40980</v>
      </c>
      <c r="M310" s="6">
        <v>1154</v>
      </c>
      <c r="O310" s="6">
        <v>1123169</v>
      </c>
      <c r="Q310" s="6">
        <v>784886</v>
      </c>
      <c r="S310" s="6">
        <v>97692</v>
      </c>
      <c r="U310" s="6">
        <v>1499246</v>
      </c>
      <c r="W310" s="6">
        <v>598127</v>
      </c>
      <c r="Y310" s="6">
        <v>28554</v>
      </c>
      <c r="AA310" s="6">
        <v>1351458</v>
      </c>
      <c r="AC310" s="6">
        <v>861968</v>
      </c>
      <c r="AE310" s="6">
        <v>342046</v>
      </c>
      <c r="AG310" s="11" t="s">
        <v>400</v>
      </c>
      <c r="AH310" s="11"/>
      <c r="AI310" s="11" t="s">
        <v>398</v>
      </c>
      <c r="AJ310" s="11"/>
      <c r="AK310" s="6">
        <v>420598</v>
      </c>
      <c r="AM310" s="6">
        <v>141193</v>
      </c>
      <c r="AO310" s="6">
        <v>712142</v>
      </c>
      <c r="AQ310" s="6">
        <v>1065902</v>
      </c>
      <c r="AU310" s="6">
        <v>0</v>
      </c>
      <c r="AW310" s="6">
        <f t="shared" si="30"/>
        <v>22642150</v>
      </c>
      <c r="AY310" s="6">
        <f>+'St of Activites - GA Rev'!AG310-'St of Activities - GA Exp'!AW310</f>
        <v>2422682</v>
      </c>
      <c r="BA310" s="6">
        <v>39425013</v>
      </c>
      <c r="BC310" s="6">
        <f t="shared" si="32"/>
        <v>41847695</v>
      </c>
      <c r="BE310" s="6">
        <f>+'St of Net Assets - GA'!Y310-'St of Activities - GA Exp'!BC310</f>
        <v>0</v>
      </c>
    </row>
    <row r="311" spans="1:57">
      <c r="A311" s="11" t="s">
        <v>386</v>
      </c>
      <c r="B311" s="11"/>
      <c r="C311" s="11" t="s">
        <v>44</v>
      </c>
      <c r="E311" s="6">
        <v>38810836</v>
      </c>
      <c r="G311" s="6">
        <v>9710985</v>
      </c>
      <c r="I311" s="6">
        <v>2850306</v>
      </c>
      <c r="K311" s="6">
        <v>0</v>
      </c>
      <c r="M311" s="6">
        <v>19357447</v>
      </c>
      <c r="O311" s="6">
        <v>4620928</v>
      </c>
      <c r="Q311" s="6">
        <v>8224978</v>
      </c>
      <c r="S311" s="6">
        <v>228436</v>
      </c>
      <c r="U311" s="6">
        <v>6068113</v>
      </c>
      <c r="W311" s="6">
        <v>1343272</v>
      </c>
      <c r="Y311" s="6">
        <v>394609</v>
      </c>
      <c r="AA311" s="6">
        <v>7621474</v>
      </c>
      <c r="AC311" s="6">
        <v>2835448</v>
      </c>
      <c r="AE311" s="6">
        <v>1718426</v>
      </c>
      <c r="AG311" s="11" t="s">
        <v>386</v>
      </c>
      <c r="AH311" s="11"/>
      <c r="AI311" s="11" t="s">
        <v>44</v>
      </c>
      <c r="AJ311" s="11"/>
      <c r="AK311" s="6">
        <v>4193808</v>
      </c>
      <c r="AM311" s="6">
        <v>890448</v>
      </c>
      <c r="AO311" s="6">
        <v>1562945</v>
      </c>
      <c r="AQ311" s="6">
        <v>1817597</v>
      </c>
      <c r="AU311" s="6">
        <v>0</v>
      </c>
      <c r="AW311" s="6">
        <f t="shared" si="30"/>
        <v>112250056</v>
      </c>
      <c r="AY311" s="6">
        <f>+'St of Activites - GA Rev'!AG311-'St of Activities - GA Exp'!AW311</f>
        <v>-1873868</v>
      </c>
      <c r="BA311" s="6">
        <v>182504527</v>
      </c>
      <c r="BC311" s="6">
        <f t="shared" si="32"/>
        <v>180630659</v>
      </c>
      <c r="BE311" s="6">
        <f>+'St of Net Assets - GA'!Y311-'St of Activities - GA Exp'!BC311</f>
        <v>0</v>
      </c>
    </row>
    <row r="312" spans="1:57">
      <c r="A312" s="11" t="s">
        <v>527</v>
      </c>
      <c r="B312" s="11"/>
      <c r="C312" s="11" t="s">
        <v>64</v>
      </c>
      <c r="E312" s="6">
        <v>2924675</v>
      </c>
      <c r="G312" s="6">
        <v>691709</v>
      </c>
      <c r="I312" s="6">
        <v>88431</v>
      </c>
      <c r="K312" s="6">
        <v>0</v>
      </c>
      <c r="M312" s="6">
        <v>285531</v>
      </c>
      <c r="O312" s="6">
        <v>133964</v>
      </c>
      <c r="Q312" s="6">
        <v>114167</v>
      </c>
      <c r="S312" s="6">
        <v>120982</v>
      </c>
      <c r="U312" s="6">
        <v>465955</v>
      </c>
      <c r="W312" s="6">
        <v>308504</v>
      </c>
      <c r="Y312" s="6">
        <v>21769</v>
      </c>
      <c r="AA312" s="6">
        <v>902954</v>
      </c>
      <c r="AC312" s="6">
        <v>269934</v>
      </c>
      <c r="AE312" s="6">
        <v>0</v>
      </c>
      <c r="AG312" s="11" t="s">
        <v>527</v>
      </c>
      <c r="AH312" s="11"/>
      <c r="AI312" s="11" t="s">
        <v>64</v>
      </c>
      <c r="AJ312" s="11"/>
      <c r="AK312" s="6">
        <v>171232</v>
      </c>
      <c r="AM312" s="6">
        <v>0</v>
      </c>
      <c r="AO312" s="6">
        <v>224444</v>
      </c>
      <c r="AQ312" s="6">
        <v>107244</v>
      </c>
      <c r="AU312" s="6">
        <v>0</v>
      </c>
      <c r="AW312" s="6">
        <f t="shared" si="30"/>
        <v>6831495</v>
      </c>
      <c r="AY312" s="6">
        <f>+'St of Activites - GA Rev'!AG312-'St of Activities - GA Exp'!AW312</f>
        <v>-548555</v>
      </c>
      <c r="BA312" s="6">
        <v>3688325</v>
      </c>
      <c r="BC312" s="6">
        <f t="shared" si="32"/>
        <v>3139770</v>
      </c>
      <c r="BE312" s="6">
        <f>+'St of Net Assets - GA'!Y312-'St of Activities - GA Exp'!BC312</f>
        <v>0</v>
      </c>
    </row>
    <row r="313" spans="1:57">
      <c r="A313" s="11" t="s">
        <v>683</v>
      </c>
      <c r="B313" s="11"/>
      <c r="C313" s="11" t="s">
        <v>11</v>
      </c>
      <c r="E313" s="6">
        <v>5296334</v>
      </c>
      <c r="G313" s="6">
        <v>1449148</v>
      </c>
      <c r="I313" s="6">
        <v>257647</v>
      </c>
      <c r="K313" s="6">
        <v>0</v>
      </c>
      <c r="M313" s="6">
        <v>1143863</v>
      </c>
      <c r="O313" s="6">
        <v>615048</v>
      </c>
      <c r="Q313" s="6">
        <v>956150</v>
      </c>
      <c r="S313" s="6">
        <v>23649</v>
      </c>
      <c r="U313" s="6">
        <v>1080557</v>
      </c>
      <c r="W313" s="6">
        <v>396581</v>
      </c>
      <c r="Y313" s="6">
        <v>7083</v>
      </c>
      <c r="AA313" s="6">
        <v>973707</v>
      </c>
      <c r="AC313" s="6">
        <v>756860</v>
      </c>
      <c r="AE313" s="6">
        <v>117611</v>
      </c>
      <c r="AG313" s="11" t="s">
        <v>683</v>
      </c>
      <c r="AH313" s="11"/>
      <c r="AI313" s="11" t="s">
        <v>11</v>
      </c>
      <c r="AJ313" s="11"/>
      <c r="AK313" s="6">
        <v>494430</v>
      </c>
      <c r="AM313" s="6">
        <v>19711</v>
      </c>
      <c r="AO313" s="6">
        <v>477506</v>
      </c>
      <c r="AQ313" s="6">
        <v>43091</v>
      </c>
      <c r="AU313" s="6">
        <v>0</v>
      </c>
      <c r="AW313" s="6">
        <f t="shared" si="30"/>
        <v>14108976</v>
      </c>
      <c r="AY313" s="6">
        <f>+'St of Activites - GA Rev'!AG313-'St of Activities - GA Exp'!AW313</f>
        <v>-954606</v>
      </c>
      <c r="BA313" s="6">
        <v>6882397</v>
      </c>
      <c r="BC313" s="6">
        <f t="shared" si="32"/>
        <v>5927791</v>
      </c>
      <c r="BE313" s="6">
        <f>+'St of Net Assets - GA'!Y313-'St of Activities - GA Exp'!BC313</f>
        <v>0</v>
      </c>
    </row>
    <row r="314" spans="1:57">
      <c r="A314" s="11" t="s">
        <v>499</v>
      </c>
      <c r="B314" s="11"/>
      <c r="C314" s="11" t="s">
        <v>62</v>
      </c>
      <c r="E314" s="6">
        <v>9615606</v>
      </c>
      <c r="G314" s="6">
        <v>3053373</v>
      </c>
      <c r="I314" s="6">
        <v>351440</v>
      </c>
      <c r="K314" s="6">
        <v>0</v>
      </c>
      <c r="M314" s="6">
        <v>1009132</v>
      </c>
      <c r="O314" s="6">
        <v>1506209</v>
      </c>
      <c r="Q314" s="6">
        <v>708169</v>
      </c>
      <c r="S314" s="6">
        <v>65987</v>
      </c>
      <c r="U314" s="6">
        <v>1833173</v>
      </c>
      <c r="W314" s="6">
        <v>562998</v>
      </c>
      <c r="Y314" s="6">
        <v>117336</v>
      </c>
      <c r="AA314" s="6">
        <v>2327921</v>
      </c>
      <c r="AC314" s="6">
        <v>915150</v>
      </c>
      <c r="AE314" s="6">
        <v>99370</v>
      </c>
      <c r="AG314" s="11" t="s">
        <v>499</v>
      </c>
      <c r="AH314" s="11"/>
      <c r="AI314" s="11" t="s">
        <v>62</v>
      </c>
      <c r="AJ314" s="11"/>
      <c r="AK314" s="6">
        <v>0</v>
      </c>
      <c r="AM314" s="6">
        <v>1363935</v>
      </c>
      <c r="AO314" s="6">
        <v>860642</v>
      </c>
      <c r="AQ314" s="6">
        <v>1231810</v>
      </c>
      <c r="AU314" s="6">
        <v>0</v>
      </c>
      <c r="AW314" s="6">
        <f t="shared" si="30"/>
        <v>25622251</v>
      </c>
      <c r="AY314" s="6">
        <f>+'St of Activites - GA Rev'!AG314-'St of Activities - GA Exp'!AW314</f>
        <v>2032932</v>
      </c>
      <c r="BA314" s="6">
        <v>47924690</v>
      </c>
      <c r="BC314" s="6">
        <f t="shared" si="32"/>
        <v>49957622</v>
      </c>
      <c r="BE314" s="6">
        <f>+'St of Net Assets - GA'!Y314-'St of Activities - GA Exp'!BC314</f>
        <v>0</v>
      </c>
    </row>
    <row r="315" spans="1:57">
      <c r="A315" s="11" t="s">
        <v>324</v>
      </c>
      <c r="B315" s="11"/>
      <c r="C315" s="11" t="s">
        <v>32</v>
      </c>
      <c r="E315" s="6">
        <v>22062457</v>
      </c>
      <c r="G315" s="6">
        <v>5737173</v>
      </c>
      <c r="I315" s="6">
        <v>153905</v>
      </c>
      <c r="K315" s="6">
        <v>0</v>
      </c>
      <c r="M315" s="6">
        <v>889910</v>
      </c>
      <c r="O315" s="6">
        <v>2408411</v>
      </c>
      <c r="Q315" s="6">
        <v>1363213</v>
      </c>
      <c r="S315" s="6">
        <v>85230</v>
      </c>
      <c r="U315" s="6">
        <v>3530633</v>
      </c>
      <c r="W315" s="6">
        <v>1040755</v>
      </c>
      <c r="Y315" s="6">
        <v>242756</v>
      </c>
      <c r="AA315" s="6">
        <v>3525013</v>
      </c>
      <c r="AC315" s="6">
        <v>3353378</v>
      </c>
      <c r="AE315" s="6">
        <v>1102436</v>
      </c>
      <c r="AG315" s="11" t="s">
        <v>324</v>
      </c>
      <c r="AH315" s="11"/>
      <c r="AI315" s="11" t="s">
        <v>32</v>
      </c>
      <c r="AJ315" s="11"/>
      <c r="AK315" s="6">
        <v>0</v>
      </c>
      <c r="AM315" s="6">
        <v>2256111</v>
      </c>
      <c r="AO315" s="6">
        <v>1379102</v>
      </c>
      <c r="AQ315" s="6">
        <v>1448262</v>
      </c>
      <c r="AU315" s="6">
        <v>0</v>
      </c>
      <c r="AW315" s="6">
        <f t="shared" si="30"/>
        <v>50578745</v>
      </c>
      <c r="AY315" s="6">
        <f>+'St of Activites - GA Rev'!AG315-'St of Activities - GA Exp'!AW315</f>
        <v>-4139635</v>
      </c>
      <c r="BA315" s="6">
        <v>34816936</v>
      </c>
      <c r="BC315" s="6">
        <f t="shared" si="32"/>
        <v>30677301</v>
      </c>
      <c r="BE315" s="6">
        <f>+'St of Net Assets - GA'!Y315-'St of Activities - GA Exp'!BC315</f>
        <v>0</v>
      </c>
    </row>
    <row r="316" spans="1:57" ht="12" customHeight="1">
      <c r="A316" s="11" t="s">
        <v>684</v>
      </c>
      <c r="B316" s="11"/>
      <c r="C316" s="11" t="s">
        <v>45</v>
      </c>
      <c r="E316" s="6">
        <v>2824774</v>
      </c>
      <c r="G316" s="6">
        <v>341636</v>
      </c>
      <c r="I316" s="6">
        <v>32781</v>
      </c>
      <c r="K316" s="6">
        <v>49</v>
      </c>
      <c r="M316" s="6">
        <v>0</v>
      </c>
      <c r="O316" s="6">
        <v>142845</v>
      </c>
      <c r="Q316" s="6">
        <v>329045</v>
      </c>
      <c r="S316" s="6">
        <v>18282</v>
      </c>
      <c r="U316" s="6">
        <v>562287</v>
      </c>
      <c r="W316" s="6">
        <v>160040</v>
      </c>
      <c r="Y316" s="6">
        <v>0</v>
      </c>
      <c r="AA316" s="6">
        <v>490807</v>
      </c>
      <c r="AC316" s="6">
        <v>156917</v>
      </c>
      <c r="AE316" s="6">
        <v>107144</v>
      </c>
      <c r="AG316" s="11" t="s">
        <v>684</v>
      </c>
      <c r="AH316" s="11"/>
      <c r="AI316" s="11" t="s">
        <v>45</v>
      </c>
      <c r="AJ316" s="11"/>
      <c r="AK316" s="6">
        <v>376773</v>
      </c>
      <c r="AM316" s="6">
        <v>11647</v>
      </c>
      <c r="AO316" s="6">
        <v>406165</v>
      </c>
      <c r="AQ316" s="6">
        <v>84603</v>
      </c>
      <c r="AU316" s="6">
        <v>0</v>
      </c>
      <c r="AW316" s="6">
        <f t="shared" si="30"/>
        <v>6045795</v>
      </c>
      <c r="AY316" s="6">
        <f>+'St of Activites - GA Rev'!AG316-'St of Activities - GA Exp'!AW316</f>
        <v>-338185</v>
      </c>
      <c r="BA316" s="6">
        <v>14503766</v>
      </c>
      <c r="BC316" s="6">
        <f t="shared" si="32"/>
        <v>14165581</v>
      </c>
      <c r="BE316" s="6">
        <f>+'St of Net Assets - GA'!Y316-'St of Activities - GA Exp'!BC316</f>
        <v>0</v>
      </c>
    </row>
    <row r="317" spans="1:57">
      <c r="A317" s="11" t="s">
        <v>801</v>
      </c>
      <c r="B317" s="11"/>
      <c r="C317" s="11" t="s">
        <v>110</v>
      </c>
      <c r="E317" s="6">
        <v>1945671</v>
      </c>
      <c r="G317" s="6">
        <v>462877</v>
      </c>
      <c r="I317" s="6">
        <v>2149</v>
      </c>
      <c r="K317" s="6">
        <v>0</v>
      </c>
      <c r="M317" s="6">
        <v>407379</v>
      </c>
      <c r="O317" s="6">
        <v>111807</v>
      </c>
      <c r="Q317" s="6">
        <v>390120</v>
      </c>
      <c r="S317" s="6">
        <v>37279</v>
      </c>
      <c r="U317" s="6">
        <v>543555</v>
      </c>
      <c r="W317" s="6">
        <v>255168</v>
      </c>
      <c r="Y317" s="6">
        <v>0</v>
      </c>
      <c r="AA317" s="6">
        <v>552061</v>
      </c>
      <c r="AC317" s="6">
        <v>408867</v>
      </c>
      <c r="AE317" s="6">
        <v>45028</v>
      </c>
      <c r="AG317" s="11" t="s">
        <v>801</v>
      </c>
      <c r="AH317" s="11"/>
      <c r="AI317" s="11" t="s">
        <v>110</v>
      </c>
      <c r="AJ317" s="11"/>
      <c r="AK317" s="6">
        <v>243411</v>
      </c>
      <c r="AM317" s="6">
        <v>1269</v>
      </c>
      <c r="AO317" s="6">
        <v>226404</v>
      </c>
      <c r="AQ317" s="6">
        <v>14812</v>
      </c>
      <c r="AU317" s="6">
        <v>0</v>
      </c>
      <c r="AW317" s="6">
        <f t="shared" si="30"/>
        <v>5647857</v>
      </c>
      <c r="AY317" s="6">
        <f>+'St of Activites - GA Rev'!AG317-'St of Activities - GA Exp'!AW317</f>
        <v>275722</v>
      </c>
      <c r="BA317" s="6">
        <v>5205752</v>
      </c>
      <c r="BC317" s="6">
        <f t="shared" si="32"/>
        <v>5481474</v>
      </c>
      <c r="BE317" s="6">
        <f>+'St of Net Assets - GA'!Y317-'St of Activities - GA Exp'!BC317</f>
        <v>0</v>
      </c>
    </row>
    <row r="318" spans="1:57">
      <c r="A318" s="11" t="s">
        <v>351</v>
      </c>
      <c r="B318" s="11"/>
      <c r="C318" s="11" t="s">
        <v>348</v>
      </c>
      <c r="E318" s="6">
        <v>6086657</v>
      </c>
      <c r="G318" s="6">
        <v>1207372</v>
      </c>
      <c r="I318" s="6">
        <v>243350</v>
      </c>
      <c r="K318" s="6">
        <v>0</v>
      </c>
      <c r="M318" s="6">
        <v>4352</v>
      </c>
      <c r="O318" s="6">
        <v>463061</v>
      </c>
      <c r="Q318" s="6">
        <v>799325</v>
      </c>
      <c r="S318" s="6">
        <v>52222</v>
      </c>
      <c r="U318" s="6">
        <v>1103326</v>
      </c>
      <c r="W318" s="6">
        <v>356424</v>
      </c>
      <c r="Y318" s="6">
        <v>45159</v>
      </c>
      <c r="AA318" s="6">
        <v>1533283</v>
      </c>
      <c r="AC318" s="6">
        <v>863392</v>
      </c>
      <c r="AE318" s="6">
        <v>12000</v>
      </c>
      <c r="AG318" s="11" t="s">
        <v>351</v>
      </c>
      <c r="AH318" s="11"/>
      <c r="AI318" s="11" t="s">
        <v>348</v>
      </c>
      <c r="AJ318" s="11"/>
      <c r="AK318" s="6">
        <v>630646</v>
      </c>
      <c r="AM318" s="6">
        <v>1554</v>
      </c>
      <c r="AO318" s="6">
        <v>221800</v>
      </c>
      <c r="AQ318" s="6">
        <v>56289</v>
      </c>
      <c r="AU318" s="6">
        <v>0</v>
      </c>
      <c r="AW318" s="6">
        <f t="shared" si="30"/>
        <v>13680212</v>
      </c>
      <c r="AY318" s="6">
        <f>+'St of Activites - GA Rev'!AG318-'St of Activities - GA Exp'!AW318</f>
        <v>-1246563</v>
      </c>
      <c r="BA318" s="6">
        <v>25290496</v>
      </c>
      <c r="BC318" s="6">
        <f t="shared" si="32"/>
        <v>24043933</v>
      </c>
      <c r="BE318" s="6">
        <f>+'St of Net Assets - GA'!Y318-'St of Activities - GA Exp'!BC318</f>
        <v>0</v>
      </c>
    </row>
    <row r="319" spans="1:57">
      <c r="A319" s="11" t="s">
        <v>711</v>
      </c>
      <c r="B319" s="11"/>
      <c r="C319" s="11" t="s">
        <v>50</v>
      </c>
      <c r="E319" s="6">
        <v>15978050</v>
      </c>
      <c r="G319" s="6">
        <v>4929219</v>
      </c>
      <c r="I319" s="6">
        <v>2211582</v>
      </c>
      <c r="K319" s="6">
        <v>16496</v>
      </c>
      <c r="M319" s="6">
        <v>1575462</v>
      </c>
      <c r="O319" s="6">
        <v>2893642</v>
      </c>
      <c r="Q319" s="6">
        <v>2777651</v>
      </c>
      <c r="S319" s="6">
        <v>0</v>
      </c>
      <c r="U319" s="6">
        <f>65164+3157887</f>
        <v>3223051</v>
      </c>
      <c r="W319" s="6">
        <v>602659</v>
      </c>
      <c r="Y319" s="6">
        <v>2032</v>
      </c>
      <c r="AA319" s="6">
        <v>4163259</v>
      </c>
      <c r="AC319" s="6">
        <v>1640185</v>
      </c>
      <c r="AE319" s="6">
        <v>234135</v>
      </c>
      <c r="AG319" s="11" t="s">
        <v>711</v>
      </c>
      <c r="AH319" s="11"/>
      <c r="AI319" s="11" t="s">
        <v>50</v>
      </c>
      <c r="AJ319" s="11"/>
      <c r="AK319" s="6">
        <v>0</v>
      </c>
      <c r="AM319" s="6">
        <v>2528435</v>
      </c>
      <c r="AO319" s="6">
        <v>687635</v>
      </c>
      <c r="AQ319" s="6">
        <v>670927</v>
      </c>
      <c r="AU319" s="6">
        <v>0</v>
      </c>
      <c r="AW319" s="6">
        <f t="shared" ref="AW319:AW344" si="33">SUM(E319:AV319)</f>
        <v>44134420</v>
      </c>
      <c r="AY319" s="6">
        <f>+'St of Activites - GA Rev'!AG319-'St of Activities - GA Exp'!AW319</f>
        <v>-2598156</v>
      </c>
      <c r="BA319" s="6">
        <v>75768866</v>
      </c>
      <c r="BC319" s="6">
        <f t="shared" ref="BC319:BC344" si="34">+AY319+BA319</f>
        <v>73170710</v>
      </c>
      <c r="BE319" s="6">
        <f>+'St of Net Assets - GA'!Y319-'St of Activities - GA Exp'!BC319</f>
        <v>0</v>
      </c>
    </row>
    <row r="320" spans="1:57">
      <c r="A320" s="11" t="s">
        <v>325</v>
      </c>
      <c r="B320" s="11"/>
      <c r="C320" s="11" t="s">
        <v>32</v>
      </c>
      <c r="E320" s="6">
        <v>8255591</v>
      </c>
      <c r="G320" s="6">
        <v>1479473</v>
      </c>
      <c r="I320" s="6">
        <v>0</v>
      </c>
      <c r="K320" s="6">
        <v>0</v>
      </c>
      <c r="M320" s="6">
        <v>211022</v>
      </c>
      <c r="O320" s="6">
        <v>1235534</v>
      </c>
      <c r="Q320" s="6">
        <v>938120</v>
      </c>
      <c r="S320" s="6">
        <v>0</v>
      </c>
      <c r="U320" s="6">
        <f>49581+1059662</f>
        <v>1109243</v>
      </c>
      <c r="W320" s="6">
        <v>531724</v>
      </c>
      <c r="Y320" s="6">
        <v>113373</v>
      </c>
      <c r="AA320" s="6">
        <v>1369907</v>
      </c>
      <c r="AC320" s="6">
        <v>805249</v>
      </c>
      <c r="AE320" s="6">
        <v>765579</v>
      </c>
      <c r="AG320" s="11" t="s">
        <v>325</v>
      </c>
      <c r="AH320" s="11"/>
      <c r="AI320" s="11" t="s">
        <v>32</v>
      </c>
      <c r="AJ320" s="11"/>
      <c r="AK320" s="6">
        <v>0</v>
      </c>
      <c r="AM320" s="6">
        <v>869982</v>
      </c>
      <c r="AO320" s="6">
        <v>535527</v>
      </c>
      <c r="AQ320" s="6">
        <v>1331386</v>
      </c>
      <c r="AU320" s="6">
        <v>0</v>
      </c>
      <c r="AW320" s="6">
        <f t="shared" si="33"/>
        <v>19551710</v>
      </c>
      <c r="AY320" s="6">
        <f>+'St of Activites - GA Rev'!AG320-'St of Activities - GA Exp'!AW320</f>
        <v>-189976</v>
      </c>
      <c r="BA320" s="6">
        <v>13334227</v>
      </c>
      <c r="BC320" s="6">
        <f t="shared" si="34"/>
        <v>13144251</v>
      </c>
      <c r="BE320" s="6">
        <f>+'St of Net Assets - GA'!Y320-'St of Activities - GA Exp'!BC320</f>
        <v>0</v>
      </c>
    </row>
    <row r="321" spans="1:57">
      <c r="A321" s="11" t="s">
        <v>224</v>
      </c>
      <c r="B321" s="11"/>
      <c r="C321" s="11" t="s">
        <v>221</v>
      </c>
      <c r="E321" s="6">
        <v>6798476</v>
      </c>
      <c r="G321" s="6">
        <v>1077499</v>
      </c>
      <c r="I321" s="6">
        <v>2788</v>
      </c>
      <c r="K321" s="6">
        <v>0</v>
      </c>
      <c r="M321" s="6">
        <v>440626</v>
      </c>
      <c r="O321" s="6">
        <v>693221</v>
      </c>
      <c r="Q321" s="6">
        <v>864174</v>
      </c>
      <c r="S321" s="6">
        <v>73861</v>
      </c>
      <c r="U321" s="6">
        <v>1219524</v>
      </c>
      <c r="W321" s="6">
        <v>241534</v>
      </c>
      <c r="Y321" s="6">
        <v>838</v>
      </c>
      <c r="AA321" s="6">
        <v>1675885</v>
      </c>
      <c r="AC321" s="6">
        <v>1092829</v>
      </c>
      <c r="AE321" s="6">
        <v>460263</v>
      </c>
      <c r="AG321" s="11" t="s">
        <v>224</v>
      </c>
      <c r="AH321" s="11"/>
      <c r="AI321" s="11" t="s">
        <v>221</v>
      </c>
      <c r="AJ321" s="11"/>
      <c r="AK321" s="6">
        <v>683369</v>
      </c>
      <c r="AM321" s="6">
        <v>40322</v>
      </c>
      <c r="AO321" s="6">
        <v>480234</v>
      </c>
      <c r="AQ321" s="6">
        <v>1091625</v>
      </c>
      <c r="AU321" s="6">
        <v>0</v>
      </c>
      <c r="AW321" s="6">
        <f t="shared" si="33"/>
        <v>16937068</v>
      </c>
      <c r="AY321" s="6">
        <f>+'St of Activites - GA Rev'!AG321-'St of Activities - GA Exp'!AW321</f>
        <v>-1053002</v>
      </c>
      <c r="BA321" s="6">
        <v>20507862</v>
      </c>
      <c r="BC321" s="6">
        <f t="shared" si="34"/>
        <v>19454860</v>
      </c>
      <c r="BE321" s="6">
        <f>+'St of Net Assets - GA'!Y321-'St of Activities - GA Exp'!BC321</f>
        <v>0</v>
      </c>
    </row>
    <row r="322" spans="1:57" hidden="1">
      <c r="A322" s="11" t="s">
        <v>730</v>
      </c>
      <c r="B322" s="11"/>
      <c r="C322" s="11" t="s">
        <v>41</v>
      </c>
      <c r="AG322" s="11" t="s">
        <v>730</v>
      </c>
      <c r="AH322" s="11"/>
      <c r="AI322" s="11" t="s">
        <v>41</v>
      </c>
      <c r="AJ322" s="11"/>
      <c r="AW322" s="6">
        <f t="shared" si="33"/>
        <v>0</v>
      </c>
      <c r="AY322" s="6">
        <f>+'St of Activites - GA Rev'!AG322-'St of Activities - GA Exp'!AW322</f>
        <v>0</v>
      </c>
      <c r="BC322" s="6">
        <f t="shared" si="34"/>
        <v>0</v>
      </c>
      <c r="BE322" s="6">
        <f>+'St of Net Assets - GA'!Y322-'St of Activities - GA Exp'!BC322</f>
        <v>0</v>
      </c>
    </row>
    <row r="323" spans="1:57">
      <c r="A323" s="11" t="s">
        <v>224</v>
      </c>
      <c r="B323" s="11"/>
      <c r="C323" s="11" t="s">
        <v>110</v>
      </c>
      <c r="E323" s="6">
        <v>12464580</v>
      </c>
      <c r="G323" s="6">
        <v>3625553</v>
      </c>
      <c r="I323" s="6">
        <v>2967009</v>
      </c>
      <c r="K323" s="6">
        <v>90358</v>
      </c>
      <c r="M323" s="6">
        <v>2719438</v>
      </c>
      <c r="O323" s="6">
        <v>1320351</v>
      </c>
      <c r="Q323" s="6">
        <v>1985779</v>
      </c>
      <c r="S323" s="6">
        <v>43982</v>
      </c>
      <c r="U323" s="6">
        <v>2487434</v>
      </c>
      <c r="W323" s="6">
        <v>662743</v>
      </c>
      <c r="Y323" s="6">
        <v>72654</v>
      </c>
      <c r="AA323" s="6">
        <v>3202761</v>
      </c>
      <c r="AC323" s="6">
        <v>1680463</v>
      </c>
      <c r="AE323" s="6">
        <v>259350</v>
      </c>
      <c r="AG323" s="11" t="s">
        <v>224</v>
      </c>
      <c r="AH323" s="11"/>
      <c r="AI323" s="11" t="s">
        <v>110</v>
      </c>
      <c r="AJ323" s="11"/>
      <c r="AK323" s="6">
        <v>1344705</v>
      </c>
      <c r="AM323" s="6">
        <v>458328</v>
      </c>
      <c r="AO323" s="6">
        <v>840843</v>
      </c>
      <c r="AQ323" s="6">
        <v>1904210</v>
      </c>
      <c r="AU323" s="6">
        <v>0</v>
      </c>
      <c r="AW323" s="6">
        <f t="shared" si="33"/>
        <v>38130541</v>
      </c>
      <c r="AY323" s="6">
        <f>+'St of Activites - GA Rev'!AG323-'St of Activities - GA Exp'!AW323</f>
        <v>-3654724</v>
      </c>
      <c r="BA323" s="6">
        <v>25424247</v>
      </c>
      <c r="BC323" s="6">
        <f t="shared" si="34"/>
        <v>21769523</v>
      </c>
      <c r="BE323" s="6">
        <f>+'St of Net Assets - GA'!Y323-'St of Activities - GA Exp'!BC323</f>
        <v>0</v>
      </c>
    </row>
    <row r="324" spans="1:57">
      <c r="A324" s="11" t="s">
        <v>694</v>
      </c>
      <c r="B324" s="11"/>
      <c r="C324" s="11" t="s">
        <v>398</v>
      </c>
      <c r="E324" s="6">
        <v>7166660</v>
      </c>
      <c r="G324" s="6">
        <v>810820</v>
      </c>
      <c r="I324" s="6">
        <v>528145</v>
      </c>
      <c r="K324" s="6">
        <v>0</v>
      </c>
      <c r="M324" s="6">
        <v>14030</v>
      </c>
      <c r="O324" s="6">
        <v>523508</v>
      </c>
      <c r="Q324" s="6">
        <v>865378</v>
      </c>
      <c r="S324" s="6">
        <v>57028</v>
      </c>
      <c r="U324" s="6">
        <v>1441440</v>
      </c>
      <c r="W324" s="6">
        <v>661368</v>
      </c>
      <c r="Y324" s="6">
        <v>1026</v>
      </c>
      <c r="AA324" s="6">
        <v>600076</v>
      </c>
      <c r="AC324" s="6">
        <v>1330120</v>
      </c>
      <c r="AE324" s="6">
        <v>316666</v>
      </c>
      <c r="AG324" s="11" t="s">
        <v>694</v>
      </c>
      <c r="AH324" s="11"/>
      <c r="AI324" s="11" t="s">
        <v>398</v>
      </c>
      <c r="AJ324" s="11"/>
      <c r="AK324" s="6">
        <v>525012</v>
      </c>
      <c r="AM324" s="6">
        <v>250018</v>
      </c>
      <c r="AO324" s="6">
        <v>504407</v>
      </c>
      <c r="AQ324" s="6">
        <v>37589</v>
      </c>
      <c r="AU324" s="6">
        <v>0</v>
      </c>
      <c r="AW324" s="6">
        <f t="shared" si="33"/>
        <v>15633291</v>
      </c>
      <c r="AY324" s="6">
        <f>+'St of Activites - GA Rev'!AG324-'St of Activities - GA Exp'!AW324</f>
        <v>-1212646</v>
      </c>
      <c r="BA324" s="6">
        <v>13885802</v>
      </c>
      <c r="BC324" s="6">
        <f t="shared" si="34"/>
        <v>12673156</v>
      </c>
      <c r="BE324" s="6">
        <f>+'St of Net Assets - GA'!Y324-'St of Activities - GA Exp'!BC324</f>
        <v>0</v>
      </c>
    </row>
    <row r="325" spans="1:57">
      <c r="A325" s="11" t="s">
        <v>605</v>
      </c>
      <c r="B325" s="11"/>
      <c r="C325" s="11" t="s">
        <v>200</v>
      </c>
      <c r="E325" s="6">
        <v>4501493</v>
      </c>
      <c r="G325" s="6">
        <v>1543633</v>
      </c>
      <c r="I325" s="6">
        <v>638032</v>
      </c>
      <c r="K325" s="6">
        <v>0</v>
      </c>
      <c r="M325" s="6">
        <v>208147</v>
      </c>
      <c r="O325" s="6">
        <v>379947</v>
      </c>
      <c r="Q325" s="6">
        <v>876224</v>
      </c>
      <c r="S325" s="6">
        <v>92388</v>
      </c>
      <c r="U325" s="6">
        <v>605085</v>
      </c>
      <c r="W325" s="6">
        <v>498396</v>
      </c>
      <c r="Y325" s="6">
        <v>0</v>
      </c>
      <c r="AA325" s="6">
        <v>868220</v>
      </c>
      <c r="AC325" s="6">
        <v>680810</v>
      </c>
      <c r="AE325" s="6">
        <v>0</v>
      </c>
      <c r="AG325" s="11" t="s">
        <v>605</v>
      </c>
      <c r="AH325" s="11"/>
      <c r="AI325" s="11" t="s">
        <v>200</v>
      </c>
      <c r="AJ325" s="11"/>
      <c r="AK325" s="6">
        <v>502666</v>
      </c>
      <c r="AM325" s="6">
        <v>158596</v>
      </c>
      <c r="AO325" s="6">
        <v>308014</v>
      </c>
      <c r="AQ325" s="6">
        <v>793380</v>
      </c>
      <c r="AU325" s="6">
        <v>0</v>
      </c>
      <c r="AW325" s="6">
        <f t="shared" si="33"/>
        <v>12655031</v>
      </c>
      <c r="AY325" s="6">
        <f>+'St of Activites - GA Rev'!AG325-'St of Activities - GA Exp'!AW325</f>
        <v>2954545</v>
      </c>
      <c r="BA325" s="6">
        <v>18544681</v>
      </c>
      <c r="BC325" s="6">
        <f t="shared" si="34"/>
        <v>21499226</v>
      </c>
      <c r="BE325" s="6">
        <f>+'St of Net Assets - GA'!Y325-'St of Activities - GA Exp'!BC325</f>
        <v>0</v>
      </c>
    </row>
    <row r="326" spans="1:57" ht="12" hidden="1" customHeight="1">
      <c r="A326" s="11" t="s">
        <v>805</v>
      </c>
      <c r="B326" s="11"/>
      <c r="C326" s="11" t="s">
        <v>63</v>
      </c>
      <c r="AG326" s="11" t="s">
        <v>805</v>
      </c>
      <c r="AH326" s="11"/>
      <c r="AI326" s="11" t="s">
        <v>63</v>
      </c>
      <c r="AJ326" s="11"/>
      <c r="AW326" s="6">
        <f t="shared" ref="AW326" si="35">SUM(E326:AV326)</f>
        <v>0</v>
      </c>
      <c r="AY326" s="6">
        <f>+'St of Activites - GA Rev'!AG326-'St of Activities - GA Exp'!AW326</f>
        <v>0</v>
      </c>
      <c r="BC326" s="6">
        <f t="shared" ref="BC326" si="36">+AY326+BA326</f>
        <v>0</v>
      </c>
      <c r="BE326" s="6">
        <f>+'St of Net Assets - GA'!Y326-'St of Activities - GA Exp'!BC326</f>
        <v>0</v>
      </c>
    </row>
    <row r="327" spans="1:57" ht="12" customHeight="1">
      <c r="A327" s="11" t="s">
        <v>469</v>
      </c>
      <c r="B327" s="11"/>
      <c r="C327" s="11" t="s">
        <v>110</v>
      </c>
      <c r="E327" s="6">
        <v>18254929</v>
      </c>
      <c r="G327" s="6">
        <v>8429773</v>
      </c>
      <c r="I327" s="6">
        <v>1227683</v>
      </c>
      <c r="K327" s="6">
        <v>344615</v>
      </c>
      <c r="M327" s="6">
        <v>12211736</v>
      </c>
      <c r="O327" s="6">
        <v>3873533</v>
      </c>
      <c r="Q327" s="6">
        <v>3007763</v>
      </c>
      <c r="S327" s="6">
        <v>18815</v>
      </c>
      <c r="U327" s="6">
        <v>3340448</v>
      </c>
      <c r="W327" s="6">
        <v>1230241</v>
      </c>
      <c r="Y327" s="6">
        <v>622005</v>
      </c>
      <c r="AA327" s="6">
        <v>8526318</v>
      </c>
      <c r="AC327" s="6">
        <v>2638807</v>
      </c>
      <c r="AE327" s="6">
        <v>2186641</v>
      </c>
      <c r="AG327" s="11" t="s">
        <v>469</v>
      </c>
      <c r="AH327" s="11"/>
      <c r="AI327" s="11" t="s">
        <v>110</v>
      </c>
      <c r="AJ327" s="11"/>
      <c r="AK327" s="6">
        <v>2214583</v>
      </c>
      <c r="AM327" s="6">
        <v>1970225</v>
      </c>
      <c r="AO327" s="6">
        <v>828974</v>
      </c>
      <c r="AQ327" s="6">
        <v>738373</v>
      </c>
      <c r="AU327" s="6">
        <v>0</v>
      </c>
      <c r="AW327" s="6">
        <f t="shared" si="33"/>
        <v>71665462</v>
      </c>
      <c r="AY327" s="6">
        <f>+'St of Activites - GA Rev'!AG327-'St of Activities - GA Exp'!AW327</f>
        <v>-7416804</v>
      </c>
      <c r="BA327" s="6">
        <v>59873427</v>
      </c>
      <c r="BC327" s="6">
        <f t="shared" si="34"/>
        <v>52456623</v>
      </c>
      <c r="BE327" s="6">
        <f>+'St of Net Assets - GA'!Y327-'St of Activities - GA Exp'!BC327</f>
        <v>0</v>
      </c>
    </row>
    <row r="328" spans="1:57">
      <c r="A328" s="11" t="s">
        <v>722</v>
      </c>
      <c r="B328" s="11"/>
      <c r="C328" s="11" t="s">
        <v>20</v>
      </c>
      <c r="E328" s="6">
        <v>20554992</v>
      </c>
      <c r="G328" s="6">
        <v>3589896</v>
      </c>
      <c r="I328" s="6">
        <v>568611</v>
      </c>
      <c r="K328" s="6">
        <v>0</v>
      </c>
      <c r="M328" s="6">
        <v>194758</v>
      </c>
      <c r="O328" s="6">
        <v>1513607</v>
      </c>
      <c r="Q328" s="6">
        <v>2217275</v>
      </c>
      <c r="S328" s="6">
        <v>40961</v>
      </c>
      <c r="U328" s="6">
        <v>3064728</v>
      </c>
      <c r="W328" s="6">
        <v>1884897</v>
      </c>
      <c r="Y328" s="6">
        <v>139941</v>
      </c>
      <c r="AA328" s="6">
        <v>4181354</v>
      </c>
      <c r="AC328" s="6">
        <v>1430426</v>
      </c>
      <c r="AE328" s="6">
        <v>39044</v>
      </c>
      <c r="AG328" s="11" t="s">
        <v>722</v>
      </c>
      <c r="AH328" s="11"/>
      <c r="AI328" s="11" t="s">
        <v>20</v>
      </c>
      <c r="AJ328" s="11"/>
      <c r="AK328" s="6">
        <v>1625764</v>
      </c>
      <c r="AM328" s="6">
        <v>121425</v>
      </c>
      <c r="AO328" s="6">
        <v>897184</v>
      </c>
      <c r="AQ328" s="6">
        <v>3123968</v>
      </c>
      <c r="AU328" s="6">
        <v>0</v>
      </c>
      <c r="AW328" s="6">
        <f t="shared" si="33"/>
        <v>45188831</v>
      </c>
      <c r="AY328" s="6">
        <f>+'St of Activites - GA Rev'!AG328-'St of Activities - GA Exp'!AW328</f>
        <v>1718704</v>
      </c>
      <c r="BA328" s="6">
        <v>66480266</v>
      </c>
      <c r="BC328" s="6">
        <f t="shared" si="34"/>
        <v>68198970</v>
      </c>
      <c r="BE328" s="6">
        <f>+'St of Net Assets - GA'!Y328-'St of Activities - GA Exp'!BC328</f>
        <v>0</v>
      </c>
    </row>
    <row r="329" spans="1:57">
      <c r="A329" s="11" t="s">
        <v>205</v>
      </c>
      <c r="B329" s="11"/>
      <c r="C329" s="11" t="s">
        <v>11</v>
      </c>
      <c r="E329" s="6">
        <v>4316775</v>
      </c>
      <c r="G329" s="6">
        <v>955770</v>
      </c>
      <c r="I329" s="6">
        <v>92111</v>
      </c>
      <c r="K329" s="6">
        <v>0</v>
      </c>
      <c r="M329" s="6">
        <v>777826</v>
      </c>
      <c r="O329" s="6">
        <v>271966</v>
      </c>
      <c r="Q329" s="6">
        <v>352604</v>
      </c>
      <c r="S329" s="6">
        <v>50708</v>
      </c>
      <c r="U329" s="6">
        <v>669263</v>
      </c>
      <c r="W329" s="6">
        <v>353625</v>
      </c>
      <c r="Y329" s="6">
        <v>199</v>
      </c>
      <c r="AA329" s="6">
        <v>677137</v>
      </c>
      <c r="AC329" s="6">
        <v>614735</v>
      </c>
      <c r="AE329" s="6">
        <v>118087</v>
      </c>
      <c r="AG329" s="11" t="s">
        <v>205</v>
      </c>
      <c r="AH329" s="11"/>
      <c r="AI329" s="11" t="s">
        <v>11</v>
      </c>
      <c r="AJ329" s="11"/>
      <c r="AK329" s="6">
        <v>374269</v>
      </c>
      <c r="AM329" s="6">
        <v>0</v>
      </c>
      <c r="AO329" s="6">
        <v>273349</v>
      </c>
      <c r="AQ329" s="6">
        <v>105733</v>
      </c>
      <c r="AU329" s="6">
        <v>0</v>
      </c>
      <c r="AW329" s="6">
        <f t="shared" si="33"/>
        <v>10004157</v>
      </c>
      <c r="AY329" s="6">
        <f>+'St of Activites - GA Rev'!AG329-'St of Activities - GA Exp'!AW329</f>
        <v>-1349461</v>
      </c>
      <c r="BA329" s="6">
        <v>16793875</v>
      </c>
      <c r="BC329" s="6">
        <f t="shared" si="34"/>
        <v>15444414</v>
      </c>
      <c r="BE329" s="6">
        <f>+'St of Net Assets - GA'!Y329-'St of Activities - GA Exp'!BC329</f>
        <v>0</v>
      </c>
    </row>
    <row r="330" spans="1:57">
      <c r="A330" s="11" t="s">
        <v>528</v>
      </c>
      <c r="B330" s="11"/>
      <c r="C330" s="11" t="s">
        <v>64</v>
      </c>
      <c r="E330" s="6">
        <v>4962470</v>
      </c>
      <c r="G330" s="6">
        <v>897368</v>
      </c>
      <c r="I330" s="6">
        <v>87650</v>
      </c>
      <c r="K330" s="6">
        <v>0</v>
      </c>
      <c r="M330" s="6">
        <v>1078</v>
      </c>
      <c r="O330" s="6">
        <v>417861</v>
      </c>
      <c r="Q330" s="6">
        <v>163101</v>
      </c>
      <c r="S330" s="6">
        <v>34839</v>
      </c>
      <c r="U330" s="6">
        <v>876051</v>
      </c>
      <c r="W330" s="6">
        <v>349238</v>
      </c>
      <c r="Y330" s="6">
        <v>54861</v>
      </c>
      <c r="AA330" s="6">
        <v>893237</v>
      </c>
      <c r="AC330" s="6">
        <v>561737</v>
      </c>
      <c r="AE330" s="6">
        <v>54892</v>
      </c>
      <c r="AG330" s="11" t="s">
        <v>528</v>
      </c>
      <c r="AH330" s="11"/>
      <c r="AI330" s="11" t="s">
        <v>64</v>
      </c>
      <c r="AJ330" s="11"/>
      <c r="AK330" s="6">
        <v>531791</v>
      </c>
      <c r="AM330" s="6">
        <v>0</v>
      </c>
      <c r="AO330" s="6">
        <v>249474</v>
      </c>
      <c r="AQ330" s="6">
        <v>114395</v>
      </c>
      <c r="AU330" s="6">
        <v>0</v>
      </c>
      <c r="AW330" s="6">
        <f t="shared" si="33"/>
        <v>10250043</v>
      </c>
      <c r="AY330" s="6">
        <f>+'St of Activites - GA Rev'!AG330-'St of Activities - GA Exp'!AW330</f>
        <v>-507467</v>
      </c>
      <c r="BA330" s="6">
        <v>20537677</v>
      </c>
      <c r="BC330" s="6">
        <f t="shared" si="34"/>
        <v>20030210</v>
      </c>
      <c r="BE330" s="6">
        <f>+'St of Net Assets - GA'!Y330-'St of Activities - GA Exp'!BC330</f>
        <v>0</v>
      </c>
    </row>
    <row r="331" spans="1:57" ht="12" customHeight="1">
      <c r="A331" s="11" t="s">
        <v>288</v>
      </c>
      <c r="B331" s="11"/>
      <c r="C331" s="11" t="s">
        <v>24</v>
      </c>
      <c r="E331" s="6">
        <v>4810307</v>
      </c>
      <c r="G331" s="6">
        <v>1381699</v>
      </c>
      <c r="I331" s="6">
        <v>294980</v>
      </c>
      <c r="K331" s="6">
        <v>0</v>
      </c>
      <c r="M331" s="6">
        <v>708719</v>
      </c>
      <c r="O331" s="6">
        <v>684759</v>
      </c>
      <c r="Q331" s="6">
        <v>792267</v>
      </c>
      <c r="S331" s="6">
        <v>191627</v>
      </c>
      <c r="U331" s="6">
        <v>984230</v>
      </c>
      <c r="W331" s="6">
        <v>424467</v>
      </c>
      <c r="Y331" s="6">
        <v>0</v>
      </c>
      <c r="AA331" s="6">
        <v>1216597</v>
      </c>
      <c r="AC331" s="6">
        <v>1102358</v>
      </c>
      <c r="AE331" s="6">
        <v>71912</v>
      </c>
      <c r="AG331" s="11" t="s">
        <v>288</v>
      </c>
      <c r="AH331" s="11"/>
      <c r="AI331" s="11" t="s">
        <v>24</v>
      </c>
      <c r="AJ331" s="11"/>
      <c r="AK331" s="6">
        <v>630453</v>
      </c>
      <c r="AM331" s="6">
        <v>14008</v>
      </c>
      <c r="AO331" s="6">
        <v>472514</v>
      </c>
      <c r="AQ331" s="6">
        <v>106592</v>
      </c>
      <c r="AU331" s="6">
        <v>0</v>
      </c>
      <c r="AW331" s="6">
        <f t="shared" si="33"/>
        <v>13887489</v>
      </c>
      <c r="AY331" s="6">
        <f>+'St of Activites - GA Rev'!AG331-'St of Activities - GA Exp'!AW331</f>
        <v>636204</v>
      </c>
      <c r="BA331" s="6">
        <v>3145401</v>
      </c>
      <c r="BC331" s="6">
        <f t="shared" si="34"/>
        <v>3781605</v>
      </c>
      <c r="BE331" s="6">
        <f>+'St of Net Assets - GA'!Y331-'St of Activities - GA Exp'!BC331</f>
        <v>0</v>
      </c>
    </row>
    <row r="332" spans="1:57">
      <c r="A332" s="11" t="s">
        <v>326</v>
      </c>
      <c r="B332" s="11"/>
      <c r="C332" s="11" t="s">
        <v>32</v>
      </c>
      <c r="E332" s="6">
        <v>9370858</v>
      </c>
      <c r="G332" s="6">
        <v>1837386</v>
      </c>
      <c r="I332" s="6">
        <v>0</v>
      </c>
      <c r="K332" s="6">
        <v>1028</v>
      </c>
      <c r="M332" s="6">
        <v>140382</v>
      </c>
      <c r="O332" s="6">
        <v>1331751</v>
      </c>
      <c r="Q332" s="6">
        <v>576913</v>
      </c>
      <c r="S332" s="6">
        <v>0</v>
      </c>
      <c r="U332" s="6">
        <f>13307+1549093</f>
        <v>1562400</v>
      </c>
      <c r="W332" s="6">
        <v>537244</v>
      </c>
      <c r="Y332" s="6">
        <v>8046</v>
      </c>
      <c r="AA332" s="6">
        <v>3684953</v>
      </c>
      <c r="AC332" s="6">
        <v>746353</v>
      </c>
      <c r="AE332" s="6">
        <v>899551</v>
      </c>
      <c r="AG332" s="11" t="s">
        <v>326</v>
      </c>
      <c r="AH332" s="11"/>
      <c r="AI332" s="11" t="s">
        <v>32</v>
      </c>
      <c r="AJ332" s="11"/>
      <c r="AK332" s="6">
        <v>0</v>
      </c>
      <c r="AM332" s="6">
        <v>177970</v>
      </c>
      <c r="AO332" s="6">
        <v>899615</v>
      </c>
      <c r="AQ332" s="6">
        <v>1817745</v>
      </c>
      <c r="AU332" s="6">
        <v>0</v>
      </c>
      <c r="AW332" s="6">
        <f t="shared" si="33"/>
        <v>23592195</v>
      </c>
      <c r="AY332" s="6">
        <f>+'St of Activites - GA Rev'!AG332-'St of Activities - GA Exp'!AW332</f>
        <v>149373</v>
      </c>
      <c r="BA332" s="6">
        <v>10960101</v>
      </c>
      <c r="BC332" s="6">
        <f t="shared" si="34"/>
        <v>11109474</v>
      </c>
      <c r="BE332" s="6">
        <f>+'St of Net Assets - GA'!Y332-'St of Activities - GA Exp'!BC332</f>
        <v>0</v>
      </c>
    </row>
    <row r="333" spans="1:57" ht="12" hidden="1" customHeight="1">
      <c r="A333" s="11" t="s">
        <v>612</v>
      </c>
      <c r="B333" s="11"/>
      <c r="C333" s="11" t="s">
        <v>70</v>
      </c>
      <c r="AG333" s="11" t="s">
        <v>612</v>
      </c>
      <c r="AH333" s="11"/>
      <c r="AI333" s="11" t="s">
        <v>70</v>
      </c>
      <c r="AJ333" s="11"/>
      <c r="AW333" s="6">
        <f t="shared" si="33"/>
        <v>0</v>
      </c>
      <c r="AY333" s="6">
        <f>+'St of Activites - GA Rev'!AG333-'St of Activities - GA Exp'!AW333</f>
        <v>0</v>
      </c>
      <c r="BC333" s="6">
        <f t="shared" si="34"/>
        <v>0</v>
      </c>
      <c r="BE333" s="6">
        <f>+'St of Net Assets - GA'!Y333-'St of Activities - GA Exp'!BC333</f>
        <v>0</v>
      </c>
    </row>
    <row r="334" spans="1:57" ht="12" customHeight="1">
      <c r="A334" s="11" t="s">
        <v>410</v>
      </c>
      <c r="B334" s="11"/>
      <c r="C334" s="11" t="s">
        <v>46</v>
      </c>
      <c r="E334" s="6">
        <v>32483039</v>
      </c>
      <c r="G334" s="6">
        <v>0</v>
      </c>
      <c r="I334" s="6">
        <v>0</v>
      </c>
      <c r="K334" s="6">
        <v>0</v>
      </c>
      <c r="M334" s="6">
        <v>0</v>
      </c>
      <c r="O334" s="6">
        <v>2725212</v>
      </c>
      <c r="Q334" s="6">
        <v>3753952</v>
      </c>
      <c r="S334" s="6">
        <v>37196</v>
      </c>
      <c r="U334" s="6">
        <v>3764493</v>
      </c>
      <c r="W334" s="6">
        <v>732053</v>
      </c>
      <c r="Y334" s="6">
        <v>443202</v>
      </c>
      <c r="AA334" s="6">
        <v>4394836</v>
      </c>
      <c r="AC334" s="6">
        <v>1159451</v>
      </c>
      <c r="AE334" s="6">
        <v>3961</v>
      </c>
      <c r="AG334" s="11" t="s">
        <v>410</v>
      </c>
      <c r="AH334" s="11"/>
      <c r="AI334" s="11" t="s">
        <v>46</v>
      </c>
      <c r="AJ334" s="11"/>
      <c r="AK334" s="6">
        <v>0</v>
      </c>
      <c r="AM334" s="6">
        <v>2997293</v>
      </c>
      <c r="AO334" s="6">
        <v>962123</v>
      </c>
      <c r="AQ334" s="6">
        <v>589763</v>
      </c>
      <c r="AU334" s="6">
        <v>0</v>
      </c>
      <c r="AW334" s="6">
        <f t="shared" si="33"/>
        <v>54046574</v>
      </c>
      <c r="AY334" s="6">
        <f>+'St of Activites - GA Rev'!AG334-'St of Activities - GA Exp'!AW334</f>
        <v>-3137116</v>
      </c>
      <c r="BA334" s="6">
        <v>85846615</v>
      </c>
      <c r="BC334" s="6">
        <f t="shared" si="34"/>
        <v>82709499</v>
      </c>
      <c r="BE334" s="6">
        <f>+'St of Net Assets - GA'!Y334-'St of Activities - GA Exp'!BC334</f>
        <v>0</v>
      </c>
    </row>
    <row r="335" spans="1:57" ht="12" hidden="1" customHeight="1">
      <c r="A335" s="11" t="s">
        <v>685</v>
      </c>
      <c r="B335" s="11"/>
      <c r="C335" s="11" t="s">
        <v>422</v>
      </c>
      <c r="AG335" s="11" t="s">
        <v>685</v>
      </c>
      <c r="AH335" s="11"/>
      <c r="AI335" s="11" t="s">
        <v>422</v>
      </c>
      <c r="AJ335" s="11"/>
      <c r="AW335" s="6">
        <f t="shared" si="33"/>
        <v>0</v>
      </c>
      <c r="AY335" s="6">
        <f>+'St of Activites - GA Rev'!AG335-'St of Activities - GA Exp'!AW335</f>
        <v>0</v>
      </c>
      <c r="BC335" s="6">
        <f t="shared" si="34"/>
        <v>0</v>
      </c>
      <c r="BE335" s="6">
        <f>+'St of Net Assets - GA'!Y335-'St of Activities - GA Exp'!BC335</f>
        <v>0</v>
      </c>
    </row>
    <row r="336" spans="1:57">
      <c r="A336" s="11" t="s">
        <v>500</v>
      </c>
      <c r="B336" s="11"/>
      <c r="C336" s="11" t="s">
        <v>62</v>
      </c>
      <c r="E336" s="6">
        <v>8415035</v>
      </c>
      <c r="G336" s="6">
        <v>2985731</v>
      </c>
      <c r="I336" s="6">
        <v>725905</v>
      </c>
      <c r="K336" s="6">
        <v>0</v>
      </c>
      <c r="M336" s="6">
        <v>1227036</v>
      </c>
      <c r="O336" s="6">
        <v>927950</v>
      </c>
      <c r="Q336" s="6">
        <v>1302834</v>
      </c>
      <c r="S336" s="6">
        <v>20447</v>
      </c>
      <c r="U336" s="6">
        <v>2030182</v>
      </c>
      <c r="W336" s="6">
        <v>542224</v>
      </c>
      <c r="Y336" s="6">
        <v>449740</v>
      </c>
      <c r="AA336" s="6">
        <v>2074354</v>
      </c>
      <c r="AC336" s="6">
        <v>1428732</v>
      </c>
      <c r="AE336" s="6">
        <v>38773</v>
      </c>
      <c r="AG336" s="11" t="s">
        <v>500</v>
      </c>
      <c r="AH336" s="11"/>
      <c r="AI336" s="11" t="s">
        <v>62</v>
      </c>
      <c r="AJ336" s="11"/>
      <c r="AK336" s="6">
        <v>996504</v>
      </c>
      <c r="AM336" s="6">
        <v>1778</v>
      </c>
      <c r="AO336" s="6">
        <v>1126642</v>
      </c>
      <c r="AQ336" s="6">
        <v>4273</v>
      </c>
      <c r="AU336" s="6">
        <v>0</v>
      </c>
      <c r="AW336" s="6">
        <f t="shared" si="33"/>
        <v>24298140</v>
      </c>
      <c r="AY336" s="6">
        <f>+'St of Activites - GA Rev'!AG336-'St of Activities - GA Exp'!AW336</f>
        <v>-783568</v>
      </c>
      <c r="BA336" s="6">
        <v>16473784</v>
      </c>
      <c r="BC336" s="6">
        <f t="shared" si="34"/>
        <v>15690216</v>
      </c>
      <c r="BE336" s="6">
        <f>+'St of Net Assets - GA'!Y336-'St of Activities - GA Exp'!BC336</f>
        <v>0</v>
      </c>
    </row>
    <row r="337" spans="1:57">
      <c r="A337" s="11" t="s">
        <v>216</v>
      </c>
      <c r="B337" s="11"/>
      <c r="C337" s="11" t="s">
        <v>15</v>
      </c>
      <c r="E337" s="6">
        <v>6831902</v>
      </c>
      <c r="G337" s="6">
        <v>1697138</v>
      </c>
      <c r="I337" s="6">
        <v>327510</v>
      </c>
      <c r="K337" s="6">
        <v>0</v>
      </c>
      <c r="M337" s="6">
        <v>70120</v>
      </c>
      <c r="O337" s="6">
        <v>593422</v>
      </c>
      <c r="Q337" s="6">
        <v>476559</v>
      </c>
      <c r="S337" s="6">
        <v>75403</v>
      </c>
      <c r="U337" s="6">
        <v>1163688</v>
      </c>
      <c r="W337" s="6">
        <v>287766</v>
      </c>
      <c r="Y337" s="6">
        <v>0</v>
      </c>
      <c r="AA337" s="6">
        <v>1387740</v>
      </c>
      <c r="AC337" s="6">
        <v>734718</v>
      </c>
      <c r="AE337" s="6">
        <v>156597</v>
      </c>
      <c r="AG337" s="11" t="s">
        <v>216</v>
      </c>
      <c r="AH337" s="11"/>
      <c r="AI337" s="11" t="s">
        <v>15</v>
      </c>
      <c r="AJ337" s="11"/>
      <c r="AK337" s="6">
        <v>742061</v>
      </c>
      <c r="AM337" s="6">
        <v>122448</v>
      </c>
      <c r="AO337" s="6">
        <v>413524</v>
      </c>
      <c r="AQ337" s="6">
        <v>781727</v>
      </c>
      <c r="AU337" s="6">
        <v>0</v>
      </c>
      <c r="AW337" s="6">
        <f t="shared" si="33"/>
        <v>15862323</v>
      </c>
      <c r="AY337" s="6">
        <f>+'St of Activites - GA Rev'!AG337-'St of Activities - GA Exp'!AW337</f>
        <v>536830</v>
      </c>
      <c r="BA337" s="6">
        <v>27197684</v>
      </c>
      <c r="BC337" s="6">
        <f t="shared" si="34"/>
        <v>27734514</v>
      </c>
      <c r="BE337" s="6">
        <f>+'St of Net Assets - GA'!Y337-'St of Activities - GA Exp'!BC337</f>
        <v>0</v>
      </c>
    </row>
    <row r="338" spans="1:57">
      <c r="A338" s="11" t="s">
        <v>767</v>
      </c>
      <c r="B338" s="11"/>
      <c r="C338" s="11" t="s">
        <v>66</v>
      </c>
      <c r="E338" s="6">
        <v>24864067</v>
      </c>
      <c r="G338" s="6">
        <v>5715715</v>
      </c>
      <c r="I338" s="6">
        <v>617408</v>
      </c>
      <c r="K338" s="6">
        <v>0</v>
      </c>
      <c r="M338" s="6">
        <v>270308</v>
      </c>
      <c r="O338" s="6">
        <v>3639390</v>
      </c>
      <c r="Q338" s="6">
        <v>4437030</v>
      </c>
      <c r="S338" s="6">
        <v>163064</v>
      </c>
      <c r="U338" s="6">
        <v>3561476</v>
      </c>
      <c r="W338" s="6">
        <v>1214419</v>
      </c>
      <c r="Y338" s="6">
        <v>665989</v>
      </c>
      <c r="AA338" s="6">
        <v>4674745</v>
      </c>
      <c r="AC338" s="6">
        <v>2424530</v>
      </c>
      <c r="AE338" s="6">
        <v>327359</v>
      </c>
      <c r="AG338" s="11" t="s">
        <v>767</v>
      </c>
      <c r="AH338" s="11"/>
      <c r="AI338" s="11" t="s">
        <v>66</v>
      </c>
      <c r="AJ338" s="11"/>
      <c r="AK338" s="6">
        <v>2268262</v>
      </c>
      <c r="AM338" s="6">
        <v>98409</v>
      </c>
      <c r="AO338" s="6">
        <v>1102263</v>
      </c>
      <c r="AQ338" s="6">
        <v>5081554</v>
      </c>
      <c r="AU338" s="6">
        <v>0</v>
      </c>
      <c r="AW338" s="6">
        <f t="shared" si="33"/>
        <v>61125988</v>
      </c>
      <c r="AY338" s="6">
        <f>+'St of Activites - GA Rev'!AG338-'St of Activities - GA Exp'!AW338</f>
        <v>-1372397</v>
      </c>
      <c r="BA338" s="6">
        <v>12232013</v>
      </c>
      <c r="BC338" s="6">
        <f t="shared" si="34"/>
        <v>10859616</v>
      </c>
      <c r="BE338" s="6">
        <f>+'St of Net Assets - GA'!Y338-'St of Activities - GA Exp'!BC338</f>
        <v>0</v>
      </c>
    </row>
    <row r="339" spans="1:57">
      <c r="A339" s="11" t="s">
        <v>546</v>
      </c>
      <c r="B339" s="11"/>
      <c r="C339" s="11" t="s">
        <v>69</v>
      </c>
      <c r="E339" s="6">
        <v>49661226</v>
      </c>
      <c r="G339" s="6">
        <v>13432133</v>
      </c>
      <c r="I339" s="6">
        <v>30564</v>
      </c>
      <c r="K339" s="6">
        <v>0</v>
      </c>
      <c r="M339" s="6">
        <v>1096818</v>
      </c>
      <c r="O339" s="6">
        <v>6997992</v>
      </c>
      <c r="Q339" s="6">
        <v>7965043</v>
      </c>
      <c r="S339" s="6">
        <v>0</v>
      </c>
      <c r="U339" s="6">
        <f>58014+5473265</f>
        <v>5531279</v>
      </c>
      <c r="W339" s="6">
        <v>1788154</v>
      </c>
      <c r="Y339" s="6">
        <v>453915</v>
      </c>
      <c r="AA339" s="6">
        <v>12666272</v>
      </c>
      <c r="AC339" s="6">
        <v>6686897</v>
      </c>
      <c r="AE339" s="6">
        <v>3700107</v>
      </c>
      <c r="AG339" s="11" t="s">
        <v>546</v>
      </c>
      <c r="AH339" s="11"/>
      <c r="AI339" s="11" t="s">
        <v>69</v>
      </c>
      <c r="AJ339" s="11"/>
      <c r="AK339" s="6">
        <v>0</v>
      </c>
      <c r="AM339" s="6">
        <v>6449265</v>
      </c>
      <c r="AO339" s="6">
        <v>3052085</v>
      </c>
      <c r="AQ339" s="6">
        <v>6025236</v>
      </c>
      <c r="AU339" s="6">
        <v>0</v>
      </c>
      <c r="AW339" s="6">
        <f t="shared" si="33"/>
        <v>125536986</v>
      </c>
      <c r="AY339" s="6">
        <f>+'St of Activites - GA Rev'!AG339-'St of Activities - GA Exp'!AW339</f>
        <v>36244</v>
      </c>
      <c r="BA339" s="6">
        <v>95740120</v>
      </c>
      <c r="BC339" s="6">
        <f t="shared" si="34"/>
        <v>95776364</v>
      </c>
      <c r="BE339" s="6">
        <f>+'St of Net Assets - GA'!Y339-'St of Activities - GA Exp'!BC339</f>
        <v>0</v>
      </c>
    </row>
    <row r="340" spans="1:57">
      <c r="A340" s="11" t="s">
        <v>501</v>
      </c>
      <c r="B340" s="11"/>
      <c r="C340" s="11" t="s">
        <v>62</v>
      </c>
      <c r="E340" s="6">
        <v>19926416</v>
      </c>
      <c r="G340" s="6">
        <v>5215272</v>
      </c>
      <c r="I340" s="6">
        <v>2031532</v>
      </c>
      <c r="K340" s="6">
        <v>47229</v>
      </c>
      <c r="M340" s="6">
        <f>190974+834967</f>
        <v>1025941</v>
      </c>
      <c r="O340" s="6">
        <v>3042934</v>
      </c>
      <c r="Q340" s="6">
        <v>1641888</v>
      </c>
      <c r="S340" s="6">
        <v>187267</v>
      </c>
      <c r="U340" s="6">
        <v>3173475</v>
      </c>
      <c r="W340" s="6">
        <v>1082293</v>
      </c>
      <c r="Y340" s="6">
        <v>8716</v>
      </c>
      <c r="AA340" s="6">
        <v>4732163</v>
      </c>
      <c r="AC340" s="6">
        <v>1700045</v>
      </c>
      <c r="AE340" s="6">
        <v>636196</v>
      </c>
      <c r="AG340" s="11" t="s">
        <v>501</v>
      </c>
      <c r="AH340" s="11"/>
      <c r="AI340" s="11" t="s">
        <v>62</v>
      </c>
      <c r="AJ340" s="11"/>
      <c r="AK340" s="6">
        <v>1782846</v>
      </c>
      <c r="AM340" s="6">
        <f>229790+29260</f>
        <v>259050</v>
      </c>
      <c r="AO340" s="6">
        <v>1956794</v>
      </c>
      <c r="AQ340" s="6">
        <v>698603</v>
      </c>
      <c r="AU340" s="6">
        <v>0</v>
      </c>
      <c r="AW340" s="6">
        <f t="shared" si="33"/>
        <v>49148660</v>
      </c>
      <c r="AY340" s="6">
        <f>+'St of Activites - GA Rev'!AG340-'St of Activities - GA Exp'!AW340</f>
        <v>-2223447</v>
      </c>
      <c r="BA340" s="6">
        <v>38761424</v>
      </c>
      <c r="BC340" s="6">
        <f t="shared" si="34"/>
        <v>36537977</v>
      </c>
      <c r="BE340" s="6">
        <f>+'St of Net Assets - GA'!Y340-'St of Activities - GA Exp'!BC340</f>
        <v>0</v>
      </c>
    </row>
    <row r="341" spans="1:57">
      <c r="A341" s="11" t="s">
        <v>529</v>
      </c>
      <c r="B341" s="11"/>
      <c r="C341" s="11" t="s">
        <v>64</v>
      </c>
      <c r="E341" s="6">
        <v>4288899</v>
      </c>
      <c r="G341" s="6">
        <v>912991</v>
      </c>
      <c r="I341" s="6">
        <v>107868</v>
      </c>
      <c r="K341" s="6">
        <v>0</v>
      </c>
      <c r="M341" s="6">
        <v>171873</v>
      </c>
      <c r="O341" s="6">
        <v>451215</v>
      </c>
      <c r="Q341" s="6">
        <v>237207</v>
      </c>
      <c r="S341" s="6">
        <v>46874</v>
      </c>
      <c r="U341" s="6">
        <v>805986</v>
      </c>
      <c r="W341" s="6">
        <v>346908</v>
      </c>
      <c r="Y341" s="6">
        <v>4184</v>
      </c>
      <c r="AA341" s="6">
        <v>996548</v>
      </c>
      <c r="AC341" s="6">
        <v>529216</v>
      </c>
      <c r="AE341" s="6">
        <v>92755</v>
      </c>
      <c r="AG341" s="11" t="s">
        <v>529</v>
      </c>
      <c r="AH341" s="11"/>
      <c r="AI341" s="11" t="s">
        <v>64</v>
      </c>
      <c r="AJ341" s="11"/>
      <c r="AK341" s="6">
        <v>223115</v>
      </c>
      <c r="AM341" s="6">
        <v>67031</v>
      </c>
      <c r="AO341" s="6">
        <v>204143</v>
      </c>
      <c r="AQ341" s="6">
        <v>0</v>
      </c>
      <c r="AU341" s="6">
        <v>0</v>
      </c>
      <c r="AW341" s="6">
        <f t="shared" si="33"/>
        <v>9486813</v>
      </c>
      <c r="AY341" s="6">
        <f>+'St of Activites - GA Rev'!AG341-'St of Activities - GA Exp'!AW341</f>
        <v>-306938</v>
      </c>
      <c r="BA341" s="6">
        <v>3396719</v>
      </c>
      <c r="BC341" s="6">
        <f t="shared" si="34"/>
        <v>3089781</v>
      </c>
      <c r="BE341" s="6">
        <f>+'St of Net Assets - GA'!Y341-'St of Activities - GA Exp'!BC341</f>
        <v>0</v>
      </c>
    </row>
    <row r="342" spans="1:57" hidden="1">
      <c r="A342" s="10" t="s">
        <v>878</v>
      </c>
      <c r="B342" s="11"/>
      <c r="C342" s="11" t="s">
        <v>115</v>
      </c>
      <c r="E342" s="6">
        <v>0</v>
      </c>
      <c r="G342" s="6">
        <v>0</v>
      </c>
      <c r="I342" s="6">
        <v>0</v>
      </c>
      <c r="K342" s="6">
        <v>0</v>
      </c>
      <c r="M342" s="6">
        <v>0</v>
      </c>
      <c r="O342" s="6">
        <v>0</v>
      </c>
      <c r="Q342" s="6">
        <v>0</v>
      </c>
      <c r="S342" s="6">
        <v>0</v>
      </c>
      <c r="U342" s="6">
        <v>0</v>
      </c>
      <c r="W342" s="6">
        <v>0</v>
      </c>
      <c r="Y342" s="6">
        <v>0</v>
      </c>
      <c r="AA342" s="6">
        <v>0</v>
      </c>
      <c r="AC342" s="6">
        <v>0</v>
      </c>
      <c r="AE342" s="6">
        <v>0</v>
      </c>
      <c r="AG342" s="10" t="s">
        <v>878</v>
      </c>
      <c r="AH342" s="11"/>
      <c r="AI342" s="11" t="s">
        <v>115</v>
      </c>
      <c r="AJ342" s="11"/>
      <c r="AK342" s="6">
        <v>0</v>
      </c>
      <c r="AM342" s="6">
        <v>0</v>
      </c>
      <c r="AO342" s="6">
        <v>0</v>
      </c>
      <c r="AQ342" s="6">
        <v>0</v>
      </c>
      <c r="AU342" s="6">
        <v>0</v>
      </c>
      <c r="AW342" s="6">
        <f t="shared" si="33"/>
        <v>0</v>
      </c>
      <c r="AY342" s="6">
        <f>+'St of Activites - GA Rev'!AG342-'St of Activities - GA Exp'!AW342</f>
        <v>0</v>
      </c>
      <c r="BC342" s="6">
        <f t="shared" si="34"/>
        <v>0</v>
      </c>
      <c r="BE342" s="6">
        <f>+'St of Net Assets - GA'!Y342-'St of Activities - GA Exp'!BC342</f>
        <v>0</v>
      </c>
    </row>
    <row r="343" spans="1:57">
      <c r="A343" s="11" t="s">
        <v>723</v>
      </c>
      <c r="B343" s="11"/>
      <c r="C343" s="11" t="s">
        <v>20</v>
      </c>
      <c r="E343" s="6">
        <v>25315237</v>
      </c>
      <c r="G343" s="6">
        <v>11895598</v>
      </c>
      <c r="I343" s="6">
        <f>3310507+3941690</f>
        <v>7252197</v>
      </c>
      <c r="K343" s="6">
        <v>12711</v>
      </c>
      <c r="M343" s="6">
        <v>972</v>
      </c>
      <c r="O343" s="6">
        <v>5541347</v>
      </c>
      <c r="Q343" s="6">
        <v>6219825</v>
      </c>
      <c r="S343" s="6">
        <v>118001</v>
      </c>
      <c r="U343" s="6">
        <v>4030200</v>
      </c>
      <c r="W343" s="6">
        <v>1901196</v>
      </c>
      <c r="Y343" s="6">
        <v>287008</v>
      </c>
      <c r="AA343" s="6">
        <v>5854238</v>
      </c>
      <c r="AC343" s="6">
        <v>5663372</v>
      </c>
      <c r="AE343" s="6">
        <v>898375</v>
      </c>
      <c r="AG343" s="11" t="s">
        <v>723</v>
      </c>
      <c r="AH343" s="11"/>
      <c r="AI343" s="11" t="s">
        <v>20</v>
      </c>
      <c r="AJ343" s="11"/>
      <c r="AK343" s="6">
        <v>1219573</v>
      </c>
      <c r="AM343" s="6">
        <v>953703</v>
      </c>
      <c r="AO343" s="6">
        <v>1530675</v>
      </c>
      <c r="AQ343" s="6">
        <v>2012734</v>
      </c>
      <c r="AU343" s="6">
        <v>0</v>
      </c>
      <c r="AW343" s="6">
        <f t="shared" si="33"/>
        <v>80706962</v>
      </c>
      <c r="AY343" s="6">
        <f>+'St of Activites - GA Rev'!AG343-'St of Activities - GA Exp'!AW343</f>
        <v>7701377</v>
      </c>
      <c r="BA343" s="6">
        <v>46698959</v>
      </c>
      <c r="BC343" s="6">
        <f t="shared" si="34"/>
        <v>54400336</v>
      </c>
      <c r="BE343" s="6">
        <f>+'St of Net Assets - GA'!Y343-'St of Activities - GA Exp'!BC343</f>
        <v>0</v>
      </c>
    </row>
    <row r="344" spans="1:57">
      <c r="A344" s="11" t="s">
        <v>445</v>
      </c>
      <c r="B344" s="11"/>
      <c r="C344" s="11" t="s">
        <v>51</v>
      </c>
      <c r="E344" s="6">
        <v>10508434</v>
      </c>
      <c r="G344" s="6">
        <v>2569839</v>
      </c>
      <c r="I344" s="6">
        <v>159178</v>
      </c>
      <c r="K344" s="6">
        <v>0</v>
      </c>
      <c r="M344" s="6">
        <v>625263</v>
      </c>
      <c r="O344" s="6">
        <v>741204</v>
      </c>
      <c r="Q344" s="6">
        <v>2152462</v>
      </c>
      <c r="S344" s="6">
        <v>46446</v>
      </c>
      <c r="U344" s="6">
        <v>1850389</v>
      </c>
      <c r="W344" s="6">
        <v>444201</v>
      </c>
      <c r="Y344" s="6">
        <v>0</v>
      </c>
      <c r="AA344" s="6">
        <v>2252894</v>
      </c>
      <c r="AC344" s="6">
        <v>1109155</v>
      </c>
      <c r="AE344" s="6">
        <v>65774</v>
      </c>
      <c r="AG344" s="11" t="s">
        <v>445</v>
      </c>
      <c r="AH344" s="11"/>
      <c r="AI344" s="11" t="s">
        <v>51</v>
      </c>
      <c r="AJ344" s="11"/>
      <c r="AK344" s="6">
        <v>1019700</v>
      </c>
      <c r="AM344" s="6">
        <v>31032</v>
      </c>
      <c r="AO344" s="6">
        <v>792720</v>
      </c>
      <c r="AQ344" s="6">
        <v>212217</v>
      </c>
      <c r="AU344" s="6">
        <v>0</v>
      </c>
      <c r="AW344" s="6">
        <f t="shared" si="33"/>
        <v>24580908</v>
      </c>
      <c r="AY344" s="6">
        <f>+'St of Activites - GA Rev'!AG344-'St of Activities - GA Exp'!AW344</f>
        <v>-909904</v>
      </c>
      <c r="BA344" s="6">
        <v>32564697</v>
      </c>
      <c r="BC344" s="6">
        <f t="shared" si="34"/>
        <v>31654793</v>
      </c>
      <c r="BE344" s="6">
        <f>+'St of Net Assets - GA'!Y344-'St of Activities - GA Exp'!BC344</f>
        <v>0</v>
      </c>
    </row>
    <row r="345" spans="1:57" ht="12" hidden="1" customHeight="1">
      <c r="A345" s="11" t="s">
        <v>806</v>
      </c>
      <c r="B345" s="11"/>
      <c r="C345" s="11" t="s">
        <v>33</v>
      </c>
      <c r="E345" s="6">
        <v>0</v>
      </c>
      <c r="G345" s="6">
        <v>0</v>
      </c>
      <c r="I345" s="6">
        <v>0</v>
      </c>
      <c r="K345" s="6">
        <v>0</v>
      </c>
      <c r="M345" s="6">
        <v>0</v>
      </c>
      <c r="O345" s="6">
        <v>0</v>
      </c>
      <c r="Q345" s="6">
        <v>0</v>
      </c>
      <c r="S345" s="6">
        <v>0</v>
      </c>
      <c r="U345" s="6">
        <v>0</v>
      </c>
      <c r="W345" s="6">
        <v>0</v>
      </c>
      <c r="Y345" s="6">
        <v>0</v>
      </c>
      <c r="AA345" s="6">
        <v>0</v>
      </c>
      <c r="AC345" s="6">
        <v>0</v>
      </c>
      <c r="AE345" s="6">
        <v>0</v>
      </c>
      <c r="AG345" s="11" t="s">
        <v>806</v>
      </c>
      <c r="AH345" s="11"/>
      <c r="AI345" s="11" t="s">
        <v>33</v>
      </c>
      <c r="AJ345" s="11"/>
      <c r="AK345" s="6">
        <v>0</v>
      </c>
      <c r="AM345" s="6">
        <v>0</v>
      </c>
      <c r="AO345" s="6">
        <v>0</v>
      </c>
      <c r="AQ345" s="6">
        <v>0</v>
      </c>
      <c r="AU345" s="6">
        <v>0</v>
      </c>
      <c r="AW345" s="6">
        <f>SUM(E345:AV345)</f>
        <v>0</v>
      </c>
      <c r="AY345" s="6">
        <f>+'St of Activites - GA Rev'!AG345-'St of Activities - GA Exp'!AW345</f>
        <v>0</v>
      </c>
      <c r="BC345" s="6">
        <f>+AY345+BA345</f>
        <v>0</v>
      </c>
      <c r="BE345" s="6">
        <f>+'St of Net Assets - GA'!Y345-'St of Activities - GA Exp'!BC345</f>
        <v>0</v>
      </c>
    </row>
    <row r="346" spans="1:57" ht="12" customHeight="1">
      <c r="A346" s="11" t="s">
        <v>638</v>
      </c>
      <c r="B346" s="11"/>
      <c r="C346" s="11" t="s">
        <v>64</v>
      </c>
      <c r="E346" s="6">
        <v>3926007</v>
      </c>
      <c r="G346" s="6">
        <v>598973</v>
      </c>
      <c r="I346" s="6">
        <v>29091</v>
      </c>
      <c r="K346" s="6">
        <v>0</v>
      </c>
      <c r="M346" s="6">
        <v>0</v>
      </c>
      <c r="O346" s="6">
        <v>332336</v>
      </c>
      <c r="Q346" s="6">
        <v>10115</v>
      </c>
      <c r="S346" s="6">
        <v>25782</v>
      </c>
      <c r="U346" s="6">
        <v>453196</v>
      </c>
      <c r="W346" s="6">
        <v>186698</v>
      </c>
      <c r="Y346" s="6">
        <v>0</v>
      </c>
      <c r="AA346" s="6">
        <v>480659</v>
      </c>
      <c r="AC346" s="6">
        <v>128083</v>
      </c>
      <c r="AE346" s="6">
        <v>26699</v>
      </c>
      <c r="AG346" s="11" t="s">
        <v>638</v>
      </c>
      <c r="AH346" s="11"/>
      <c r="AI346" s="11" t="s">
        <v>64</v>
      </c>
      <c r="AJ346" s="11"/>
      <c r="AK346" s="6">
        <v>103276</v>
      </c>
      <c r="AM346" s="6">
        <v>3859</v>
      </c>
      <c r="AO346" s="6">
        <v>214368</v>
      </c>
      <c r="AQ346" s="6">
        <v>82102</v>
      </c>
      <c r="AU346" s="6">
        <v>0</v>
      </c>
      <c r="AW346" s="6">
        <f t="shared" ref="AW346:AW412" si="37">SUM(E346:AV346)</f>
        <v>6601244</v>
      </c>
      <c r="AY346" s="6">
        <f>+'St of Activites - GA Rev'!AG346-'St of Activities - GA Exp'!AW346</f>
        <v>672576</v>
      </c>
      <c r="BA346" s="6">
        <v>11819768</v>
      </c>
      <c r="BC346" s="6">
        <f t="shared" ref="BC346:BC412" si="38">+AY346+BA346</f>
        <v>12492344</v>
      </c>
      <c r="BE346" s="6">
        <f>+'St of Net Assets - GA'!Y346-'St of Activities - GA Exp'!BC346</f>
        <v>0</v>
      </c>
    </row>
    <row r="347" spans="1:57">
      <c r="A347" s="11" t="s">
        <v>768</v>
      </c>
      <c r="B347" s="11"/>
      <c r="C347" s="11" t="s">
        <v>228</v>
      </c>
      <c r="E347" s="6">
        <v>5118930</v>
      </c>
      <c r="G347" s="6">
        <v>1504681</v>
      </c>
      <c r="I347" s="6">
        <v>171875</v>
      </c>
      <c r="K347" s="6">
        <v>0</v>
      </c>
      <c r="M347" s="6">
        <v>0</v>
      </c>
      <c r="O347" s="6">
        <v>323276</v>
      </c>
      <c r="Q347" s="6">
        <v>368942</v>
      </c>
      <c r="S347" s="6">
        <v>38394</v>
      </c>
      <c r="U347" s="6">
        <v>866724</v>
      </c>
      <c r="W347" s="6">
        <v>328479</v>
      </c>
      <c r="Y347" s="6">
        <v>0</v>
      </c>
      <c r="AA347" s="6">
        <v>1556972</v>
      </c>
      <c r="AC347" s="6">
        <v>708648</v>
      </c>
      <c r="AE347" s="6">
        <v>113028</v>
      </c>
      <c r="AG347" s="11" t="s">
        <v>768</v>
      </c>
      <c r="AH347" s="11"/>
      <c r="AI347" s="11" t="s">
        <v>228</v>
      </c>
      <c r="AJ347" s="11"/>
      <c r="AK347" s="6">
        <v>263583</v>
      </c>
      <c r="AM347" s="6">
        <v>4963</v>
      </c>
      <c r="AO347" s="6">
        <v>463017</v>
      </c>
      <c r="AQ347" s="6">
        <v>370900</v>
      </c>
      <c r="AU347" s="6">
        <v>0</v>
      </c>
      <c r="AW347" s="6">
        <f t="shared" si="37"/>
        <v>12202412</v>
      </c>
      <c r="AY347" s="6">
        <f>+'St of Activites - GA Rev'!AG347-'St of Activities - GA Exp'!AW347</f>
        <v>-1631613</v>
      </c>
      <c r="BA347" s="6">
        <v>18099757</v>
      </c>
      <c r="BC347" s="6">
        <f t="shared" si="38"/>
        <v>16468144</v>
      </c>
      <c r="BE347" s="6">
        <f>+'St of Net Assets - GA'!Y347-'St of Activities - GA Exp'!BC347</f>
        <v>0</v>
      </c>
    </row>
    <row r="348" spans="1:57">
      <c r="A348" s="11" t="s">
        <v>418</v>
      </c>
      <c r="B348" s="11"/>
      <c r="C348" s="11" t="s">
        <v>47</v>
      </c>
      <c r="E348" s="6">
        <v>35413603</v>
      </c>
      <c r="G348" s="6">
        <v>8380276</v>
      </c>
      <c r="I348" s="6">
        <v>250523</v>
      </c>
      <c r="K348" s="6">
        <v>0</v>
      </c>
      <c r="M348" s="6">
        <v>72296</v>
      </c>
      <c r="O348" s="6">
        <v>3787425</v>
      </c>
      <c r="Q348" s="6">
        <v>4651623</v>
      </c>
      <c r="S348" s="6">
        <v>98691</v>
      </c>
      <c r="U348" s="6">
        <v>4877766</v>
      </c>
      <c r="W348" s="6">
        <v>1473565</v>
      </c>
      <c r="Y348" s="6">
        <v>448921</v>
      </c>
      <c r="AA348" s="6">
        <v>8387892</v>
      </c>
      <c r="AC348" s="6">
        <v>2629674</v>
      </c>
      <c r="AE348" s="6">
        <v>374829</v>
      </c>
      <c r="AG348" s="11" t="s">
        <v>418</v>
      </c>
      <c r="AH348" s="11"/>
      <c r="AI348" s="11" t="s">
        <v>47</v>
      </c>
      <c r="AJ348" s="11"/>
      <c r="AK348" s="6">
        <v>2366307</v>
      </c>
      <c r="AM348" s="6">
        <v>548528</v>
      </c>
      <c r="AO348" s="6">
        <v>1725802</v>
      </c>
      <c r="AQ348" s="6">
        <v>5056760</v>
      </c>
      <c r="AU348" s="6">
        <v>0</v>
      </c>
      <c r="AW348" s="6">
        <f t="shared" si="37"/>
        <v>80544481</v>
      </c>
      <c r="AY348" s="6">
        <f>+'St of Activites - GA Rev'!AG348-'St of Activities - GA Exp'!AW348</f>
        <v>6215927</v>
      </c>
      <c r="BA348" s="6">
        <v>35777837</v>
      </c>
      <c r="BC348" s="6">
        <f t="shared" si="38"/>
        <v>41993764</v>
      </c>
      <c r="BE348" s="6">
        <f>+'St of Net Assets - GA'!Y348-'St of Activities - GA Exp'!BC348</f>
        <v>0</v>
      </c>
    </row>
    <row r="349" spans="1:57">
      <c r="A349" s="11" t="s">
        <v>421</v>
      </c>
      <c r="B349" s="11"/>
      <c r="C349" s="11" t="s">
        <v>420</v>
      </c>
      <c r="E349" s="6">
        <v>7224139</v>
      </c>
      <c r="G349" s="6">
        <v>2769976</v>
      </c>
      <c r="I349" s="6">
        <v>1279346</v>
      </c>
      <c r="K349" s="6">
        <v>6350</v>
      </c>
      <c r="M349" s="6">
        <f>150217+1884830</f>
        <v>2035047</v>
      </c>
      <c r="O349" s="6">
        <v>789843</v>
      </c>
      <c r="Q349" s="6">
        <v>775943</v>
      </c>
      <c r="S349" s="6">
        <v>70303</v>
      </c>
      <c r="U349" s="6">
        <v>1751948</v>
      </c>
      <c r="W349" s="6">
        <v>482393</v>
      </c>
      <c r="Y349" s="6">
        <v>0</v>
      </c>
      <c r="AA349" s="6">
        <v>2025684</v>
      </c>
      <c r="AC349" s="6">
        <v>1547825</v>
      </c>
      <c r="AE349" s="6">
        <v>53721</v>
      </c>
      <c r="AG349" s="11" t="s">
        <v>421</v>
      </c>
      <c r="AH349" s="11"/>
      <c r="AI349" s="11" t="s">
        <v>420</v>
      </c>
      <c r="AJ349" s="11"/>
      <c r="AK349" s="6">
        <v>0</v>
      </c>
      <c r="AM349" s="6">
        <v>959930</v>
      </c>
      <c r="AO349" s="6">
        <v>391354</v>
      </c>
      <c r="AQ349" s="6">
        <v>263052</v>
      </c>
      <c r="AU349" s="6">
        <v>0</v>
      </c>
      <c r="AW349" s="6">
        <f t="shared" si="37"/>
        <v>22426854</v>
      </c>
      <c r="AY349" s="6">
        <f>+'St of Activites - GA Rev'!AG349-'St of Activities - GA Exp'!AW349</f>
        <v>-181030</v>
      </c>
      <c r="BA349" s="6">
        <v>25462137</v>
      </c>
      <c r="BC349" s="6">
        <f t="shared" si="38"/>
        <v>25281107</v>
      </c>
      <c r="BE349" s="6">
        <f>+'St of Net Assets - GA'!Y349-'St of Activities - GA Exp'!BC349</f>
        <v>0</v>
      </c>
    </row>
    <row r="350" spans="1:57">
      <c r="A350" s="11" t="s">
        <v>769</v>
      </c>
      <c r="B350" s="11"/>
      <c r="C350" s="11" t="s">
        <v>41</v>
      </c>
      <c r="E350" s="6">
        <v>42323557</v>
      </c>
      <c r="G350" s="6">
        <v>12866538</v>
      </c>
      <c r="I350" s="6">
        <v>1777229</v>
      </c>
      <c r="K350" s="6">
        <v>0</v>
      </c>
      <c r="M350" s="6">
        <v>24699</v>
      </c>
      <c r="O350" s="6">
        <v>6823981</v>
      </c>
      <c r="Q350" s="6">
        <v>6845936</v>
      </c>
      <c r="S350" s="6">
        <v>532055</v>
      </c>
      <c r="U350" s="6">
        <v>5640548</v>
      </c>
      <c r="W350" s="6">
        <v>2401316</v>
      </c>
      <c r="Y350" s="6">
        <v>580681</v>
      </c>
      <c r="AA350" s="6">
        <v>6103554</v>
      </c>
      <c r="AC350" s="6">
        <v>6274223</v>
      </c>
      <c r="AE350" s="6">
        <v>1956913</v>
      </c>
      <c r="AG350" s="11" t="s">
        <v>769</v>
      </c>
      <c r="AH350" s="11"/>
      <c r="AI350" s="11" t="s">
        <v>41</v>
      </c>
      <c r="AJ350" s="11"/>
      <c r="AK350" s="6">
        <v>2666083</v>
      </c>
      <c r="AM350" s="6">
        <v>1508012</v>
      </c>
      <c r="AO350" s="6">
        <v>1989896</v>
      </c>
      <c r="AQ350" s="6">
        <v>115597</v>
      </c>
      <c r="AU350" s="6">
        <v>0</v>
      </c>
      <c r="AW350" s="6">
        <f t="shared" si="37"/>
        <v>100430818</v>
      </c>
      <c r="AY350" s="6">
        <f>+'St of Activites - GA Rev'!AG350-'St of Activities - GA Exp'!AW350</f>
        <v>2786469</v>
      </c>
      <c r="BA350" s="6">
        <v>74121015</v>
      </c>
      <c r="BC350" s="6">
        <f t="shared" si="38"/>
        <v>76907484</v>
      </c>
      <c r="BE350" s="6">
        <f>+'St of Net Assets - GA'!Y350-'St of Activities - GA Exp'!BC350</f>
        <v>0</v>
      </c>
    </row>
    <row r="351" spans="1:57">
      <c r="A351" s="11" t="s">
        <v>424</v>
      </c>
      <c r="B351" s="11"/>
      <c r="C351" s="11" t="s">
        <v>48</v>
      </c>
      <c r="E351" s="6">
        <v>5749732</v>
      </c>
      <c r="G351" s="6">
        <v>978076</v>
      </c>
      <c r="I351" s="6">
        <v>49790</v>
      </c>
      <c r="K351" s="6">
        <v>0</v>
      </c>
      <c r="M351" s="6">
        <v>750045</v>
      </c>
      <c r="O351" s="6">
        <v>682415</v>
      </c>
      <c r="Q351" s="6">
        <v>392665</v>
      </c>
      <c r="S351" s="6">
        <v>22439</v>
      </c>
      <c r="U351" s="6">
        <v>812579</v>
      </c>
      <c r="W351" s="6">
        <v>401990</v>
      </c>
      <c r="Y351" s="6">
        <v>60435</v>
      </c>
      <c r="AA351" s="6">
        <v>1341685</v>
      </c>
      <c r="AC351" s="6">
        <v>868085</v>
      </c>
      <c r="AE351" s="6">
        <v>234276</v>
      </c>
      <c r="AG351" s="11" t="s">
        <v>424</v>
      </c>
      <c r="AH351" s="11"/>
      <c r="AI351" s="11" t="s">
        <v>48</v>
      </c>
      <c r="AJ351" s="11"/>
      <c r="AK351" s="6">
        <v>457555</v>
      </c>
      <c r="AM351" s="6">
        <v>31832</v>
      </c>
      <c r="AO351" s="6">
        <v>479779</v>
      </c>
      <c r="AQ351" s="6">
        <v>1164477</v>
      </c>
      <c r="AU351" s="6">
        <v>0</v>
      </c>
      <c r="AW351" s="6">
        <f t="shared" si="37"/>
        <v>14477855</v>
      </c>
      <c r="AY351" s="6">
        <f>+'St of Activites - GA Rev'!AG351-'St of Activities - GA Exp'!AW351</f>
        <v>-250211</v>
      </c>
      <c r="BA351" s="6">
        <v>15876789</v>
      </c>
      <c r="BC351" s="6">
        <f t="shared" si="38"/>
        <v>15626578</v>
      </c>
      <c r="BE351" s="6">
        <f>+'St of Net Assets - GA'!Y351-'St of Activities - GA Exp'!BC351</f>
        <v>0</v>
      </c>
    </row>
    <row r="352" spans="1:57">
      <c r="A352" s="11" t="s">
        <v>297</v>
      </c>
      <c r="B352" s="11"/>
      <c r="C352" s="11" t="s">
        <v>26</v>
      </c>
      <c r="E352" s="6">
        <v>9874585</v>
      </c>
      <c r="G352" s="6">
        <v>2825381</v>
      </c>
      <c r="I352" s="6">
        <v>218328</v>
      </c>
      <c r="K352" s="6">
        <v>0</v>
      </c>
      <c r="M352" s="6">
        <v>1926269</v>
      </c>
      <c r="O352" s="6">
        <v>1429245</v>
      </c>
      <c r="Q352" s="6">
        <v>1608323</v>
      </c>
      <c r="S352" s="6">
        <v>0</v>
      </c>
      <c r="U352" s="6">
        <f>52308+2468781</f>
        <v>2521089</v>
      </c>
      <c r="W352" s="6">
        <v>764052</v>
      </c>
      <c r="Y352" s="6">
        <v>107877</v>
      </c>
      <c r="AA352" s="6">
        <v>2298270</v>
      </c>
      <c r="AC352" s="6">
        <v>2287259</v>
      </c>
      <c r="AE352" s="6">
        <v>445263</v>
      </c>
      <c r="AG352" s="11" t="s">
        <v>297</v>
      </c>
      <c r="AH352" s="11"/>
      <c r="AI352" s="11" t="s">
        <v>26</v>
      </c>
      <c r="AJ352" s="11"/>
      <c r="AK352" s="6">
        <v>0</v>
      </c>
      <c r="AM352" s="6">
        <v>1124685</v>
      </c>
      <c r="AO352" s="6">
        <v>525243</v>
      </c>
      <c r="AQ352" s="6">
        <v>1299192</v>
      </c>
      <c r="AU352" s="6">
        <v>0</v>
      </c>
      <c r="AW352" s="6">
        <f t="shared" si="37"/>
        <v>29255061</v>
      </c>
      <c r="AY352" s="6">
        <f>+'St of Activites - GA Rev'!AG352-'St of Activities - GA Exp'!AW352</f>
        <v>1286357</v>
      </c>
      <c r="BA352" s="6">
        <v>40599669</v>
      </c>
      <c r="BC352" s="6">
        <f t="shared" si="38"/>
        <v>41886026</v>
      </c>
      <c r="BE352" s="6">
        <f>+'St of Net Assets - GA'!Y352-'St of Activities - GA Exp'!BC352</f>
        <v>0</v>
      </c>
    </row>
    <row r="353" spans="1:57">
      <c r="A353" s="11" t="s">
        <v>432</v>
      </c>
      <c r="B353" s="11"/>
      <c r="C353" s="11" t="s">
        <v>50</v>
      </c>
      <c r="E353" s="6">
        <v>25878871</v>
      </c>
      <c r="G353" s="6">
        <v>9022513</v>
      </c>
      <c r="I353" s="6">
        <v>527538</v>
      </c>
      <c r="K353" s="6">
        <v>0</v>
      </c>
      <c r="M353" s="6">
        <f>33248+468841</f>
        <v>502089</v>
      </c>
      <c r="O353" s="6">
        <v>3945547</v>
      </c>
      <c r="Q353" s="6">
        <v>1757766</v>
      </c>
      <c r="S353" s="6">
        <v>34933</v>
      </c>
      <c r="U353" s="6">
        <v>3241431</v>
      </c>
      <c r="W353" s="6">
        <v>957776</v>
      </c>
      <c r="Y353" s="6">
        <v>317073</v>
      </c>
      <c r="AA353" s="6">
        <v>4672493</v>
      </c>
      <c r="AC353" s="6">
        <v>3197730</v>
      </c>
      <c r="AE353" s="6">
        <v>582056</v>
      </c>
      <c r="AG353" s="11" t="s">
        <v>432</v>
      </c>
      <c r="AH353" s="11"/>
      <c r="AI353" s="11" t="s">
        <v>50</v>
      </c>
      <c r="AJ353" s="11"/>
      <c r="AK353" s="6">
        <v>2368078</v>
      </c>
      <c r="AM353" s="6">
        <f>713666+283665</f>
        <v>997331</v>
      </c>
      <c r="AO353" s="6">
        <v>939140</v>
      </c>
      <c r="AQ353" s="6">
        <v>3473862</v>
      </c>
      <c r="AU353" s="6">
        <v>0</v>
      </c>
      <c r="AW353" s="6">
        <f t="shared" si="37"/>
        <v>62416227</v>
      </c>
      <c r="AY353" s="6">
        <f>+'St of Activites - GA Rev'!AG353-'St of Activities - GA Exp'!AW353</f>
        <v>2093029</v>
      </c>
      <c r="BA353" s="6">
        <v>20480908</v>
      </c>
      <c r="BC353" s="6">
        <f t="shared" si="38"/>
        <v>22573937</v>
      </c>
      <c r="BE353" s="6">
        <f>+'St of Net Assets - GA'!Y353-'St of Activities - GA Exp'!BC353</f>
        <v>0</v>
      </c>
    </row>
    <row r="354" spans="1:57" hidden="1">
      <c r="A354" s="11" t="s">
        <v>812</v>
      </c>
      <c r="B354" s="11"/>
      <c r="C354" s="11" t="s">
        <v>53</v>
      </c>
      <c r="E354" s="6">
        <v>0</v>
      </c>
      <c r="G354" s="6">
        <v>0</v>
      </c>
      <c r="I354" s="6">
        <v>0</v>
      </c>
      <c r="K354" s="6">
        <v>0</v>
      </c>
      <c r="M354" s="6">
        <v>0</v>
      </c>
      <c r="O354" s="6">
        <v>0</v>
      </c>
      <c r="Q354" s="6">
        <v>0</v>
      </c>
      <c r="S354" s="6">
        <v>0</v>
      </c>
      <c r="U354" s="6">
        <v>0</v>
      </c>
      <c r="W354" s="6">
        <v>0</v>
      </c>
      <c r="Y354" s="6">
        <v>0</v>
      </c>
      <c r="AA354" s="6">
        <v>0</v>
      </c>
      <c r="AC354" s="6">
        <v>0</v>
      </c>
      <c r="AE354" s="6">
        <v>0</v>
      </c>
      <c r="AG354" s="11" t="s">
        <v>812</v>
      </c>
      <c r="AH354" s="11"/>
      <c r="AI354" s="11" t="s">
        <v>53</v>
      </c>
      <c r="AJ354" s="11"/>
      <c r="AK354" s="6">
        <v>0</v>
      </c>
      <c r="AM354" s="6">
        <v>0</v>
      </c>
      <c r="AO354" s="6">
        <v>0</v>
      </c>
      <c r="AQ354" s="6">
        <v>0</v>
      </c>
      <c r="AU354" s="6">
        <v>0</v>
      </c>
      <c r="AW354" s="6">
        <f t="shared" ref="AW354" si="39">SUM(E354:AV354)</f>
        <v>0</v>
      </c>
      <c r="AY354" s="6">
        <f>+'St of Activites - GA Rev'!AG354-'St of Activities - GA Exp'!AW354</f>
        <v>0</v>
      </c>
      <c r="BC354" s="6">
        <f t="shared" si="38"/>
        <v>0</v>
      </c>
      <c r="BE354" s="6">
        <f>+'St of Net Assets - GA'!Y354-'St of Activities - GA Exp'!BC354</f>
        <v>0</v>
      </c>
    </row>
    <row r="355" spans="1:57">
      <c r="A355" s="11" t="s">
        <v>225</v>
      </c>
      <c r="B355" s="11"/>
      <c r="C355" s="11" t="s">
        <v>221</v>
      </c>
      <c r="E355" s="6">
        <v>27750077</v>
      </c>
      <c r="G355" s="6">
        <v>7981336</v>
      </c>
      <c r="I355" s="6">
        <v>292</v>
      </c>
      <c r="K355" s="6">
        <v>404140</v>
      </c>
      <c r="M355" s="6">
        <v>10793269</v>
      </c>
      <c r="O355" s="6">
        <v>4655026</v>
      </c>
      <c r="Q355" s="6">
        <v>4939816</v>
      </c>
      <c r="S355" s="6">
        <v>56405</v>
      </c>
      <c r="U355" s="6">
        <v>4530426</v>
      </c>
      <c r="W355" s="6">
        <v>723250</v>
      </c>
      <c r="Y355" s="6">
        <v>441139</v>
      </c>
      <c r="AA355" s="6">
        <v>7792863</v>
      </c>
      <c r="AC355" s="6">
        <v>3758699</v>
      </c>
      <c r="AE355" s="6">
        <v>3397181</v>
      </c>
      <c r="AG355" s="11" t="s">
        <v>225</v>
      </c>
      <c r="AH355" s="11"/>
      <c r="AI355" s="11" t="s">
        <v>221</v>
      </c>
      <c r="AJ355" s="11"/>
      <c r="AK355" s="6">
        <v>3527672</v>
      </c>
      <c r="AM355" s="6">
        <f>570170+271599</f>
        <v>841769</v>
      </c>
      <c r="AO355" s="6">
        <v>1025636</v>
      </c>
      <c r="AQ355" s="6">
        <v>2703229</v>
      </c>
      <c r="AU355" s="6">
        <v>0</v>
      </c>
      <c r="AW355" s="6">
        <f t="shared" si="37"/>
        <v>85322225</v>
      </c>
      <c r="AY355" s="6">
        <f>+'St of Activites - GA Rev'!AG355-'St of Activities - GA Exp'!AW355</f>
        <v>-2753627</v>
      </c>
      <c r="BA355" s="6">
        <v>11959594</v>
      </c>
      <c r="BC355" s="6">
        <f t="shared" si="38"/>
        <v>9205967</v>
      </c>
      <c r="BE355" s="6">
        <f>+'St of Net Assets - GA'!Y355-'St of Activities - GA Exp'!BC355</f>
        <v>0</v>
      </c>
    </row>
    <row r="356" spans="1:57">
      <c r="A356" s="11" t="s">
        <v>387</v>
      </c>
      <c r="B356" s="11"/>
      <c r="C356" s="11" t="s">
        <v>44</v>
      </c>
      <c r="E356" s="6">
        <v>15904869</v>
      </c>
      <c r="G356" s="6">
        <v>2949357</v>
      </c>
      <c r="I356" s="6">
        <v>140019</v>
      </c>
      <c r="K356" s="6">
        <v>0</v>
      </c>
      <c r="M356" s="6">
        <v>126540</v>
      </c>
      <c r="O356" s="6">
        <v>1729112</v>
      </c>
      <c r="Q356" s="6">
        <v>463355</v>
      </c>
      <c r="S356" s="6">
        <v>319619</v>
      </c>
      <c r="U356" s="6">
        <v>2725147</v>
      </c>
      <c r="W356" s="6">
        <v>722976</v>
      </c>
      <c r="Y356" s="6">
        <v>364161</v>
      </c>
      <c r="AA356" s="6">
        <v>2428318</v>
      </c>
      <c r="AC356" s="6">
        <v>1520000</v>
      </c>
      <c r="AE356" s="6">
        <v>0</v>
      </c>
      <c r="AG356" s="11" t="s">
        <v>387</v>
      </c>
      <c r="AH356" s="11"/>
      <c r="AI356" s="11" t="s">
        <v>44</v>
      </c>
      <c r="AJ356" s="11"/>
      <c r="AK356" s="6">
        <v>0</v>
      </c>
      <c r="AM356" s="6">
        <v>4326</v>
      </c>
      <c r="AO356" s="6">
        <v>747281</v>
      </c>
      <c r="AQ356" s="6">
        <v>1325097</v>
      </c>
      <c r="AU356" s="6">
        <v>0</v>
      </c>
      <c r="AW356" s="6">
        <f t="shared" si="37"/>
        <v>31470177</v>
      </c>
      <c r="AY356" s="6">
        <f>+'St of Activites - GA Rev'!AG356-'St of Activities - GA Exp'!AW356</f>
        <v>7908774</v>
      </c>
      <c r="BA356" s="6">
        <v>19616812</v>
      </c>
      <c r="BC356" s="6">
        <f t="shared" si="38"/>
        <v>27525586</v>
      </c>
      <c r="BE356" s="6">
        <f>+'St of Net Assets - GA'!Y356-'St of Activities - GA Exp'!BC356</f>
        <v>0</v>
      </c>
    </row>
    <row r="357" spans="1:57">
      <c r="A357" s="11" t="s">
        <v>770</v>
      </c>
      <c r="B357" s="11"/>
      <c r="C357" s="11" t="s">
        <v>113</v>
      </c>
      <c r="E357" s="6">
        <v>29005728</v>
      </c>
      <c r="G357" s="6">
        <v>7343791</v>
      </c>
      <c r="I357" s="6">
        <v>1133437</v>
      </c>
      <c r="K357" s="6">
        <v>-31998</v>
      </c>
      <c r="M357" s="6">
        <v>263929</v>
      </c>
      <c r="O357" s="6">
        <v>2945913</v>
      </c>
      <c r="Q357" s="6">
        <v>3693841</v>
      </c>
      <c r="S357" s="6">
        <v>0</v>
      </c>
      <c r="U357" s="6">
        <f>72481+3124345</f>
        <v>3196826</v>
      </c>
      <c r="W357" s="6">
        <v>1393394</v>
      </c>
      <c r="Y357" s="6">
        <v>379463</v>
      </c>
      <c r="AA357" s="6">
        <v>4755625</v>
      </c>
      <c r="AC357" s="6">
        <v>5394992</v>
      </c>
      <c r="AE357" s="6">
        <v>1026941</v>
      </c>
      <c r="AG357" s="11" t="s">
        <v>770</v>
      </c>
      <c r="AH357" s="11"/>
      <c r="AI357" s="11" t="s">
        <v>113</v>
      </c>
      <c r="AJ357" s="11"/>
      <c r="AK357" s="6">
        <v>0</v>
      </c>
      <c r="AM357" s="6">
        <v>4587700</v>
      </c>
      <c r="AO357" s="6">
        <v>1156531</v>
      </c>
      <c r="AQ357" s="6">
        <v>3297751</v>
      </c>
      <c r="AU357" s="6">
        <v>0</v>
      </c>
      <c r="AW357" s="6">
        <f t="shared" si="37"/>
        <v>69543864</v>
      </c>
      <c r="AY357" s="6">
        <f>+'St of Activites - GA Rev'!AG357-'St of Activities - GA Exp'!AW357</f>
        <v>-210191</v>
      </c>
      <c r="BA357" s="6">
        <v>26540058</v>
      </c>
      <c r="BC357" s="6">
        <f t="shared" si="38"/>
        <v>26329867</v>
      </c>
      <c r="BE357" s="6">
        <f>+'St of Net Assets - GA'!Y357-'St of Activities - GA Exp'!BC357</f>
        <v>0</v>
      </c>
    </row>
    <row r="358" spans="1:57" ht="12" hidden="1" customHeight="1">
      <c r="A358" s="11" t="s">
        <v>613</v>
      </c>
      <c r="B358" s="11"/>
      <c r="C358" s="11" t="s">
        <v>552</v>
      </c>
      <c r="AG358" s="11" t="s">
        <v>613</v>
      </c>
      <c r="AH358" s="11"/>
      <c r="AI358" s="11" t="s">
        <v>552</v>
      </c>
      <c r="AJ358" s="11"/>
      <c r="AW358" s="6">
        <f t="shared" si="37"/>
        <v>0</v>
      </c>
      <c r="AY358" s="6">
        <f>+'St of Activites - GA Rev'!AG358-'St of Activities - GA Exp'!AW358</f>
        <v>0</v>
      </c>
      <c r="BC358" s="6">
        <f t="shared" si="38"/>
        <v>0</v>
      </c>
      <c r="BE358" s="6">
        <f>+'St of Net Assets - GA'!Y358-'St of Activities - GA Exp'!BC358</f>
        <v>0</v>
      </c>
    </row>
    <row r="359" spans="1:57" ht="12" hidden="1" customHeight="1">
      <c r="A359" s="11" t="s">
        <v>892</v>
      </c>
      <c r="B359" s="11"/>
      <c r="C359" s="11" t="s">
        <v>467</v>
      </c>
      <c r="AG359" s="11" t="s">
        <v>892</v>
      </c>
      <c r="AH359" s="11"/>
      <c r="AI359" s="11" t="s">
        <v>467</v>
      </c>
      <c r="AJ359" s="11"/>
      <c r="AW359" s="6">
        <f t="shared" si="37"/>
        <v>0</v>
      </c>
      <c r="AY359" s="6">
        <f>+'St of Activites - GA Rev'!AG359-'St of Activities - GA Exp'!AW359</f>
        <v>0</v>
      </c>
      <c r="BC359" s="6">
        <f t="shared" si="38"/>
        <v>0</v>
      </c>
      <c r="BE359" s="6">
        <f>+'St of Net Assets - GA'!Y359-'St of Activities - GA Exp'!BC359</f>
        <v>0</v>
      </c>
    </row>
    <row r="360" spans="1:57" hidden="1">
      <c r="A360" s="11" t="s">
        <v>807</v>
      </c>
      <c r="B360" s="11"/>
      <c r="C360" s="11" t="s">
        <v>48</v>
      </c>
      <c r="AG360" s="11" t="s">
        <v>807</v>
      </c>
      <c r="AH360" s="11"/>
      <c r="AI360" s="11" t="s">
        <v>48</v>
      </c>
      <c r="AJ360" s="11"/>
      <c r="AW360" s="6">
        <f t="shared" si="37"/>
        <v>0</v>
      </c>
      <c r="AY360" s="6">
        <f>+'St of Activites - GA Rev'!AG360-'St of Activities - GA Exp'!AW360</f>
        <v>0</v>
      </c>
      <c r="BC360" s="6">
        <f t="shared" si="38"/>
        <v>0</v>
      </c>
      <c r="BE360" s="6">
        <f>+'St of Net Assets - GA'!Y360-'St of Activities - GA Exp'!BC360</f>
        <v>0</v>
      </c>
    </row>
    <row r="361" spans="1:57">
      <c r="A361" s="11" t="s">
        <v>502</v>
      </c>
      <c r="B361" s="11"/>
      <c r="C361" s="11" t="s">
        <v>62</v>
      </c>
      <c r="E361" s="6">
        <v>9299083</v>
      </c>
      <c r="G361" s="6">
        <v>2538160</v>
      </c>
      <c r="I361" s="6">
        <v>7399</v>
      </c>
      <c r="K361" s="6">
        <v>5283</v>
      </c>
      <c r="M361" s="6">
        <v>0</v>
      </c>
      <c r="O361" s="6">
        <v>767703</v>
      </c>
      <c r="Q361" s="6">
        <v>976551</v>
      </c>
      <c r="S361" s="6">
        <v>125734</v>
      </c>
      <c r="U361" s="6">
        <v>1586778</v>
      </c>
      <c r="W361" s="6">
        <v>474277</v>
      </c>
      <c r="Y361" s="6">
        <v>115919</v>
      </c>
      <c r="AA361" s="6">
        <v>1317564</v>
      </c>
      <c r="AC361" s="6">
        <v>1061947</v>
      </c>
      <c r="AE361" s="6">
        <v>12468</v>
      </c>
      <c r="AG361" s="11" t="s">
        <v>502</v>
      </c>
      <c r="AH361" s="11"/>
      <c r="AI361" s="11" t="s">
        <v>62</v>
      </c>
      <c r="AJ361" s="11"/>
      <c r="AK361" s="6">
        <v>819363</v>
      </c>
      <c r="AM361" s="6">
        <v>25542</v>
      </c>
      <c r="AO361" s="6">
        <v>568041</v>
      </c>
      <c r="AQ361" s="6">
        <f>723108+49044</f>
        <v>772152</v>
      </c>
      <c r="AU361" s="6">
        <v>0</v>
      </c>
      <c r="AW361" s="6">
        <f t="shared" si="37"/>
        <v>20473964</v>
      </c>
      <c r="AY361" s="6">
        <f>+'St of Activites - GA Rev'!AG361-'St of Activities - GA Exp'!AW361</f>
        <v>-972287</v>
      </c>
      <c r="BA361" s="6">
        <v>27809836</v>
      </c>
      <c r="BC361" s="6">
        <f t="shared" si="38"/>
        <v>26837549</v>
      </c>
      <c r="BE361" s="6">
        <f>+'St of Net Assets - GA'!Y361-'St of Activities - GA Exp'!BC361</f>
        <v>0</v>
      </c>
    </row>
    <row r="362" spans="1:57">
      <c r="A362" s="11" t="s">
        <v>482</v>
      </c>
      <c r="B362" s="11"/>
      <c r="C362" s="11" t="s">
        <v>59</v>
      </c>
      <c r="E362" s="6">
        <v>8061115</v>
      </c>
      <c r="G362" s="6">
        <v>1531229</v>
      </c>
      <c r="I362" s="6">
        <v>108086</v>
      </c>
      <c r="K362" s="6">
        <v>0</v>
      </c>
      <c r="M362" s="6">
        <v>0</v>
      </c>
      <c r="O362" s="6">
        <v>544434</v>
      </c>
      <c r="Q362" s="6">
        <v>734248</v>
      </c>
      <c r="S362" s="6">
        <v>53803</v>
      </c>
      <c r="U362" s="6">
        <v>969448</v>
      </c>
      <c r="W362" s="6">
        <v>290262</v>
      </c>
      <c r="Y362" s="6">
        <v>0</v>
      </c>
      <c r="AA362" s="6">
        <v>1463309</v>
      </c>
      <c r="AC362" s="6">
        <v>1129550</v>
      </c>
      <c r="AE362" s="6">
        <v>6666</v>
      </c>
      <c r="AG362" s="11" t="s">
        <v>482</v>
      </c>
      <c r="AH362" s="11"/>
      <c r="AI362" s="11" t="s">
        <v>59</v>
      </c>
      <c r="AJ362" s="11"/>
      <c r="AK362" s="6">
        <v>0</v>
      </c>
      <c r="AM362" s="6">
        <v>678566</v>
      </c>
      <c r="AO362" s="6">
        <v>421607</v>
      </c>
      <c r="AQ362" s="6">
        <v>117545</v>
      </c>
      <c r="AU362" s="6">
        <v>0</v>
      </c>
      <c r="AW362" s="6">
        <f t="shared" ref="AW362:AW406" si="40">SUM(E362:AV362)</f>
        <v>16109868</v>
      </c>
      <c r="AY362" s="6">
        <f>+'St of Activites - GA Rev'!AG362-'St of Activities - GA Exp'!AW362</f>
        <v>-224390</v>
      </c>
      <c r="BA362" s="6">
        <v>24702127</v>
      </c>
      <c r="BC362" s="6">
        <f t="shared" si="38"/>
        <v>24477737</v>
      </c>
      <c r="BE362" s="6">
        <f>+'St of Net Assets - GA'!Y362-'St of Activities - GA Exp'!BC362</f>
        <v>0</v>
      </c>
    </row>
    <row r="363" spans="1:57">
      <c r="A363" s="11" t="s">
        <v>213</v>
      </c>
      <c r="B363" s="11"/>
      <c r="C363" s="11" t="s">
        <v>14</v>
      </c>
      <c r="E363" s="6">
        <v>4242061</v>
      </c>
      <c r="G363" s="6">
        <v>706508</v>
      </c>
      <c r="I363" s="6">
        <v>240713</v>
      </c>
      <c r="K363" s="6">
        <v>0</v>
      </c>
      <c r="M363" s="6">
        <v>0</v>
      </c>
      <c r="O363" s="6">
        <v>700899</v>
      </c>
      <c r="Q363" s="6">
        <v>332766</v>
      </c>
      <c r="S363" s="6">
        <v>33647</v>
      </c>
      <c r="U363" s="6">
        <v>544996</v>
      </c>
      <c r="W363" s="6">
        <v>255959</v>
      </c>
      <c r="Y363" s="6">
        <v>0</v>
      </c>
      <c r="AA363" s="6">
        <v>920284</v>
      </c>
      <c r="AC363" s="6">
        <v>266548</v>
      </c>
      <c r="AE363" s="6">
        <v>65132</v>
      </c>
      <c r="AG363" s="11" t="s">
        <v>213</v>
      </c>
      <c r="AH363" s="11"/>
      <c r="AI363" s="11" t="s">
        <v>14</v>
      </c>
      <c r="AJ363" s="11"/>
      <c r="AK363" s="6">
        <v>0</v>
      </c>
      <c r="AM363" s="6">
        <v>394426</v>
      </c>
      <c r="AO363" s="6">
        <v>392912</v>
      </c>
      <c r="AQ363" s="6">
        <v>623626</v>
      </c>
      <c r="AU363" s="6">
        <v>0</v>
      </c>
      <c r="AW363" s="6">
        <f t="shared" si="40"/>
        <v>9720477</v>
      </c>
      <c r="AY363" s="6">
        <f>+'St of Activites - GA Rev'!AG363-'St of Activities - GA Exp'!AW363</f>
        <v>31015</v>
      </c>
      <c r="BA363" s="6">
        <v>5051393</v>
      </c>
      <c r="BC363" s="6">
        <f t="shared" si="38"/>
        <v>5082408</v>
      </c>
      <c r="BE363" s="6">
        <f>+'St of Net Assets - GA'!Y363-'St of Activities - GA Exp'!BC363</f>
        <v>0</v>
      </c>
    </row>
    <row r="364" spans="1:57" ht="12" hidden="1" customHeight="1">
      <c r="A364" s="11" t="s">
        <v>640</v>
      </c>
      <c r="B364" s="11"/>
      <c r="C364" s="11" t="s">
        <v>21</v>
      </c>
      <c r="E364" s="6">
        <v>0</v>
      </c>
      <c r="G364" s="6">
        <v>0</v>
      </c>
      <c r="I364" s="6">
        <v>0</v>
      </c>
      <c r="K364" s="6">
        <v>0</v>
      </c>
      <c r="M364" s="6">
        <v>0</v>
      </c>
      <c r="O364" s="6">
        <v>0</v>
      </c>
      <c r="Q364" s="6">
        <v>0</v>
      </c>
      <c r="S364" s="6">
        <v>0</v>
      </c>
      <c r="U364" s="6">
        <v>0</v>
      </c>
      <c r="W364" s="6">
        <v>0</v>
      </c>
      <c r="Y364" s="6">
        <v>0</v>
      </c>
      <c r="AA364" s="6">
        <v>0</v>
      </c>
      <c r="AC364" s="6">
        <v>0</v>
      </c>
      <c r="AE364" s="6">
        <v>0</v>
      </c>
      <c r="AG364" s="11" t="s">
        <v>640</v>
      </c>
      <c r="AH364" s="11"/>
      <c r="AI364" s="11" t="s">
        <v>21</v>
      </c>
      <c r="AJ364" s="11"/>
      <c r="AK364" s="6">
        <v>0</v>
      </c>
      <c r="AM364" s="6">
        <v>0</v>
      </c>
      <c r="AO364" s="6">
        <v>0</v>
      </c>
      <c r="AQ364" s="6">
        <v>0</v>
      </c>
      <c r="AU364" s="6">
        <v>0</v>
      </c>
      <c r="AW364" s="6">
        <f t="shared" si="40"/>
        <v>0</v>
      </c>
      <c r="AY364" s="6">
        <f>+'St of Activites - GA Rev'!AG364-'St of Activities - GA Exp'!AW364</f>
        <v>0</v>
      </c>
      <c r="BC364" s="6">
        <f t="shared" si="38"/>
        <v>0</v>
      </c>
      <c r="BE364" s="6">
        <f>+'St of Net Assets - GA'!Y364-'St of Activities - GA Exp'!BC364</f>
        <v>0</v>
      </c>
    </row>
    <row r="365" spans="1:57">
      <c r="A365" s="11" t="s">
        <v>510</v>
      </c>
      <c r="B365" s="11"/>
      <c r="C365" s="11" t="s">
        <v>63</v>
      </c>
      <c r="E365" s="6">
        <v>4585854</v>
      </c>
      <c r="G365" s="6">
        <v>931066</v>
      </c>
      <c r="I365" s="6">
        <v>109359</v>
      </c>
      <c r="K365" s="6">
        <v>0</v>
      </c>
      <c r="M365" s="6">
        <f>678594+213699</f>
        <v>892293</v>
      </c>
      <c r="O365" s="6">
        <v>370278</v>
      </c>
      <c r="Q365" s="6">
        <v>292372</v>
      </c>
      <c r="S365" s="6">
        <v>63536</v>
      </c>
      <c r="U365" s="6">
        <v>720537</v>
      </c>
      <c r="W365" s="6">
        <v>414685</v>
      </c>
      <c r="Y365" s="6">
        <v>365</v>
      </c>
      <c r="AA365" s="6">
        <v>857706</v>
      </c>
      <c r="AC365" s="6">
        <v>386504</v>
      </c>
      <c r="AE365" s="6">
        <v>44748</v>
      </c>
      <c r="AG365" s="11" t="s">
        <v>510</v>
      </c>
      <c r="AH365" s="11"/>
      <c r="AI365" s="11" t="s">
        <v>63</v>
      </c>
      <c r="AJ365" s="11"/>
      <c r="AK365" s="6">
        <v>338945</v>
      </c>
      <c r="AM365" s="6">
        <v>0</v>
      </c>
      <c r="AO365" s="6">
        <v>430106</v>
      </c>
      <c r="AQ365" s="6">
        <v>531091</v>
      </c>
      <c r="AU365" s="6">
        <v>0</v>
      </c>
      <c r="AW365" s="6">
        <f t="shared" si="40"/>
        <v>10969445</v>
      </c>
      <c r="AY365" s="6">
        <f>+'St of Activites - GA Rev'!AG365-'St of Activities - GA Exp'!AW365</f>
        <v>-636319</v>
      </c>
      <c r="BA365" s="6">
        <v>5779134</v>
      </c>
      <c r="BC365" s="6">
        <f t="shared" si="38"/>
        <v>5142815</v>
      </c>
      <c r="BE365" s="6">
        <f>+'St of Net Assets - GA'!Y365-'St of Activities - GA Exp'!BC365</f>
        <v>0</v>
      </c>
    </row>
    <row r="366" spans="1:57" ht="12" hidden="1" customHeight="1">
      <c r="A366" s="11" t="s">
        <v>621</v>
      </c>
      <c r="B366" s="11"/>
      <c r="C366" s="11" t="s">
        <v>558</v>
      </c>
      <c r="E366" s="6">
        <v>0</v>
      </c>
      <c r="G366" s="6">
        <v>0</v>
      </c>
      <c r="I366" s="6">
        <v>0</v>
      </c>
      <c r="K366" s="6">
        <v>0</v>
      </c>
      <c r="M366" s="6">
        <v>0</v>
      </c>
      <c r="O366" s="6">
        <v>0</v>
      </c>
      <c r="Q366" s="6">
        <v>0</v>
      </c>
      <c r="S366" s="6">
        <v>0</v>
      </c>
      <c r="U366" s="6">
        <v>0</v>
      </c>
      <c r="W366" s="6">
        <v>0</v>
      </c>
      <c r="Y366" s="6">
        <v>0</v>
      </c>
      <c r="AA366" s="6">
        <v>0</v>
      </c>
      <c r="AC366" s="6">
        <v>0</v>
      </c>
      <c r="AE366" s="6">
        <v>0</v>
      </c>
      <c r="AG366" s="11" t="s">
        <v>621</v>
      </c>
      <c r="AH366" s="11"/>
      <c r="AI366" s="11" t="s">
        <v>558</v>
      </c>
      <c r="AJ366" s="11"/>
      <c r="AK366" s="6">
        <v>0</v>
      </c>
      <c r="AM366" s="6">
        <v>0</v>
      </c>
      <c r="AO366" s="6">
        <v>0</v>
      </c>
      <c r="AQ366" s="6">
        <v>0</v>
      </c>
      <c r="AU366" s="6">
        <v>0</v>
      </c>
      <c r="AW366" s="6">
        <f t="shared" si="40"/>
        <v>0</v>
      </c>
      <c r="AY366" s="6">
        <f>+'St of Activites - GA Rev'!AG366-'St of Activities - GA Exp'!AW366</f>
        <v>0</v>
      </c>
      <c r="BC366" s="6">
        <f t="shared" si="38"/>
        <v>0</v>
      </c>
      <c r="BE366" s="6">
        <f>+'St of Net Assets - GA'!Y366-'St of Activities - GA Exp'!BC366</f>
        <v>0</v>
      </c>
    </row>
    <row r="367" spans="1:57" hidden="1">
      <c r="A367" s="10" t="s">
        <v>879</v>
      </c>
      <c r="B367" s="11"/>
      <c r="C367" s="11" t="s">
        <v>221</v>
      </c>
      <c r="E367" s="6">
        <v>0</v>
      </c>
      <c r="G367" s="6">
        <v>0</v>
      </c>
      <c r="I367" s="6">
        <v>0</v>
      </c>
      <c r="K367" s="6">
        <v>0</v>
      </c>
      <c r="M367" s="6">
        <v>0</v>
      </c>
      <c r="O367" s="6">
        <v>0</v>
      </c>
      <c r="Q367" s="6">
        <v>0</v>
      </c>
      <c r="S367" s="6">
        <v>0</v>
      </c>
      <c r="U367" s="6">
        <v>0</v>
      </c>
      <c r="W367" s="6">
        <v>0</v>
      </c>
      <c r="Y367" s="6">
        <v>0</v>
      </c>
      <c r="AA367" s="6">
        <v>0</v>
      </c>
      <c r="AC367" s="6">
        <v>0</v>
      </c>
      <c r="AE367" s="6">
        <v>0</v>
      </c>
      <c r="AG367" s="10" t="s">
        <v>879</v>
      </c>
      <c r="AH367" s="11"/>
      <c r="AI367" s="11" t="s">
        <v>221</v>
      </c>
      <c r="AJ367" s="11"/>
      <c r="AK367" s="6">
        <v>0</v>
      </c>
      <c r="AM367" s="6">
        <v>0</v>
      </c>
      <c r="AO367" s="6">
        <v>0</v>
      </c>
      <c r="AQ367" s="6">
        <v>0</v>
      </c>
      <c r="AU367" s="6">
        <v>0</v>
      </c>
      <c r="AW367" s="6">
        <f t="shared" si="40"/>
        <v>0</v>
      </c>
      <c r="AY367" s="6">
        <f>+'St of Activites - GA Rev'!AG367-'St of Activities - GA Exp'!AW367</f>
        <v>0</v>
      </c>
      <c r="BC367" s="6">
        <f t="shared" si="38"/>
        <v>0</v>
      </c>
      <c r="BE367" s="6">
        <f>+'St of Net Assets - GA'!Y367-'St of Activities - GA Exp'!BC367</f>
        <v>0</v>
      </c>
    </row>
    <row r="368" spans="1:57">
      <c r="A368" s="11" t="s">
        <v>356</v>
      </c>
      <c r="B368" s="11"/>
      <c r="C368" s="11" t="s">
        <v>37</v>
      </c>
      <c r="E368" s="6">
        <v>3293694</v>
      </c>
      <c r="G368" s="6">
        <v>688285</v>
      </c>
      <c r="I368" s="6">
        <v>188422</v>
      </c>
      <c r="K368" s="6">
        <v>0</v>
      </c>
      <c r="M368" s="6">
        <v>0</v>
      </c>
      <c r="O368" s="6">
        <v>242550</v>
      </c>
      <c r="Q368" s="6">
        <v>277140</v>
      </c>
      <c r="S368" s="6">
        <v>19042</v>
      </c>
      <c r="U368" s="6">
        <v>646659</v>
      </c>
      <c r="W368" s="6">
        <v>294081</v>
      </c>
      <c r="Y368" s="6">
        <v>1355</v>
      </c>
      <c r="AA368" s="6">
        <v>719527</v>
      </c>
      <c r="AC368" s="6">
        <v>193777</v>
      </c>
      <c r="AE368" s="6">
        <v>1001</v>
      </c>
      <c r="AG368" s="11" t="s">
        <v>356</v>
      </c>
      <c r="AH368" s="11"/>
      <c r="AI368" s="11" t="s">
        <v>37</v>
      </c>
      <c r="AJ368" s="11"/>
      <c r="AK368" s="6">
        <v>278793</v>
      </c>
      <c r="AM368" s="6">
        <v>83606</v>
      </c>
      <c r="AO368" s="6">
        <v>211482</v>
      </c>
      <c r="AQ368" s="6">
        <v>58596</v>
      </c>
      <c r="AU368" s="6">
        <v>0</v>
      </c>
      <c r="AW368" s="6">
        <f t="shared" si="40"/>
        <v>7198010</v>
      </c>
      <c r="AY368" s="6">
        <f>+'St of Activites - GA Rev'!AG368-'St of Activities - GA Exp'!AW368</f>
        <v>-96358</v>
      </c>
      <c r="BA368" s="6">
        <v>1666336</v>
      </c>
      <c r="BC368" s="6">
        <f t="shared" si="38"/>
        <v>1569978</v>
      </c>
      <c r="BE368" s="6">
        <f>+'St of Net Assets - GA'!Y368-'St of Activities - GA Exp'!BC368</f>
        <v>0</v>
      </c>
    </row>
    <row r="369" spans="1:57" hidden="1">
      <c r="A369" s="11" t="s">
        <v>808</v>
      </c>
      <c r="B369" s="11"/>
      <c r="C369" s="11" t="s">
        <v>552</v>
      </c>
      <c r="E369" s="6">
        <v>0</v>
      </c>
      <c r="G369" s="6">
        <v>0</v>
      </c>
      <c r="I369" s="6">
        <v>0</v>
      </c>
      <c r="K369" s="6">
        <v>0</v>
      </c>
      <c r="M369" s="6">
        <v>0</v>
      </c>
      <c r="O369" s="6">
        <v>0</v>
      </c>
      <c r="Q369" s="6">
        <v>0</v>
      </c>
      <c r="S369" s="6">
        <v>0</v>
      </c>
      <c r="U369" s="6">
        <v>0</v>
      </c>
      <c r="W369" s="6">
        <v>0</v>
      </c>
      <c r="Y369" s="6">
        <v>0</v>
      </c>
      <c r="AA369" s="6">
        <v>0</v>
      </c>
      <c r="AC369" s="6">
        <v>0</v>
      </c>
      <c r="AE369" s="6">
        <v>0</v>
      </c>
      <c r="AG369" s="11" t="s">
        <v>808</v>
      </c>
      <c r="AH369" s="11"/>
      <c r="AI369" s="11" t="s">
        <v>552</v>
      </c>
      <c r="AJ369" s="11"/>
      <c r="AK369" s="6">
        <v>0</v>
      </c>
      <c r="AM369" s="6">
        <v>0</v>
      </c>
      <c r="AO369" s="6">
        <v>0</v>
      </c>
      <c r="AQ369" s="6">
        <v>0</v>
      </c>
      <c r="AU369" s="6">
        <v>0</v>
      </c>
      <c r="AW369" s="6">
        <f t="shared" si="40"/>
        <v>0</v>
      </c>
      <c r="AY369" s="6">
        <f>+'St of Activites - GA Rev'!AG369-'St of Activities - GA Exp'!AW369</f>
        <v>0</v>
      </c>
      <c r="BC369" s="6">
        <f t="shared" si="38"/>
        <v>0</v>
      </c>
      <c r="BE369" s="6">
        <f>+'St of Net Assets - GA'!Y369-'St of Activities - GA Exp'!BC369</f>
        <v>0</v>
      </c>
    </row>
    <row r="370" spans="1:57">
      <c r="A370" s="11" t="s">
        <v>439</v>
      </c>
      <c r="B370" s="11"/>
      <c r="C370" s="11" t="s">
        <v>440</v>
      </c>
      <c r="E370" s="6">
        <v>9851001</v>
      </c>
      <c r="G370" s="6">
        <v>2773304</v>
      </c>
      <c r="I370" s="6">
        <v>1130707</v>
      </c>
      <c r="K370" s="6">
        <v>0</v>
      </c>
      <c r="M370" s="6">
        <v>120126</v>
      </c>
      <c r="O370" s="6">
        <v>692373</v>
      </c>
      <c r="Q370" s="6">
        <v>820340</v>
      </c>
      <c r="S370" s="6">
        <v>46672</v>
      </c>
      <c r="U370" s="6">
        <v>1808910</v>
      </c>
      <c r="W370" s="6">
        <v>694090</v>
      </c>
      <c r="Y370" s="6">
        <v>139307</v>
      </c>
      <c r="AA370" s="6">
        <v>1861875</v>
      </c>
      <c r="AC370" s="6">
        <v>1979012</v>
      </c>
      <c r="AE370" s="6">
        <v>225872</v>
      </c>
      <c r="AG370" s="11" t="s">
        <v>439</v>
      </c>
      <c r="AH370" s="11"/>
      <c r="AI370" s="11" t="s">
        <v>440</v>
      </c>
      <c r="AJ370" s="11"/>
      <c r="AK370" s="6">
        <v>1339508</v>
      </c>
      <c r="AM370" s="6">
        <v>0</v>
      </c>
      <c r="AO370" s="6">
        <v>227499</v>
      </c>
      <c r="AQ370" s="6">
        <v>467423</v>
      </c>
      <c r="AU370" s="6">
        <v>0</v>
      </c>
      <c r="AW370" s="6">
        <f t="shared" si="40"/>
        <v>24178019</v>
      </c>
      <c r="AY370" s="6">
        <f>+'St of Activites - GA Rev'!AG370-'St of Activities - GA Exp'!AW370</f>
        <v>1208680</v>
      </c>
      <c r="BA370" s="6">
        <v>44030437</v>
      </c>
      <c r="BC370" s="6">
        <f t="shared" si="38"/>
        <v>45239117</v>
      </c>
      <c r="BE370" s="6">
        <f>+'St of Net Assets - GA'!Y370-'St of Activities - GA Exp'!BC370</f>
        <v>0</v>
      </c>
    </row>
    <row r="371" spans="1:57">
      <c r="A371" s="11" t="s">
        <v>771</v>
      </c>
      <c r="B371" s="11"/>
      <c r="C371" s="11" t="s">
        <v>78</v>
      </c>
      <c r="E371" s="6">
        <v>5341745</v>
      </c>
      <c r="G371" s="6">
        <v>1462912</v>
      </c>
      <c r="I371" s="6">
        <v>268705</v>
      </c>
      <c r="K371" s="6">
        <v>0</v>
      </c>
      <c r="M371" s="6">
        <v>1107896</v>
      </c>
      <c r="O371" s="6">
        <v>971174</v>
      </c>
      <c r="Q371" s="6">
        <v>643543</v>
      </c>
      <c r="S371" s="6">
        <v>0</v>
      </c>
      <c r="U371" s="6">
        <f>44242+1021334</f>
        <v>1065576</v>
      </c>
      <c r="W371" s="6">
        <v>550849</v>
      </c>
      <c r="Y371" s="6">
        <v>0</v>
      </c>
      <c r="AA371" s="6">
        <v>1459671</v>
      </c>
      <c r="AC371" s="6">
        <v>661024</v>
      </c>
      <c r="AE371" s="6">
        <v>24172</v>
      </c>
      <c r="AG371" s="11" t="s">
        <v>771</v>
      </c>
      <c r="AH371" s="11"/>
      <c r="AI371" s="11" t="s">
        <v>78</v>
      </c>
      <c r="AJ371" s="11"/>
      <c r="AK371" s="6">
        <v>0</v>
      </c>
      <c r="AM371" s="6">
        <v>437707</v>
      </c>
      <c r="AO371" s="6">
        <v>378491</v>
      </c>
      <c r="AQ371" s="6">
        <v>427244</v>
      </c>
      <c r="AU371" s="6">
        <v>0</v>
      </c>
      <c r="AW371" s="6">
        <f t="shared" si="40"/>
        <v>14800709</v>
      </c>
      <c r="AY371" s="6">
        <f>+'St of Activites - GA Rev'!AG371-'St of Activities - GA Exp'!AW371</f>
        <v>-328274</v>
      </c>
      <c r="BA371" s="6">
        <v>30255557</v>
      </c>
      <c r="BC371" s="6">
        <f t="shared" si="38"/>
        <v>29927283</v>
      </c>
      <c r="BE371" s="6">
        <f>+'St of Net Assets - GA'!Y371-'St of Activities - GA Exp'!BC371</f>
        <v>0</v>
      </c>
    </row>
    <row r="372" spans="1:57" hidden="1">
      <c r="A372" s="10" t="s">
        <v>880</v>
      </c>
      <c r="B372" s="11"/>
      <c r="C372" s="11" t="s">
        <v>40</v>
      </c>
      <c r="E372" s="6">
        <v>0</v>
      </c>
      <c r="G372" s="6">
        <v>0</v>
      </c>
      <c r="I372" s="6">
        <v>0</v>
      </c>
      <c r="K372" s="6">
        <v>0</v>
      </c>
      <c r="M372" s="6">
        <v>0</v>
      </c>
      <c r="O372" s="6">
        <v>0</v>
      </c>
      <c r="Q372" s="6">
        <v>0</v>
      </c>
      <c r="S372" s="6">
        <v>0</v>
      </c>
      <c r="U372" s="6">
        <v>0</v>
      </c>
      <c r="W372" s="6">
        <v>0</v>
      </c>
      <c r="Y372" s="6">
        <v>0</v>
      </c>
      <c r="AA372" s="6">
        <v>0</v>
      </c>
      <c r="AC372" s="6">
        <v>0</v>
      </c>
      <c r="AE372" s="6">
        <v>0</v>
      </c>
      <c r="AG372" s="10" t="s">
        <v>880</v>
      </c>
      <c r="AH372" s="11"/>
      <c r="AI372" s="11" t="s">
        <v>40</v>
      </c>
      <c r="AJ372" s="11"/>
      <c r="AK372" s="6">
        <v>0</v>
      </c>
      <c r="AM372" s="6">
        <v>0</v>
      </c>
      <c r="AO372" s="6">
        <v>0</v>
      </c>
      <c r="AQ372" s="6">
        <v>0</v>
      </c>
      <c r="AU372" s="6">
        <v>0</v>
      </c>
      <c r="AW372" s="6">
        <f t="shared" si="40"/>
        <v>0</v>
      </c>
      <c r="AY372" s="6">
        <f>+'St of Activites - GA Rev'!AG372-'St of Activities - GA Exp'!AW372</f>
        <v>0</v>
      </c>
      <c r="BC372" s="6">
        <f t="shared" si="38"/>
        <v>0</v>
      </c>
      <c r="BE372" s="6">
        <f>+'St of Net Assets - GA'!Y372-'St of Activities - GA Exp'!BC372</f>
        <v>0</v>
      </c>
    </row>
    <row r="373" spans="1:57">
      <c r="A373" s="11" t="s">
        <v>712</v>
      </c>
      <c r="B373" s="11"/>
      <c r="C373" s="11" t="s">
        <v>32</v>
      </c>
      <c r="E373" s="6">
        <v>11989474</v>
      </c>
      <c r="G373" s="6">
        <v>6042972</v>
      </c>
      <c r="I373" s="6">
        <v>188611</v>
      </c>
      <c r="K373" s="6">
        <v>0</v>
      </c>
      <c r="M373" s="6">
        <v>6595393</v>
      </c>
      <c r="O373" s="6">
        <v>2063721</v>
      </c>
      <c r="Q373" s="6">
        <v>3182903</v>
      </c>
      <c r="S373" s="6">
        <v>0</v>
      </c>
      <c r="U373" s="6">
        <f>50939+2929035</f>
        <v>2979974</v>
      </c>
      <c r="W373" s="6">
        <v>904786</v>
      </c>
      <c r="Y373" s="6">
        <v>60939</v>
      </c>
      <c r="AA373" s="6">
        <v>4467872</v>
      </c>
      <c r="AC373" s="6">
        <v>2959485</v>
      </c>
      <c r="AE373" s="6">
        <v>454657</v>
      </c>
      <c r="AG373" s="11" t="s">
        <v>712</v>
      </c>
      <c r="AH373" s="11"/>
      <c r="AI373" s="11" t="s">
        <v>32</v>
      </c>
      <c r="AJ373" s="11"/>
      <c r="AK373" s="6">
        <v>0</v>
      </c>
      <c r="AM373" s="6">
        <v>2095276</v>
      </c>
      <c r="AO373" s="6">
        <v>779014</v>
      </c>
      <c r="AQ373" s="6">
        <v>1416072</v>
      </c>
      <c r="AU373" s="6">
        <v>0</v>
      </c>
      <c r="AW373" s="6">
        <f t="shared" si="40"/>
        <v>46181149</v>
      </c>
      <c r="AY373" s="6">
        <f>+'St of Activites - GA Rev'!AG373-'St of Activities - GA Exp'!AW373</f>
        <v>-705263</v>
      </c>
      <c r="BA373" s="6">
        <v>67444720</v>
      </c>
      <c r="BC373" s="6">
        <f t="shared" si="38"/>
        <v>66739457</v>
      </c>
      <c r="BE373" s="6">
        <f>+'St of Net Assets - GA'!Y373-'St of Activities - GA Exp'!BC373</f>
        <v>0</v>
      </c>
    </row>
    <row r="374" spans="1:57" s="28" customFormat="1">
      <c r="A374" s="27" t="s">
        <v>346</v>
      </c>
      <c r="B374" s="27"/>
      <c r="C374" s="27" t="s">
        <v>34</v>
      </c>
      <c r="E374" s="28">
        <v>8540647</v>
      </c>
      <c r="G374" s="28">
        <v>3289634</v>
      </c>
      <c r="I374" s="28">
        <v>265200</v>
      </c>
      <c r="K374" s="28">
        <v>0</v>
      </c>
      <c r="M374" s="28">
        <v>1477876</v>
      </c>
      <c r="O374" s="28">
        <v>1303983</v>
      </c>
      <c r="Q374" s="28">
        <v>1018726</v>
      </c>
      <c r="S374" s="28">
        <v>43166</v>
      </c>
      <c r="U374" s="28">
        <v>1503915</v>
      </c>
      <c r="W374" s="28">
        <v>622361</v>
      </c>
      <c r="Y374" s="28">
        <v>0</v>
      </c>
      <c r="AA374" s="28">
        <v>1847111</v>
      </c>
      <c r="AC374" s="28">
        <v>1101662</v>
      </c>
      <c r="AE374" s="28">
        <v>399904</v>
      </c>
      <c r="AG374" s="27" t="s">
        <v>346</v>
      </c>
      <c r="AH374" s="27"/>
      <c r="AI374" s="27" t="s">
        <v>34</v>
      </c>
      <c r="AJ374" s="27"/>
      <c r="AK374" s="28">
        <v>0</v>
      </c>
      <c r="AM374" s="28">
        <v>935316</v>
      </c>
      <c r="AO374" s="28">
        <v>696460</v>
      </c>
      <c r="AQ374" s="28">
        <v>197312</v>
      </c>
      <c r="AU374" s="28">
        <v>0</v>
      </c>
      <c r="AW374" s="28">
        <f t="shared" si="40"/>
        <v>23243273</v>
      </c>
      <c r="AY374" s="28">
        <f>+'St of Activites - GA Rev'!AG374-'St of Activities - GA Exp'!AW374</f>
        <v>630704</v>
      </c>
      <c r="BA374" s="28">
        <v>13349645</v>
      </c>
      <c r="BC374" s="28">
        <f t="shared" si="38"/>
        <v>13980349</v>
      </c>
      <c r="BE374" s="28">
        <f>+'St of Net Assets - GA'!Y374-'St of Activities - GA Exp'!BC374</f>
        <v>0</v>
      </c>
    </row>
    <row r="375" spans="1:57" hidden="1">
      <c r="A375" s="11" t="s">
        <v>765</v>
      </c>
      <c r="B375" s="11"/>
      <c r="C375" s="11" t="s">
        <v>57</v>
      </c>
      <c r="AG375" s="11" t="s">
        <v>765</v>
      </c>
      <c r="AH375" s="11"/>
      <c r="AI375" s="11" t="s">
        <v>57</v>
      </c>
      <c r="AJ375" s="11"/>
    </row>
    <row r="376" spans="1:57">
      <c r="A376" s="11" t="s">
        <v>211</v>
      </c>
      <c r="B376" s="11"/>
      <c r="C376" s="11" t="s">
        <v>13</v>
      </c>
      <c r="E376" s="6">
        <v>5228355</v>
      </c>
      <c r="G376" s="6">
        <v>2007574</v>
      </c>
      <c r="I376" s="6">
        <v>171629</v>
      </c>
      <c r="K376" s="6">
        <v>0</v>
      </c>
      <c r="M376" s="6">
        <f>59581+55369</f>
        <v>114950</v>
      </c>
      <c r="O376" s="6">
        <v>351584</v>
      </c>
      <c r="Q376" s="6">
        <v>734817</v>
      </c>
      <c r="S376" s="6">
        <v>69367</v>
      </c>
      <c r="U376" s="6">
        <v>1356577</v>
      </c>
      <c r="W376" s="6">
        <v>363824</v>
      </c>
      <c r="Y376" s="6">
        <v>0</v>
      </c>
      <c r="AA376" s="6">
        <v>1319514</v>
      </c>
      <c r="AC376" s="6">
        <v>976696</v>
      </c>
      <c r="AE376" s="6">
        <v>0</v>
      </c>
      <c r="AG376" s="11" t="s">
        <v>211</v>
      </c>
      <c r="AH376" s="11"/>
      <c r="AI376" s="11" t="s">
        <v>13</v>
      </c>
      <c r="AJ376" s="11"/>
      <c r="AK376" s="6">
        <v>653386</v>
      </c>
      <c r="AM376" s="6">
        <v>13210</v>
      </c>
      <c r="AO376" s="6">
        <v>244055</v>
      </c>
      <c r="AQ376" s="6">
        <v>299107</v>
      </c>
      <c r="AU376" s="6">
        <v>228689</v>
      </c>
      <c r="AW376" s="6">
        <f t="shared" si="40"/>
        <v>14133334</v>
      </c>
      <c r="AY376" s="6">
        <f>+'St of Activites - GA Rev'!AG376-'St of Activities - GA Exp'!AW376</f>
        <v>538588</v>
      </c>
      <c r="BA376" s="6">
        <v>15851194</v>
      </c>
      <c r="BC376" s="6">
        <f t="shared" si="38"/>
        <v>16389782</v>
      </c>
      <c r="BE376" s="6">
        <f>+'St of Net Assets - GA'!Y376-'St of Activities - GA Exp'!BC376</f>
        <v>0</v>
      </c>
    </row>
    <row r="377" spans="1:57" ht="12" customHeight="1">
      <c r="A377" s="11" t="s">
        <v>608</v>
      </c>
      <c r="B377" s="11"/>
      <c r="C377" s="11" t="s">
        <v>27</v>
      </c>
      <c r="E377" s="6">
        <v>26959107</v>
      </c>
      <c r="G377" s="6">
        <v>4459481</v>
      </c>
      <c r="I377" s="6">
        <v>0</v>
      </c>
      <c r="K377" s="6">
        <v>0</v>
      </c>
      <c r="M377" s="6">
        <v>1281520</v>
      </c>
      <c r="O377" s="6">
        <v>3347830</v>
      </c>
      <c r="Q377" s="6">
        <v>4149613</v>
      </c>
      <c r="S377" s="6">
        <v>0</v>
      </c>
      <c r="U377" s="6">
        <f>84179+3615540</f>
        <v>3699719</v>
      </c>
      <c r="W377" s="6">
        <v>0</v>
      </c>
      <c r="Y377" s="6">
        <v>1696430</v>
      </c>
      <c r="AA377" s="6">
        <v>4953228</v>
      </c>
      <c r="AC377" s="6">
        <v>2933846</v>
      </c>
      <c r="AE377" s="6">
        <v>223389</v>
      </c>
      <c r="AG377" s="11" t="s">
        <v>608</v>
      </c>
      <c r="AH377" s="11"/>
      <c r="AI377" s="11" t="s">
        <v>27</v>
      </c>
      <c r="AJ377" s="11"/>
      <c r="AK377" s="6">
        <v>1846693</v>
      </c>
      <c r="AM377" s="6">
        <f>24868+274970</f>
        <v>299838</v>
      </c>
      <c r="AO377" s="6">
        <v>2157761</v>
      </c>
      <c r="AQ377" s="6">
        <v>3198725</v>
      </c>
      <c r="AU377" s="6">
        <v>0</v>
      </c>
      <c r="AW377" s="6">
        <f t="shared" si="40"/>
        <v>61207180</v>
      </c>
      <c r="AY377" s="6">
        <f>+'St of Activites - GA Rev'!AG377-'St of Activities - GA Exp'!AW377</f>
        <v>-240019</v>
      </c>
      <c r="BA377" s="6">
        <v>31604323</v>
      </c>
      <c r="BC377" s="6">
        <f t="shared" si="38"/>
        <v>31364304</v>
      </c>
      <c r="BE377" s="6">
        <f>+'St of Net Assets - GA'!Y377-'St of Activities - GA Exp'!BC377</f>
        <v>0</v>
      </c>
    </row>
    <row r="378" spans="1:57">
      <c r="A378" s="11" t="s">
        <v>483</v>
      </c>
      <c r="B378" s="11"/>
      <c r="C378" s="11" t="s">
        <v>59</v>
      </c>
      <c r="E378" s="6">
        <v>2427482</v>
      </c>
      <c r="G378" s="6">
        <v>821459</v>
      </c>
      <c r="I378" s="6">
        <v>179</v>
      </c>
      <c r="K378" s="6">
        <v>0</v>
      </c>
      <c r="M378" s="6">
        <v>814</v>
      </c>
      <c r="O378" s="6">
        <v>212110</v>
      </c>
      <c r="Q378" s="6">
        <v>379598</v>
      </c>
      <c r="S378" s="6">
        <v>14636</v>
      </c>
      <c r="U378" s="6">
        <v>508180</v>
      </c>
      <c r="W378" s="6">
        <v>186731</v>
      </c>
      <c r="Y378" s="6">
        <v>0</v>
      </c>
      <c r="AA378" s="6">
        <v>480450</v>
      </c>
      <c r="AC378" s="6">
        <v>121125</v>
      </c>
      <c r="AE378" s="6">
        <v>53664</v>
      </c>
      <c r="AG378" s="11" t="s">
        <v>483</v>
      </c>
      <c r="AH378" s="11"/>
      <c r="AI378" s="11" t="s">
        <v>59</v>
      </c>
      <c r="AJ378" s="11"/>
      <c r="AK378" s="6">
        <v>260309</v>
      </c>
      <c r="AM378" s="6">
        <v>0</v>
      </c>
      <c r="AO378" s="6">
        <v>138785</v>
      </c>
      <c r="AQ378" s="6">
        <v>167419</v>
      </c>
      <c r="AU378" s="6">
        <v>0</v>
      </c>
      <c r="AW378" s="6">
        <f t="shared" si="40"/>
        <v>5772941</v>
      </c>
      <c r="AY378" s="6">
        <f>+'St of Activites - GA Rev'!AG378-'St of Activities - GA Exp'!AW378</f>
        <v>-121993</v>
      </c>
      <c r="BA378" s="6">
        <v>21474764</v>
      </c>
      <c r="BC378" s="6">
        <f t="shared" si="38"/>
        <v>21352771</v>
      </c>
      <c r="BE378" s="6">
        <f>+'St of Net Assets - GA'!Y378-'St of Activities - GA Exp'!BC378</f>
        <v>0</v>
      </c>
    </row>
    <row r="379" spans="1:57">
      <c r="A379" s="11" t="s">
        <v>214</v>
      </c>
      <c r="B379" s="11"/>
      <c r="C379" s="11" t="s">
        <v>14</v>
      </c>
      <c r="E379" s="6">
        <v>4383638</v>
      </c>
      <c r="G379" s="6">
        <v>497215</v>
      </c>
      <c r="I379" s="6">
        <v>163333</v>
      </c>
      <c r="K379" s="6">
        <v>0</v>
      </c>
      <c r="M379" s="6">
        <v>0</v>
      </c>
      <c r="O379" s="6">
        <v>591350</v>
      </c>
      <c r="Q379" s="6">
        <v>620915</v>
      </c>
      <c r="S379" s="6">
        <v>48261</v>
      </c>
      <c r="U379" s="6">
        <v>823139</v>
      </c>
      <c r="W379" s="6">
        <v>218732</v>
      </c>
      <c r="Y379" s="6">
        <v>0</v>
      </c>
      <c r="AA379" s="6">
        <v>948173</v>
      </c>
      <c r="AC379" s="6">
        <v>190063</v>
      </c>
      <c r="AE379" s="6">
        <v>63962</v>
      </c>
      <c r="AG379" s="11" t="s">
        <v>214</v>
      </c>
      <c r="AH379" s="11"/>
      <c r="AI379" s="11" t="s">
        <v>14</v>
      </c>
      <c r="AJ379" s="11"/>
      <c r="AK379" s="6">
        <v>0</v>
      </c>
      <c r="AM379" s="6">
        <v>308034</v>
      </c>
      <c r="AO379" s="6">
        <v>519032</v>
      </c>
      <c r="AQ379" s="6">
        <v>386787</v>
      </c>
      <c r="AU379" s="6">
        <v>0</v>
      </c>
      <c r="AW379" s="6">
        <f t="shared" si="40"/>
        <v>9762634</v>
      </c>
      <c r="AY379" s="6">
        <f>+'St of Activites - GA Rev'!AG379-'St of Activities - GA Exp'!AW379</f>
        <v>594902</v>
      </c>
      <c r="BA379" s="6">
        <v>15429872</v>
      </c>
      <c r="BC379" s="6">
        <f t="shared" si="38"/>
        <v>16024774</v>
      </c>
      <c r="BE379" s="6">
        <f>+'St of Net Assets - GA'!Y379-'St of Activities - GA Exp'!BC379</f>
        <v>0</v>
      </c>
    </row>
    <row r="380" spans="1:57" ht="12" hidden="1" customHeight="1">
      <c r="A380" s="11" t="s">
        <v>706</v>
      </c>
      <c r="B380" s="11"/>
      <c r="C380" s="11" t="s">
        <v>14</v>
      </c>
      <c r="E380" s="6">
        <v>0</v>
      </c>
      <c r="G380" s="6">
        <v>0</v>
      </c>
      <c r="I380" s="6">
        <v>0</v>
      </c>
      <c r="K380" s="6">
        <v>0</v>
      </c>
      <c r="M380" s="6">
        <v>0</v>
      </c>
      <c r="O380" s="6">
        <v>0</v>
      </c>
      <c r="Q380" s="6">
        <v>0</v>
      </c>
      <c r="S380" s="6">
        <v>0</v>
      </c>
      <c r="U380" s="6">
        <v>0</v>
      </c>
      <c r="W380" s="6">
        <v>0</v>
      </c>
      <c r="Y380" s="6">
        <v>0</v>
      </c>
      <c r="AA380" s="6">
        <v>0</v>
      </c>
      <c r="AC380" s="6">
        <v>0</v>
      </c>
      <c r="AE380" s="6">
        <v>0</v>
      </c>
      <c r="AG380" s="11" t="s">
        <v>706</v>
      </c>
      <c r="AH380" s="11"/>
      <c r="AI380" s="11" t="s">
        <v>14</v>
      </c>
      <c r="AJ380" s="11"/>
      <c r="AK380" s="6">
        <v>0</v>
      </c>
      <c r="AM380" s="6">
        <v>0</v>
      </c>
      <c r="AO380" s="6">
        <v>0</v>
      </c>
      <c r="AQ380" s="6">
        <v>0</v>
      </c>
      <c r="AU380" s="6">
        <v>0</v>
      </c>
      <c r="AW380" s="6">
        <f t="shared" si="40"/>
        <v>0</v>
      </c>
      <c r="AY380" s="6">
        <f>+'St of Activites - GA Rev'!AG380-'St of Activities - GA Exp'!AW380</f>
        <v>0</v>
      </c>
      <c r="BC380" s="6">
        <f t="shared" si="38"/>
        <v>0</v>
      </c>
      <c r="BE380" s="6">
        <f>+'St of Net Assets - GA'!Y380-'St of Activities - GA Exp'!BC380</f>
        <v>0</v>
      </c>
    </row>
    <row r="381" spans="1:57" ht="12" customHeight="1">
      <c r="A381" s="11" t="s">
        <v>433</v>
      </c>
      <c r="B381" s="11"/>
      <c r="C381" s="11" t="s">
        <v>50</v>
      </c>
      <c r="E381" s="6">
        <v>4960028</v>
      </c>
      <c r="G381" s="6">
        <v>1389726</v>
      </c>
      <c r="I381" s="6">
        <v>0</v>
      </c>
      <c r="K381" s="6">
        <v>0</v>
      </c>
      <c r="M381" s="6">
        <v>332920</v>
      </c>
      <c r="O381" s="6">
        <v>493755</v>
      </c>
      <c r="Q381" s="6">
        <v>901947</v>
      </c>
      <c r="S381" s="6">
        <v>0</v>
      </c>
      <c r="U381" s="6">
        <f>70944+825860</f>
        <v>896804</v>
      </c>
      <c r="W381" s="6">
        <v>278690</v>
      </c>
      <c r="Y381" s="6">
        <v>85440</v>
      </c>
      <c r="AA381" s="6">
        <v>1344948</v>
      </c>
      <c r="AC381" s="6">
        <v>570806</v>
      </c>
      <c r="AE381" s="6">
        <v>131567</v>
      </c>
      <c r="AG381" s="11" t="s">
        <v>433</v>
      </c>
      <c r="AH381" s="11"/>
      <c r="AI381" s="11" t="s">
        <v>50</v>
      </c>
      <c r="AJ381" s="11"/>
      <c r="AK381" s="6">
        <v>0</v>
      </c>
      <c r="AM381" s="6">
        <v>453198</v>
      </c>
      <c r="AO381" s="6">
        <v>475184</v>
      </c>
      <c r="AQ381" s="6">
        <v>156673</v>
      </c>
      <c r="AU381" s="6">
        <v>0</v>
      </c>
      <c r="AW381" s="6">
        <f t="shared" si="40"/>
        <v>12471686</v>
      </c>
      <c r="AY381" s="6">
        <f>+'St of Activites - GA Rev'!AG381-'St of Activities - GA Exp'!AW381</f>
        <v>140461</v>
      </c>
      <c r="BA381" s="6">
        <v>28488252</v>
      </c>
      <c r="BC381" s="6">
        <f t="shared" si="38"/>
        <v>28628713</v>
      </c>
      <c r="BE381" s="6">
        <f>+'St of Net Assets - GA'!Y381-'St of Activities - GA Exp'!BC381</f>
        <v>0</v>
      </c>
    </row>
    <row r="382" spans="1:57" hidden="1">
      <c r="A382" s="11" t="s">
        <v>809</v>
      </c>
      <c r="B382" s="11"/>
      <c r="C382" s="11" t="s">
        <v>451</v>
      </c>
      <c r="E382" s="6">
        <v>0</v>
      </c>
      <c r="G382" s="6">
        <v>0</v>
      </c>
      <c r="I382" s="6">
        <v>0</v>
      </c>
      <c r="K382" s="6">
        <v>0</v>
      </c>
      <c r="M382" s="6">
        <v>0</v>
      </c>
      <c r="O382" s="6">
        <v>0</v>
      </c>
      <c r="Q382" s="6">
        <v>0</v>
      </c>
      <c r="S382" s="6">
        <v>0</v>
      </c>
      <c r="U382" s="6">
        <v>0</v>
      </c>
      <c r="W382" s="6">
        <v>0</v>
      </c>
      <c r="Y382" s="6">
        <v>0</v>
      </c>
      <c r="AA382" s="6">
        <v>0</v>
      </c>
      <c r="AC382" s="6">
        <v>0</v>
      </c>
      <c r="AE382" s="6">
        <v>0</v>
      </c>
      <c r="AG382" s="11" t="s">
        <v>809</v>
      </c>
      <c r="AH382" s="11"/>
      <c r="AI382" s="11" t="s">
        <v>451</v>
      </c>
      <c r="AJ382" s="11"/>
      <c r="AK382" s="6">
        <v>0</v>
      </c>
      <c r="AM382" s="6">
        <v>0</v>
      </c>
      <c r="AO382" s="6">
        <v>0</v>
      </c>
      <c r="AQ382" s="6">
        <v>0</v>
      </c>
      <c r="AU382" s="6">
        <v>0</v>
      </c>
      <c r="AW382" s="6">
        <f t="shared" si="40"/>
        <v>0</v>
      </c>
      <c r="AY382" s="6">
        <f>+'St of Activites - GA Rev'!AG382-'St of Activities - GA Exp'!AW382</f>
        <v>0</v>
      </c>
      <c r="BC382" s="6">
        <f t="shared" si="38"/>
        <v>0</v>
      </c>
      <c r="BE382" s="6">
        <f>+'St of Net Assets - GA'!Y382-'St of Activities - GA Exp'!BC382</f>
        <v>0</v>
      </c>
    </row>
    <row r="383" spans="1:57">
      <c r="A383" s="11" t="s">
        <v>357</v>
      </c>
      <c r="B383" s="11"/>
      <c r="C383" s="11" t="s">
        <v>37</v>
      </c>
      <c r="E383" s="6">
        <v>5656926</v>
      </c>
      <c r="G383" s="6">
        <v>991914</v>
      </c>
      <c r="I383" s="6">
        <v>446350</v>
      </c>
      <c r="K383" s="6">
        <v>0</v>
      </c>
      <c r="M383" s="6">
        <v>7047</v>
      </c>
      <c r="O383" s="6">
        <v>367720</v>
      </c>
      <c r="Q383" s="6">
        <v>712858</v>
      </c>
      <c r="S383" s="6">
        <v>14436</v>
      </c>
      <c r="U383" s="6">
        <v>880663</v>
      </c>
      <c r="W383" s="6">
        <v>267832</v>
      </c>
      <c r="Y383" s="6">
        <v>3110</v>
      </c>
      <c r="AA383" s="6">
        <v>967978</v>
      </c>
      <c r="AC383" s="6">
        <v>588866</v>
      </c>
      <c r="AE383" s="6">
        <v>68469</v>
      </c>
      <c r="AG383" s="11" t="s">
        <v>357</v>
      </c>
      <c r="AH383" s="11"/>
      <c r="AI383" s="11" t="s">
        <v>37</v>
      </c>
      <c r="AJ383" s="11"/>
      <c r="AK383" s="6">
        <v>395665</v>
      </c>
      <c r="AM383" s="6">
        <v>76</v>
      </c>
      <c r="AO383" s="6">
        <v>471554</v>
      </c>
      <c r="AQ383" s="6">
        <v>107546</v>
      </c>
      <c r="AU383" s="6">
        <v>0</v>
      </c>
      <c r="AW383" s="6">
        <f t="shared" si="40"/>
        <v>11949010</v>
      </c>
      <c r="AY383" s="6">
        <f>+'St of Activites - GA Rev'!AG383-'St of Activities - GA Exp'!AW383</f>
        <v>-1402029</v>
      </c>
      <c r="BA383" s="6">
        <v>13548894</v>
      </c>
      <c r="BC383" s="6">
        <f t="shared" si="38"/>
        <v>12146865</v>
      </c>
      <c r="BE383" s="6">
        <f>+'St of Net Assets - GA'!Y383-'St of Activities - GA Exp'!BC383</f>
        <v>0</v>
      </c>
    </row>
    <row r="384" spans="1:57">
      <c r="A384" s="11" t="s">
        <v>226</v>
      </c>
      <c r="B384" s="11"/>
      <c r="C384" s="11" t="s">
        <v>221</v>
      </c>
      <c r="E384" s="6">
        <v>3542244</v>
      </c>
      <c r="G384" s="6">
        <v>531561</v>
      </c>
      <c r="I384" s="6">
        <v>0</v>
      </c>
      <c r="K384" s="6">
        <v>0</v>
      </c>
      <c r="M384" s="6">
        <v>34882</v>
      </c>
      <c r="O384" s="6">
        <v>340976</v>
      </c>
      <c r="Q384" s="6">
        <v>252789</v>
      </c>
      <c r="S384" s="6">
        <v>52035</v>
      </c>
      <c r="U384" s="6">
        <v>834679</v>
      </c>
      <c r="W384" s="6">
        <v>193909</v>
      </c>
      <c r="Y384" s="6">
        <v>35639</v>
      </c>
      <c r="AA384" s="6">
        <v>790550</v>
      </c>
      <c r="AC384" s="6">
        <v>465318</v>
      </c>
      <c r="AE384" s="6">
        <v>0</v>
      </c>
      <c r="AG384" s="11" t="s">
        <v>226</v>
      </c>
      <c r="AH384" s="11"/>
      <c r="AI384" s="11" t="s">
        <v>221</v>
      </c>
      <c r="AJ384" s="11"/>
      <c r="AK384" s="6">
        <v>502693</v>
      </c>
      <c r="AM384" s="6">
        <v>0</v>
      </c>
      <c r="AO384" s="6">
        <v>144244</v>
      </c>
      <c r="AQ384" s="6">
        <v>94956</v>
      </c>
      <c r="AU384" s="6">
        <v>0</v>
      </c>
      <c r="AW384" s="6">
        <f t="shared" si="40"/>
        <v>7816475</v>
      </c>
      <c r="AY384" s="6">
        <f>+'St of Activites - GA Rev'!AG384-'St of Activities - GA Exp'!AW384</f>
        <v>-136151</v>
      </c>
      <c r="BA384" s="6">
        <v>13755555</v>
      </c>
      <c r="BC384" s="6">
        <f t="shared" si="38"/>
        <v>13619404</v>
      </c>
      <c r="BE384" s="6">
        <f>+'St of Net Assets - GA'!Y384-'St of Activities - GA Exp'!BC384</f>
        <v>0</v>
      </c>
    </row>
    <row r="385" spans="1:57">
      <c r="A385" s="11" t="s">
        <v>537</v>
      </c>
      <c r="B385" s="11"/>
      <c r="C385" s="11" t="s">
        <v>65</v>
      </c>
      <c r="E385" s="6">
        <v>12214859</v>
      </c>
      <c r="G385" s="6">
        <v>3016751</v>
      </c>
      <c r="I385" s="6">
        <v>132208</v>
      </c>
      <c r="K385" s="6">
        <v>0</v>
      </c>
      <c r="M385" s="6">
        <v>553017</v>
      </c>
      <c r="O385" s="6">
        <v>1432855</v>
      </c>
      <c r="Q385" s="6">
        <v>1069137</v>
      </c>
      <c r="S385" s="6">
        <v>108603</v>
      </c>
      <c r="U385" s="6">
        <v>2437918</v>
      </c>
      <c r="W385" s="6">
        <v>773284</v>
      </c>
      <c r="Y385" s="6">
        <v>0</v>
      </c>
      <c r="AA385" s="6">
        <v>2728704</v>
      </c>
      <c r="AC385" s="6">
        <v>838766</v>
      </c>
      <c r="AE385" s="6">
        <v>0</v>
      </c>
      <c r="AG385" s="11" t="s">
        <v>537</v>
      </c>
      <c r="AH385" s="11"/>
      <c r="AI385" s="11" t="s">
        <v>65</v>
      </c>
      <c r="AJ385" s="11"/>
      <c r="AK385" s="6">
        <v>797189</v>
      </c>
      <c r="AM385" s="6">
        <v>410240</v>
      </c>
      <c r="AO385" s="6">
        <v>1315265</v>
      </c>
      <c r="AQ385" s="6">
        <v>151626</v>
      </c>
      <c r="AU385" s="6">
        <v>0</v>
      </c>
      <c r="AW385" s="6">
        <f t="shared" si="40"/>
        <v>27980422</v>
      </c>
      <c r="AY385" s="6">
        <f>+'St of Activites - GA Rev'!AG385-'St of Activities - GA Exp'!AW385</f>
        <v>-659753</v>
      </c>
      <c r="BA385" s="6">
        <v>16209459</v>
      </c>
      <c r="BC385" s="6">
        <f t="shared" si="38"/>
        <v>15549706</v>
      </c>
      <c r="BE385" s="6">
        <f>+'St of Net Assets - GA'!Y385-'St of Activities - GA Exp'!BC385</f>
        <v>0</v>
      </c>
    </row>
    <row r="386" spans="1:57">
      <c r="A386" s="11" t="s">
        <v>772</v>
      </c>
      <c r="B386" s="11"/>
      <c r="C386" s="11" t="s">
        <v>113</v>
      </c>
      <c r="E386" s="6">
        <v>13443199</v>
      </c>
      <c r="G386" s="6">
        <v>3247573</v>
      </c>
      <c r="I386" s="6">
        <v>0</v>
      </c>
      <c r="K386" s="6">
        <v>12486</v>
      </c>
      <c r="M386" s="6">
        <v>0</v>
      </c>
      <c r="O386" s="6">
        <v>1076732</v>
      </c>
      <c r="Q386" s="6">
        <v>1204156</v>
      </c>
      <c r="S386" s="6">
        <v>83380</v>
      </c>
      <c r="U386" s="6">
        <v>1584980</v>
      </c>
      <c r="W386" s="6">
        <v>776474</v>
      </c>
      <c r="Y386" s="6">
        <v>0</v>
      </c>
      <c r="AA386" s="6">
        <v>2398288</v>
      </c>
      <c r="AC386" s="6">
        <v>1562438</v>
      </c>
      <c r="AE386" s="6">
        <v>360536</v>
      </c>
      <c r="AG386" s="11" t="s">
        <v>772</v>
      </c>
      <c r="AH386" s="11"/>
      <c r="AI386" s="11" t="s">
        <v>113</v>
      </c>
      <c r="AJ386" s="11"/>
      <c r="AK386" s="6">
        <v>0</v>
      </c>
      <c r="AM386" s="6">
        <v>8415</v>
      </c>
      <c r="AO386" s="6">
        <v>783894</v>
      </c>
      <c r="AQ386" s="6">
        <v>0</v>
      </c>
      <c r="AU386" s="6">
        <v>0</v>
      </c>
      <c r="AW386" s="6">
        <f t="shared" si="40"/>
        <v>26542551</v>
      </c>
      <c r="AY386" s="6">
        <f>+'St of Activites - GA Rev'!AG386-'St of Activities - GA Exp'!AW386</f>
        <v>63156</v>
      </c>
      <c r="BA386" s="6">
        <v>38292067</v>
      </c>
      <c r="BC386" s="6">
        <f t="shared" si="38"/>
        <v>38355223</v>
      </c>
      <c r="BE386" s="6">
        <f>+'St of Net Assets - GA'!Y386-'St of Activities - GA Exp'!BC386</f>
        <v>0</v>
      </c>
    </row>
    <row r="387" spans="1:57" ht="12" hidden="1" customHeight="1">
      <c r="A387" s="11" t="s">
        <v>810</v>
      </c>
      <c r="B387" s="11"/>
      <c r="C387" s="11" t="s">
        <v>60</v>
      </c>
      <c r="E387" s="6">
        <v>0</v>
      </c>
      <c r="G387" s="6">
        <v>0</v>
      </c>
      <c r="I387" s="6">
        <v>0</v>
      </c>
      <c r="K387" s="6">
        <v>0</v>
      </c>
      <c r="M387" s="6">
        <v>0</v>
      </c>
      <c r="O387" s="6">
        <v>0</v>
      </c>
      <c r="Q387" s="6">
        <v>0</v>
      </c>
      <c r="S387" s="6">
        <v>0</v>
      </c>
      <c r="U387" s="6">
        <v>0</v>
      </c>
      <c r="W387" s="6">
        <v>0</v>
      </c>
      <c r="Y387" s="6">
        <v>0</v>
      </c>
      <c r="AA387" s="6">
        <v>0</v>
      </c>
      <c r="AC387" s="6">
        <v>0</v>
      </c>
      <c r="AE387" s="6">
        <v>0</v>
      </c>
      <c r="AG387" s="11" t="s">
        <v>810</v>
      </c>
      <c r="AH387" s="11"/>
      <c r="AI387" s="11" t="s">
        <v>60</v>
      </c>
      <c r="AJ387" s="11"/>
      <c r="AK387" s="6">
        <v>0</v>
      </c>
      <c r="AM387" s="6">
        <v>0</v>
      </c>
      <c r="AO387" s="6">
        <v>0</v>
      </c>
      <c r="AQ387" s="6">
        <v>0</v>
      </c>
      <c r="AU387" s="6">
        <v>0</v>
      </c>
      <c r="AW387" s="6">
        <f t="shared" si="40"/>
        <v>0</v>
      </c>
      <c r="AY387" s="6">
        <f>+'St of Activites - GA Rev'!AG387-'St of Activities - GA Exp'!AW387</f>
        <v>0</v>
      </c>
      <c r="BC387" s="6">
        <f t="shared" si="38"/>
        <v>0</v>
      </c>
      <c r="BE387" s="6">
        <f>+'St of Net Assets - GA'!Y387-'St of Activities - GA Exp'!BC387</f>
        <v>0</v>
      </c>
    </row>
    <row r="388" spans="1:57">
      <c r="A388" s="11" t="s">
        <v>376</v>
      </c>
      <c r="B388" s="11"/>
      <c r="C388" s="11" t="s">
        <v>42</v>
      </c>
      <c r="E388" s="6">
        <v>34287851</v>
      </c>
      <c r="G388" s="6">
        <v>8440344</v>
      </c>
      <c r="I388" s="6">
        <v>447210</v>
      </c>
      <c r="K388" s="6">
        <v>0</v>
      </c>
      <c r="M388" s="6">
        <v>272675</v>
      </c>
      <c r="O388" s="6">
        <v>3608029</v>
      </c>
      <c r="Q388" s="6">
        <v>4461894</v>
      </c>
      <c r="S388" s="6">
        <v>200947</v>
      </c>
      <c r="U388" s="6">
        <v>3612542</v>
      </c>
      <c r="W388" s="6">
        <v>1196301</v>
      </c>
      <c r="Y388" s="6">
        <v>657712</v>
      </c>
      <c r="AA388" s="6">
        <v>6359799</v>
      </c>
      <c r="AC388" s="6">
        <v>2937499</v>
      </c>
      <c r="AE388" s="6">
        <v>878151</v>
      </c>
      <c r="AG388" s="11" t="s">
        <v>376</v>
      </c>
      <c r="AH388" s="11"/>
      <c r="AI388" s="11" t="s">
        <v>42</v>
      </c>
      <c r="AJ388" s="11"/>
      <c r="AK388" s="6">
        <v>2694730</v>
      </c>
      <c r="AM388" s="6">
        <v>626023</v>
      </c>
      <c r="AO388" s="6">
        <v>1083487</v>
      </c>
      <c r="AQ388" s="6">
        <v>2660397</v>
      </c>
      <c r="AU388" s="6">
        <v>0</v>
      </c>
      <c r="AW388" s="6">
        <f t="shared" si="40"/>
        <v>74425591</v>
      </c>
      <c r="AY388" s="6">
        <f>+'St of Activites - GA Rev'!AG388-'St of Activities - GA Exp'!AW388</f>
        <v>-3605239</v>
      </c>
      <c r="BA388" s="6">
        <v>109185491</v>
      </c>
      <c r="BC388" s="6">
        <f t="shared" si="38"/>
        <v>105580252</v>
      </c>
      <c r="BE388" s="6">
        <f>+'St of Net Assets - GA'!Y388-'St of Activities - GA Exp'!BC388</f>
        <v>0</v>
      </c>
    </row>
    <row r="389" spans="1:57" hidden="1">
      <c r="A389" s="10" t="s">
        <v>881</v>
      </c>
      <c r="B389" s="11"/>
      <c r="C389" s="11" t="s">
        <v>30</v>
      </c>
      <c r="E389" s="6">
        <v>0</v>
      </c>
      <c r="G389" s="6">
        <v>0</v>
      </c>
      <c r="I389" s="6">
        <v>0</v>
      </c>
      <c r="K389" s="6">
        <v>0</v>
      </c>
      <c r="M389" s="6">
        <v>0</v>
      </c>
      <c r="O389" s="6">
        <v>0</v>
      </c>
      <c r="Q389" s="6">
        <v>0</v>
      </c>
      <c r="S389" s="6">
        <v>0</v>
      </c>
      <c r="U389" s="6">
        <v>0</v>
      </c>
      <c r="W389" s="6">
        <v>0</v>
      </c>
      <c r="Y389" s="6">
        <v>0</v>
      </c>
      <c r="AA389" s="6">
        <v>0</v>
      </c>
      <c r="AC389" s="6">
        <v>0</v>
      </c>
      <c r="AE389" s="6">
        <v>0</v>
      </c>
      <c r="AG389" s="10" t="s">
        <v>881</v>
      </c>
      <c r="AH389" s="11"/>
      <c r="AI389" s="11" t="s">
        <v>30</v>
      </c>
      <c r="AJ389" s="11"/>
      <c r="AK389" s="6">
        <v>0</v>
      </c>
      <c r="AM389" s="6">
        <v>0</v>
      </c>
      <c r="AO389" s="6">
        <v>0</v>
      </c>
      <c r="AQ389" s="6">
        <v>0</v>
      </c>
      <c r="AU389" s="6">
        <v>0</v>
      </c>
      <c r="AW389" s="6">
        <f t="shared" si="40"/>
        <v>0</v>
      </c>
      <c r="AY389" s="6">
        <f>+'St of Activites - GA Rev'!AG389-'St of Activities - GA Exp'!AW389</f>
        <v>0</v>
      </c>
      <c r="BC389" s="6">
        <f t="shared" si="38"/>
        <v>0</v>
      </c>
      <c r="BE389" s="6">
        <f>+'St of Net Assets - GA'!Y389-'St of Activities - GA Exp'!BC389</f>
        <v>0</v>
      </c>
    </row>
    <row r="390" spans="1:57">
      <c r="A390" s="11" t="s">
        <v>773</v>
      </c>
      <c r="B390" s="11"/>
      <c r="C390" s="11" t="s">
        <v>65</v>
      </c>
      <c r="E390" s="6">
        <v>4838186</v>
      </c>
      <c r="G390" s="6">
        <v>1141376</v>
      </c>
      <c r="I390" s="6">
        <v>94049</v>
      </c>
      <c r="K390" s="6">
        <v>5673</v>
      </c>
      <c r="M390" s="6">
        <v>624876</v>
      </c>
      <c r="O390" s="6">
        <v>371803</v>
      </c>
      <c r="Q390" s="6">
        <v>694268</v>
      </c>
      <c r="S390" s="6">
        <v>26263</v>
      </c>
      <c r="U390" s="6">
        <v>982181</v>
      </c>
      <c r="W390" s="6">
        <v>325136</v>
      </c>
      <c r="Y390" s="6">
        <v>0</v>
      </c>
      <c r="AA390" s="6">
        <v>1366898</v>
      </c>
      <c r="AC390" s="6">
        <v>530807</v>
      </c>
      <c r="AE390" s="6">
        <v>291</v>
      </c>
      <c r="AG390" s="11" t="s">
        <v>773</v>
      </c>
      <c r="AH390" s="11"/>
      <c r="AI390" s="11" t="s">
        <v>65</v>
      </c>
      <c r="AJ390" s="11"/>
      <c r="AK390" s="6">
        <v>627672</v>
      </c>
      <c r="AM390" s="6">
        <v>49870</v>
      </c>
      <c r="AO390" s="6">
        <v>404854</v>
      </c>
      <c r="AQ390" s="6">
        <v>93952</v>
      </c>
      <c r="AU390" s="6">
        <v>0</v>
      </c>
      <c r="AW390" s="6">
        <f t="shared" si="40"/>
        <v>12178155</v>
      </c>
      <c r="AY390" s="6">
        <f>+'St of Activites - GA Rev'!AG390-'St of Activities - GA Exp'!AW390</f>
        <v>-325684</v>
      </c>
      <c r="BA390" s="6">
        <v>13566069</v>
      </c>
      <c r="BC390" s="6">
        <f t="shared" si="38"/>
        <v>13240385</v>
      </c>
      <c r="BE390" s="6">
        <f>+'St of Net Assets - GA'!Y390-'St of Activities - GA Exp'!BC390</f>
        <v>0</v>
      </c>
    </row>
    <row r="391" spans="1:57" ht="12" customHeight="1">
      <c r="A391" s="11" t="s">
        <v>774</v>
      </c>
      <c r="B391" s="11"/>
      <c r="C391" s="11" t="s">
        <v>64</v>
      </c>
      <c r="E391" s="6">
        <v>7006467</v>
      </c>
      <c r="G391" s="6">
        <v>1625860</v>
      </c>
      <c r="I391" s="6">
        <v>188152</v>
      </c>
      <c r="K391" s="6">
        <v>1000</v>
      </c>
      <c r="M391" s="6">
        <v>0</v>
      </c>
      <c r="O391" s="6">
        <v>640148</v>
      </c>
      <c r="Q391" s="6">
        <v>451836</v>
      </c>
      <c r="S391" s="6">
        <v>86370</v>
      </c>
      <c r="U391" s="6">
        <v>1121521</v>
      </c>
      <c r="W391" s="6">
        <v>748841</v>
      </c>
      <c r="Y391" s="6">
        <v>0</v>
      </c>
      <c r="AA391" s="6">
        <v>1108324</v>
      </c>
      <c r="AC391" s="6">
        <v>701960</v>
      </c>
      <c r="AE391" s="6">
        <v>241204</v>
      </c>
      <c r="AG391" s="11" t="s">
        <v>774</v>
      </c>
      <c r="AH391" s="11"/>
      <c r="AI391" s="11" t="s">
        <v>64</v>
      </c>
      <c r="AJ391" s="11"/>
      <c r="AK391" s="6">
        <v>519243</v>
      </c>
      <c r="AM391" s="6">
        <v>28213</v>
      </c>
      <c r="AO391" s="6">
        <v>365528</v>
      </c>
      <c r="AQ391" s="6">
        <v>184698</v>
      </c>
      <c r="AU391" s="6">
        <v>0</v>
      </c>
      <c r="AW391" s="6">
        <f t="shared" si="40"/>
        <v>15019365</v>
      </c>
      <c r="AY391" s="6">
        <f>+'St of Activites - GA Rev'!AG391-'St of Activities - GA Exp'!AW391</f>
        <v>-2130178</v>
      </c>
      <c r="BA391" s="6">
        <v>18089860</v>
      </c>
      <c r="BC391" s="6">
        <f t="shared" si="38"/>
        <v>15959682</v>
      </c>
      <c r="BE391" s="6">
        <f>+'St of Net Assets - GA'!Y391-'St of Activities - GA Exp'!BC391</f>
        <v>0</v>
      </c>
    </row>
    <row r="392" spans="1:57" hidden="1">
      <c r="A392" s="11" t="s">
        <v>811</v>
      </c>
      <c r="B392" s="11"/>
      <c r="C392" s="11" t="s">
        <v>48</v>
      </c>
      <c r="E392" s="6">
        <v>0</v>
      </c>
      <c r="G392" s="6">
        <v>0</v>
      </c>
      <c r="I392" s="6">
        <v>0</v>
      </c>
      <c r="K392" s="6">
        <v>0</v>
      </c>
      <c r="M392" s="6">
        <v>0</v>
      </c>
      <c r="O392" s="6">
        <v>0</v>
      </c>
      <c r="Q392" s="6">
        <v>0</v>
      </c>
      <c r="S392" s="6">
        <v>0</v>
      </c>
      <c r="U392" s="6">
        <v>0</v>
      </c>
      <c r="W392" s="6">
        <v>0</v>
      </c>
      <c r="Y392" s="6">
        <v>0</v>
      </c>
      <c r="AA392" s="6">
        <v>0</v>
      </c>
      <c r="AC392" s="6">
        <v>0</v>
      </c>
      <c r="AE392" s="6">
        <v>0</v>
      </c>
      <c r="AG392" s="11" t="s">
        <v>811</v>
      </c>
      <c r="AH392" s="11"/>
      <c r="AI392" s="11" t="s">
        <v>48</v>
      </c>
      <c r="AJ392" s="11"/>
      <c r="AK392" s="6">
        <v>0</v>
      </c>
      <c r="AM392" s="6">
        <v>0</v>
      </c>
      <c r="AO392" s="6">
        <v>0</v>
      </c>
      <c r="AQ392" s="6">
        <v>0</v>
      </c>
      <c r="AU392" s="6">
        <v>0</v>
      </c>
      <c r="AW392" s="6">
        <f t="shared" si="40"/>
        <v>0</v>
      </c>
      <c r="AY392" s="6">
        <f>+'St of Activites - GA Rev'!AG392-'St of Activities - GA Exp'!AW392</f>
        <v>0</v>
      </c>
      <c r="BC392" s="6">
        <f t="shared" si="38"/>
        <v>0</v>
      </c>
      <c r="BE392" s="6">
        <f>+'St of Net Assets - GA'!Y392-'St of Activities - GA Exp'!BC392</f>
        <v>0</v>
      </c>
    </row>
    <row r="393" spans="1:57" ht="12" customHeight="1">
      <c r="A393" s="11" t="s">
        <v>606</v>
      </c>
      <c r="B393" s="11"/>
      <c r="C393" s="11" t="s">
        <v>64</v>
      </c>
      <c r="E393" s="6">
        <v>11432589</v>
      </c>
      <c r="G393" s="6">
        <v>3607095</v>
      </c>
      <c r="I393" s="6">
        <v>99191</v>
      </c>
      <c r="K393" s="6">
        <v>0</v>
      </c>
      <c r="M393" s="6">
        <v>1000898</v>
      </c>
      <c r="O393" s="6">
        <v>1149599</v>
      </c>
      <c r="Q393" s="6">
        <v>1207559</v>
      </c>
      <c r="S393" s="6">
        <v>54429</v>
      </c>
      <c r="U393" s="6">
        <v>2451430</v>
      </c>
      <c r="W393" s="6">
        <v>539571</v>
      </c>
      <c r="Y393" s="6">
        <v>200924</v>
      </c>
      <c r="AA393" s="6">
        <v>1565709</v>
      </c>
      <c r="AC393" s="6">
        <v>1100450</v>
      </c>
      <c r="AE393" s="6">
        <v>272517</v>
      </c>
      <c r="AG393" s="11" t="s">
        <v>606</v>
      </c>
      <c r="AH393" s="11"/>
      <c r="AI393" s="11" t="s">
        <v>64</v>
      </c>
      <c r="AJ393" s="11"/>
      <c r="AK393" s="6">
        <v>1302679</v>
      </c>
      <c r="AM393" s="6">
        <v>66907</v>
      </c>
      <c r="AO393" s="6">
        <v>448984</v>
      </c>
      <c r="AQ393" s="6">
        <v>1062101</v>
      </c>
      <c r="AU393" s="6">
        <v>0</v>
      </c>
      <c r="AW393" s="6">
        <f t="shared" si="40"/>
        <v>27562632</v>
      </c>
      <c r="AY393" s="6">
        <f>+'St of Activites - GA Rev'!AG393-'St of Activities - GA Exp'!AW393</f>
        <v>8292697</v>
      </c>
      <c r="BA393" s="6">
        <v>48677852</v>
      </c>
      <c r="BC393" s="6">
        <f t="shared" si="38"/>
        <v>56970549</v>
      </c>
      <c r="BE393" s="6">
        <f>+'St of Net Assets - GA'!Y393-'St of Activities - GA Exp'!BC393</f>
        <v>0</v>
      </c>
    </row>
    <row r="394" spans="1:57">
      <c r="A394" s="11" t="s">
        <v>449</v>
      </c>
      <c r="B394" s="11"/>
      <c r="C394" s="11" t="s">
        <v>52</v>
      </c>
      <c r="E394" s="6">
        <v>4356770</v>
      </c>
      <c r="G394" s="6">
        <v>1114863</v>
      </c>
      <c r="I394" s="6">
        <v>345863</v>
      </c>
      <c r="K394" s="6">
        <v>0</v>
      </c>
      <c r="M394" s="6">
        <v>0</v>
      </c>
      <c r="O394" s="6">
        <v>426393</v>
      </c>
      <c r="Q394" s="6">
        <v>398223</v>
      </c>
      <c r="S394" s="6">
        <v>66524</v>
      </c>
      <c r="U394" s="6">
        <v>1258257</v>
      </c>
      <c r="W394" s="6">
        <v>408375</v>
      </c>
      <c r="Y394" s="6">
        <v>18442</v>
      </c>
      <c r="AA394" s="6">
        <v>877882</v>
      </c>
      <c r="AC394" s="6">
        <v>974838</v>
      </c>
      <c r="AE394" s="6">
        <v>9009</v>
      </c>
      <c r="AG394" s="11" t="s">
        <v>449</v>
      </c>
      <c r="AH394" s="11"/>
      <c r="AI394" s="11" t="s">
        <v>52</v>
      </c>
      <c r="AJ394" s="11"/>
      <c r="AK394" s="6">
        <v>546312</v>
      </c>
      <c r="AM394" s="6">
        <v>291</v>
      </c>
      <c r="AO394" s="6">
        <v>226009</v>
      </c>
      <c r="AQ394" s="6">
        <v>3964</v>
      </c>
      <c r="AU394" s="6">
        <v>0</v>
      </c>
      <c r="AW394" s="6">
        <f t="shared" si="40"/>
        <v>11032015</v>
      </c>
      <c r="AY394" s="6">
        <f>+'St of Activites - GA Rev'!AG394-'St of Activities - GA Exp'!AW394</f>
        <v>2437653</v>
      </c>
      <c r="BA394" s="6">
        <v>7197695</v>
      </c>
      <c r="BC394" s="6">
        <f t="shared" si="38"/>
        <v>9635348</v>
      </c>
      <c r="BE394" s="6">
        <f>+'St of Net Assets - GA'!Y394-'St of Activities - GA Exp'!BC394</f>
        <v>0</v>
      </c>
    </row>
    <row r="395" spans="1:57">
      <c r="A395" s="11" t="s">
        <v>511</v>
      </c>
      <c r="B395" s="11"/>
      <c r="C395" s="11" t="s">
        <v>63</v>
      </c>
      <c r="E395" s="6">
        <v>17230661</v>
      </c>
      <c r="G395" s="6">
        <v>3824401</v>
      </c>
      <c r="I395" s="6">
        <v>105638</v>
      </c>
      <c r="K395" s="6">
        <v>17990</v>
      </c>
      <c r="M395" s="6">
        <v>941216</v>
      </c>
      <c r="O395" s="6">
        <v>3633573</v>
      </c>
      <c r="Q395" s="6">
        <v>866421</v>
      </c>
      <c r="S395" s="6">
        <v>101811</v>
      </c>
      <c r="U395" s="6">
        <v>2659546</v>
      </c>
      <c r="W395" s="6">
        <v>1182471</v>
      </c>
      <c r="Y395" s="6">
        <v>259360</v>
      </c>
      <c r="AA395" s="6">
        <v>3705380</v>
      </c>
      <c r="AC395" s="6">
        <v>2355359</v>
      </c>
      <c r="AE395" s="6">
        <v>907526</v>
      </c>
      <c r="AG395" s="11" t="s">
        <v>511</v>
      </c>
      <c r="AH395" s="11"/>
      <c r="AI395" s="11" t="s">
        <v>63</v>
      </c>
      <c r="AJ395" s="11"/>
      <c r="AK395" s="6">
        <v>1276824</v>
      </c>
      <c r="AM395" s="6">
        <v>592258</v>
      </c>
      <c r="AO395" s="6">
        <v>1468048</v>
      </c>
      <c r="AQ395" s="6">
        <v>1799548</v>
      </c>
      <c r="AU395" s="6">
        <v>0</v>
      </c>
      <c r="AW395" s="6">
        <f t="shared" si="40"/>
        <v>42928031</v>
      </c>
      <c r="AY395" s="6">
        <f>+'St of Activites - GA Rev'!AG395-'St of Activities - GA Exp'!AW395</f>
        <v>3219596</v>
      </c>
      <c r="BA395" s="6">
        <v>10647380</v>
      </c>
      <c r="BC395" s="6">
        <f t="shared" si="38"/>
        <v>13866976</v>
      </c>
      <c r="BE395" s="6">
        <f>+'St of Net Assets - GA'!Y395-'St of Activities - GA Exp'!BC395</f>
        <v>0</v>
      </c>
    </row>
    <row r="396" spans="1:57">
      <c r="A396" s="11" t="s">
        <v>556</v>
      </c>
      <c r="B396" s="11"/>
      <c r="C396" s="11" t="s">
        <v>72</v>
      </c>
      <c r="E396" s="6">
        <v>2755608</v>
      </c>
      <c r="G396" s="6">
        <v>1446182</v>
      </c>
      <c r="I396" s="6">
        <v>0</v>
      </c>
      <c r="K396" s="6">
        <v>0</v>
      </c>
      <c r="M396" s="6">
        <v>639765</v>
      </c>
      <c r="O396" s="6">
        <v>207175</v>
      </c>
      <c r="Q396" s="6">
        <v>240091</v>
      </c>
      <c r="S396" s="6">
        <v>171670</v>
      </c>
      <c r="U396" s="6">
        <v>638433</v>
      </c>
      <c r="W396" s="6">
        <v>357041</v>
      </c>
      <c r="Y396" s="6">
        <v>0</v>
      </c>
      <c r="AA396" s="6">
        <v>671879</v>
      </c>
      <c r="AC396" s="6">
        <v>333737</v>
      </c>
      <c r="AE396" s="6">
        <v>0</v>
      </c>
      <c r="AG396" s="11" t="s">
        <v>556</v>
      </c>
      <c r="AH396" s="11"/>
      <c r="AI396" s="11" t="s">
        <v>72</v>
      </c>
      <c r="AJ396" s="11"/>
      <c r="AK396" s="6">
        <v>289788</v>
      </c>
      <c r="AM396" s="6">
        <v>0</v>
      </c>
      <c r="AO396" s="6">
        <v>290541</v>
      </c>
      <c r="AQ396" s="6">
        <v>431636</v>
      </c>
      <c r="AU396" s="6">
        <v>0</v>
      </c>
      <c r="AW396" s="6">
        <f t="shared" si="40"/>
        <v>8473546</v>
      </c>
      <c r="AY396" s="6">
        <f>+'St of Activites - GA Rev'!AG396-'St of Activities - GA Exp'!AW396</f>
        <v>1970790</v>
      </c>
      <c r="BA396" s="6">
        <v>15547368</v>
      </c>
      <c r="BC396" s="6">
        <f t="shared" si="38"/>
        <v>17518158</v>
      </c>
      <c r="BE396" s="6">
        <f>+'St of Net Assets - GA'!Y396-'St of Activities - GA Exp'!BC396</f>
        <v>0</v>
      </c>
    </row>
    <row r="397" spans="1:57" ht="12" hidden="1" customHeight="1">
      <c r="A397" s="11" t="s">
        <v>813</v>
      </c>
      <c r="B397" s="11"/>
      <c r="C397" s="11" t="s">
        <v>53</v>
      </c>
      <c r="E397" s="6">
        <v>0</v>
      </c>
      <c r="G397" s="6">
        <v>0</v>
      </c>
      <c r="I397" s="6">
        <v>0</v>
      </c>
      <c r="K397" s="6">
        <v>0</v>
      </c>
      <c r="M397" s="6">
        <v>0</v>
      </c>
      <c r="O397" s="6">
        <v>0</v>
      </c>
      <c r="Q397" s="6">
        <v>0</v>
      </c>
      <c r="S397" s="6">
        <v>0</v>
      </c>
      <c r="U397" s="6">
        <v>0</v>
      </c>
      <c r="W397" s="6">
        <v>0</v>
      </c>
      <c r="Y397" s="6">
        <v>0</v>
      </c>
      <c r="AA397" s="6">
        <v>0</v>
      </c>
      <c r="AC397" s="6">
        <v>0</v>
      </c>
      <c r="AE397" s="6">
        <v>0</v>
      </c>
      <c r="AG397" s="11" t="s">
        <v>813</v>
      </c>
      <c r="AH397" s="11"/>
      <c r="AI397" s="11" t="s">
        <v>53</v>
      </c>
      <c r="AJ397" s="11"/>
      <c r="AK397" s="6">
        <v>0</v>
      </c>
      <c r="AM397" s="6">
        <v>0</v>
      </c>
      <c r="AO397" s="6">
        <v>0</v>
      </c>
      <c r="AQ397" s="6">
        <v>0</v>
      </c>
      <c r="AU397" s="6">
        <v>0</v>
      </c>
      <c r="AW397" s="6">
        <f t="shared" si="40"/>
        <v>0</v>
      </c>
      <c r="AY397" s="6">
        <f>+'St of Activites - GA Rev'!AG397-'St of Activities - GA Exp'!AW397</f>
        <v>0</v>
      </c>
      <c r="BC397" s="6">
        <f t="shared" si="38"/>
        <v>0</v>
      </c>
      <c r="BE397" s="6">
        <f>+'St of Net Assets - GA'!Y397-'St of Activities - GA Exp'!BC397</f>
        <v>0</v>
      </c>
    </row>
    <row r="398" spans="1:57">
      <c r="A398" s="11" t="s">
        <v>503</v>
      </c>
      <c r="B398" s="11"/>
      <c r="C398" s="11" t="s">
        <v>62</v>
      </c>
      <c r="E398" s="6">
        <v>18632172</v>
      </c>
      <c r="G398" s="6">
        <v>3019130</v>
      </c>
      <c r="I398" s="6">
        <v>1838805</v>
      </c>
      <c r="K398" s="6">
        <v>6947</v>
      </c>
      <c r="M398" s="6">
        <v>133079</v>
      </c>
      <c r="O398" s="6">
        <v>3073775</v>
      </c>
      <c r="Q398" s="6">
        <v>2438102</v>
      </c>
      <c r="S398" s="6">
        <v>34022</v>
      </c>
      <c r="U398" s="6">
        <v>3453499</v>
      </c>
      <c r="W398" s="6">
        <v>1068906</v>
      </c>
      <c r="Y398" s="6">
        <v>18398</v>
      </c>
      <c r="AA398" s="6">
        <v>4421364</v>
      </c>
      <c r="AC398" s="6">
        <v>2941246</v>
      </c>
      <c r="AE398" s="6">
        <v>430570</v>
      </c>
      <c r="AG398" s="11" t="s">
        <v>503</v>
      </c>
      <c r="AH398" s="11"/>
      <c r="AI398" s="11" t="s">
        <v>62</v>
      </c>
      <c r="AJ398" s="11"/>
      <c r="AK398" s="6">
        <v>1720027</v>
      </c>
      <c r="AM398" s="6">
        <v>291993</v>
      </c>
      <c r="AO398" s="6">
        <v>1407315</v>
      </c>
      <c r="AQ398" s="6">
        <v>305400</v>
      </c>
      <c r="AU398" s="6">
        <v>0</v>
      </c>
      <c r="AW398" s="6">
        <f t="shared" si="40"/>
        <v>45234750</v>
      </c>
      <c r="AY398" s="6">
        <f>+'St of Activites - GA Rev'!AG398-'St of Activities - GA Exp'!AW398</f>
        <v>1270358</v>
      </c>
      <c r="BA398" s="6">
        <v>9296504</v>
      </c>
      <c r="BC398" s="6">
        <f t="shared" si="38"/>
        <v>10566862</v>
      </c>
      <c r="BE398" s="6">
        <f>+'St of Net Assets - GA'!Y398-'St of Activities - GA Exp'!BC398</f>
        <v>0</v>
      </c>
    </row>
    <row r="399" spans="1:57" hidden="1">
      <c r="A399" s="11" t="s">
        <v>814</v>
      </c>
      <c r="B399" s="11"/>
      <c r="C399" s="11" t="s">
        <v>552</v>
      </c>
      <c r="E399" s="6">
        <v>0</v>
      </c>
      <c r="G399" s="6">
        <v>0</v>
      </c>
      <c r="I399" s="6">
        <v>0</v>
      </c>
      <c r="K399" s="6">
        <v>0</v>
      </c>
      <c r="M399" s="6">
        <v>0</v>
      </c>
      <c r="O399" s="6">
        <v>0</v>
      </c>
      <c r="Q399" s="6">
        <v>0</v>
      </c>
      <c r="S399" s="6">
        <v>0</v>
      </c>
      <c r="U399" s="6">
        <v>0</v>
      </c>
      <c r="W399" s="6">
        <v>0</v>
      </c>
      <c r="Y399" s="6">
        <v>0</v>
      </c>
      <c r="AA399" s="6">
        <v>0</v>
      </c>
      <c r="AC399" s="6">
        <v>0</v>
      </c>
      <c r="AE399" s="6">
        <v>0</v>
      </c>
      <c r="AG399" s="11" t="s">
        <v>814</v>
      </c>
      <c r="AH399" s="11"/>
      <c r="AI399" s="11" t="s">
        <v>552</v>
      </c>
      <c r="AJ399" s="11"/>
      <c r="AK399" s="6">
        <v>0</v>
      </c>
      <c r="AM399" s="6">
        <v>0</v>
      </c>
      <c r="AO399" s="6">
        <v>0</v>
      </c>
      <c r="AQ399" s="6">
        <v>0</v>
      </c>
      <c r="AU399" s="6">
        <v>0</v>
      </c>
      <c r="AW399" s="6">
        <f t="shared" si="40"/>
        <v>0</v>
      </c>
      <c r="AY399" s="6">
        <f>+'St of Activites - GA Rev'!AG399-'St of Activities - GA Exp'!AW399</f>
        <v>0</v>
      </c>
      <c r="BC399" s="6">
        <f t="shared" si="38"/>
        <v>0</v>
      </c>
      <c r="BE399" s="6">
        <f>+'St of Net Assets - GA'!Y399-'St of Activities - GA Exp'!BC399</f>
        <v>0</v>
      </c>
    </row>
    <row r="400" spans="1:57" ht="12" customHeight="1">
      <c r="A400" s="11" t="s">
        <v>709</v>
      </c>
      <c r="B400" s="11"/>
      <c r="C400" s="11" t="s">
        <v>32</v>
      </c>
      <c r="E400" s="6">
        <v>7658325</v>
      </c>
      <c r="G400" s="6">
        <v>2451993</v>
      </c>
      <c r="I400" s="6">
        <v>32296</v>
      </c>
      <c r="K400" s="6">
        <v>0</v>
      </c>
      <c r="M400" s="6">
        <v>339</v>
      </c>
      <c r="O400" s="6">
        <v>1077181</v>
      </c>
      <c r="Q400" s="6">
        <v>1255191</v>
      </c>
      <c r="S400" s="6">
        <v>33658</v>
      </c>
      <c r="U400" s="6">
        <v>1007541</v>
      </c>
      <c r="W400" s="6">
        <v>380026</v>
      </c>
      <c r="Y400" s="6">
        <v>13534</v>
      </c>
      <c r="AA400" s="6">
        <v>1135726</v>
      </c>
      <c r="AC400" s="6">
        <v>230473</v>
      </c>
      <c r="AE400" s="6">
        <v>36612</v>
      </c>
      <c r="AG400" s="11" t="s">
        <v>709</v>
      </c>
      <c r="AH400" s="11"/>
      <c r="AI400" s="11" t="s">
        <v>32</v>
      </c>
      <c r="AJ400" s="11"/>
      <c r="AK400" s="6">
        <v>947494</v>
      </c>
      <c r="AM400" s="6">
        <v>28763</v>
      </c>
      <c r="AO400" s="6">
        <v>286929</v>
      </c>
      <c r="AQ400" s="6">
        <v>616657</v>
      </c>
      <c r="AU400" s="6">
        <v>0</v>
      </c>
      <c r="AW400" s="6">
        <f t="shared" si="40"/>
        <v>17192738</v>
      </c>
      <c r="AY400" s="6">
        <f>+'St of Activites - GA Rev'!AG400-'St of Activities - GA Exp'!AW400</f>
        <v>-1197274</v>
      </c>
      <c r="BA400" s="6">
        <v>28494290</v>
      </c>
      <c r="BC400" s="6">
        <f t="shared" si="38"/>
        <v>27297016</v>
      </c>
      <c r="BE400" s="6">
        <f>+'St of Net Assets - GA'!Y400-'St of Activities - GA Exp'!BC400</f>
        <v>0</v>
      </c>
    </row>
    <row r="401" spans="1:57">
      <c r="A401" s="11" t="s">
        <v>377</v>
      </c>
      <c r="B401" s="11"/>
      <c r="C401" s="11" t="s">
        <v>42</v>
      </c>
      <c r="E401" s="6">
        <v>6134194</v>
      </c>
      <c r="G401" s="6">
        <v>2747635</v>
      </c>
      <c r="I401" s="6">
        <v>225793</v>
      </c>
      <c r="K401" s="6">
        <v>0</v>
      </c>
      <c r="M401" s="6">
        <v>273995</v>
      </c>
      <c r="O401" s="6">
        <v>1635387</v>
      </c>
      <c r="Q401" s="6">
        <v>78782</v>
      </c>
      <c r="S401" s="6">
        <v>27349</v>
      </c>
      <c r="U401" s="6">
        <v>1124687</v>
      </c>
      <c r="W401" s="6">
        <v>483683</v>
      </c>
      <c r="Y401" s="6">
        <v>0</v>
      </c>
      <c r="AA401" s="6">
        <v>1465995</v>
      </c>
      <c r="AC401" s="6">
        <v>1360588</v>
      </c>
      <c r="AE401" s="6">
        <v>514104</v>
      </c>
      <c r="AG401" s="11" t="s">
        <v>377</v>
      </c>
      <c r="AH401" s="11"/>
      <c r="AI401" s="11" t="s">
        <v>42</v>
      </c>
      <c r="AJ401" s="11"/>
      <c r="AK401" s="6">
        <v>599822</v>
      </c>
      <c r="AM401" s="6">
        <v>0</v>
      </c>
      <c r="AO401" s="6">
        <v>706151</v>
      </c>
      <c r="AQ401" s="6">
        <v>476582</v>
      </c>
      <c r="AU401" s="6">
        <v>0</v>
      </c>
      <c r="AW401" s="6">
        <f t="shared" si="40"/>
        <v>17854747</v>
      </c>
      <c r="AY401" s="6">
        <f>+'St of Activites - GA Rev'!AG401-'St of Activities - GA Exp'!AW401</f>
        <v>519443</v>
      </c>
      <c r="BA401" s="6">
        <v>25214098</v>
      </c>
      <c r="BC401" s="6">
        <f t="shared" si="38"/>
        <v>25733541</v>
      </c>
      <c r="BE401" s="6">
        <f>+'St of Net Assets - GA'!Y401-'St of Activities - GA Exp'!BC401</f>
        <v>0</v>
      </c>
    </row>
    <row r="402" spans="1:57" ht="12" customHeight="1">
      <c r="A402" s="11" t="s">
        <v>271</v>
      </c>
      <c r="B402" s="11"/>
      <c r="C402" s="11" t="s">
        <v>20</v>
      </c>
      <c r="E402" s="6">
        <v>23574519</v>
      </c>
      <c r="G402" s="6">
        <v>7531026</v>
      </c>
      <c r="I402" s="6">
        <v>455688</v>
      </c>
      <c r="K402" s="6">
        <v>0</v>
      </c>
      <c r="M402" s="6">
        <v>270050</v>
      </c>
      <c r="O402" s="6">
        <v>4573570</v>
      </c>
      <c r="Q402" s="6">
        <v>796246</v>
      </c>
      <c r="S402" s="6">
        <v>293275</v>
      </c>
      <c r="U402" s="6">
        <v>3972066</v>
      </c>
      <c r="W402" s="6">
        <v>1241610</v>
      </c>
      <c r="Y402" s="6">
        <v>181661</v>
      </c>
      <c r="AA402" s="6">
        <v>3727099</v>
      </c>
      <c r="AC402" s="6">
        <v>2482610</v>
      </c>
      <c r="AE402" s="6">
        <v>1107753</v>
      </c>
      <c r="AG402" s="11" t="s">
        <v>271</v>
      </c>
      <c r="AH402" s="11"/>
      <c r="AI402" s="11" t="s">
        <v>20</v>
      </c>
      <c r="AJ402" s="11"/>
      <c r="AK402" s="6">
        <v>1704023</v>
      </c>
      <c r="AM402" s="6">
        <v>398808</v>
      </c>
      <c r="AO402" s="6">
        <v>1494547</v>
      </c>
      <c r="AQ402" s="6">
        <v>12317</v>
      </c>
      <c r="AU402" s="6">
        <v>0</v>
      </c>
      <c r="AW402" s="6">
        <f t="shared" si="40"/>
        <v>53816868</v>
      </c>
      <c r="AY402" s="6">
        <f>+'St of Activites - GA Rev'!AG402-'St of Activities - GA Exp'!AW402</f>
        <v>4073063</v>
      </c>
      <c r="BA402" s="6">
        <v>26934847</v>
      </c>
      <c r="BC402" s="6">
        <f t="shared" si="38"/>
        <v>31007910</v>
      </c>
      <c r="BE402" s="6">
        <f>+'St of Net Assets - GA'!Y402-'St of Activities - GA Exp'!BC402</f>
        <v>0</v>
      </c>
    </row>
    <row r="403" spans="1:57">
      <c r="A403" s="11" t="s">
        <v>388</v>
      </c>
      <c r="B403" s="11"/>
      <c r="C403" s="11" t="s">
        <v>44</v>
      </c>
      <c r="E403" s="6">
        <v>14825748</v>
      </c>
      <c r="G403" s="6">
        <v>4888882</v>
      </c>
      <c r="I403" s="6">
        <v>112438</v>
      </c>
      <c r="K403" s="6">
        <v>1002</v>
      </c>
      <c r="M403" s="6">
        <v>1525239</v>
      </c>
      <c r="O403" s="6">
        <v>1864381</v>
      </c>
      <c r="Q403" s="6">
        <v>2358860</v>
      </c>
      <c r="S403" s="6">
        <v>119382</v>
      </c>
      <c r="U403" s="6">
        <v>2019304</v>
      </c>
      <c r="W403" s="6">
        <v>805425</v>
      </c>
      <c r="Y403" s="6">
        <v>257393</v>
      </c>
      <c r="AA403" s="6">
        <v>2709029</v>
      </c>
      <c r="AC403" s="6">
        <v>2493805</v>
      </c>
      <c r="AE403" s="6">
        <v>51111</v>
      </c>
      <c r="AG403" s="11" t="s">
        <v>388</v>
      </c>
      <c r="AH403" s="11"/>
      <c r="AI403" s="11" t="s">
        <v>44</v>
      </c>
      <c r="AJ403" s="11"/>
      <c r="AK403" s="6">
        <v>1110397</v>
      </c>
      <c r="AM403" s="6">
        <v>356911</v>
      </c>
      <c r="AO403" s="6">
        <v>782720</v>
      </c>
      <c r="AQ403" s="6">
        <v>79461</v>
      </c>
      <c r="AU403" s="6">
        <v>0</v>
      </c>
      <c r="AW403" s="6">
        <f t="shared" si="40"/>
        <v>36361488</v>
      </c>
      <c r="AY403" s="6">
        <f>+'St of Activites - GA Rev'!AG403-'St of Activities - GA Exp'!AW403</f>
        <v>1230485</v>
      </c>
      <c r="BA403" s="6">
        <v>12895592</v>
      </c>
      <c r="BC403" s="6">
        <f t="shared" si="38"/>
        <v>14126077</v>
      </c>
      <c r="BE403" s="6">
        <f>+'St of Net Assets - GA'!Y403-'St of Activities - GA Exp'!BC403</f>
        <v>0</v>
      </c>
    </row>
    <row r="404" spans="1:57">
      <c r="A404" s="11" t="s">
        <v>272</v>
      </c>
      <c r="B404" s="11"/>
      <c r="C404" s="11" t="s">
        <v>20</v>
      </c>
      <c r="E404" s="6">
        <v>26138639</v>
      </c>
      <c r="G404" s="6">
        <v>3273352</v>
      </c>
      <c r="I404" s="6">
        <v>208167</v>
      </c>
      <c r="K404" s="6">
        <v>0</v>
      </c>
      <c r="M404" s="6">
        <v>1191607</v>
      </c>
      <c r="O404" s="6">
        <v>2841655</v>
      </c>
      <c r="Q404" s="6">
        <v>2698007</v>
      </c>
      <c r="S404" s="6">
        <v>37533</v>
      </c>
      <c r="U404" s="6">
        <v>4371516</v>
      </c>
      <c r="W404" s="6">
        <v>1323210</v>
      </c>
      <c r="Y404" s="6">
        <v>357023</v>
      </c>
      <c r="AA404" s="6">
        <v>3931841</v>
      </c>
      <c r="AC404" s="6">
        <v>3527949</v>
      </c>
      <c r="AE404" s="6">
        <v>580206</v>
      </c>
      <c r="AG404" s="11" t="s">
        <v>272</v>
      </c>
      <c r="AH404" s="11"/>
      <c r="AI404" s="11" t="s">
        <v>20</v>
      </c>
      <c r="AJ404" s="11"/>
      <c r="AK404" s="6">
        <v>1254636</v>
      </c>
      <c r="AM404" s="6">
        <v>818483</v>
      </c>
      <c r="AO404" s="6">
        <v>1063664</v>
      </c>
      <c r="AQ404" s="6">
        <v>502662</v>
      </c>
      <c r="AU404" s="6">
        <v>0</v>
      </c>
      <c r="AW404" s="6">
        <f t="shared" si="40"/>
        <v>54120150</v>
      </c>
      <c r="AY404" s="6">
        <f>+'St of Activites - GA Rev'!AG404-'St of Activities - GA Exp'!AW404</f>
        <v>1324763</v>
      </c>
      <c r="BA404" s="6">
        <v>22685007</v>
      </c>
      <c r="BC404" s="6">
        <f t="shared" si="38"/>
        <v>24009770</v>
      </c>
      <c r="BE404" s="6">
        <f>+'St of Net Assets - GA'!Y404-'St of Activities - GA Exp'!BC404</f>
        <v>0</v>
      </c>
    </row>
    <row r="405" spans="1:57">
      <c r="A405" s="11" t="s">
        <v>540</v>
      </c>
      <c r="B405" s="11"/>
      <c r="C405" s="11" t="s">
        <v>66</v>
      </c>
      <c r="E405" s="6">
        <v>7143357</v>
      </c>
      <c r="G405" s="6">
        <v>1879484</v>
      </c>
      <c r="I405" s="6">
        <v>805694</v>
      </c>
      <c r="K405" s="6">
        <v>0</v>
      </c>
      <c r="M405" s="6">
        <v>0</v>
      </c>
      <c r="O405" s="6">
        <v>729972</v>
      </c>
      <c r="Q405" s="6">
        <v>973112</v>
      </c>
      <c r="S405" s="6">
        <v>24177</v>
      </c>
      <c r="U405" s="6">
        <v>1099224</v>
      </c>
      <c r="W405" s="6">
        <v>491829</v>
      </c>
      <c r="Y405" s="6">
        <v>0</v>
      </c>
      <c r="AA405" s="6">
        <v>1958990</v>
      </c>
      <c r="AC405" s="6">
        <v>1063849</v>
      </c>
      <c r="AE405" s="6">
        <v>15063</v>
      </c>
      <c r="AG405" s="11" t="s">
        <v>540</v>
      </c>
      <c r="AH405" s="11"/>
      <c r="AI405" s="11" t="s">
        <v>66</v>
      </c>
      <c r="AJ405" s="11"/>
      <c r="AK405" s="6">
        <v>0</v>
      </c>
      <c r="AM405" s="6">
        <v>674354</v>
      </c>
      <c r="AO405" s="6">
        <v>425495</v>
      </c>
      <c r="AQ405" s="6">
        <v>648323</v>
      </c>
      <c r="AU405" s="6">
        <v>0</v>
      </c>
      <c r="AW405" s="6">
        <f t="shared" si="40"/>
        <v>17932923</v>
      </c>
      <c r="AY405" s="6">
        <f>+'St of Activites - GA Rev'!AG405-'St of Activities - GA Exp'!AW405</f>
        <v>-1042239</v>
      </c>
      <c r="BA405" s="6">
        <v>38281404</v>
      </c>
      <c r="BC405" s="6">
        <f t="shared" si="38"/>
        <v>37239165</v>
      </c>
      <c r="BE405" s="6">
        <f>+'St of Net Assets - GA'!Y405-'St of Activities - GA Exp'!BC405</f>
        <v>0</v>
      </c>
    </row>
    <row r="406" spans="1:57">
      <c r="A406" s="11" t="s">
        <v>233</v>
      </c>
      <c r="B406" s="11"/>
      <c r="C406" s="11" t="s">
        <v>17</v>
      </c>
      <c r="E406" s="6">
        <v>15058467</v>
      </c>
      <c r="G406" s="6">
        <v>3000184</v>
      </c>
      <c r="I406" s="6">
        <v>635211</v>
      </c>
      <c r="K406" s="6">
        <v>0</v>
      </c>
      <c r="M406" s="6">
        <f>22522+16495</f>
        <v>39017</v>
      </c>
      <c r="O406" s="6">
        <v>1857061</v>
      </c>
      <c r="Q406" s="6">
        <v>1662660</v>
      </c>
      <c r="S406" s="6">
        <v>70740</v>
      </c>
      <c r="U406" s="6">
        <v>2828228</v>
      </c>
      <c r="W406" s="6">
        <v>744783</v>
      </c>
      <c r="Y406" s="6">
        <v>0</v>
      </c>
      <c r="AA406" s="6">
        <v>2770352</v>
      </c>
      <c r="AC406" s="6">
        <v>2053987</v>
      </c>
      <c r="AE406" s="6">
        <v>65466</v>
      </c>
      <c r="AG406" s="11" t="s">
        <v>233</v>
      </c>
      <c r="AH406" s="11"/>
      <c r="AI406" s="11" t="s">
        <v>17</v>
      </c>
      <c r="AJ406" s="11"/>
      <c r="AK406" s="6">
        <v>0</v>
      </c>
      <c r="AM406" s="6">
        <v>1484498</v>
      </c>
      <c r="AO406" s="6">
        <v>1027415</v>
      </c>
      <c r="AQ406" s="6">
        <v>156608</v>
      </c>
      <c r="AU406" s="6">
        <v>0</v>
      </c>
      <c r="AW406" s="6">
        <f t="shared" si="40"/>
        <v>33454677</v>
      </c>
      <c r="AY406" s="6">
        <f>+'St of Activites - GA Rev'!AG406-'St of Activities - GA Exp'!AW406</f>
        <v>-2499014</v>
      </c>
      <c r="BA406" s="6">
        <v>22304895</v>
      </c>
      <c r="BC406" s="6">
        <f t="shared" si="38"/>
        <v>19805881</v>
      </c>
      <c r="BE406" s="6">
        <f>+'St of Net Assets - GA'!Y406-'St of Activities - GA Exp'!BC406</f>
        <v>0</v>
      </c>
    </row>
    <row r="407" spans="1:57" hidden="1">
      <c r="A407" s="11" t="s">
        <v>815</v>
      </c>
      <c r="B407" s="11"/>
      <c r="C407" s="11" t="s">
        <v>22</v>
      </c>
      <c r="E407" s="6">
        <v>0</v>
      </c>
      <c r="G407" s="6">
        <v>0</v>
      </c>
      <c r="I407" s="6">
        <v>0</v>
      </c>
      <c r="K407" s="6">
        <v>0</v>
      </c>
      <c r="M407" s="6">
        <v>0</v>
      </c>
      <c r="O407" s="6">
        <v>0</v>
      </c>
      <c r="Q407" s="6">
        <v>0</v>
      </c>
      <c r="S407" s="6">
        <v>0</v>
      </c>
      <c r="U407" s="6">
        <v>0</v>
      </c>
      <c r="W407" s="6">
        <v>0</v>
      </c>
      <c r="Y407" s="6">
        <v>0</v>
      </c>
      <c r="AA407" s="6">
        <v>0</v>
      </c>
      <c r="AC407" s="6">
        <v>0</v>
      </c>
      <c r="AE407" s="6">
        <v>0</v>
      </c>
      <c r="AG407" s="11" t="s">
        <v>815</v>
      </c>
      <c r="AH407" s="11"/>
      <c r="AI407" s="11" t="s">
        <v>22</v>
      </c>
      <c r="AJ407" s="11"/>
      <c r="AK407" s="6">
        <v>0</v>
      </c>
      <c r="AM407" s="6">
        <v>0</v>
      </c>
      <c r="AO407" s="6">
        <v>0</v>
      </c>
      <c r="AQ407" s="6">
        <v>0</v>
      </c>
      <c r="AU407" s="6">
        <v>0</v>
      </c>
      <c r="AW407" s="6">
        <f t="shared" si="37"/>
        <v>0</v>
      </c>
      <c r="AY407" s="6">
        <f>+'St of Activites - GA Rev'!AG407-'St of Activities - GA Exp'!AW407</f>
        <v>0</v>
      </c>
      <c r="BC407" s="6">
        <f t="shared" si="38"/>
        <v>0</v>
      </c>
      <c r="BE407" s="6">
        <f>+'St of Net Assets - GA'!Y407-'St of Activities - GA Exp'!BC407</f>
        <v>0</v>
      </c>
    </row>
    <row r="408" spans="1:57" hidden="1">
      <c r="A408" s="11" t="s">
        <v>816</v>
      </c>
      <c r="B408" s="11"/>
      <c r="C408" s="11" t="s">
        <v>451</v>
      </c>
      <c r="E408" s="6">
        <v>0</v>
      </c>
      <c r="G408" s="6">
        <v>0</v>
      </c>
      <c r="I408" s="6">
        <v>0</v>
      </c>
      <c r="K408" s="6">
        <v>0</v>
      </c>
      <c r="M408" s="6">
        <v>0</v>
      </c>
      <c r="O408" s="6">
        <v>0</v>
      </c>
      <c r="Q408" s="6">
        <v>0</v>
      </c>
      <c r="S408" s="6">
        <v>0</v>
      </c>
      <c r="U408" s="6">
        <v>0</v>
      </c>
      <c r="W408" s="6">
        <v>0</v>
      </c>
      <c r="Y408" s="6">
        <v>0</v>
      </c>
      <c r="AA408" s="6">
        <v>0</v>
      </c>
      <c r="AC408" s="6">
        <v>0</v>
      </c>
      <c r="AE408" s="6">
        <v>0</v>
      </c>
      <c r="AG408" s="11" t="s">
        <v>816</v>
      </c>
      <c r="AH408" s="11"/>
      <c r="AI408" s="11" t="s">
        <v>451</v>
      </c>
      <c r="AJ408" s="11"/>
      <c r="AK408" s="6">
        <v>0</v>
      </c>
      <c r="AM408" s="6">
        <v>0</v>
      </c>
      <c r="AO408" s="6">
        <v>0</v>
      </c>
      <c r="AQ408" s="6">
        <v>0</v>
      </c>
      <c r="AU408" s="6">
        <v>0</v>
      </c>
      <c r="AW408" s="6">
        <f t="shared" ref="AW408" si="41">SUM(E408:AV408)</f>
        <v>0</v>
      </c>
      <c r="AY408" s="6">
        <f>+'St of Activites - GA Rev'!AG408-'St of Activities - GA Exp'!AW408</f>
        <v>0</v>
      </c>
      <c r="BC408" s="6">
        <f t="shared" si="38"/>
        <v>0</v>
      </c>
    </row>
    <row r="409" spans="1:57" ht="12" customHeight="1">
      <c r="A409" s="11" t="s">
        <v>434</v>
      </c>
      <c r="B409" s="11"/>
      <c r="C409" s="11" t="s">
        <v>50</v>
      </c>
      <c r="E409" s="6">
        <v>22672312</v>
      </c>
      <c r="G409" s="6">
        <v>9827871</v>
      </c>
      <c r="I409" s="6">
        <v>185726</v>
      </c>
      <c r="K409" s="6">
        <v>0</v>
      </c>
      <c r="M409" s="6">
        <v>10380</v>
      </c>
      <c r="O409" s="6">
        <v>3674980</v>
      </c>
      <c r="Q409" s="6">
        <v>505336</v>
      </c>
      <c r="S409" s="6">
        <v>0</v>
      </c>
      <c r="U409" s="6">
        <f>62112+3320515</f>
        <v>3382627</v>
      </c>
      <c r="W409" s="6">
        <v>1004881</v>
      </c>
      <c r="Y409" s="6">
        <v>435978</v>
      </c>
      <c r="AA409" s="6">
        <v>3663844</v>
      </c>
      <c r="AC409" s="6">
        <v>2498720</v>
      </c>
      <c r="AE409" s="6">
        <v>472098</v>
      </c>
      <c r="AG409" s="11" t="s">
        <v>434</v>
      </c>
      <c r="AH409" s="11"/>
      <c r="AI409" s="11" t="s">
        <v>50</v>
      </c>
      <c r="AJ409" s="11"/>
      <c r="AK409" s="6">
        <v>0</v>
      </c>
      <c r="AM409" s="6">
        <v>3601061</v>
      </c>
      <c r="AO409" s="6">
        <v>1255609</v>
      </c>
      <c r="AQ409" s="6">
        <v>887127</v>
      </c>
      <c r="AU409" s="6">
        <v>0</v>
      </c>
      <c r="AW409" s="6">
        <f t="shared" si="37"/>
        <v>54078550</v>
      </c>
      <c r="AY409" s="6">
        <f>+'St of Activites - GA Rev'!AG409-'St of Activities - GA Exp'!AW409</f>
        <v>33968756</v>
      </c>
      <c r="BA409" s="6">
        <v>12043954</v>
      </c>
      <c r="BC409" s="6">
        <f>+AY409+BA409</f>
        <v>46012710</v>
      </c>
      <c r="BE409" s="6">
        <f>+'St of Net Assets - GA'!Y409-'St of Activities - GA Exp'!BC409</f>
        <v>0</v>
      </c>
    </row>
    <row r="410" spans="1:57">
      <c r="A410" s="11" t="s">
        <v>442</v>
      </c>
      <c r="B410" s="11"/>
      <c r="C410" s="11" t="s">
        <v>78</v>
      </c>
      <c r="E410" s="6">
        <v>6683052</v>
      </c>
      <c r="G410" s="6">
        <v>1586804</v>
      </c>
      <c r="I410" s="6">
        <v>227812</v>
      </c>
      <c r="K410" s="6">
        <v>0</v>
      </c>
      <c r="M410" s="6">
        <v>1341325</v>
      </c>
      <c r="O410" s="6">
        <v>417201</v>
      </c>
      <c r="Q410" s="6">
        <v>1041469</v>
      </c>
      <c r="S410" s="6">
        <v>22775</v>
      </c>
      <c r="U410" s="6">
        <v>1573604</v>
      </c>
      <c r="W410" s="6">
        <v>634530</v>
      </c>
      <c r="Y410" s="6">
        <v>0</v>
      </c>
      <c r="AA410" s="6">
        <v>1366077</v>
      </c>
      <c r="AC410" s="6">
        <v>1029856</v>
      </c>
      <c r="AE410" s="6">
        <v>674</v>
      </c>
      <c r="AG410" s="11" t="s">
        <v>442</v>
      </c>
      <c r="AH410" s="11"/>
      <c r="AI410" s="11" t="s">
        <v>78</v>
      </c>
      <c r="AJ410" s="11"/>
      <c r="AK410" s="6">
        <v>335019</v>
      </c>
      <c r="AM410" s="6">
        <v>575</v>
      </c>
      <c r="AO410" s="6">
        <v>489944</v>
      </c>
      <c r="AQ410" s="6">
        <v>659977</v>
      </c>
      <c r="AU410" s="6">
        <v>0</v>
      </c>
      <c r="AW410" s="6">
        <f t="shared" si="37"/>
        <v>17410694</v>
      </c>
      <c r="AY410" s="6">
        <f>+'St of Activites - GA Rev'!AG410-'St of Activities - GA Exp'!AW410</f>
        <v>-4074670</v>
      </c>
      <c r="BA410" s="6">
        <v>23375537</v>
      </c>
      <c r="BC410" s="6">
        <f t="shared" si="38"/>
        <v>19300867</v>
      </c>
      <c r="BE410" s="6">
        <f>+'St of Net Assets - GA'!Y410-'St of Activities - GA Exp'!BC410</f>
        <v>0</v>
      </c>
    </row>
    <row r="411" spans="1:57">
      <c r="A411" s="11" t="s">
        <v>378</v>
      </c>
      <c r="B411" s="11"/>
      <c r="C411" s="11" t="s">
        <v>42</v>
      </c>
      <c r="E411" s="6">
        <v>5463183</v>
      </c>
      <c r="G411" s="6">
        <v>1077752</v>
      </c>
      <c r="I411" s="6">
        <v>29165</v>
      </c>
      <c r="K411" s="6">
        <v>0</v>
      </c>
      <c r="M411" s="6">
        <v>10241</v>
      </c>
      <c r="O411" s="6">
        <v>397318</v>
      </c>
      <c r="Q411" s="6">
        <v>557033</v>
      </c>
      <c r="S411" s="6">
        <v>48900</v>
      </c>
      <c r="U411" s="6">
        <v>858046</v>
      </c>
      <c r="W411" s="6">
        <v>399595</v>
      </c>
      <c r="Y411" s="6">
        <v>0</v>
      </c>
      <c r="AA411" s="6">
        <v>1051938</v>
      </c>
      <c r="AC411" s="6">
        <v>1589866</v>
      </c>
      <c r="AE411" s="6">
        <v>124059</v>
      </c>
      <c r="AG411" s="11" t="s">
        <v>378</v>
      </c>
      <c r="AH411" s="11"/>
      <c r="AI411" s="11" t="s">
        <v>42</v>
      </c>
      <c r="AJ411" s="11"/>
      <c r="AK411" s="6">
        <v>409527</v>
      </c>
      <c r="AM411" s="6">
        <v>0</v>
      </c>
      <c r="AO411" s="6">
        <v>262252</v>
      </c>
      <c r="AQ411" s="6">
        <v>249287</v>
      </c>
      <c r="AU411" s="6">
        <v>0</v>
      </c>
      <c r="AW411" s="6">
        <f t="shared" si="37"/>
        <v>12528162</v>
      </c>
      <c r="AY411" s="6">
        <f>+'St of Activites - GA Rev'!AG411-'St of Activities - GA Exp'!AW411</f>
        <v>1600184</v>
      </c>
      <c r="BA411" s="6">
        <v>12149262</v>
      </c>
      <c r="BC411" s="6">
        <f>+AY411+BA411</f>
        <v>13749446</v>
      </c>
      <c r="BE411" s="6">
        <f>+'St of Net Assets - GA'!Y411-'St of Activities - GA Exp'!BC411</f>
        <v>0</v>
      </c>
    </row>
    <row r="412" spans="1:57">
      <c r="A412" s="11" t="s">
        <v>378</v>
      </c>
      <c r="B412" s="11"/>
      <c r="C412" s="11" t="s">
        <v>50</v>
      </c>
      <c r="E412" s="6">
        <v>10440122</v>
      </c>
      <c r="G412" s="6">
        <v>2715243</v>
      </c>
      <c r="I412" s="6">
        <v>125113</v>
      </c>
      <c r="K412" s="6">
        <v>0</v>
      </c>
      <c r="M412" s="6">
        <v>12633</v>
      </c>
      <c r="O412" s="6">
        <v>1643772</v>
      </c>
      <c r="Q412" s="6">
        <v>595291</v>
      </c>
      <c r="S412" s="6">
        <v>36116</v>
      </c>
      <c r="U412" s="6">
        <v>2130784</v>
      </c>
      <c r="W412" s="6">
        <v>416661</v>
      </c>
      <c r="Y412" s="6">
        <v>304796</v>
      </c>
      <c r="AA412" s="6">
        <v>1753916</v>
      </c>
      <c r="AC412" s="6">
        <v>946881</v>
      </c>
      <c r="AE412" s="6">
        <v>51694</v>
      </c>
      <c r="AG412" s="11" t="s">
        <v>378</v>
      </c>
      <c r="AH412" s="11"/>
      <c r="AI412" s="11" t="s">
        <v>50</v>
      </c>
      <c r="AJ412" s="11"/>
      <c r="AK412" s="6">
        <v>0</v>
      </c>
      <c r="AM412" s="6">
        <v>1159776</v>
      </c>
      <c r="AO412" s="6">
        <v>692729</v>
      </c>
      <c r="AQ412" s="6">
        <v>170042</v>
      </c>
      <c r="AU412" s="6">
        <v>0</v>
      </c>
      <c r="AW412" s="6">
        <f t="shared" si="37"/>
        <v>23195569</v>
      </c>
      <c r="AY412" s="6">
        <f>+'St of Activites - GA Rev'!AG412-'St of Activities - GA Exp'!AW412</f>
        <v>335768</v>
      </c>
      <c r="BA412" s="6">
        <v>10774338</v>
      </c>
      <c r="BC412" s="6">
        <f t="shared" si="38"/>
        <v>11110106</v>
      </c>
      <c r="BE412" s="6">
        <f>+'St of Net Assets - GA'!Y412-'St of Activities - GA Exp'!BC412</f>
        <v>0</v>
      </c>
    </row>
    <row r="413" spans="1:57">
      <c r="A413" s="11" t="s">
        <v>327</v>
      </c>
      <c r="B413" s="11"/>
      <c r="C413" s="11" t="s">
        <v>32</v>
      </c>
      <c r="E413" s="6">
        <v>38640427</v>
      </c>
      <c r="G413" s="6">
        <v>10749865</v>
      </c>
      <c r="I413" s="6">
        <v>67187</v>
      </c>
      <c r="K413" s="6">
        <v>0</v>
      </c>
      <c r="M413" s="6">
        <f>710012+61646</f>
        <v>771658</v>
      </c>
      <c r="O413" s="6">
        <v>5761067</v>
      </c>
      <c r="Q413" s="6">
        <v>6658352</v>
      </c>
      <c r="S413" s="6">
        <v>173452</v>
      </c>
      <c r="U413" s="6">
        <v>5576976</v>
      </c>
      <c r="W413" s="6">
        <v>1970661</v>
      </c>
      <c r="Y413" s="6">
        <v>449022</v>
      </c>
      <c r="AA413" s="6">
        <v>6977678</v>
      </c>
      <c r="AC413" s="6">
        <v>5030613</v>
      </c>
      <c r="AE413" s="6">
        <v>1615795</v>
      </c>
      <c r="AG413" s="11" t="s">
        <v>327</v>
      </c>
      <c r="AH413" s="11"/>
      <c r="AI413" s="11" t="s">
        <v>32</v>
      </c>
      <c r="AJ413" s="11"/>
      <c r="AK413" s="6">
        <v>0</v>
      </c>
      <c r="AM413" s="6">
        <v>6495716</v>
      </c>
      <c r="AO413" s="6">
        <v>1849366</v>
      </c>
      <c r="AQ413" s="6">
        <v>818560</v>
      </c>
      <c r="AU413" s="6">
        <v>0</v>
      </c>
      <c r="AW413" s="6">
        <f t="shared" ref="AW413:AW419" si="42">SUM(E413:AV413)</f>
        <v>93606395</v>
      </c>
      <c r="AY413" s="6">
        <f>+'St of Activites - GA Rev'!AG413-'St of Activities - GA Exp'!AW413</f>
        <v>1834190</v>
      </c>
      <c r="BA413" s="6">
        <v>38034442</v>
      </c>
      <c r="BC413" s="6">
        <f t="shared" ref="BC413:BC428" si="43">+AY413+BA413</f>
        <v>39868632</v>
      </c>
      <c r="BE413" s="6">
        <f>+'St of Net Assets - GA'!Y413-'St of Activities - GA Exp'!BC413</f>
        <v>0</v>
      </c>
    </row>
    <row r="414" spans="1:57">
      <c r="A414" s="11" t="s">
        <v>597</v>
      </c>
      <c r="B414" s="11"/>
      <c r="C414" s="11" t="s">
        <v>59</v>
      </c>
      <c r="E414" s="6">
        <v>8722338</v>
      </c>
      <c r="G414" s="6">
        <v>1391500</v>
      </c>
      <c r="I414" s="6">
        <v>86061</v>
      </c>
      <c r="K414" s="6">
        <v>0</v>
      </c>
      <c r="M414" s="6">
        <v>637784</v>
      </c>
      <c r="O414" s="6">
        <v>506025</v>
      </c>
      <c r="Q414" s="6">
        <v>1191824</v>
      </c>
      <c r="S414" s="6">
        <v>27020</v>
      </c>
      <c r="U414" s="6">
        <v>1293131</v>
      </c>
      <c r="W414" s="6">
        <v>269766</v>
      </c>
      <c r="Y414" s="6">
        <v>0</v>
      </c>
      <c r="AA414" s="6">
        <v>2249456</v>
      </c>
      <c r="AC414" s="6">
        <v>1839696</v>
      </c>
      <c r="AE414" s="6">
        <v>6226</v>
      </c>
      <c r="AG414" s="11" t="s">
        <v>597</v>
      </c>
      <c r="AH414" s="11"/>
      <c r="AI414" s="11" t="s">
        <v>59</v>
      </c>
      <c r="AJ414" s="11"/>
      <c r="AK414" s="6">
        <v>0</v>
      </c>
      <c r="AM414" s="6">
        <v>877541</v>
      </c>
      <c r="AO414" s="6">
        <v>283172</v>
      </c>
      <c r="AQ414" s="6">
        <v>159610</v>
      </c>
      <c r="AU414" s="6">
        <v>0</v>
      </c>
      <c r="AW414" s="6">
        <f t="shared" si="42"/>
        <v>19541150</v>
      </c>
      <c r="AY414" s="6">
        <f>+'St of Activites - GA Rev'!AG414-'St of Activities - GA Exp'!AW414</f>
        <v>-1062677</v>
      </c>
      <c r="BA414" s="6">
        <v>22480562</v>
      </c>
      <c r="BC414" s="6">
        <f t="shared" si="43"/>
        <v>21417885</v>
      </c>
      <c r="BE414" s="6">
        <f>+'St of Net Assets - GA'!Y414-'St of Activities - GA Exp'!BC414</f>
        <v>0</v>
      </c>
    </row>
    <row r="415" spans="1:57">
      <c r="A415" s="11" t="s">
        <v>327</v>
      </c>
      <c r="B415" s="11"/>
      <c r="C415" s="11" t="s">
        <v>62</v>
      </c>
      <c r="E415" s="6">
        <v>8887190</v>
      </c>
      <c r="G415" s="6">
        <v>2075490</v>
      </c>
      <c r="I415" s="6">
        <v>201605</v>
      </c>
      <c r="K415" s="6">
        <v>0</v>
      </c>
      <c r="M415" s="6">
        <v>150023</v>
      </c>
      <c r="O415" s="6">
        <v>679371</v>
      </c>
      <c r="Q415" s="6">
        <v>169417</v>
      </c>
      <c r="S415" s="6">
        <v>91529</v>
      </c>
      <c r="U415" s="6">
        <v>1794862</v>
      </c>
      <c r="W415" s="6">
        <v>496239</v>
      </c>
      <c r="Y415" s="6">
        <v>0</v>
      </c>
      <c r="AA415" s="6">
        <v>2088845</v>
      </c>
      <c r="AC415" s="6">
        <v>1085670</v>
      </c>
      <c r="AE415" s="6">
        <v>308700</v>
      </c>
      <c r="AG415" s="11" t="s">
        <v>327</v>
      </c>
      <c r="AH415" s="11"/>
      <c r="AI415" s="11" t="s">
        <v>62</v>
      </c>
      <c r="AJ415" s="11"/>
      <c r="AK415" s="6">
        <v>708360</v>
      </c>
      <c r="AM415" s="6">
        <v>113840</v>
      </c>
      <c r="AO415" s="6">
        <v>407094</v>
      </c>
      <c r="AQ415" s="6">
        <v>715159</v>
      </c>
      <c r="AU415" s="6">
        <v>0</v>
      </c>
      <c r="AW415" s="6">
        <f t="shared" si="42"/>
        <v>19973394</v>
      </c>
      <c r="AY415" s="6">
        <f>+'St of Activites - GA Rev'!AG415-'St of Activities - GA Exp'!AW415</f>
        <v>1523163</v>
      </c>
      <c r="BA415" s="6">
        <v>31794220</v>
      </c>
      <c r="BC415" s="6">
        <f t="shared" si="43"/>
        <v>33317383</v>
      </c>
      <c r="BE415" s="6">
        <f>+'St of Net Assets - GA'!Y415-'St of Activities - GA Exp'!BC415</f>
        <v>0</v>
      </c>
    </row>
    <row r="416" spans="1:57">
      <c r="A416" s="11" t="s">
        <v>234</v>
      </c>
      <c r="B416" s="11"/>
      <c r="C416" s="11" t="s">
        <v>17</v>
      </c>
      <c r="E416" s="6">
        <v>8202705</v>
      </c>
      <c r="G416" s="6">
        <v>2213328</v>
      </c>
      <c r="I416" s="6">
        <v>0</v>
      </c>
      <c r="K416" s="6">
        <v>0</v>
      </c>
      <c r="M416" s="6">
        <v>7062</v>
      </c>
      <c r="O416" s="6">
        <v>651166</v>
      </c>
      <c r="Q416" s="6">
        <v>773608</v>
      </c>
      <c r="S416" s="6">
        <v>66054</v>
      </c>
      <c r="U416" s="6">
        <v>1192481</v>
      </c>
      <c r="W416" s="6">
        <v>488862</v>
      </c>
      <c r="Y416" s="6">
        <v>0</v>
      </c>
      <c r="AA416" s="6">
        <v>1340356</v>
      </c>
      <c r="AC416" s="6">
        <v>1103053</v>
      </c>
      <c r="AE416" s="6">
        <v>57101</v>
      </c>
      <c r="AG416" s="11" t="s">
        <v>234</v>
      </c>
      <c r="AH416" s="11"/>
      <c r="AI416" s="11" t="s">
        <v>17</v>
      </c>
      <c r="AJ416" s="11"/>
      <c r="AK416" s="6">
        <v>640644</v>
      </c>
      <c r="AM416" s="6">
        <f>38914+402</f>
        <v>39316</v>
      </c>
      <c r="AO416" s="6">
        <v>445397</v>
      </c>
      <c r="AQ416" s="6">
        <v>1770452</v>
      </c>
      <c r="AU416" s="6">
        <v>0</v>
      </c>
      <c r="AW416" s="6">
        <f t="shared" si="42"/>
        <v>18991585</v>
      </c>
      <c r="AY416" s="6">
        <f>+'St of Activites - GA Rev'!AG416-'St of Activities - GA Exp'!AW416</f>
        <v>7243350</v>
      </c>
      <c r="BA416" s="6">
        <v>33089239</v>
      </c>
      <c r="BC416" s="6">
        <f t="shared" si="43"/>
        <v>40332589</v>
      </c>
      <c r="BE416" s="6">
        <f>+'St of Net Assets - GA'!Y416-'St of Activities - GA Exp'!BC416</f>
        <v>0</v>
      </c>
    </row>
    <row r="417" spans="1:57" hidden="1">
      <c r="A417" s="11" t="s">
        <v>739</v>
      </c>
      <c r="B417" s="11"/>
      <c r="C417" s="11" t="s">
        <v>71</v>
      </c>
      <c r="E417" s="6">
        <v>0</v>
      </c>
      <c r="G417" s="6">
        <v>0</v>
      </c>
      <c r="I417" s="6">
        <v>0</v>
      </c>
      <c r="K417" s="6">
        <v>0</v>
      </c>
      <c r="M417" s="6">
        <v>0</v>
      </c>
      <c r="O417" s="6">
        <v>0</v>
      </c>
      <c r="Q417" s="6">
        <v>0</v>
      </c>
      <c r="S417" s="6">
        <v>0</v>
      </c>
      <c r="U417" s="6">
        <v>0</v>
      </c>
      <c r="W417" s="6">
        <v>0</v>
      </c>
      <c r="Y417" s="6">
        <v>0</v>
      </c>
      <c r="AA417" s="6">
        <v>0</v>
      </c>
      <c r="AC417" s="6">
        <v>0</v>
      </c>
      <c r="AE417" s="6">
        <v>0</v>
      </c>
      <c r="AG417" s="11" t="s">
        <v>739</v>
      </c>
      <c r="AH417" s="11"/>
      <c r="AI417" s="11" t="s">
        <v>71</v>
      </c>
      <c r="AJ417" s="11"/>
      <c r="AK417" s="6">
        <v>0</v>
      </c>
      <c r="AM417" s="6">
        <v>0</v>
      </c>
      <c r="AO417" s="6">
        <v>0</v>
      </c>
      <c r="AQ417" s="6">
        <v>0</v>
      </c>
      <c r="AU417" s="6">
        <v>0</v>
      </c>
    </row>
    <row r="418" spans="1:57" hidden="1">
      <c r="A418" s="10" t="s">
        <v>882</v>
      </c>
      <c r="B418" s="11"/>
      <c r="C418" s="11" t="s">
        <v>72</v>
      </c>
      <c r="E418" s="6">
        <v>0</v>
      </c>
      <c r="G418" s="6">
        <v>0</v>
      </c>
      <c r="I418" s="6">
        <v>0</v>
      </c>
      <c r="K418" s="6">
        <v>0</v>
      </c>
      <c r="M418" s="6">
        <v>0</v>
      </c>
      <c r="O418" s="6">
        <v>0</v>
      </c>
      <c r="Q418" s="6">
        <v>0</v>
      </c>
      <c r="S418" s="6">
        <v>0</v>
      </c>
      <c r="U418" s="6">
        <v>0</v>
      </c>
      <c r="W418" s="6">
        <v>0</v>
      </c>
      <c r="Y418" s="6">
        <v>0</v>
      </c>
      <c r="AA418" s="6">
        <v>0</v>
      </c>
      <c r="AC418" s="6">
        <v>0</v>
      </c>
      <c r="AE418" s="6">
        <v>0</v>
      </c>
      <c r="AG418" s="10" t="s">
        <v>882</v>
      </c>
      <c r="AH418" s="11"/>
      <c r="AI418" s="11" t="s">
        <v>72</v>
      </c>
      <c r="AJ418" s="11"/>
      <c r="AK418" s="6">
        <v>0</v>
      </c>
      <c r="AM418" s="6">
        <v>0</v>
      </c>
      <c r="AO418" s="6">
        <v>0</v>
      </c>
      <c r="AQ418" s="6">
        <v>0</v>
      </c>
      <c r="AU418" s="6">
        <v>0</v>
      </c>
      <c r="AW418" s="6">
        <f t="shared" si="42"/>
        <v>0</v>
      </c>
      <c r="AY418" s="6">
        <f>+'St of Activites - GA Rev'!AG418-'St of Activities - GA Exp'!AW418</f>
        <v>0</v>
      </c>
      <c r="BC418" s="6">
        <f t="shared" si="43"/>
        <v>0</v>
      </c>
      <c r="BE418" s="6">
        <f>+'St of Net Assets - GA'!Y418-'St of Activities - GA Exp'!BC418</f>
        <v>0</v>
      </c>
    </row>
    <row r="419" spans="1:57">
      <c r="A419" s="11" t="s">
        <v>512</v>
      </c>
      <c r="B419" s="11"/>
      <c r="C419" s="11" t="s">
        <v>63</v>
      </c>
      <c r="E419" s="6">
        <v>10789154</v>
      </c>
      <c r="G419" s="6">
        <v>2027798</v>
      </c>
      <c r="I419" s="6">
        <v>629414</v>
      </c>
      <c r="K419" s="6">
        <v>5485</v>
      </c>
      <c r="M419" s="6">
        <v>403966</v>
      </c>
      <c r="O419" s="6">
        <v>717737</v>
      </c>
      <c r="Q419" s="6">
        <v>1190789</v>
      </c>
      <c r="S419" s="6">
        <v>45677</v>
      </c>
      <c r="U419" s="6">
        <v>1633282</v>
      </c>
      <c r="W419" s="6">
        <v>571635</v>
      </c>
      <c r="Y419" s="6">
        <v>233743</v>
      </c>
      <c r="AA419" s="6">
        <v>1755455</v>
      </c>
      <c r="AC419" s="6">
        <v>1563633</v>
      </c>
      <c r="AE419" s="6">
        <v>113405</v>
      </c>
      <c r="AG419" s="11" t="s">
        <v>512</v>
      </c>
      <c r="AH419" s="11"/>
      <c r="AI419" s="11" t="s">
        <v>63</v>
      </c>
      <c r="AJ419" s="11"/>
      <c r="AK419" s="6">
        <v>882585</v>
      </c>
      <c r="AM419" s="6">
        <v>11492</v>
      </c>
      <c r="AO419" s="6">
        <v>486769</v>
      </c>
      <c r="AQ419" s="6">
        <v>2047</v>
      </c>
      <c r="AU419" s="6">
        <v>0</v>
      </c>
      <c r="AW419" s="6">
        <f t="shared" si="42"/>
        <v>23064066</v>
      </c>
      <c r="AY419" s="6">
        <f>+'St of Activites - GA Rev'!AG419-'St of Activities - GA Exp'!AW419</f>
        <v>239339</v>
      </c>
      <c r="BA419" s="6">
        <v>10085881</v>
      </c>
      <c r="BC419" s="6">
        <f t="shared" si="43"/>
        <v>10325220</v>
      </c>
      <c r="BE419" s="6">
        <f>+'St of Net Assets - GA'!Y419-'St of Activities - GA Exp'!BC419</f>
        <v>0</v>
      </c>
    </row>
    <row r="420" spans="1:57">
      <c r="A420" s="11" t="s">
        <v>358</v>
      </c>
      <c r="B420" s="11"/>
      <c r="C420" s="11" t="s">
        <v>37</v>
      </c>
      <c r="E420" s="6">
        <v>12138191</v>
      </c>
      <c r="G420" s="6">
        <v>3323406</v>
      </c>
      <c r="I420" s="6">
        <v>91695</v>
      </c>
      <c r="K420" s="6">
        <v>46741</v>
      </c>
      <c r="M420" s="6">
        <v>1527712</v>
      </c>
      <c r="O420" s="6">
        <v>1119596</v>
      </c>
      <c r="Q420" s="6">
        <v>1893500</v>
      </c>
      <c r="S420" s="6">
        <v>70877</v>
      </c>
      <c r="U420" s="6">
        <v>1942158</v>
      </c>
      <c r="W420" s="6">
        <v>571335</v>
      </c>
      <c r="Y420" s="6">
        <v>157022</v>
      </c>
      <c r="AA420" s="6">
        <v>2529669</v>
      </c>
      <c r="AC420" s="6">
        <v>817118</v>
      </c>
      <c r="AE420" s="6">
        <v>91581</v>
      </c>
      <c r="AG420" s="11" t="s">
        <v>358</v>
      </c>
      <c r="AH420" s="11"/>
      <c r="AI420" s="11" t="s">
        <v>37</v>
      </c>
      <c r="AJ420" s="11"/>
      <c r="AK420" s="6">
        <v>1109570</v>
      </c>
      <c r="AM420" s="6">
        <v>522335</v>
      </c>
      <c r="AO420" s="6">
        <v>717452</v>
      </c>
      <c r="AQ420" s="6">
        <v>529693</v>
      </c>
      <c r="AU420" s="6">
        <v>0</v>
      </c>
      <c r="AW420" s="6">
        <f t="shared" ref="AW420:AW432" si="44">SUM(E420:AV420)</f>
        <v>29199651</v>
      </c>
      <c r="AY420" s="6">
        <f>+'St of Activites - GA Rev'!AG420-'St of Activities - GA Exp'!AW420</f>
        <v>-1988085</v>
      </c>
      <c r="BA420" s="6">
        <v>23714325</v>
      </c>
      <c r="BC420" s="6">
        <f t="shared" si="43"/>
        <v>21726240</v>
      </c>
      <c r="BE420" s="6">
        <f>+'St of Net Assets - GA'!Y420-'St of Activities - GA Exp'!BC420</f>
        <v>0</v>
      </c>
    </row>
    <row r="421" spans="1:57" hidden="1">
      <c r="A421" s="11" t="s">
        <v>817</v>
      </c>
      <c r="B421" s="11"/>
      <c r="C421" s="11" t="s">
        <v>71</v>
      </c>
      <c r="E421" s="6">
        <v>0</v>
      </c>
      <c r="G421" s="6">
        <v>0</v>
      </c>
      <c r="I421" s="6">
        <v>0</v>
      </c>
      <c r="K421" s="6">
        <v>0</v>
      </c>
      <c r="M421" s="6">
        <v>0</v>
      </c>
      <c r="O421" s="6">
        <v>0</v>
      </c>
      <c r="Q421" s="6">
        <v>0</v>
      </c>
      <c r="S421" s="6">
        <v>0</v>
      </c>
      <c r="U421" s="6">
        <v>0</v>
      </c>
      <c r="W421" s="6">
        <v>0</v>
      </c>
      <c r="Y421" s="6">
        <v>0</v>
      </c>
      <c r="AA421" s="6">
        <v>0</v>
      </c>
      <c r="AC421" s="6">
        <v>0</v>
      </c>
      <c r="AE421" s="6">
        <v>0</v>
      </c>
      <c r="AG421" s="11" t="s">
        <v>817</v>
      </c>
      <c r="AH421" s="11"/>
      <c r="AI421" s="11" t="s">
        <v>71</v>
      </c>
      <c r="AJ421" s="11"/>
      <c r="AK421" s="6">
        <v>0</v>
      </c>
      <c r="AM421" s="6">
        <v>0</v>
      </c>
      <c r="AO421" s="6">
        <v>0</v>
      </c>
      <c r="AQ421" s="6">
        <v>0</v>
      </c>
      <c r="AU421" s="6">
        <v>0</v>
      </c>
      <c r="AW421" s="6">
        <f t="shared" ref="AW421" si="45">SUM(E421:AV421)</f>
        <v>0</v>
      </c>
      <c r="AY421" s="6">
        <f>+'St of Activites - GA Rev'!AG421-'St of Activities - GA Exp'!AW421</f>
        <v>0</v>
      </c>
      <c r="BC421" s="6">
        <f t="shared" ref="BC421" si="46">+AY421+BA421</f>
        <v>0</v>
      </c>
      <c r="BE421" s="6">
        <f>+'St of Net Assets - GA'!Y421-'St of Activities - GA Exp'!BC421</f>
        <v>0</v>
      </c>
    </row>
    <row r="422" spans="1:57">
      <c r="A422" s="11" t="s">
        <v>631</v>
      </c>
      <c r="B422" s="11"/>
      <c r="C422" s="11" t="s">
        <v>32</v>
      </c>
      <c r="E422" s="6">
        <v>11933527</v>
      </c>
      <c r="G422" s="6">
        <v>3587883</v>
      </c>
      <c r="I422" s="6">
        <v>0</v>
      </c>
      <c r="K422" s="6">
        <v>0</v>
      </c>
      <c r="M422" s="6">
        <v>1058369</v>
      </c>
      <c r="O422" s="6">
        <v>1791417</v>
      </c>
      <c r="Q422" s="6">
        <v>1743760</v>
      </c>
      <c r="S422" s="6">
        <v>0</v>
      </c>
      <c r="U422" s="6">
        <f>31880+1575852</f>
        <v>1607732</v>
      </c>
      <c r="W422" s="6">
        <v>617061</v>
      </c>
      <c r="Y422" s="6">
        <v>96575</v>
      </c>
      <c r="AA422" s="6">
        <v>2137409</v>
      </c>
      <c r="AC422" s="6">
        <v>467711</v>
      </c>
      <c r="AE422" s="6">
        <v>379972</v>
      </c>
      <c r="AG422" s="11" t="s">
        <v>631</v>
      </c>
      <c r="AH422" s="11"/>
      <c r="AI422" s="11" t="s">
        <v>32</v>
      </c>
      <c r="AJ422" s="11"/>
      <c r="AK422" s="6">
        <v>0</v>
      </c>
      <c r="AM422" s="6">
        <v>1280001</v>
      </c>
      <c r="AO422" s="6">
        <v>518463</v>
      </c>
      <c r="AQ422" s="6">
        <v>238694</v>
      </c>
      <c r="AU422" s="6">
        <v>0</v>
      </c>
      <c r="AW422" s="6">
        <f t="shared" si="44"/>
        <v>27458574</v>
      </c>
      <c r="AY422" s="6">
        <f>+'St of Activites - GA Rev'!AG422-'St of Activities - GA Exp'!AW422</f>
        <v>3085808</v>
      </c>
      <c r="BA422" s="6">
        <v>8208629</v>
      </c>
      <c r="BC422" s="6">
        <f t="shared" si="43"/>
        <v>11294437</v>
      </c>
      <c r="BE422" s="6">
        <f>+'St of Net Assets - GA'!Y422-'St of Activities - GA Exp'!BC422</f>
        <v>0</v>
      </c>
    </row>
    <row r="423" spans="1:57" hidden="1">
      <c r="A423" s="11" t="s">
        <v>738</v>
      </c>
      <c r="B423" s="11"/>
      <c r="C423" s="11" t="s">
        <v>38</v>
      </c>
      <c r="E423" s="6">
        <v>0</v>
      </c>
      <c r="G423" s="6">
        <v>0</v>
      </c>
      <c r="I423" s="6">
        <v>0</v>
      </c>
      <c r="K423" s="6">
        <v>0</v>
      </c>
      <c r="M423" s="6">
        <v>0</v>
      </c>
      <c r="O423" s="6">
        <v>0</v>
      </c>
      <c r="Q423" s="6">
        <v>0</v>
      </c>
      <c r="S423" s="6">
        <v>0</v>
      </c>
      <c r="U423" s="6">
        <v>0</v>
      </c>
      <c r="W423" s="6">
        <v>0</v>
      </c>
      <c r="Y423" s="6">
        <v>0</v>
      </c>
      <c r="AA423" s="6">
        <v>0</v>
      </c>
      <c r="AC423" s="6">
        <v>0</v>
      </c>
      <c r="AE423" s="6">
        <v>0</v>
      </c>
      <c r="AG423" s="11" t="s">
        <v>738</v>
      </c>
      <c r="AH423" s="11"/>
      <c r="AI423" s="11" t="s">
        <v>38</v>
      </c>
      <c r="AJ423" s="11"/>
      <c r="AK423" s="6">
        <v>0</v>
      </c>
      <c r="AM423" s="6">
        <v>0</v>
      </c>
      <c r="AO423" s="6">
        <v>0</v>
      </c>
      <c r="AQ423" s="6">
        <v>0</v>
      </c>
      <c r="AU423" s="6">
        <v>0</v>
      </c>
    </row>
    <row r="424" spans="1:57">
      <c r="A424" s="11" t="s">
        <v>328</v>
      </c>
      <c r="B424" s="11"/>
      <c r="C424" s="11" t="s">
        <v>32</v>
      </c>
      <c r="E424" s="6">
        <v>33430393</v>
      </c>
      <c r="G424" s="6">
        <v>8422056</v>
      </c>
      <c r="I424" s="6">
        <v>149</v>
      </c>
      <c r="K424" s="6">
        <v>0</v>
      </c>
      <c r="M424" s="6">
        <v>230245</v>
      </c>
      <c r="O424" s="6">
        <v>5337790</v>
      </c>
      <c r="Q424" s="6">
        <v>5312361</v>
      </c>
      <c r="S424" s="6">
        <v>0</v>
      </c>
      <c r="U424" s="6">
        <f>730144+5009998</f>
        <v>5740142</v>
      </c>
      <c r="W424" s="6">
        <v>1245878</v>
      </c>
      <c r="Y424" s="6">
        <v>299053</v>
      </c>
      <c r="AA424" s="6">
        <v>6047467</v>
      </c>
      <c r="AC424" s="6">
        <v>3045054</v>
      </c>
      <c r="AE424" s="6">
        <v>483088</v>
      </c>
      <c r="AG424" s="11" t="s">
        <v>328</v>
      </c>
      <c r="AH424" s="11"/>
      <c r="AI424" s="11" t="s">
        <v>32</v>
      </c>
      <c r="AJ424" s="11"/>
      <c r="AK424" s="6">
        <v>0</v>
      </c>
      <c r="AM424" s="6">
        <v>4075877</v>
      </c>
      <c r="AO424" s="6">
        <v>2058361</v>
      </c>
      <c r="AQ424" s="6">
        <v>1799761</v>
      </c>
      <c r="AU424" s="6">
        <v>0</v>
      </c>
      <c r="AW424" s="6">
        <f t="shared" si="44"/>
        <v>77527675</v>
      </c>
      <c r="AY424" s="6">
        <f>+'St of Activites - GA Rev'!AG424-'St of Activities - GA Exp'!AW424</f>
        <v>-97312</v>
      </c>
      <c r="BA424" s="6">
        <v>34620698</v>
      </c>
      <c r="BC424" s="6">
        <f t="shared" si="43"/>
        <v>34523386</v>
      </c>
      <c r="BE424" s="6">
        <f>+'St of Net Assets - GA'!Y424-'St of Activities - GA Exp'!BC424</f>
        <v>0</v>
      </c>
    </row>
    <row r="425" spans="1:57">
      <c r="A425" s="11" t="s">
        <v>435</v>
      </c>
      <c r="B425" s="11"/>
      <c r="C425" s="11" t="s">
        <v>50</v>
      </c>
      <c r="E425" s="6">
        <v>12203793</v>
      </c>
      <c r="G425" s="6">
        <v>2923294</v>
      </c>
      <c r="I425" s="6">
        <v>2247</v>
      </c>
      <c r="K425" s="6">
        <v>0</v>
      </c>
      <c r="M425" s="6">
        <v>189129</v>
      </c>
      <c r="O425" s="6">
        <v>1477568</v>
      </c>
      <c r="Q425" s="6">
        <v>395649</v>
      </c>
      <c r="S425" s="6">
        <v>22431</v>
      </c>
      <c r="U425" s="6">
        <v>1911882</v>
      </c>
      <c r="W425" s="6">
        <v>758549</v>
      </c>
      <c r="Y425" s="6">
        <v>5420</v>
      </c>
      <c r="AA425" s="6">
        <v>2224443</v>
      </c>
      <c r="AC425" s="6">
        <v>242416</v>
      </c>
      <c r="AE425" s="6">
        <v>643805</v>
      </c>
      <c r="AG425" s="11" t="s">
        <v>435</v>
      </c>
      <c r="AH425" s="11"/>
      <c r="AI425" s="11" t="s">
        <v>50</v>
      </c>
      <c r="AJ425" s="11"/>
      <c r="AK425" s="6">
        <v>394215</v>
      </c>
      <c r="AM425" s="6">
        <f>244396+37118</f>
        <v>281514</v>
      </c>
      <c r="AO425" s="6">
        <v>1024728</v>
      </c>
      <c r="AQ425" s="6">
        <v>585212</v>
      </c>
      <c r="AU425" s="6">
        <v>0</v>
      </c>
      <c r="AW425" s="6">
        <f t="shared" si="44"/>
        <v>25286295</v>
      </c>
      <c r="AY425" s="6">
        <f>+'St of Activites - GA Rev'!AG425-'St of Activities - GA Exp'!AW425</f>
        <v>1016602</v>
      </c>
      <c r="BA425" s="6">
        <v>4866553</v>
      </c>
      <c r="BC425" s="6">
        <f t="shared" si="43"/>
        <v>5883155</v>
      </c>
      <c r="BE425" s="6">
        <f>+'St of Net Assets - GA'!Y425-'St of Activities - GA Exp'!BC425</f>
        <v>0</v>
      </c>
    </row>
    <row r="426" spans="1:57">
      <c r="A426" s="11" t="s">
        <v>389</v>
      </c>
      <c r="B426" s="11"/>
      <c r="C426" s="11" t="s">
        <v>44</v>
      </c>
      <c r="E426" s="6">
        <v>7251404</v>
      </c>
      <c r="G426" s="6">
        <v>1271316</v>
      </c>
      <c r="I426" s="6">
        <v>102739</v>
      </c>
      <c r="K426" s="6">
        <v>0</v>
      </c>
      <c r="M426" s="6">
        <v>16549</v>
      </c>
      <c r="O426" s="6">
        <v>1040149</v>
      </c>
      <c r="Q426" s="6">
        <v>451799</v>
      </c>
      <c r="S426" s="6">
        <v>42201</v>
      </c>
      <c r="U426" s="6">
        <v>1266098</v>
      </c>
      <c r="W426" s="6">
        <v>390944</v>
      </c>
      <c r="Y426" s="6">
        <v>101411</v>
      </c>
      <c r="AA426" s="6">
        <v>1335726</v>
      </c>
      <c r="AC426" s="6">
        <v>453510</v>
      </c>
      <c r="AE426" s="6">
        <v>52156</v>
      </c>
      <c r="AG426" s="11" t="s">
        <v>389</v>
      </c>
      <c r="AH426" s="11"/>
      <c r="AI426" s="11" t="s">
        <v>44</v>
      </c>
      <c r="AJ426" s="11"/>
      <c r="AK426" s="6">
        <v>0</v>
      </c>
      <c r="AM426" s="6">
        <v>435139</v>
      </c>
      <c r="AO426" s="6">
        <v>314179</v>
      </c>
      <c r="AQ426" s="6">
        <v>21398</v>
      </c>
      <c r="AU426" s="6">
        <v>0</v>
      </c>
      <c r="AW426" s="6">
        <f t="shared" si="44"/>
        <v>14546718</v>
      </c>
      <c r="AY426" s="6">
        <f>+'St of Activites - GA Rev'!AG426-'St of Activities - GA Exp'!AW426</f>
        <v>1025627</v>
      </c>
      <c r="BA426" s="6">
        <v>5003923</v>
      </c>
      <c r="BC426" s="6">
        <f t="shared" si="43"/>
        <v>6029550</v>
      </c>
      <c r="BE426" s="6">
        <f>+'St of Net Assets - GA'!Y426-'St of Activities - GA Exp'!BC426</f>
        <v>0</v>
      </c>
    </row>
    <row r="427" spans="1:57" ht="12" hidden="1" customHeight="1">
      <c r="A427" s="11" t="s">
        <v>614</v>
      </c>
      <c r="B427" s="11"/>
      <c r="C427" s="11" t="s">
        <v>60</v>
      </c>
      <c r="E427" s="6">
        <v>0</v>
      </c>
      <c r="G427" s="6">
        <v>0</v>
      </c>
      <c r="I427" s="6">
        <v>0</v>
      </c>
      <c r="K427" s="6">
        <v>0</v>
      </c>
      <c r="M427" s="6">
        <v>0</v>
      </c>
      <c r="O427" s="6">
        <v>0</v>
      </c>
      <c r="Q427" s="6">
        <v>0</v>
      </c>
      <c r="S427" s="6">
        <v>0</v>
      </c>
      <c r="U427" s="6">
        <v>0</v>
      </c>
      <c r="W427" s="6">
        <v>0</v>
      </c>
      <c r="Y427" s="6">
        <v>0</v>
      </c>
      <c r="AA427" s="6">
        <v>0</v>
      </c>
      <c r="AC427" s="6">
        <v>0</v>
      </c>
      <c r="AE427" s="6">
        <v>0</v>
      </c>
      <c r="AG427" s="11" t="s">
        <v>614</v>
      </c>
      <c r="AH427" s="11"/>
      <c r="AI427" s="11" t="s">
        <v>60</v>
      </c>
      <c r="AJ427" s="11"/>
      <c r="AK427" s="6">
        <v>0</v>
      </c>
      <c r="AM427" s="6">
        <v>0</v>
      </c>
      <c r="AO427" s="6">
        <v>0</v>
      </c>
      <c r="AQ427" s="6">
        <v>0</v>
      </c>
      <c r="AU427" s="6">
        <v>0</v>
      </c>
      <c r="AW427" s="6">
        <f t="shared" si="44"/>
        <v>0</v>
      </c>
      <c r="AY427" s="6">
        <f>+'St of Activites - GA Rev'!AG427-'St of Activities - GA Exp'!AW427</f>
        <v>0</v>
      </c>
      <c r="BC427" s="6">
        <f t="shared" si="43"/>
        <v>0</v>
      </c>
      <c r="BE427" s="6">
        <f>+'St of Net Assets - GA'!Y427-'St of Activities - GA Exp'!BC427</f>
        <v>0</v>
      </c>
    </row>
    <row r="428" spans="1:57">
      <c r="A428" s="11" t="s">
        <v>284</v>
      </c>
      <c r="B428" s="11"/>
      <c r="C428" s="11" t="s">
        <v>23</v>
      </c>
      <c r="E428" s="6">
        <v>93027871</v>
      </c>
      <c r="G428" s="6">
        <v>19164412</v>
      </c>
      <c r="I428" s="6">
        <v>943086</v>
      </c>
      <c r="K428" s="6">
        <v>0</v>
      </c>
      <c r="M428" s="6">
        <v>0</v>
      </c>
      <c r="O428" s="6">
        <v>7249637</v>
      </c>
      <c r="Q428" s="6">
        <v>9540075</v>
      </c>
      <c r="S428" s="6">
        <v>0</v>
      </c>
      <c r="U428" s="6">
        <f>7901994+484618</f>
        <v>8386612</v>
      </c>
      <c r="W428" s="6">
        <v>0</v>
      </c>
      <c r="Y428" s="6">
        <v>3929314</v>
      </c>
      <c r="AA428" s="6">
        <v>14176286</v>
      </c>
      <c r="AC428" s="6">
        <v>8392246</v>
      </c>
      <c r="AE428" s="6">
        <v>2572285</v>
      </c>
      <c r="AG428" s="11" t="s">
        <v>284</v>
      </c>
      <c r="AH428" s="11"/>
      <c r="AI428" s="11" t="s">
        <v>23</v>
      </c>
      <c r="AJ428" s="11"/>
      <c r="AK428" s="6">
        <v>7582076</v>
      </c>
      <c r="AM428" s="6">
        <v>462201</v>
      </c>
      <c r="AO428" s="6">
        <v>3712351</v>
      </c>
      <c r="AQ428" s="6">
        <v>17931018</v>
      </c>
      <c r="AU428" s="6">
        <v>0</v>
      </c>
      <c r="AW428" s="6">
        <f t="shared" si="44"/>
        <v>197069470</v>
      </c>
      <c r="AY428" s="6">
        <f>+'St of Activites - GA Rev'!AG428-'St of Activities - GA Exp'!AW428</f>
        <v>3758531</v>
      </c>
      <c r="BA428" s="6">
        <v>47104792</v>
      </c>
      <c r="BC428" s="6">
        <f t="shared" si="43"/>
        <v>50863323</v>
      </c>
      <c r="BE428" s="6">
        <f>+'St of Net Assets - GA'!Y428-'St of Activities - GA Exp'!BC428</f>
        <v>0</v>
      </c>
    </row>
    <row r="429" spans="1:57">
      <c r="A429" s="11" t="s">
        <v>273</v>
      </c>
      <c r="B429" s="11"/>
      <c r="C429" s="11" t="s">
        <v>20</v>
      </c>
      <c r="E429" s="6">
        <v>18081086</v>
      </c>
      <c r="G429" s="6">
        <v>6155858</v>
      </c>
      <c r="I429" s="6">
        <v>375117</v>
      </c>
      <c r="K429" s="6">
        <v>0</v>
      </c>
      <c r="M429" s="6">
        <v>152257</v>
      </c>
      <c r="O429" s="6">
        <v>1748765</v>
      </c>
      <c r="Q429" s="6">
        <v>1268351</v>
      </c>
      <c r="S429" s="6">
        <v>160443</v>
      </c>
      <c r="U429" s="6">
        <v>2487926</v>
      </c>
      <c r="W429" s="6">
        <v>1149985</v>
      </c>
      <c r="Y429" s="6">
        <v>1568</v>
      </c>
      <c r="AA429" s="6">
        <v>3658044</v>
      </c>
      <c r="AC429" s="6">
        <v>1986248</v>
      </c>
      <c r="AE429" s="6">
        <v>1058048</v>
      </c>
      <c r="AG429" s="11" t="s">
        <v>273</v>
      </c>
      <c r="AH429" s="11"/>
      <c r="AI429" s="11" t="s">
        <v>20</v>
      </c>
      <c r="AJ429" s="11"/>
      <c r="AK429" s="6">
        <v>1195601</v>
      </c>
      <c r="AM429" s="6">
        <v>9412</v>
      </c>
      <c r="AO429" s="6">
        <v>1764760</v>
      </c>
      <c r="AQ429" s="6">
        <v>886136</v>
      </c>
      <c r="AU429" s="6">
        <v>0</v>
      </c>
      <c r="AW429" s="6">
        <f t="shared" si="44"/>
        <v>42139605</v>
      </c>
      <c r="AY429" s="6">
        <f>+'St of Activites - GA Rev'!AG429-'St of Activities - GA Exp'!AW429</f>
        <v>2507314</v>
      </c>
      <c r="BA429" s="6">
        <v>29187740</v>
      </c>
      <c r="BC429" s="6">
        <f t="shared" ref="BC429:BC493" si="47">+AY429+BA429</f>
        <v>31695054</v>
      </c>
      <c r="BE429" s="6">
        <f>+'St of Net Assets - GA'!Y429-'St of Activities - GA Exp'!BC429</f>
        <v>0</v>
      </c>
    </row>
    <row r="430" spans="1:57">
      <c r="A430" s="11" t="s">
        <v>470</v>
      </c>
      <c r="B430" s="11"/>
      <c r="C430" s="11" t="s">
        <v>110</v>
      </c>
      <c r="E430" s="6">
        <v>7227096</v>
      </c>
      <c r="G430" s="6">
        <v>1461247</v>
      </c>
      <c r="I430" s="6">
        <v>283462</v>
      </c>
      <c r="K430" s="6">
        <v>0</v>
      </c>
      <c r="M430" s="6">
        <v>508070</v>
      </c>
      <c r="O430" s="6">
        <v>910076</v>
      </c>
      <c r="Q430" s="6">
        <v>1004853</v>
      </c>
      <c r="S430" s="6">
        <v>96588</v>
      </c>
      <c r="U430" s="6">
        <v>1373140</v>
      </c>
      <c r="W430" s="6">
        <v>557772</v>
      </c>
      <c r="Y430" s="6">
        <v>0</v>
      </c>
      <c r="AA430" s="6">
        <v>1941497</v>
      </c>
      <c r="AC430" s="6">
        <v>971427</v>
      </c>
      <c r="AE430" s="6">
        <v>55989</v>
      </c>
      <c r="AG430" s="11" t="s">
        <v>470</v>
      </c>
      <c r="AH430" s="11"/>
      <c r="AI430" s="11" t="s">
        <v>110</v>
      </c>
      <c r="AJ430" s="11"/>
      <c r="AK430" s="6">
        <v>819075</v>
      </c>
      <c r="AM430" s="6">
        <v>4887</v>
      </c>
      <c r="AO430" s="6">
        <v>727281</v>
      </c>
      <c r="AQ430" s="6">
        <v>693971</v>
      </c>
      <c r="AU430" s="6">
        <v>0</v>
      </c>
      <c r="AW430" s="6">
        <f t="shared" si="44"/>
        <v>18636431</v>
      </c>
      <c r="AY430" s="6">
        <f>+'St of Activites - GA Rev'!AG430-'St of Activities - GA Exp'!AW430</f>
        <v>-305094</v>
      </c>
      <c r="BA430" s="6">
        <v>15219586</v>
      </c>
      <c r="BC430" s="6">
        <f t="shared" si="47"/>
        <v>14914492</v>
      </c>
      <c r="BE430" s="6">
        <f>+'St of Net Assets - GA'!Y430-'St of Activities - GA Exp'!BC430</f>
        <v>0</v>
      </c>
    </row>
    <row r="431" spans="1:57">
      <c r="A431" s="11" t="s">
        <v>274</v>
      </c>
      <c r="B431" s="11"/>
      <c r="C431" s="11" t="s">
        <v>20</v>
      </c>
      <c r="E431" s="6">
        <v>19743967</v>
      </c>
      <c r="G431" s="6">
        <v>6766002</v>
      </c>
      <c r="I431" s="6">
        <v>449711</v>
      </c>
      <c r="K431" s="6">
        <v>0</v>
      </c>
      <c r="M431" s="6">
        <v>0</v>
      </c>
      <c r="O431" s="6">
        <v>3754396</v>
      </c>
      <c r="Q431" s="6">
        <v>4010079</v>
      </c>
      <c r="S431" s="6">
        <v>78336</v>
      </c>
      <c r="U431" s="6">
        <v>3483041</v>
      </c>
      <c r="W431" s="6">
        <v>1359152</v>
      </c>
      <c r="Y431" s="6">
        <v>597555</v>
      </c>
      <c r="AA431" s="6">
        <v>4628231</v>
      </c>
      <c r="AC431" s="6">
        <v>3696464</v>
      </c>
      <c r="AE431" s="6">
        <v>1073422</v>
      </c>
      <c r="AG431" s="11" t="s">
        <v>274</v>
      </c>
      <c r="AH431" s="11"/>
      <c r="AI431" s="11" t="s">
        <v>20</v>
      </c>
      <c r="AJ431" s="11"/>
      <c r="AK431" s="6">
        <v>742646</v>
      </c>
      <c r="AM431" s="6">
        <v>702122</v>
      </c>
      <c r="AO431" s="6">
        <v>1674468</v>
      </c>
      <c r="AQ431" s="6">
        <v>1348042</v>
      </c>
      <c r="AU431" s="6">
        <v>0</v>
      </c>
      <c r="AW431" s="6">
        <f t="shared" si="44"/>
        <v>54107634</v>
      </c>
      <c r="AY431" s="6">
        <f>+'St of Activites - GA Rev'!AG431-'St of Activities - GA Exp'!AW431</f>
        <v>665442</v>
      </c>
      <c r="BA431" s="6">
        <v>53752574</v>
      </c>
      <c r="BC431" s="6">
        <f t="shared" si="47"/>
        <v>54418016</v>
      </c>
      <c r="BE431" s="6">
        <f>+'St of Net Assets - GA'!Y431-'St of Activities - GA Exp'!BC431</f>
        <v>0</v>
      </c>
    </row>
    <row r="432" spans="1:57" ht="12" customHeight="1">
      <c r="A432" s="11" t="s">
        <v>391</v>
      </c>
      <c r="B432" s="11"/>
      <c r="C432" s="11" t="s">
        <v>115</v>
      </c>
      <c r="E432" s="6">
        <v>16497222</v>
      </c>
      <c r="G432" s="6">
        <v>5718865</v>
      </c>
      <c r="I432" s="6">
        <v>2225846</v>
      </c>
      <c r="K432" s="6">
        <v>302142</v>
      </c>
      <c r="M432" s="6">
        <v>147761</v>
      </c>
      <c r="O432" s="6">
        <v>1503162</v>
      </c>
      <c r="Q432" s="6">
        <v>2863271</v>
      </c>
      <c r="S432" s="6">
        <v>54953</v>
      </c>
      <c r="U432" s="6">
        <v>2922404</v>
      </c>
      <c r="W432" s="6">
        <v>1046472</v>
      </c>
      <c r="Y432" s="6">
        <v>331140</v>
      </c>
      <c r="AA432" s="6">
        <v>5184706</v>
      </c>
      <c r="AC432" s="6">
        <v>1925926</v>
      </c>
      <c r="AE432" s="6">
        <v>0</v>
      </c>
      <c r="AG432" s="11" t="s">
        <v>391</v>
      </c>
      <c r="AH432" s="11"/>
      <c r="AI432" s="11" t="s">
        <v>115</v>
      </c>
      <c r="AJ432" s="11"/>
      <c r="AK432" s="6">
        <v>1723169</v>
      </c>
      <c r="AM432" s="6">
        <v>347181</v>
      </c>
      <c r="AO432" s="6">
        <v>1148962</v>
      </c>
      <c r="AQ432" s="6">
        <v>1829796</v>
      </c>
      <c r="AU432" s="6">
        <v>0</v>
      </c>
      <c r="AW432" s="6">
        <f t="shared" si="44"/>
        <v>45772978</v>
      </c>
      <c r="AY432" s="6">
        <f>+'St of Activites - GA Rev'!AG432-'St of Activities - GA Exp'!AW432</f>
        <v>-1499061</v>
      </c>
      <c r="BA432" s="6">
        <v>25620569</v>
      </c>
      <c r="BC432" s="6">
        <f t="shared" si="47"/>
        <v>24121508</v>
      </c>
      <c r="BE432" s="6">
        <f>+'St of Net Assets - GA'!Y432-'St of Activities - GA Exp'!BC432</f>
        <v>0</v>
      </c>
    </row>
    <row r="433" spans="1:57" hidden="1">
      <c r="A433" s="11" t="s">
        <v>818</v>
      </c>
      <c r="B433" s="11"/>
      <c r="C433" s="11" t="s">
        <v>71</v>
      </c>
      <c r="E433" s="6">
        <v>0</v>
      </c>
      <c r="G433" s="6">
        <v>0</v>
      </c>
      <c r="I433" s="6">
        <v>0</v>
      </c>
      <c r="K433" s="6">
        <v>0</v>
      </c>
      <c r="M433" s="6">
        <v>0</v>
      </c>
      <c r="O433" s="6">
        <v>0</v>
      </c>
      <c r="Q433" s="6">
        <v>0</v>
      </c>
      <c r="S433" s="6">
        <v>0</v>
      </c>
      <c r="U433" s="6">
        <v>0</v>
      </c>
      <c r="W433" s="6">
        <v>0</v>
      </c>
      <c r="Y433" s="6">
        <v>0</v>
      </c>
      <c r="AA433" s="6">
        <v>0</v>
      </c>
      <c r="AC433" s="6">
        <v>0</v>
      </c>
      <c r="AE433" s="6">
        <v>0</v>
      </c>
      <c r="AG433" s="11" t="s">
        <v>818</v>
      </c>
      <c r="AH433" s="11"/>
      <c r="AI433" s="11" t="s">
        <v>71</v>
      </c>
      <c r="AJ433" s="11"/>
      <c r="AK433" s="6">
        <v>0</v>
      </c>
      <c r="AM433" s="6">
        <v>0</v>
      </c>
      <c r="AO433" s="6">
        <v>0</v>
      </c>
      <c r="AQ433" s="6">
        <v>0</v>
      </c>
      <c r="AU433" s="6">
        <v>0</v>
      </c>
      <c r="AW433" s="6">
        <f t="shared" ref="AW433:AW493" si="48">SUM(E433:AV433)</f>
        <v>0</v>
      </c>
      <c r="AY433" s="6">
        <f>+'St of Activites - GA Rev'!AG433-'St of Activities - GA Exp'!AW433</f>
        <v>0</v>
      </c>
      <c r="BC433" s="6">
        <f t="shared" si="47"/>
        <v>0</v>
      </c>
      <c r="BE433" s="6">
        <f>+'St of Net Assets - GA'!Y433-'St of Activities - GA Exp'!BC433</f>
        <v>0</v>
      </c>
    </row>
    <row r="434" spans="1:57" hidden="1">
      <c r="A434" s="10" t="s">
        <v>883</v>
      </c>
      <c r="B434" s="11"/>
      <c r="C434" s="11" t="s">
        <v>62</v>
      </c>
      <c r="E434" s="6">
        <v>0</v>
      </c>
      <c r="G434" s="6">
        <v>0</v>
      </c>
      <c r="I434" s="6">
        <v>0</v>
      </c>
      <c r="K434" s="6">
        <v>0</v>
      </c>
      <c r="M434" s="6">
        <v>0</v>
      </c>
      <c r="O434" s="6">
        <v>0</v>
      </c>
      <c r="Q434" s="6">
        <v>0</v>
      </c>
      <c r="S434" s="6">
        <v>0</v>
      </c>
      <c r="U434" s="6">
        <v>0</v>
      </c>
      <c r="W434" s="6">
        <v>0</v>
      </c>
      <c r="Y434" s="6">
        <v>0</v>
      </c>
      <c r="AA434" s="6">
        <v>0</v>
      </c>
      <c r="AC434" s="6">
        <v>0</v>
      </c>
      <c r="AE434" s="6">
        <v>0</v>
      </c>
      <c r="AG434" s="10" t="s">
        <v>883</v>
      </c>
      <c r="AH434" s="11"/>
      <c r="AI434" s="11" t="s">
        <v>62</v>
      </c>
      <c r="AJ434" s="11"/>
      <c r="AK434" s="6">
        <v>0</v>
      </c>
      <c r="AM434" s="6">
        <v>0</v>
      </c>
      <c r="AO434" s="6">
        <v>0</v>
      </c>
      <c r="AQ434" s="6">
        <v>0</v>
      </c>
      <c r="AU434" s="6">
        <v>0</v>
      </c>
      <c r="AW434" s="6">
        <f t="shared" si="48"/>
        <v>0</v>
      </c>
      <c r="AY434" s="6">
        <f>+'St of Activites - GA Rev'!AG434-'St of Activities - GA Exp'!AW434</f>
        <v>0</v>
      </c>
      <c r="BC434" s="6">
        <f t="shared" si="47"/>
        <v>0</v>
      </c>
      <c r="BE434" s="6">
        <f>+'St of Net Assets - GA'!Y434-'St of Activities - GA Exp'!BC434</f>
        <v>0</v>
      </c>
    </row>
    <row r="435" spans="1:57">
      <c r="A435" s="11" t="s">
        <v>557</v>
      </c>
      <c r="B435" s="11"/>
      <c r="C435" s="11" t="s">
        <v>72</v>
      </c>
      <c r="E435" s="6">
        <v>6501933</v>
      </c>
      <c r="G435" s="6">
        <v>1884165</v>
      </c>
      <c r="I435" s="6">
        <v>32368</v>
      </c>
      <c r="K435" s="6">
        <v>0</v>
      </c>
      <c r="M435" s="6">
        <v>0</v>
      </c>
      <c r="O435" s="6">
        <v>720061</v>
      </c>
      <c r="Q435" s="6">
        <v>268316</v>
      </c>
      <c r="S435" s="6">
        <v>39983</v>
      </c>
      <c r="U435" s="6">
        <v>923285</v>
      </c>
      <c r="W435" s="6">
        <v>386798</v>
      </c>
      <c r="Y435" s="6">
        <v>6246</v>
      </c>
      <c r="AA435" s="6">
        <v>990697</v>
      </c>
      <c r="AC435" s="6">
        <v>960122</v>
      </c>
      <c r="AE435" s="6">
        <v>0</v>
      </c>
      <c r="AG435" s="11" t="s">
        <v>557</v>
      </c>
      <c r="AH435" s="11"/>
      <c r="AI435" s="11" t="s">
        <v>72</v>
      </c>
      <c r="AJ435" s="11"/>
      <c r="AK435" s="6">
        <v>0</v>
      </c>
      <c r="AM435" s="6">
        <v>663786</v>
      </c>
      <c r="AO435" s="6">
        <v>375699</v>
      </c>
      <c r="AQ435" s="6">
        <v>918721</v>
      </c>
      <c r="AU435" s="6">
        <v>0</v>
      </c>
      <c r="AW435" s="6">
        <f t="shared" si="48"/>
        <v>14672180</v>
      </c>
      <c r="AY435" s="6">
        <f>+'St of Activites - GA Rev'!AG435-'St of Activities - GA Exp'!AW435</f>
        <v>937939</v>
      </c>
      <c r="BA435" s="6">
        <v>28004816</v>
      </c>
      <c r="BC435" s="6">
        <f t="shared" si="47"/>
        <v>28942755</v>
      </c>
      <c r="BE435" s="6">
        <f>+'St of Net Assets - GA'!Y435-'St of Activities - GA Exp'!BC435</f>
        <v>0</v>
      </c>
    </row>
    <row r="436" spans="1:57">
      <c r="A436" s="11" t="s">
        <v>392</v>
      </c>
      <c r="B436" s="11"/>
      <c r="C436" s="11" t="s">
        <v>115</v>
      </c>
      <c r="E436" s="6">
        <v>0</v>
      </c>
      <c r="G436" s="6">
        <v>0</v>
      </c>
      <c r="I436" s="6">
        <v>0</v>
      </c>
      <c r="K436" s="6">
        <v>0</v>
      </c>
      <c r="M436" s="6">
        <v>9011846</v>
      </c>
      <c r="O436" s="6">
        <v>670440</v>
      </c>
      <c r="Q436" s="6">
        <v>543654</v>
      </c>
      <c r="S436" s="6">
        <v>40850</v>
      </c>
      <c r="U436" s="6">
        <v>927297</v>
      </c>
      <c r="W436" s="6">
        <v>512493</v>
      </c>
      <c r="Y436" s="6">
        <v>0</v>
      </c>
      <c r="AA436" s="6">
        <v>1198165</v>
      </c>
      <c r="AC436" s="6">
        <v>51110</v>
      </c>
      <c r="AE436" s="6">
        <v>124857</v>
      </c>
      <c r="AG436" s="11" t="s">
        <v>392</v>
      </c>
      <c r="AH436" s="11"/>
      <c r="AI436" s="11" t="s">
        <v>115</v>
      </c>
      <c r="AJ436" s="11"/>
      <c r="AK436" s="6">
        <v>0</v>
      </c>
      <c r="AM436" s="6">
        <v>380111</v>
      </c>
      <c r="AO436" s="6">
        <v>726002</v>
      </c>
      <c r="AQ436" s="6">
        <v>53371</v>
      </c>
      <c r="AU436" s="6">
        <v>0</v>
      </c>
      <c r="AW436" s="6">
        <f t="shared" si="48"/>
        <v>14240196</v>
      </c>
      <c r="AY436" s="6">
        <f>+'St of Activites - GA Rev'!AG436-'St of Activities - GA Exp'!AW436</f>
        <v>586500</v>
      </c>
      <c r="BA436" s="6">
        <v>6356922</v>
      </c>
      <c r="BC436" s="6">
        <f t="shared" si="47"/>
        <v>6943422</v>
      </c>
      <c r="BE436" s="6">
        <f>+'St of Net Assets - GA'!Y436-'St of Activities - GA Exp'!BC436</f>
        <v>0</v>
      </c>
    </row>
    <row r="437" spans="1:57" ht="12" hidden="1" customHeight="1">
      <c r="A437" s="11" t="s">
        <v>710</v>
      </c>
      <c r="B437" s="11"/>
      <c r="C437" s="11" t="s">
        <v>467</v>
      </c>
      <c r="E437" s="6">
        <v>0</v>
      </c>
      <c r="G437" s="6">
        <v>0</v>
      </c>
      <c r="I437" s="6">
        <v>0</v>
      </c>
      <c r="K437" s="6">
        <v>0</v>
      </c>
      <c r="M437" s="6">
        <v>0</v>
      </c>
      <c r="O437" s="6">
        <v>0</v>
      </c>
      <c r="Q437" s="6">
        <v>0</v>
      </c>
      <c r="S437" s="6">
        <v>0</v>
      </c>
      <c r="U437" s="6">
        <v>0</v>
      </c>
      <c r="W437" s="6">
        <v>0</v>
      </c>
      <c r="Y437" s="6">
        <v>0</v>
      </c>
      <c r="AA437" s="6">
        <v>0</v>
      </c>
      <c r="AC437" s="6">
        <v>0</v>
      </c>
      <c r="AE437" s="6">
        <v>0</v>
      </c>
      <c r="AG437" s="11" t="s">
        <v>710</v>
      </c>
      <c r="AH437" s="11"/>
      <c r="AI437" s="11" t="s">
        <v>467</v>
      </c>
      <c r="AJ437" s="11"/>
      <c r="AK437" s="6">
        <v>0</v>
      </c>
      <c r="AM437" s="6">
        <v>0</v>
      </c>
      <c r="AO437" s="6">
        <v>0</v>
      </c>
      <c r="AQ437" s="6">
        <v>0</v>
      </c>
      <c r="AU437" s="6">
        <v>0</v>
      </c>
      <c r="AW437" s="6">
        <f t="shared" si="48"/>
        <v>0</v>
      </c>
      <c r="AY437" s="6">
        <f>+'St of Activites - GA Rev'!AG437-'St of Activities - GA Exp'!AW437</f>
        <v>0</v>
      </c>
      <c r="BC437" s="6">
        <f t="shared" si="47"/>
        <v>0</v>
      </c>
      <c r="BE437" s="6">
        <f>+'St of Net Assets - GA'!Y437-'St of Activities - GA Exp'!BC437</f>
        <v>0</v>
      </c>
    </row>
    <row r="438" spans="1:57" ht="12" hidden="1" customHeight="1">
      <c r="A438" s="11" t="s">
        <v>819</v>
      </c>
      <c r="B438" s="11"/>
      <c r="C438" s="11" t="s">
        <v>467</v>
      </c>
      <c r="E438" s="6">
        <v>0</v>
      </c>
      <c r="G438" s="6">
        <v>0</v>
      </c>
      <c r="I438" s="6">
        <v>0</v>
      </c>
      <c r="K438" s="6">
        <v>0</v>
      </c>
      <c r="M438" s="6">
        <v>0</v>
      </c>
      <c r="O438" s="6">
        <v>0</v>
      </c>
      <c r="Q438" s="6">
        <v>0</v>
      </c>
      <c r="S438" s="6">
        <v>0</v>
      </c>
      <c r="U438" s="6">
        <v>0</v>
      </c>
      <c r="W438" s="6">
        <v>0</v>
      </c>
      <c r="Y438" s="6">
        <v>0</v>
      </c>
      <c r="AA438" s="6">
        <v>0</v>
      </c>
      <c r="AC438" s="6">
        <v>0</v>
      </c>
      <c r="AE438" s="6">
        <v>0</v>
      </c>
      <c r="AG438" s="11" t="s">
        <v>819</v>
      </c>
      <c r="AH438" s="11"/>
      <c r="AI438" s="11" t="s">
        <v>467</v>
      </c>
      <c r="AJ438" s="11"/>
      <c r="AK438" s="6">
        <v>0</v>
      </c>
      <c r="AM438" s="6">
        <v>0</v>
      </c>
      <c r="AO438" s="6">
        <v>0</v>
      </c>
      <c r="AQ438" s="6">
        <v>0</v>
      </c>
      <c r="AU438" s="6">
        <v>0</v>
      </c>
      <c r="AW438" s="6">
        <f t="shared" si="48"/>
        <v>0</v>
      </c>
      <c r="AY438" s="6">
        <f>+'St of Activites - GA Rev'!AG438-'St of Activities - GA Exp'!AW438</f>
        <v>0</v>
      </c>
      <c r="BC438" s="6">
        <f t="shared" si="47"/>
        <v>0</v>
      </c>
      <c r="BE438" s="6">
        <f>+'St of Net Assets - GA'!Y438-'St of Activities - GA Exp'!BC438</f>
        <v>0</v>
      </c>
    </row>
    <row r="439" spans="1:57" hidden="1">
      <c r="A439" s="11" t="s">
        <v>820</v>
      </c>
      <c r="B439" s="11"/>
      <c r="C439" s="11" t="s">
        <v>41</v>
      </c>
      <c r="E439" s="6">
        <v>0</v>
      </c>
      <c r="G439" s="6">
        <v>0</v>
      </c>
      <c r="I439" s="6">
        <v>0</v>
      </c>
      <c r="K439" s="6">
        <v>0</v>
      </c>
      <c r="M439" s="6">
        <v>0</v>
      </c>
      <c r="O439" s="6">
        <v>0</v>
      </c>
      <c r="Q439" s="6">
        <v>0</v>
      </c>
      <c r="S439" s="6">
        <v>0</v>
      </c>
      <c r="U439" s="6">
        <v>0</v>
      </c>
      <c r="W439" s="6">
        <v>0</v>
      </c>
      <c r="Y439" s="6">
        <v>0</v>
      </c>
      <c r="AA439" s="6">
        <v>0</v>
      </c>
      <c r="AC439" s="6">
        <v>0</v>
      </c>
      <c r="AE439" s="6">
        <v>0</v>
      </c>
      <c r="AG439" s="11" t="s">
        <v>820</v>
      </c>
      <c r="AH439" s="11"/>
      <c r="AI439" s="11" t="s">
        <v>41</v>
      </c>
      <c r="AJ439" s="11"/>
      <c r="AK439" s="6">
        <v>0</v>
      </c>
      <c r="AM439" s="6">
        <v>0</v>
      </c>
      <c r="AO439" s="6">
        <v>0</v>
      </c>
      <c r="AQ439" s="6">
        <v>0</v>
      </c>
      <c r="AU439" s="6">
        <v>0</v>
      </c>
      <c r="AW439" s="6">
        <f t="shared" si="48"/>
        <v>0</v>
      </c>
      <c r="AY439" s="6">
        <f>+'St of Activites - GA Rev'!AG439-'St of Activities - GA Exp'!AW439</f>
        <v>0</v>
      </c>
      <c r="BC439" s="6">
        <f t="shared" si="47"/>
        <v>0</v>
      </c>
      <c r="BE439" s="6">
        <f>+'St of Net Assets - GA'!Y439-'St of Activities - GA Exp'!BC439</f>
        <v>0</v>
      </c>
    </row>
    <row r="440" spans="1:57" ht="12" hidden="1" customHeight="1">
      <c r="A440" s="11" t="s">
        <v>784</v>
      </c>
      <c r="B440" s="11"/>
      <c r="C440" s="11" t="s">
        <v>41</v>
      </c>
      <c r="E440" s="6">
        <v>0</v>
      </c>
      <c r="G440" s="6">
        <v>0</v>
      </c>
      <c r="I440" s="6">
        <v>0</v>
      </c>
      <c r="K440" s="6">
        <v>0</v>
      </c>
      <c r="M440" s="6">
        <v>0</v>
      </c>
      <c r="O440" s="6">
        <v>0</v>
      </c>
      <c r="Q440" s="6">
        <v>0</v>
      </c>
      <c r="S440" s="6">
        <v>0</v>
      </c>
      <c r="U440" s="6">
        <v>0</v>
      </c>
      <c r="W440" s="6">
        <v>0</v>
      </c>
      <c r="Y440" s="6">
        <v>0</v>
      </c>
      <c r="AA440" s="6">
        <v>0</v>
      </c>
      <c r="AC440" s="6">
        <v>0</v>
      </c>
      <c r="AE440" s="6">
        <v>0</v>
      </c>
      <c r="AG440" s="11" t="s">
        <v>784</v>
      </c>
      <c r="AH440" s="11"/>
      <c r="AI440" s="11" t="s">
        <v>41</v>
      </c>
      <c r="AJ440" s="11"/>
      <c r="AK440" s="6">
        <v>0</v>
      </c>
      <c r="AM440" s="6">
        <v>0</v>
      </c>
      <c r="AO440" s="6">
        <v>0</v>
      </c>
      <c r="AQ440" s="6">
        <v>0</v>
      </c>
      <c r="AU440" s="6">
        <v>0</v>
      </c>
      <c r="AW440" s="6">
        <f t="shared" si="48"/>
        <v>0</v>
      </c>
      <c r="AY440" s="6">
        <f>+'St of Activites - GA Rev'!AG440-'St of Activities - GA Exp'!AW440</f>
        <v>0</v>
      </c>
      <c r="BC440" s="6">
        <f t="shared" si="47"/>
        <v>0</v>
      </c>
      <c r="BE440" s="6">
        <f>+'St of Net Assets - GA'!Y440-'St of Activities - GA Exp'!BC440</f>
        <v>0</v>
      </c>
    </row>
    <row r="441" spans="1:57" ht="12" customHeight="1">
      <c r="A441" s="11" t="s">
        <v>475</v>
      </c>
      <c r="B441" s="11"/>
      <c r="C441" s="11" t="s">
        <v>58</v>
      </c>
      <c r="E441" s="6">
        <v>5379733</v>
      </c>
      <c r="G441" s="6">
        <v>1717022</v>
      </c>
      <c r="I441" s="6">
        <v>4152</v>
      </c>
      <c r="K441" s="6">
        <v>0</v>
      </c>
      <c r="M441" s="6">
        <v>1118615</v>
      </c>
      <c r="O441" s="6">
        <v>326128</v>
      </c>
      <c r="Q441" s="6">
        <v>156492</v>
      </c>
      <c r="S441" s="6">
        <v>184713</v>
      </c>
      <c r="U441" s="6">
        <v>695764</v>
      </c>
      <c r="W441" s="6">
        <v>323480</v>
      </c>
      <c r="Y441" s="6">
        <v>0</v>
      </c>
      <c r="AA441" s="6">
        <v>1041420</v>
      </c>
      <c r="AC441" s="6">
        <v>684167</v>
      </c>
      <c r="AE441" s="6">
        <v>17455</v>
      </c>
      <c r="AG441" s="11" t="s">
        <v>475</v>
      </c>
      <c r="AH441" s="11"/>
      <c r="AI441" s="11" t="s">
        <v>58</v>
      </c>
      <c r="AJ441" s="11"/>
      <c r="AK441" s="6">
        <v>0</v>
      </c>
      <c r="AM441" s="6">
        <v>380497</v>
      </c>
      <c r="AO441" s="6">
        <v>356130</v>
      </c>
      <c r="AQ441" s="6">
        <v>38383</v>
      </c>
      <c r="AU441" s="6">
        <v>0</v>
      </c>
      <c r="AW441" s="6">
        <f t="shared" si="48"/>
        <v>12424151</v>
      </c>
      <c r="AY441" s="6">
        <f>+'St of Activites - GA Rev'!AG441-'St of Activities - GA Exp'!AW441</f>
        <v>-1235331</v>
      </c>
      <c r="BA441" s="6">
        <v>19552828</v>
      </c>
      <c r="BC441" s="6">
        <f t="shared" si="47"/>
        <v>18317497</v>
      </c>
      <c r="BE441" s="6">
        <f>+'St of Net Assets - GA'!Y441-'St of Activities - GA Exp'!BC441</f>
        <v>0</v>
      </c>
    </row>
    <row r="442" spans="1:57" ht="12" hidden="1" customHeight="1">
      <c r="A442" s="11" t="s">
        <v>686</v>
      </c>
      <c r="B442" s="11"/>
      <c r="C442" s="11" t="s">
        <v>467</v>
      </c>
      <c r="E442" s="6">
        <v>0</v>
      </c>
      <c r="G442" s="6">
        <v>0</v>
      </c>
      <c r="I442" s="6">
        <v>0</v>
      </c>
      <c r="K442" s="6">
        <v>0</v>
      </c>
      <c r="M442" s="6">
        <v>0</v>
      </c>
      <c r="O442" s="6">
        <v>0</v>
      </c>
      <c r="Q442" s="6">
        <v>0</v>
      </c>
      <c r="S442" s="6">
        <v>0</v>
      </c>
      <c r="U442" s="6">
        <v>0</v>
      </c>
      <c r="W442" s="6">
        <v>0</v>
      </c>
      <c r="Y442" s="6">
        <v>0</v>
      </c>
      <c r="AA442" s="6">
        <v>0</v>
      </c>
      <c r="AC442" s="6">
        <v>0</v>
      </c>
      <c r="AE442" s="6">
        <v>0</v>
      </c>
      <c r="AG442" s="11" t="s">
        <v>686</v>
      </c>
      <c r="AH442" s="11"/>
      <c r="AI442" s="11" t="s">
        <v>467</v>
      </c>
      <c r="AJ442" s="11"/>
      <c r="AK442" s="6">
        <v>0</v>
      </c>
      <c r="AM442" s="6">
        <v>0</v>
      </c>
      <c r="AO442" s="6">
        <v>0</v>
      </c>
      <c r="AQ442" s="6">
        <v>0</v>
      </c>
      <c r="AU442" s="6">
        <v>0</v>
      </c>
      <c r="AW442" s="6">
        <f t="shared" si="48"/>
        <v>0</v>
      </c>
      <c r="AY442" s="6">
        <f>+'St of Activites - GA Rev'!AG442-'St of Activities - GA Exp'!AW442</f>
        <v>0</v>
      </c>
      <c r="BC442" s="6">
        <f t="shared" si="47"/>
        <v>0</v>
      </c>
      <c r="BE442" s="6">
        <f>+'St of Net Assets - GA'!Y442-'St of Activities - GA Exp'!BC442</f>
        <v>0</v>
      </c>
    </row>
    <row r="443" spans="1:57" ht="12" hidden="1" customHeight="1">
      <c r="A443" s="11" t="s">
        <v>687</v>
      </c>
      <c r="B443" s="11"/>
      <c r="C443" s="11" t="s">
        <v>422</v>
      </c>
      <c r="E443" s="6">
        <v>0</v>
      </c>
      <c r="G443" s="6">
        <v>0</v>
      </c>
      <c r="I443" s="6">
        <v>0</v>
      </c>
      <c r="K443" s="6">
        <v>0</v>
      </c>
      <c r="M443" s="6">
        <v>0</v>
      </c>
      <c r="O443" s="6">
        <v>0</v>
      </c>
      <c r="Q443" s="6">
        <v>0</v>
      </c>
      <c r="S443" s="6">
        <v>0</v>
      </c>
      <c r="U443" s="6">
        <v>0</v>
      </c>
      <c r="W443" s="6">
        <v>0</v>
      </c>
      <c r="Y443" s="6">
        <v>0</v>
      </c>
      <c r="AA443" s="6">
        <v>0</v>
      </c>
      <c r="AC443" s="6">
        <v>0</v>
      </c>
      <c r="AE443" s="6">
        <v>0</v>
      </c>
      <c r="AG443" s="11" t="s">
        <v>687</v>
      </c>
      <c r="AH443" s="11"/>
      <c r="AI443" s="11" t="s">
        <v>422</v>
      </c>
      <c r="AJ443" s="11"/>
      <c r="AK443" s="6">
        <v>0</v>
      </c>
      <c r="AM443" s="6">
        <v>0</v>
      </c>
      <c r="AO443" s="6">
        <v>0</v>
      </c>
      <c r="AQ443" s="6">
        <v>0</v>
      </c>
      <c r="AU443" s="6">
        <v>0</v>
      </c>
      <c r="AW443" s="6">
        <f t="shared" si="48"/>
        <v>0</v>
      </c>
      <c r="AY443" s="6">
        <f>+'St of Activites - GA Rev'!AG443-'St of Activities - GA Exp'!AW443</f>
        <v>0</v>
      </c>
      <c r="BC443" s="6">
        <f t="shared" si="47"/>
        <v>0</v>
      </c>
      <c r="BE443" s="6">
        <f>+'St of Net Assets - GA'!Y443-'St of Activities - GA Exp'!BC443</f>
        <v>0</v>
      </c>
    </row>
    <row r="444" spans="1:57">
      <c r="A444" s="11" t="s">
        <v>275</v>
      </c>
      <c r="B444" s="11"/>
      <c r="C444" s="11" t="s">
        <v>20</v>
      </c>
      <c r="E444" s="6">
        <v>61042653</v>
      </c>
      <c r="G444" s="6">
        <v>21351932</v>
      </c>
      <c r="I444" s="6">
        <v>2945537</v>
      </c>
      <c r="K444" s="6">
        <v>898408</v>
      </c>
      <c r="M444" s="6">
        <v>235126</v>
      </c>
      <c r="O444" s="6">
        <v>11334914</v>
      </c>
      <c r="Q444" s="6">
        <v>9340155</v>
      </c>
      <c r="S444" s="6">
        <v>782556</v>
      </c>
      <c r="U444" s="6">
        <v>10207386</v>
      </c>
      <c r="W444" s="6">
        <v>2818955</v>
      </c>
      <c r="Y444" s="6">
        <v>990593</v>
      </c>
      <c r="AA444" s="6">
        <v>9944179</v>
      </c>
      <c r="AC444" s="6">
        <v>5519009</v>
      </c>
      <c r="AE444" s="6">
        <v>2942237</v>
      </c>
      <c r="AG444" s="11" t="s">
        <v>275</v>
      </c>
      <c r="AH444" s="11"/>
      <c r="AI444" s="11" t="s">
        <v>20</v>
      </c>
      <c r="AJ444" s="11"/>
      <c r="AK444" s="6">
        <v>0</v>
      </c>
      <c r="AM444" s="6">
        <v>3053369</v>
      </c>
      <c r="AO444" s="6">
        <v>3193982</v>
      </c>
      <c r="AQ444" s="6">
        <v>1519513</v>
      </c>
      <c r="AU444" s="6">
        <v>0</v>
      </c>
      <c r="AW444" s="6">
        <f t="shared" si="48"/>
        <v>148120504</v>
      </c>
      <c r="AY444" s="6">
        <f>+'St of Activites - GA Rev'!AG444-'St of Activities - GA Exp'!AW444</f>
        <v>8667831</v>
      </c>
      <c r="BA444" s="6">
        <v>41436350</v>
      </c>
      <c r="BC444" s="6">
        <f t="shared" si="47"/>
        <v>50104181</v>
      </c>
      <c r="BE444" s="6">
        <f>+'St of Net Assets - GA'!Y444-'St of Activities - GA Exp'!BC444</f>
        <v>0</v>
      </c>
    </row>
    <row r="445" spans="1:57">
      <c r="A445" s="11" t="s">
        <v>347</v>
      </c>
      <c r="B445" s="11"/>
      <c r="C445" s="11" t="s">
        <v>34</v>
      </c>
      <c r="E445" s="6">
        <v>4206330</v>
      </c>
      <c r="G445" s="6">
        <v>1015389</v>
      </c>
      <c r="I445" s="6">
        <v>52607</v>
      </c>
      <c r="K445" s="6">
        <v>0</v>
      </c>
      <c r="M445" s="6">
        <f>714+527901</f>
        <v>528615</v>
      </c>
      <c r="O445" s="6">
        <v>551775</v>
      </c>
      <c r="Q445" s="6">
        <v>748025</v>
      </c>
      <c r="S445" s="6">
        <v>37395</v>
      </c>
      <c r="U445" s="6">
        <v>1212427</v>
      </c>
      <c r="W445" s="6">
        <v>376293</v>
      </c>
      <c r="Y445" s="6">
        <v>232117</v>
      </c>
      <c r="AA445" s="6">
        <v>907697</v>
      </c>
      <c r="AC445" s="6">
        <v>699761</v>
      </c>
      <c r="AE445" s="6">
        <v>221581</v>
      </c>
      <c r="AG445" s="11" t="s">
        <v>347</v>
      </c>
      <c r="AH445" s="11"/>
      <c r="AI445" s="11" t="s">
        <v>34</v>
      </c>
      <c r="AJ445" s="11"/>
      <c r="AK445" s="6">
        <v>0</v>
      </c>
      <c r="AM445" s="6">
        <v>508746</v>
      </c>
      <c r="AO445" s="6">
        <v>406464</v>
      </c>
      <c r="AQ445" s="6">
        <v>302519</v>
      </c>
      <c r="AU445" s="6">
        <v>84325</v>
      </c>
      <c r="AW445" s="6">
        <f t="shared" si="48"/>
        <v>12092066</v>
      </c>
      <c r="AY445" s="6">
        <f>+'St of Activites - GA Rev'!AG445-'St of Activities - GA Exp'!AW445</f>
        <v>-56589</v>
      </c>
      <c r="BA445" s="6">
        <v>11233717</v>
      </c>
      <c r="BC445" s="6">
        <f t="shared" si="47"/>
        <v>11177128</v>
      </c>
      <c r="BE445" s="6">
        <f>+'St of Net Assets - GA'!Y445-'St of Activities - GA Exp'!BC445</f>
        <v>0</v>
      </c>
    </row>
    <row r="446" spans="1:57" ht="12" hidden="1" customHeight="1">
      <c r="A446" s="11" t="s">
        <v>775</v>
      </c>
      <c r="B446" s="11"/>
      <c r="C446" s="11" t="s">
        <v>450</v>
      </c>
      <c r="AG446" s="11" t="s">
        <v>775</v>
      </c>
      <c r="AH446" s="11"/>
      <c r="AI446" s="11" t="s">
        <v>450</v>
      </c>
      <c r="AJ446" s="11"/>
      <c r="AW446" s="6">
        <f>SUM(E446:AV446)</f>
        <v>0</v>
      </c>
      <c r="AY446" s="6">
        <f>+'St of Activites - GA Rev'!AG446-'St of Activities - GA Exp'!AW446</f>
        <v>0</v>
      </c>
      <c r="BC446" s="6">
        <f t="shared" si="47"/>
        <v>0</v>
      </c>
      <c r="BE446" s="6">
        <f>+'St of Net Assets - GA'!Y446-'St of Activities - GA Exp'!BC446</f>
        <v>0</v>
      </c>
    </row>
    <row r="447" spans="1:57">
      <c r="A447" s="11" t="s">
        <v>289</v>
      </c>
      <c r="B447" s="11"/>
      <c r="C447" s="11" t="s">
        <v>24</v>
      </c>
      <c r="E447" s="6">
        <v>12670579</v>
      </c>
      <c r="G447" s="6">
        <v>3096021</v>
      </c>
      <c r="I447" s="6">
        <v>204580</v>
      </c>
      <c r="K447" s="6">
        <v>0</v>
      </c>
      <c r="M447" s="6">
        <v>762357</v>
      </c>
      <c r="O447" s="6">
        <v>1892626</v>
      </c>
      <c r="Q447" s="6">
        <v>1815748</v>
      </c>
      <c r="S447" s="6">
        <v>75565</v>
      </c>
      <c r="U447" s="6">
        <v>1568682</v>
      </c>
      <c r="W447" s="6">
        <v>556160</v>
      </c>
      <c r="Y447" s="6">
        <v>0</v>
      </c>
      <c r="AA447" s="6">
        <v>1905955</v>
      </c>
      <c r="AC447" s="6">
        <v>1041008</v>
      </c>
      <c r="AE447" s="6">
        <v>158598</v>
      </c>
      <c r="AG447" s="11" t="s">
        <v>289</v>
      </c>
      <c r="AH447" s="11"/>
      <c r="AI447" s="11" t="s">
        <v>24</v>
      </c>
      <c r="AJ447" s="11"/>
      <c r="AK447" s="6">
        <v>896932</v>
      </c>
      <c r="AM447" s="6">
        <v>52303</v>
      </c>
      <c r="AO447" s="6">
        <v>732186</v>
      </c>
      <c r="AQ447" s="6">
        <v>99863</v>
      </c>
      <c r="AU447" s="6">
        <v>0</v>
      </c>
      <c r="AW447" s="6">
        <f>SUM(E447:AV447)</f>
        <v>27529163</v>
      </c>
      <c r="AY447" s="6">
        <f>+'St of Activites - GA Rev'!AG447-'St of Activities - GA Exp'!AW447</f>
        <v>-1108801</v>
      </c>
      <c r="BA447" s="6">
        <v>13578232</v>
      </c>
      <c r="BC447" s="6">
        <f t="shared" si="47"/>
        <v>12469431</v>
      </c>
      <c r="BE447" s="6">
        <f>+'St of Net Assets - GA'!Y447-'St of Activities - GA Exp'!BC447</f>
        <v>0</v>
      </c>
    </row>
    <row r="448" spans="1:57" hidden="1">
      <c r="A448" s="11" t="s">
        <v>688</v>
      </c>
      <c r="B448" s="11"/>
      <c r="C448" s="11" t="s">
        <v>10</v>
      </c>
      <c r="E448" s="6">
        <v>0</v>
      </c>
      <c r="G448" s="6">
        <v>0</v>
      </c>
      <c r="I448" s="6">
        <v>0</v>
      </c>
      <c r="K448" s="6">
        <v>0</v>
      </c>
      <c r="M448" s="6">
        <v>0</v>
      </c>
      <c r="O448" s="6">
        <v>0</v>
      </c>
      <c r="Q448" s="6">
        <v>0</v>
      </c>
      <c r="S448" s="6">
        <v>0</v>
      </c>
      <c r="U448" s="6">
        <v>0</v>
      </c>
      <c r="W448" s="6">
        <v>0</v>
      </c>
      <c r="Y448" s="6">
        <v>0</v>
      </c>
      <c r="AA448" s="6">
        <v>0</v>
      </c>
      <c r="AC448" s="6">
        <v>0</v>
      </c>
      <c r="AE448" s="6">
        <v>0</v>
      </c>
      <c r="AG448" s="11" t="s">
        <v>688</v>
      </c>
      <c r="AH448" s="11"/>
      <c r="AI448" s="11" t="s">
        <v>10</v>
      </c>
      <c r="AJ448" s="11"/>
      <c r="AK448" s="6">
        <v>0</v>
      </c>
      <c r="AM448" s="6">
        <v>0</v>
      </c>
      <c r="AO448" s="6">
        <v>0</v>
      </c>
      <c r="AQ448" s="6">
        <v>0</v>
      </c>
      <c r="AU448" s="6">
        <v>0</v>
      </c>
      <c r="AW448" s="6">
        <f>SUM(E448:AV448)</f>
        <v>0</v>
      </c>
      <c r="AY448" s="6">
        <f>+'St of Activites - GA Rev'!AG448-'St of Activities - GA Exp'!AW448</f>
        <v>0</v>
      </c>
      <c r="BC448" s="6">
        <f t="shared" si="47"/>
        <v>0</v>
      </c>
      <c r="BE448" s="6">
        <f>+'St of Net Assets - GA'!Y448-'St of Activities - GA Exp'!BC448</f>
        <v>0</v>
      </c>
    </row>
    <row r="449" spans="1:57" ht="12" customHeight="1">
      <c r="A449" s="11" t="s">
        <v>202</v>
      </c>
      <c r="B449" s="11"/>
      <c r="C449" s="11" t="s">
        <v>41</v>
      </c>
      <c r="E449" s="6">
        <v>14775452</v>
      </c>
      <c r="G449" s="6">
        <v>419003</v>
      </c>
      <c r="I449" s="6">
        <v>214312</v>
      </c>
      <c r="K449" s="6">
        <v>0</v>
      </c>
      <c r="M449" s="6">
        <v>1952751</v>
      </c>
      <c r="O449" s="6">
        <v>1594309</v>
      </c>
      <c r="Q449" s="6">
        <v>1667882</v>
      </c>
      <c r="S449" s="6">
        <v>89755</v>
      </c>
      <c r="U449" s="6">
        <v>1538501</v>
      </c>
      <c r="W449" s="6">
        <v>726958</v>
      </c>
      <c r="Y449" s="6">
        <v>252428</v>
      </c>
      <c r="AA449" s="6">
        <v>4181347</v>
      </c>
      <c r="AC449" s="6">
        <v>1404686</v>
      </c>
      <c r="AE449" s="6">
        <v>22819</v>
      </c>
      <c r="AG449" s="11" t="s">
        <v>202</v>
      </c>
      <c r="AH449" s="11"/>
      <c r="AI449" s="11" t="s">
        <v>41</v>
      </c>
      <c r="AJ449" s="11"/>
      <c r="AK449" s="6">
        <v>1016111</v>
      </c>
      <c r="AM449" s="6">
        <f>174279+9526</f>
        <v>183805</v>
      </c>
      <c r="AO449" s="6">
        <v>1445840</v>
      </c>
      <c r="AQ449" s="6">
        <v>41893</v>
      </c>
      <c r="AU449" s="6">
        <v>0</v>
      </c>
      <c r="AW449" s="6">
        <f t="shared" si="48"/>
        <v>31527852</v>
      </c>
      <c r="AY449" s="6">
        <f>+'St of Activites - GA Rev'!AG449-'St of Activities - GA Exp'!AW449</f>
        <v>-3978826</v>
      </c>
      <c r="BA449" s="6">
        <v>78183069</v>
      </c>
      <c r="BC449" s="6">
        <f t="shared" si="47"/>
        <v>74204243</v>
      </c>
      <c r="BE449" s="6">
        <f>+'St of Net Assets - GA'!Y449-'St of Activities - GA Exp'!BC449</f>
        <v>0</v>
      </c>
    </row>
    <row r="450" spans="1:57">
      <c r="A450" s="11" t="s">
        <v>202</v>
      </c>
      <c r="B450" s="11"/>
      <c r="C450" s="11" t="s">
        <v>62</v>
      </c>
      <c r="E450" s="6">
        <v>19689218</v>
      </c>
      <c r="G450" s="6">
        <v>3972651</v>
      </c>
      <c r="I450" s="6">
        <v>1918986</v>
      </c>
      <c r="K450" s="6">
        <v>9216</v>
      </c>
      <c r="M450" s="6">
        <v>146221</v>
      </c>
      <c r="O450" s="6">
        <v>2982877</v>
      </c>
      <c r="Q450" s="6">
        <v>1986830</v>
      </c>
      <c r="S450" s="6">
        <v>146958</v>
      </c>
      <c r="U450" s="6">
        <v>2953982</v>
      </c>
      <c r="W450" s="6">
        <v>780596</v>
      </c>
      <c r="Y450" s="6">
        <v>239562</v>
      </c>
      <c r="AA450" s="6">
        <v>3864868</v>
      </c>
      <c r="AC450" s="6">
        <v>2252043</v>
      </c>
      <c r="AE450" s="6">
        <v>581432</v>
      </c>
      <c r="AG450" s="11" t="s">
        <v>202</v>
      </c>
      <c r="AH450" s="11"/>
      <c r="AI450" s="11" t="s">
        <v>62</v>
      </c>
      <c r="AJ450" s="11"/>
      <c r="AK450" s="6">
        <v>0</v>
      </c>
      <c r="AM450" s="6">
        <v>2163285</v>
      </c>
      <c r="AO450" s="6">
        <v>1259971</v>
      </c>
      <c r="AQ450" s="6">
        <v>13482</v>
      </c>
      <c r="AU450" s="6">
        <v>0</v>
      </c>
      <c r="AW450" s="6">
        <f>SUM(E450:AV450)</f>
        <v>44962178</v>
      </c>
      <c r="AY450" s="6">
        <f>+'St of Activites - GA Rev'!AG450-'St of Activities - GA Exp'!AW450</f>
        <v>-651630</v>
      </c>
      <c r="BA450" s="6">
        <v>44883518</v>
      </c>
      <c r="BC450" s="6">
        <f t="shared" si="47"/>
        <v>44231888</v>
      </c>
      <c r="BE450" s="6">
        <f>+'St of Net Assets - GA'!Y450-'St of Activities - GA Exp'!BC450</f>
        <v>0</v>
      </c>
    </row>
    <row r="451" spans="1:57">
      <c r="A451" s="11" t="s">
        <v>776</v>
      </c>
      <c r="B451" s="11"/>
      <c r="C451" s="11" t="s">
        <v>72</v>
      </c>
      <c r="E451" s="6">
        <v>23398016</v>
      </c>
      <c r="G451" s="6">
        <v>4958544</v>
      </c>
      <c r="I451" s="6">
        <v>93713</v>
      </c>
      <c r="K451" s="6">
        <v>0</v>
      </c>
      <c r="M451" s="6">
        <v>0</v>
      </c>
      <c r="O451" s="6">
        <v>2464068</v>
      </c>
      <c r="Q451" s="6">
        <v>683682</v>
      </c>
      <c r="S451" s="6">
        <v>33279</v>
      </c>
      <c r="U451" s="6">
        <v>3118448</v>
      </c>
      <c r="W451" s="6">
        <v>957231</v>
      </c>
      <c r="Y451" s="6">
        <v>47437</v>
      </c>
      <c r="AA451" s="6">
        <v>4015075</v>
      </c>
      <c r="AC451" s="6">
        <v>1674209</v>
      </c>
      <c r="AE451" s="6">
        <v>870805</v>
      </c>
      <c r="AG451" s="11" t="s">
        <v>776</v>
      </c>
      <c r="AH451" s="11"/>
      <c r="AI451" s="11" t="s">
        <v>72</v>
      </c>
      <c r="AJ451" s="11"/>
      <c r="AK451" s="6">
        <v>1759914</v>
      </c>
      <c r="AM451" s="6">
        <v>276252</v>
      </c>
      <c r="AO451" s="6">
        <v>1685645</v>
      </c>
      <c r="AQ451" s="6">
        <v>1379100</v>
      </c>
      <c r="AU451" s="6">
        <v>0</v>
      </c>
      <c r="AW451" s="6">
        <f t="shared" si="48"/>
        <v>47415418</v>
      </c>
      <c r="AY451" s="6">
        <f>+'St of Activites - GA Rev'!AG451-'St of Activities - GA Exp'!AW451</f>
        <v>-2203652</v>
      </c>
      <c r="BA451" s="6">
        <v>23435365</v>
      </c>
      <c r="BC451" s="6">
        <f t="shared" si="47"/>
        <v>21231713</v>
      </c>
      <c r="BE451" s="6">
        <f>+'St of Net Assets - GA'!Y451-'St of Activities - GA Exp'!BC451</f>
        <v>0</v>
      </c>
    </row>
    <row r="452" spans="1:57" hidden="1">
      <c r="A452" s="11" t="s">
        <v>896</v>
      </c>
      <c r="B452" s="11"/>
      <c r="C452" s="11" t="s">
        <v>28</v>
      </c>
      <c r="E452" s="6">
        <v>0</v>
      </c>
      <c r="G452" s="6">
        <v>0</v>
      </c>
      <c r="I452" s="6">
        <v>0</v>
      </c>
      <c r="K452" s="6">
        <v>0</v>
      </c>
      <c r="M452" s="6">
        <v>0</v>
      </c>
      <c r="O452" s="6">
        <v>0</v>
      </c>
      <c r="Q452" s="6">
        <v>0</v>
      </c>
      <c r="S452" s="6">
        <v>0</v>
      </c>
      <c r="U452" s="6">
        <v>0</v>
      </c>
      <c r="W452" s="6">
        <v>0</v>
      </c>
      <c r="Y452" s="6">
        <v>0</v>
      </c>
      <c r="AA452" s="6">
        <v>0</v>
      </c>
      <c r="AC452" s="6">
        <v>0</v>
      </c>
      <c r="AE452" s="6">
        <v>0</v>
      </c>
      <c r="AG452" s="11" t="s">
        <v>896</v>
      </c>
      <c r="AH452" s="11"/>
      <c r="AI452" s="11" t="s">
        <v>28</v>
      </c>
      <c r="AJ452" s="11"/>
      <c r="AK452" s="6">
        <v>0</v>
      </c>
      <c r="AM452" s="6">
        <v>0</v>
      </c>
      <c r="AO452" s="6">
        <v>0</v>
      </c>
      <c r="AQ452" s="6">
        <v>0</v>
      </c>
      <c r="AU452" s="6">
        <v>0</v>
      </c>
      <c r="AW452" s="6">
        <f t="shared" si="48"/>
        <v>0</v>
      </c>
      <c r="AY452" s="6">
        <f>+'St of Activites - GA Rev'!AG452-'St of Activities - GA Exp'!AW452</f>
        <v>0</v>
      </c>
      <c r="BC452" s="6">
        <f t="shared" si="47"/>
        <v>0</v>
      </c>
      <c r="BE452" s="6">
        <f>+'St of Net Assets - GA'!Y452-'St of Activities - GA Exp'!BC452</f>
        <v>0</v>
      </c>
    </row>
    <row r="453" spans="1:57">
      <c r="A453" s="11" t="s">
        <v>296</v>
      </c>
      <c r="B453" s="11"/>
      <c r="C453" s="11" t="s">
        <v>25</v>
      </c>
      <c r="E453" s="6">
        <v>47965763</v>
      </c>
      <c r="G453" s="6">
        <v>8396846</v>
      </c>
      <c r="I453" s="6">
        <v>438906</v>
      </c>
      <c r="K453" s="6">
        <v>0</v>
      </c>
      <c r="M453" s="6">
        <v>3417335</v>
      </c>
      <c r="O453" s="6">
        <v>4903756</v>
      </c>
      <c r="Q453" s="6">
        <v>5487355</v>
      </c>
      <c r="S453" s="6">
        <v>528244</v>
      </c>
      <c r="U453" s="6">
        <v>8099300</v>
      </c>
      <c r="W453" s="6">
        <v>1854338</v>
      </c>
      <c r="Y453" s="6">
        <v>540477</v>
      </c>
      <c r="AA453" s="6">
        <v>10440229</v>
      </c>
      <c r="AC453" s="6">
        <v>5556206</v>
      </c>
      <c r="AE453" s="6">
        <v>157325</v>
      </c>
      <c r="AG453" s="11" t="s">
        <v>296</v>
      </c>
      <c r="AH453" s="11"/>
      <c r="AI453" s="11" t="s">
        <v>25</v>
      </c>
      <c r="AJ453" s="11"/>
      <c r="AK453" s="6">
        <v>4480977</v>
      </c>
      <c r="AM453" s="6">
        <v>48703</v>
      </c>
      <c r="AO453" s="6">
        <v>2219007</v>
      </c>
      <c r="AQ453" s="6">
        <v>7192562</v>
      </c>
      <c r="AU453" s="6">
        <v>0</v>
      </c>
      <c r="AW453" s="6">
        <f t="shared" si="48"/>
        <v>111727329</v>
      </c>
      <c r="AY453" s="6">
        <f>+'St of Activites - GA Rev'!AG453-'St of Activities - GA Exp'!AW453</f>
        <v>2682264</v>
      </c>
      <c r="BA453" s="6">
        <v>69909300</v>
      </c>
      <c r="BC453" s="6">
        <f t="shared" si="47"/>
        <v>72591564</v>
      </c>
      <c r="BE453" s="6">
        <f>+'St of Net Assets - GA'!Y453-'St of Activities - GA Exp'!BC453</f>
        <v>0</v>
      </c>
    </row>
    <row r="454" spans="1:57" hidden="1">
      <c r="A454" s="11" t="s">
        <v>821</v>
      </c>
      <c r="B454" s="11"/>
      <c r="C454" s="11" t="s">
        <v>28</v>
      </c>
      <c r="E454" s="6">
        <v>0</v>
      </c>
      <c r="G454" s="6">
        <v>0</v>
      </c>
      <c r="I454" s="6">
        <v>0</v>
      </c>
      <c r="K454" s="6">
        <v>0</v>
      </c>
      <c r="M454" s="6">
        <v>0</v>
      </c>
      <c r="O454" s="6">
        <v>0</v>
      </c>
      <c r="Q454" s="6">
        <v>0</v>
      </c>
      <c r="S454" s="6">
        <v>0</v>
      </c>
      <c r="U454" s="6">
        <v>0</v>
      </c>
      <c r="W454" s="6">
        <v>0</v>
      </c>
      <c r="Y454" s="6">
        <v>0</v>
      </c>
      <c r="AA454" s="6">
        <v>0</v>
      </c>
      <c r="AC454" s="6">
        <v>0</v>
      </c>
      <c r="AE454" s="6">
        <v>0</v>
      </c>
      <c r="AG454" s="11" t="s">
        <v>821</v>
      </c>
      <c r="AH454" s="11"/>
      <c r="AI454" s="11" t="s">
        <v>28</v>
      </c>
      <c r="AJ454" s="11"/>
      <c r="AK454" s="6">
        <v>0</v>
      </c>
      <c r="AM454" s="6">
        <v>0</v>
      </c>
      <c r="AO454" s="6">
        <v>0</v>
      </c>
      <c r="AQ454" s="6">
        <v>0</v>
      </c>
      <c r="AU454" s="6">
        <v>0</v>
      </c>
      <c r="AW454" s="6">
        <f t="shared" si="48"/>
        <v>0</v>
      </c>
      <c r="AY454" s="6">
        <f>+'St of Activites - GA Rev'!AG454-'St of Activities - GA Exp'!AW454</f>
        <v>0</v>
      </c>
      <c r="BC454" s="6">
        <f t="shared" si="47"/>
        <v>0</v>
      </c>
      <c r="BE454" s="6">
        <f>+'St of Net Assets - GA'!Y454-'St of Activities - GA Exp'!BC454</f>
        <v>0</v>
      </c>
    </row>
    <row r="455" spans="1:57">
      <c r="A455" s="11" t="s">
        <v>425</v>
      </c>
      <c r="B455" s="11"/>
      <c r="C455" s="11" t="s">
        <v>48</v>
      </c>
      <c r="E455" s="6">
        <v>21092244</v>
      </c>
      <c r="G455" s="6">
        <v>0</v>
      </c>
      <c r="I455" s="6">
        <v>0</v>
      </c>
      <c r="K455" s="6">
        <v>0</v>
      </c>
      <c r="M455" s="6">
        <v>0</v>
      </c>
      <c r="O455" s="6">
        <v>1335557</v>
      </c>
      <c r="Q455" s="6">
        <v>2120361</v>
      </c>
      <c r="S455" s="6">
        <v>24845</v>
      </c>
      <c r="U455" s="6">
        <v>2291914</v>
      </c>
      <c r="W455" s="6">
        <v>658690</v>
      </c>
      <c r="Y455" s="6">
        <v>6432</v>
      </c>
      <c r="AA455" s="6">
        <v>2775724</v>
      </c>
      <c r="AC455" s="6">
        <v>1722426</v>
      </c>
      <c r="AE455" s="6">
        <v>302710</v>
      </c>
      <c r="AG455" s="11" t="s">
        <v>425</v>
      </c>
      <c r="AH455" s="11"/>
      <c r="AI455" s="11" t="s">
        <v>48</v>
      </c>
      <c r="AJ455" s="11"/>
      <c r="AK455" s="6">
        <v>0</v>
      </c>
      <c r="AM455" s="6">
        <v>257682</v>
      </c>
      <c r="AO455" s="6">
        <v>875739</v>
      </c>
      <c r="AQ455" s="6">
        <v>1223052</v>
      </c>
      <c r="AU455" s="6">
        <v>0</v>
      </c>
      <c r="AW455" s="6">
        <f t="shared" si="48"/>
        <v>34687376</v>
      </c>
      <c r="AY455" s="6">
        <f>+'St of Activites - GA Rev'!AG455-'St of Activities - GA Exp'!AW455</f>
        <v>27218974</v>
      </c>
      <c r="BA455" s="6">
        <v>31306793</v>
      </c>
      <c r="BC455" s="6">
        <f t="shared" si="47"/>
        <v>58525767</v>
      </c>
      <c r="BE455" s="6">
        <f>+'St of Net Assets - GA'!Y455-'St of Activities - GA Exp'!BC455</f>
        <v>0</v>
      </c>
    </row>
    <row r="456" spans="1:57">
      <c r="A456" s="11" t="s">
        <v>306</v>
      </c>
      <c r="B456" s="11"/>
      <c r="C456" s="11" t="s">
        <v>62</v>
      </c>
      <c r="E456" s="6">
        <v>25032914</v>
      </c>
      <c r="G456" s="6">
        <v>6308879</v>
      </c>
      <c r="I456" s="6">
        <v>1401288</v>
      </c>
      <c r="K456" s="6">
        <v>0</v>
      </c>
      <c r="M456" s="6">
        <v>220799</v>
      </c>
      <c r="O456" s="6">
        <v>2711069</v>
      </c>
      <c r="Q456" s="6">
        <v>3733462</v>
      </c>
      <c r="S456" s="6">
        <v>87365</v>
      </c>
      <c r="U456" s="6">
        <v>3554407</v>
      </c>
      <c r="W456" s="6">
        <v>1094066</v>
      </c>
      <c r="Y456" s="6">
        <v>155851</v>
      </c>
      <c r="AA456" s="6">
        <v>5154605</v>
      </c>
      <c r="AC456" s="6">
        <v>2962675</v>
      </c>
      <c r="AE456" s="6">
        <v>210802</v>
      </c>
      <c r="AG456" s="11" t="s">
        <v>306</v>
      </c>
      <c r="AH456" s="11"/>
      <c r="AI456" s="11" t="s">
        <v>62</v>
      </c>
      <c r="AJ456" s="11"/>
      <c r="AK456" s="6">
        <v>2487513</v>
      </c>
      <c r="AM456" s="6">
        <v>527204</v>
      </c>
      <c r="AO456" s="6">
        <v>1343556</v>
      </c>
      <c r="AQ456" s="6">
        <v>1118069</v>
      </c>
      <c r="AU456" s="6">
        <v>0</v>
      </c>
      <c r="AW456" s="6">
        <f t="shared" si="48"/>
        <v>58104524</v>
      </c>
      <c r="AY456" s="6">
        <f>+'St of Activites - GA Rev'!AG456-'St of Activities - GA Exp'!AW456</f>
        <v>402811</v>
      </c>
      <c r="BA456" s="6">
        <v>22487935</v>
      </c>
      <c r="BC456" s="6">
        <f t="shared" si="47"/>
        <v>22890746</v>
      </c>
      <c r="BE456" s="6">
        <f>+'St of Net Assets - GA'!Y456-'St of Activities - GA Exp'!BC456</f>
        <v>0</v>
      </c>
    </row>
    <row r="457" spans="1:57">
      <c r="A457" s="11" t="s">
        <v>411</v>
      </c>
      <c r="B457" s="11"/>
      <c r="C457" s="11" t="s">
        <v>46</v>
      </c>
      <c r="E457" s="6">
        <v>7180176</v>
      </c>
      <c r="G457" s="6">
        <v>900694</v>
      </c>
      <c r="I457" s="6">
        <v>118503</v>
      </c>
      <c r="K457" s="6">
        <v>0</v>
      </c>
      <c r="M457" s="6">
        <v>0</v>
      </c>
      <c r="O457" s="6">
        <v>319314</v>
      </c>
      <c r="Q457" s="6">
        <v>350476</v>
      </c>
      <c r="S457" s="6">
        <v>117339</v>
      </c>
      <c r="U457" s="6">
        <v>995944</v>
      </c>
      <c r="W457" s="6">
        <v>311107</v>
      </c>
      <c r="Y457" s="6">
        <v>0</v>
      </c>
      <c r="AA457" s="6">
        <v>1077635</v>
      </c>
      <c r="AC457" s="6">
        <v>532365</v>
      </c>
      <c r="AE457" s="6">
        <v>0</v>
      </c>
      <c r="AG457" s="11" t="s">
        <v>411</v>
      </c>
      <c r="AH457" s="11"/>
      <c r="AI457" s="11" t="s">
        <v>46</v>
      </c>
      <c r="AJ457" s="11"/>
      <c r="AK457" s="6">
        <v>0</v>
      </c>
      <c r="AM457" s="6">
        <v>584590</v>
      </c>
      <c r="AO457" s="6">
        <v>481821</v>
      </c>
      <c r="AQ457" s="6">
        <v>52419</v>
      </c>
      <c r="AU457" s="6">
        <v>0</v>
      </c>
      <c r="AW457" s="6">
        <f t="shared" si="48"/>
        <v>13022383</v>
      </c>
      <c r="AY457" s="6">
        <f>+'St of Activites - GA Rev'!AG457-'St of Activities - GA Exp'!AW457</f>
        <v>-725909</v>
      </c>
      <c r="BA457" s="6">
        <v>10532718</v>
      </c>
      <c r="BC457" s="6">
        <f t="shared" si="47"/>
        <v>9806809</v>
      </c>
      <c r="BE457" s="6">
        <f>+'St of Net Assets - GA'!Y457-'St of Activities - GA Exp'!BC457</f>
        <v>0</v>
      </c>
    </row>
    <row r="458" spans="1:57">
      <c r="A458" s="11" t="s">
        <v>471</v>
      </c>
      <c r="B458" s="11"/>
      <c r="C458" s="11" t="s">
        <v>110</v>
      </c>
      <c r="E458" s="6">
        <v>3840787</v>
      </c>
      <c r="G458" s="6">
        <v>897473</v>
      </c>
      <c r="I458" s="6">
        <v>178921</v>
      </c>
      <c r="K458" s="6">
        <v>0</v>
      </c>
      <c r="M458" s="6">
        <v>516517</v>
      </c>
      <c r="O458" s="6">
        <v>498455</v>
      </c>
      <c r="Q458" s="6">
        <v>531180</v>
      </c>
      <c r="S458" s="6">
        <v>17944</v>
      </c>
      <c r="U458" s="6">
        <v>731017</v>
      </c>
      <c r="W458" s="6">
        <v>232847</v>
      </c>
      <c r="Y458" s="6">
        <v>6545</v>
      </c>
      <c r="AA458" s="6">
        <v>993251</v>
      </c>
      <c r="AC458" s="6">
        <v>393407</v>
      </c>
      <c r="AE458" s="6">
        <v>56599</v>
      </c>
      <c r="AG458" s="11" t="s">
        <v>471</v>
      </c>
      <c r="AH458" s="11"/>
      <c r="AI458" s="11" t="s">
        <v>110</v>
      </c>
      <c r="AJ458" s="11"/>
      <c r="AK458" s="6">
        <v>514285</v>
      </c>
      <c r="AM458" s="6">
        <v>0</v>
      </c>
      <c r="AO458" s="6">
        <v>428636</v>
      </c>
      <c r="AQ458" s="6">
        <v>128153</v>
      </c>
      <c r="AU458" s="6">
        <v>0</v>
      </c>
      <c r="AW458" s="6">
        <f t="shared" si="48"/>
        <v>9966017</v>
      </c>
      <c r="AY458" s="6">
        <f>+'St of Activites - GA Rev'!AG458-'St of Activities - GA Exp'!AW458</f>
        <v>-902316</v>
      </c>
      <c r="BA458" s="6">
        <v>21851099</v>
      </c>
      <c r="BC458" s="6">
        <f t="shared" si="47"/>
        <v>20948783</v>
      </c>
      <c r="BE458" s="6">
        <f>+'St of Net Assets - GA'!Y458-'St of Activities - GA Exp'!BC458</f>
        <v>0</v>
      </c>
    </row>
    <row r="459" spans="1:57" ht="12" customHeight="1">
      <c r="A459" s="11" t="s">
        <v>724</v>
      </c>
      <c r="B459" s="11"/>
      <c r="C459" s="11" t="s">
        <v>45</v>
      </c>
      <c r="E459" s="6">
        <v>10379882</v>
      </c>
      <c r="G459" s="6">
        <v>1702455</v>
      </c>
      <c r="I459" s="6">
        <v>158011</v>
      </c>
      <c r="K459" s="6">
        <v>125658</v>
      </c>
      <c r="M459" s="6">
        <v>5977</v>
      </c>
      <c r="O459" s="6">
        <v>1448078</v>
      </c>
      <c r="Q459" s="6">
        <v>568055</v>
      </c>
      <c r="S459" s="6">
        <v>19729</v>
      </c>
      <c r="U459" s="6">
        <v>1521659</v>
      </c>
      <c r="W459" s="6">
        <v>574402</v>
      </c>
      <c r="Y459" s="6">
        <v>448</v>
      </c>
      <c r="AA459" s="6">
        <v>1840999</v>
      </c>
      <c r="AC459" s="6">
        <v>850222</v>
      </c>
      <c r="AE459" s="6">
        <v>6236</v>
      </c>
      <c r="AG459" s="11" t="s">
        <v>724</v>
      </c>
      <c r="AH459" s="11"/>
      <c r="AI459" s="11" t="s">
        <v>45</v>
      </c>
      <c r="AJ459" s="11"/>
      <c r="AK459" s="6">
        <v>835019</v>
      </c>
      <c r="AM459" s="6">
        <v>238663</v>
      </c>
      <c r="AO459" s="6">
        <v>904935</v>
      </c>
      <c r="AQ459" s="6">
        <v>615648</v>
      </c>
      <c r="AU459" s="6">
        <v>0</v>
      </c>
      <c r="AW459" s="6">
        <f t="shared" si="48"/>
        <v>21796076</v>
      </c>
      <c r="AY459" s="6">
        <f>+'St of Activites - GA Rev'!AG459-'St of Activities - GA Exp'!AW459</f>
        <v>1605</v>
      </c>
      <c r="BA459" s="6">
        <v>2437488</v>
      </c>
      <c r="BC459" s="6">
        <f t="shared" si="47"/>
        <v>2439093</v>
      </c>
      <c r="BE459" s="6">
        <f>+'St of Net Assets - GA'!Y459-'St of Activities - GA Exp'!BC459</f>
        <v>0</v>
      </c>
    </row>
    <row r="460" spans="1:57" hidden="1">
      <c r="A460" s="11" t="s">
        <v>822</v>
      </c>
      <c r="B460" s="11"/>
      <c r="C460" s="11" t="s">
        <v>53</v>
      </c>
      <c r="E460" s="6">
        <v>0</v>
      </c>
      <c r="G460" s="6">
        <v>0</v>
      </c>
      <c r="I460" s="6">
        <v>0</v>
      </c>
      <c r="K460" s="6">
        <v>0</v>
      </c>
      <c r="M460" s="6">
        <v>0</v>
      </c>
      <c r="O460" s="6">
        <v>0</v>
      </c>
      <c r="Q460" s="6">
        <v>0</v>
      </c>
      <c r="S460" s="6">
        <v>0</v>
      </c>
      <c r="U460" s="6">
        <v>0</v>
      </c>
      <c r="W460" s="6">
        <v>0</v>
      </c>
      <c r="Y460" s="6">
        <v>0</v>
      </c>
      <c r="AA460" s="6">
        <v>0</v>
      </c>
      <c r="AC460" s="6">
        <v>0</v>
      </c>
      <c r="AE460" s="6">
        <v>0</v>
      </c>
      <c r="AG460" s="11" t="s">
        <v>822</v>
      </c>
      <c r="AH460" s="11"/>
      <c r="AI460" s="11" t="s">
        <v>53</v>
      </c>
      <c r="AJ460" s="11"/>
      <c r="AK460" s="6">
        <v>0</v>
      </c>
      <c r="AM460" s="6">
        <v>0</v>
      </c>
      <c r="AO460" s="6">
        <v>0</v>
      </c>
      <c r="AQ460" s="6">
        <v>0</v>
      </c>
      <c r="AU460" s="6">
        <v>0</v>
      </c>
      <c r="AW460" s="6">
        <f t="shared" si="48"/>
        <v>0</v>
      </c>
      <c r="AY460" s="6">
        <f>+'St of Activites - GA Rev'!AG460-'St of Activities - GA Exp'!AW460</f>
        <v>0</v>
      </c>
      <c r="BC460" s="6">
        <f t="shared" si="47"/>
        <v>0</v>
      </c>
      <c r="BE460" s="6">
        <f>+'St of Net Assets - GA'!Y460-'St of Activities - GA Exp'!BC460</f>
        <v>0</v>
      </c>
    </row>
    <row r="461" spans="1:57" ht="12" customHeight="1">
      <c r="A461" s="11" t="s">
        <v>484</v>
      </c>
      <c r="B461" s="11"/>
      <c r="C461" s="11" t="s">
        <v>59</v>
      </c>
      <c r="E461" s="6">
        <v>13977856</v>
      </c>
      <c r="G461" s="6">
        <v>5955417</v>
      </c>
      <c r="I461" s="6">
        <v>441078</v>
      </c>
      <c r="K461" s="6">
        <v>0</v>
      </c>
      <c r="M461" s="6">
        <v>403813</v>
      </c>
      <c r="O461" s="6">
        <v>1213131</v>
      </c>
      <c r="Q461" s="6">
        <v>1935458</v>
      </c>
      <c r="S461" s="6">
        <v>19937</v>
      </c>
      <c r="U461" s="6">
        <v>1709868</v>
      </c>
      <c r="W461" s="6">
        <v>645375</v>
      </c>
      <c r="Y461" s="6">
        <v>98227</v>
      </c>
      <c r="AA461" s="6">
        <v>2672950</v>
      </c>
      <c r="AC461" s="6">
        <v>606198</v>
      </c>
      <c r="AE461" s="6">
        <v>23704</v>
      </c>
      <c r="AG461" s="11" t="s">
        <v>484</v>
      </c>
      <c r="AH461" s="11"/>
      <c r="AI461" s="11" t="s">
        <v>59</v>
      </c>
      <c r="AJ461" s="11"/>
      <c r="AK461" s="6">
        <v>1280076</v>
      </c>
      <c r="AM461" s="6">
        <v>278346</v>
      </c>
      <c r="AO461" s="6">
        <v>352078</v>
      </c>
      <c r="AQ461" s="6">
        <v>524349</v>
      </c>
      <c r="AU461" s="6">
        <v>0</v>
      </c>
      <c r="AW461" s="6">
        <f t="shared" si="48"/>
        <v>32137861</v>
      </c>
      <c r="AY461" s="6">
        <f>+'St of Activites - GA Rev'!AG461-'St of Activities - GA Exp'!AW461</f>
        <v>-894466</v>
      </c>
      <c r="BA461" s="6">
        <v>50496041</v>
      </c>
      <c r="BC461" s="6">
        <f t="shared" si="47"/>
        <v>49601575</v>
      </c>
      <c r="BE461" s="6">
        <f>+'St of Net Assets - GA'!Y461-'St of Activities - GA Exp'!BC461</f>
        <v>0</v>
      </c>
    </row>
    <row r="462" spans="1:57" ht="12" hidden="1" customHeight="1">
      <c r="A462" s="11" t="s">
        <v>689</v>
      </c>
      <c r="B462" s="11"/>
      <c r="C462" s="11" t="s">
        <v>57</v>
      </c>
      <c r="E462" s="6">
        <v>0</v>
      </c>
      <c r="G462" s="6">
        <v>0</v>
      </c>
      <c r="I462" s="6">
        <v>0</v>
      </c>
      <c r="K462" s="6">
        <v>0</v>
      </c>
      <c r="M462" s="6">
        <v>0</v>
      </c>
      <c r="O462" s="6">
        <v>0</v>
      </c>
      <c r="Q462" s="6">
        <v>0</v>
      </c>
      <c r="S462" s="6">
        <v>0</v>
      </c>
      <c r="U462" s="6">
        <v>0</v>
      </c>
      <c r="W462" s="6">
        <v>0</v>
      </c>
      <c r="Y462" s="6">
        <v>0</v>
      </c>
      <c r="AA462" s="6">
        <v>0</v>
      </c>
      <c r="AC462" s="6">
        <v>0</v>
      </c>
      <c r="AE462" s="6">
        <v>0</v>
      </c>
      <c r="AG462" s="11" t="s">
        <v>689</v>
      </c>
      <c r="AH462" s="11"/>
      <c r="AI462" s="11" t="s">
        <v>57</v>
      </c>
      <c r="AJ462" s="11"/>
      <c r="AK462" s="6">
        <v>0</v>
      </c>
      <c r="AM462" s="6">
        <v>0</v>
      </c>
      <c r="AO462" s="6">
        <v>0</v>
      </c>
      <c r="AQ462" s="6">
        <v>0</v>
      </c>
      <c r="AU462" s="6">
        <v>0</v>
      </c>
      <c r="AW462" s="6">
        <f t="shared" si="48"/>
        <v>0</v>
      </c>
      <c r="AY462" s="6">
        <f>+'St of Activites - GA Rev'!AG462-'St of Activities - GA Exp'!AW462</f>
        <v>0</v>
      </c>
      <c r="BC462" s="6">
        <f t="shared" si="47"/>
        <v>0</v>
      </c>
      <c r="BE462" s="6">
        <f>+'St of Net Assets - GA'!Y462-'St of Activities - GA Exp'!BC462</f>
        <v>0</v>
      </c>
    </row>
    <row r="463" spans="1:57">
      <c r="A463" s="11" t="s">
        <v>329</v>
      </c>
      <c r="B463" s="11"/>
      <c r="C463" s="11" t="s">
        <v>32</v>
      </c>
      <c r="E463" s="6">
        <v>36077148</v>
      </c>
      <c r="G463" s="6">
        <v>8544045</v>
      </c>
      <c r="I463" s="6">
        <v>115901</v>
      </c>
      <c r="K463" s="6">
        <v>0</v>
      </c>
      <c r="M463" s="6">
        <v>2220405</v>
      </c>
      <c r="O463" s="6">
        <v>4135169</v>
      </c>
      <c r="Q463" s="6">
        <v>7301286</v>
      </c>
      <c r="S463" s="6">
        <v>224251</v>
      </c>
      <c r="U463" s="6">
        <v>5901904</v>
      </c>
      <c r="W463" s="6">
        <v>2021731</v>
      </c>
      <c r="Y463" s="6">
        <v>181585</v>
      </c>
      <c r="AA463" s="6">
        <v>7112340</v>
      </c>
      <c r="AC463" s="6">
        <v>4838681</v>
      </c>
      <c r="AE463" s="6">
        <v>1428593</v>
      </c>
      <c r="AG463" s="11" t="s">
        <v>329</v>
      </c>
      <c r="AH463" s="11"/>
      <c r="AI463" s="11" t="s">
        <v>32</v>
      </c>
      <c r="AJ463" s="11"/>
      <c r="AK463" s="6">
        <v>0</v>
      </c>
      <c r="AM463" s="6">
        <v>4271955</v>
      </c>
      <c r="AO463" s="6">
        <v>1151974</v>
      </c>
      <c r="AQ463" s="6">
        <v>11417579</v>
      </c>
      <c r="AU463" s="6">
        <v>0</v>
      </c>
      <c r="AW463" s="6">
        <f t="shared" si="48"/>
        <v>96944547</v>
      </c>
      <c r="AY463" s="6">
        <f>+'St of Activites - GA Rev'!AG463-'St of Activities - GA Exp'!AW463</f>
        <v>-10625984</v>
      </c>
      <c r="BA463" s="6">
        <v>41160498</v>
      </c>
      <c r="BC463" s="6">
        <f t="shared" si="47"/>
        <v>30534514</v>
      </c>
      <c r="BE463" s="6">
        <f>+'St of Net Assets - GA'!Y463-'St of Activities - GA Exp'!BC463</f>
        <v>0</v>
      </c>
    </row>
    <row r="464" spans="1:57" ht="12" hidden="1" customHeight="1">
      <c r="A464" s="11" t="s">
        <v>823</v>
      </c>
      <c r="B464" s="11"/>
      <c r="C464" s="11" t="s">
        <v>53</v>
      </c>
      <c r="E464" s="6">
        <v>0</v>
      </c>
      <c r="G464" s="6">
        <v>0</v>
      </c>
      <c r="I464" s="6">
        <v>0</v>
      </c>
      <c r="K464" s="6">
        <v>0</v>
      </c>
      <c r="M464" s="6">
        <v>0</v>
      </c>
      <c r="O464" s="6">
        <v>0</v>
      </c>
      <c r="Q464" s="6">
        <v>0</v>
      </c>
      <c r="S464" s="6">
        <v>0</v>
      </c>
      <c r="U464" s="6">
        <v>0</v>
      </c>
      <c r="W464" s="6">
        <v>0</v>
      </c>
      <c r="Y464" s="6">
        <v>0</v>
      </c>
      <c r="AA464" s="6">
        <v>0</v>
      </c>
      <c r="AC464" s="6">
        <v>0</v>
      </c>
      <c r="AE464" s="6">
        <v>0</v>
      </c>
      <c r="AG464" s="11" t="s">
        <v>823</v>
      </c>
      <c r="AH464" s="11"/>
      <c r="AI464" s="11" t="s">
        <v>53</v>
      </c>
      <c r="AJ464" s="11"/>
      <c r="AK464" s="6">
        <v>0</v>
      </c>
      <c r="AM464" s="6">
        <v>0</v>
      </c>
      <c r="AO464" s="6">
        <v>0</v>
      </c>
      <c r="AQ464" s="6">
        <v>0</v>
      </c>
      <c r="AU464" s="6">
        <v>0</v>
      </c>
      <c r="AW464" s="6">
        <f t="shared" ref="AW464" si="49">SUM(E464:AV464)</f>
        <v>0</v>
      </c>
      <c r="AY464" s="6">
        <f>+'St of Activites - GA Rev'!AG464-'St of Activities - GA Exp'!AW464</f>
        <v>0</v>
      </c>
      <c r="BC464" s="6">
        <f t="shared" si="47"/>
        <v>0</v>
      </c>
      <c r="BE464" s="6">
        <f>+'St of Net Assets - GA'!Y464-'St of Activities - GA Exp'!BC464</f>
        <v>0</v>
      </c>
    </row>
    <row r="465" spans="1:57" ht="12" hidden="1" customHeight="1">
      <c r="A465" s="11" t="s">
        <v>824</v>
      </c>
      <c r="B465" s="11"/>
      <c r="C465" s="11" t="s">
        <v>12</v>
      </c>
      <c r="E465" s="6">
        <v>0</v>
      </c>
      <c r="G465" s="6">
        <v>0</v>
      </c>
      <c r="I465" s="6">
        <v>0</v>
      </c>
      <c r="K465" s="6">
        <v>0</v>
      </c>
      <c r="M465" s="6">
        <v>0</v>
      </c>
      <c r="O465" s="6">
        <v>0</v>
      </c>
      <c r="Q465" s="6">
        <v>0</v>
      </c>
      <c r="S465" s="6">
        <v>0</v>
      </c>
      <c r="U465" s="6">
        <v>0</v>
      </c>
      <c r="W465" s="6">
        <v>0</v>
      </c>
      <c r="Y465" s="6">
        <v>0</v>
      </c>
      <c r="AA465" s="6">
        <v>0</v>
      </c>
      <c r="AC465" s="6">
        <v>0</v>
      </c>
      <c r="AE465" s="6">
        <v>0</v>
      </c>
      <c r="AG465" s="11" t="s">
        <v>824</v>
      </c>
      <c r="AH465" s="11"/>
      <c r="AI465" s="11" t="s">
        <v>12</v>
      </c>
      <c r="AJ465" s="11"/>
      <c r="AK465" s="6">
        <v>0</v>
      </c>
      <c r="AM465" s="6">
        <v>0</v>
      </c>
      <c r="AO465" s="6">
        <v>0</v>
      </c>
      <c r="AQ465" s="6">
        <v>0</v>
      </c>
      <c r="AU465" s="6">
        <v>0</v>
      </c>
      <c r="AW465" s="6">
        <f t="shared" si="48"/>
        <v>0</v>
      </c>
      <c r="AY465" s="6">
        <f>+'St of Activites - GA Rev'!AG465-'St of Activities - GA Exp'!AW465</f>
        <v>0</v>
      </c>
      <c r="BC465" s="6">
        <f t="shared" si="47"/>
        <v>0</v>
      </c>
      <c r="BE465" s="6">
        <f>+'St of Net Assets - GA'!Y465-'St of Activities - GA Exp'!BC465</f>
        <v>0</v>
      </c>
    </row>
    <row r="466" spans="1:57">
      <c r="A466" s="11" t="s">
        <v>632</v>
      </c>
      <c r="B466" s="11"/>
      <c r="C466" s="11" t="s">
        <v>56</v>
      </c>
      <c r="E466" s="6">
        <v>12127048</v>
      </c>
      <c r="G466" s="6">
        <v>5273501</v>
      </c>
      <c r="I466" s="6">
        <v>347546</v>
      </c>
      <c r="K466" s="6">
        <v>0</v>
      </c>
      <c r="M466" s="6">
        <v>2014943</v>
      </c>
      <c r="O466" s="6">
        <v>1471759</v>
      </c>
      <c r="Q466" s="6">
        <v>957428</v>
      </c>
      <c r="S466" s="6">
        <v>45677</v>
      </c>
      <c r="U466" s="6">
        <v>2492832</v>
      </c>
      <c r="W466" s="6">
        <v>750517</v>
      </c>
      <c r="Y466" s="6">
        <v>253186</v>
      </c>
      <c r="AA466" s="6">
        <v>3170557</v>
      </c>
      <c r="AC466" s="6">
        <v>1495836</v>
      </c>
      <c r="AE466" s="6">
        <v>741001</v>
      </c>
      <c r="AG466" s="11" t="s">
        <v>632</v>
      </c>
      <c r="AH466" s="11"/>
      <c r="AI466" s="11" t="s">
        <v>56</v>
      </c>
      <c r="AJ466" s="11"/>
      <c r="AK466" s="6">
        <v>1334317</v>
      </c>
      <c r="AM466" s="6">
        <v>247056</v>
      </c>
      <c r="AO466" s="6">
        <v>916293</v>
      </c>
      <c r="AQ466" s="6">
        <v>784363</v>
      </c>
      <c r="AU466" s="6">
        <v>0</v>
      </c>
      <c r="AW466" s="6">
        <f t="shared" si="48"/>
        <v>34423860</v>
      </c>
      <c r="AY466" s="6">
        <f>+'St of Activites - GA Rev'!AG466-'St of Activities - GA Exp'!AW466</f>
        <v>-4559822</v>
      </c>
      <c r="BA466" s="6">
        <v>22678486</v>
      </c>
      <c r="BC466" s="6">
        <f t="shared" si="47"/>
        <v>18118664</v>
      </c>
      <c r="BE466" s="6">
        <f>+'St of Net Assets - GA'!Y466-'St of Activities - GA Exp'!BC466</f>
        <v>0</v>
      </c>
    </row>
    <row r="467" spans="1:57" ht="12" customHeight="1">
      <c r="A467" s="11" t="s">
        <v>330</v>
      </c>
      <c r="B467" s="11"/>
      <c r="C467" s="11" t="s">
        <v>32</v>
      </c>
      <c r="E467" s="6">
        <v>7053025</v>
      </c>
      <c r="G467" s="6">
        <v>2336017</v>
      </c>
      <c r="I467" s="6">
        <v>2678</v>
      </c>
      <c r="K467" s="6">
        <v>0</v>
      </c>
      <c r="M467" s="6">
        <v>584211</v>
      </c>
      <c r="O467" s="6">
        <v>1025954</v>
      </c>
      <c r="Q467" s="6">
        <v>326280</v>
      </c>
      <c r="S467" s="6">
        <v>54443</v>
      </c>
      <c r="U467" s="6">
        <v>1453934</v>
      </c>
      <c r="W467" s="6">
        <v>345129</v>
      </c>
      <c r="Y467" s="6">
        <v>0</v>
      </c>
      <c r="AA467" s="6">
        <v>1129869</v>
      </c>
      <c r="AC467" s="6">
        <v>267733</v>
      </c>
      <c r="AE467" s="6">
        <v>305509</v>
      </c>
      <c r="AG467" s="11" t="s">
        <v>330</v>
      </c>
      <c r="AH467" s="11"/>
      <c r="AI467" s="11" t="s">
        <v>32</v>
      </c>
      <c r="AJ467" s="11"/>
      <c r="AK467" s="6">
        <v>0</v>
      </c>
      <c r="AM467" s="6">
        <v>1482569</v>
      </c>
      <c r="AO467" s="6">
        <v>525284</v>
      </c>
      <c r="AQ467" s="6">
        <v>14147</v>
      </c>
      <c r="AU467" s="6">
        <v>0</v>
      </c>
      <c r="AW467" s="6">
        <f t="shared" si="48"/>
        <v>16906782</v>
      </c>
      <c r="AY467" s="6">
        <f>+'St of Activites - GA Rev'!AG467-'St of Activities - GA Exp'!AW467</f>
        <v>944254</v>
      </c>
      <c r="BA467" s="6">
        <v>6021835</v>
      </c>
      <c r="BC467" s="6">
        <f t="shared" si="47"/>
        <v>6966089</v>
      </c>
      <c r="BE467" s="6">
        <f>+'St of Net Assets - GA'!Y467-'St of Activities - GA Exp'!BC467</f>
        <v>0</v>
      </c>
    </row>
    <row r="468" spans="1:57">
      <c r="A468" s="11" t="s">
        <v>513</v>
      </c>
      <c r="B468" s="11"/>
      <c r="C468" s="11" t="s">
        <v>63</v>
      </c>
      <c r="E468" s="6">
        <v>15032917</v>
      </c>
      <c r="G468" s="6">
        <v>921337</v>
      </c>
      <c r="I468" s="6">
        <v>278892</v>
      </c>
      <c r="K468" s="6">
        <v>0</v>
      </c>
      <c r="M468" s="6">
        <f>1911045+797291</f>
        <v>2708336</v>
      </c>
      <c r="O468" s="6">
        <v>1687283</v>
      </c>
      <c r="Q468" s="6">
        <v>1278173</v>
      </c>
      <c r="S468" s="6">
        <v>370130</v>
      </c>
      <c r="U468" s="6">
        <v>2246349</v>
      </c>
      <c r="W468" s="6">
        <v>1274485</v>
      </c>
      <c r="Y468" s="6">
        <v>87240</v>
      </c>
      <c r="AA468" s="6">
        <v>6437424</v>
      </c>
      <c r="AC468" s="6">
        <v>2366479</v>
      </c>
      <c r="AE468" s="6">
        <v>564759</v>
      </c>
      <c r="AG468" s="11" t="s">
        <v>513</v>
      </c>
      <c r="AH468" s="11"/>
      <c r="AI468" s="11" t="s">
        <v>63</v>
      </c>
      <c r="AJ468" s="11"/>
      <c r="AK468" s="6">
        <v>860836</v>
      </c>
      <c r="AM468" s="6">
        <v>342214</v>
      </c>
      <c r="AO468" s="6">
        <v>1034605</v>
      </c>
      <c r="AQ468" s="6">
        <v>470642</v>
      </c>
      <c r="AU468" s="6">
        <v>0</v>
      </c>
      <c r="AW468" s="6">
        <f t="shared" si="48"/>
        <v>37962101</v>
      </c>
      <c r="AY468" s="6">
        <f>+'St of Activites - GA Rev'!AG468-'St of Activities - GA Exp'!AW468</f>
        <v>-829132</v>
      </c>
      <c r="BA468" s="6">
        <v>25839482</v>
      </c>
      <c r="BC468" s="6">
        <f t="shared" si="47"/>
        <v>25010350</v>
      </c>
      <c r="BE468" s="6">
        <f>+'St of Net Assets - GA'!Y468-'St of Activities - GA Exp'!BC468</f>
        <v>0</v>
      </c>
    </row>
    <row r="469" spans="1:57" hidden="1">
      <c r="A469" s="11" t="s">
        <v>825</v>
      </c>
      <c r="B469" s="11"/>
      <c r="C469" s="11" t="s">
        <v>27</v>
      </c>
      <c r="E469" s="6">
        <v>0</v>
      </c>
      <c r="G469" s="6">
        <v>0</v>
      </c>
      <c r="I469" s="6">
        <v>0</v>
      </c>
      <c r="K469" s="6">
        <v>0</v>
      </c>
      <c r="M469" s="6">
        <v>0</v>
      </c>
      <c r="O469" s="6">
        <v>0</v>
      </c>
      <c r="Q469" s="6">
        <v>0</v>
      </c>
      <c r="S469" s="6">
        <v>0</v>
      </c>
      <c r="U469" s="6">
        <v>0</v>
      </c>
      <c r="W469" s="6">
        <v>0</v>
      </c>
      <c r="Y469" s="6">
        <v>0</v>
      </c>
      <c r="AA469" s="6">
        <v>0</v>
      </c>
      <c r="AC469" s="6">
        <v>0</v>
      </c>
      <c r="AE469" s="6">
        <v>0</v>
      </c>
      <c r="AG469" s="11" t="s">
        <v>825</v>
      </c>
      <c r="AH469" s="11"/>
      <c r="AI469" s="11" t="s">
        <v>27</v>
      </c>
      <c r="AJ469" s="11"/>
      <c r="AK469" s="6">
        <v>0</v>
      </c>
      <c r="AM469" s="6">
        <v>0</v>
      </c>
      <c r="AO469" s="6">
        <v>0</v>
      </c>
      <c r="AQ469" s="6">
        <v>0</v>
      </c>
      <c r="AU469" s="6">
        <v>0</v>
      </c>
      <c r="AW469" s="6">
        <f t="shared" si="48"/>
        <v>0</v>
      </c>
      <c r="AY469" s="6">
        <f>+'St of Activites - GA Rev'!AG469-'St of Activities - GA Exp'!AW469</f>
        <v>0</v>
      </c>
      <c r="BC469" s="6">
        <f t="shared" si="47"/>
        <v>0</v>
      </c>
      <c r="BE469" s="6">
        <f>+'St of Net Assets - GA'!Y469-'St of Activities - GA Exp'!BC469</f>
        <v>0</v>
      </c>
    </row>
    <row r="470" spans="1:57" ht="12" customHeight="1">
      <c r="A470" s="11" t="s">
        <v>276</v>
      </c>
      <c r="B470" s="11"/>
      <c r="C470" s="11" t="s">
        <v>20</v>
      </c>
      <c r="E470" s="6">
        <v>5346509</v>
      </c>
      <c r="G470" s="6">
        <v>1997859</v>
      </c>
      <c r="I470" s="6">
        <v>134831</v>
      </c>
      <c r="K470" s="6">
        <v>0</v>
      </c>
      <c r="M470" s="6">
        <v>0</v>
      </c>
      <c r="O470" s="6">
        <v>794775</v>
      </c>
      <c r="Q470" s="6">
        <v>196495</v>
      </c>
      <c r="S470" s="6">
        <v>499173</v>
      </c>
      <c r="U470" s="6">
        <v>1048861</v>
      </c>
      <c r="W470" s="6">
        <v>443182</v>
      </c>
      <c r="Y470" s="6">
        <v>2022</v>
      </c>
      <c r="AA470" s="6">
        <v>917158</v>
      </c>
      <c r="AC470" s="6">
        <v>1170324</v>
      </c>
      <c r="AE470" s="6">
        <v>141668</v>
      </c>
      <c r="AG470" s="11" t="s">
        <v>276</v>
      </c>
      <c r="AH470" s="11"/>
      <c r="AI470" s="11" t="s">
        <v>20</v>
      </c>
      <c r="AJ470" s="11"/>
      <c r="AK470" s="6">
        <v>0</v>
      </c>
      <c r="AM470" s="6">
        <v>6728</v>
      </c>
      <c r="AO470" s="6">
        <v>318876</v>
      </c>
      <c r="AQ470" s="6">
        <v>51733</v>
      </c>
      <c r="AU470" s="6">
        <v>0</v>
      </c>
      <c r="AW470" s="6">
        <f t="shared" si="48"/>
        <v>13070194</v>
      </c>
      <c r="AY470" s="6">
        <f>+'St of Activites - GA Rev'!AG470-'St of Activities - GA Exp'!AW470</f>
        <v>-833335</v>
      </c>
      <c r="BA470" s="6">
        <v>4890688</v>
      </c>
      <c r="BC470" s="6">
        <f t="shared" si="47"/>
        <v>4057353</v>
      </c>
      <c r="BE470" s="6">
        <f>+'St of Net Assets - GA'!Y470-'St of Activities - GA Exp'!BC470</f>
        <v>0</v>
      </c>
    </row>
    <row r="471" spans="1:57">
      <c r="A471" s="11" t="s">
        <v>412</v>
      </c>
      <c r="B471" s="11"/>
      <c r="C471" s="11" t="s">
        <v>46</v>
      </c>
      <c r="E471" s="6">
        <v>3071158</v>
      </c>
      <c r="G471" s="6">
        <v>641579</v>
      </c>
      <c r="I471" s="6">
        <v>210124</v>
      </c>
      <c r="K471" s="6">
        <v>0</v>
      </c>
      <c r="M471" s="6">
        <f>698+1096063</f>
        <v>1096761</v>
      </c>
      <c r="O471" s="6">
        <v>273935</v>
      </c>
      <c r="Q471" s="6">
        <v>293493</v>
      </c>
      <c r="S471" s="6">
        <v>38047</v>
      </c>
      <c r="U471" s="6">
        <v>738135</v>
      </c>
      <c r="W471" s="6">
        <v>231021</v>
      </c>
      <c r="Y471" s="6">
        <v>1034</v>
      </c>
      <c r="AA471" s="6">
        <v>533243</v>
      </c>
      <c r="AC471" s="6">
        <v>437844</v>
      </c>
      <c r="AE471" s="6">
        <v>46672</v>
      </c>
      <c r="AG471" s="11" t="s">
        <v>412</v>
      </c>
      <c r="AH471" s="11"/>
      <c r="AI471" s="11" t="s">
        <v>46</v>
      </c>
      <c r="AJ471" s="11"/>
      <c r="AK471" s="6">
        <v>356748</v>
      </c>
      <c r="AM471" s="6">
        <v>0</v>
      </c>
      <c r="AO471" s="6">
        <v>240154</v>
      </c>
      <c r="AQ471" s="6">
        <v>10993</v>
      </c>
      <c r="AU471" s="6">
        <v>0</v>
      </c>
      <c r="AW471" s="6">
        <f t="shared" si="48"/>
        <v>8220941</v>
      </c>
      <c r="AY471" s="6">
        <f>+'St of Activites - GA Rev'!AG471-'St of Activities - GA Exp'!AW471</f>
        <v>591214</v>
      </c>
      <c r="BA471" s="6">
        <v>4753973</v>
      </c>
      <c r="BC471" s="6">
        <f t="shared" si="47"/>
        <v>5345187</v>
      </c>
      <c r="BE471" s="6">
        <f>+'St of Net Assets - GA'!Y471-'St of Activities - GA Exp'!BC471</f>
        <v>0</v>
      </c>
    </row>
    <row r="472" spans="1:57" ht="12" hidden="1" customHeight="1">
      <c r="A472" s="11" t="s">
        <v>897</v>
      </c>
      <c r="B472" s="11"/>
      <c r="C472" s="11" t="s">
        <v>339</v>
      </c>
      <c r="E472" s="6">
        <v>0</v>
      </c>
      <c r="G472" s="6">
        <v>0</v>
      </c>
      <c r="I472" s="6">
        <v>0</v>
      </c>
      <c r="K472" s="6">
        <v>0</v>
      </c>
      <c r="M472" s="6">
        <v>0</v>
      </c>
      <c r="O472" s="6">
        <v>0</v>
      </c>
      <c r="Q472" s="6">
        <v>0</v>
      </c>
      <c r="S472" s="6">
        <v>0</v>
      </c>
      <c r="U472" s="6">
        <v>0</v>
      </c>
      <c r="W472" s="6">
        <v>0</v>
      </c>
      <c r="Y472" s="6">
        <v>0</v>
      </c>
      <c r="AA472" s="6">
        <v>0</v>
      </c>
      <c r="AC472" s="6">
        <v>0</v>
      </c>
      <c r="AE472" s="6">
        <v>0</v>
      </c>
      <c r="AG472" s="11" t="s">
        <v>897</v>
      </c>
      <c r="AH472" s="11"/>
      <c r="AI472" s="11" t="s">
        <v>339</v>
      </c>
      <c r="AJ472" s="11"/>
      <c r="AK472" s="6">
        <v>0</v>
      </c>
      <c r="AM472" s="6">
        <v>0</v>
      </c>
      <c r="AO472" s="6">
        <v>0</v>
      </c>
      <c r="AQ472" s="6">
        <v>0</v>
      </c>
      <c r="AU472" s="6">
        <v>0</v>
      </c>
      <c r="AW472" s="6">
        <f t="shared" si="48"/>
        <v>0</v>
      </c>
      <c r="AY472" s="6">
        <f>+'St of Activites - GA Rev'!AG472-'St of Activities - GA Exp'!AW472</f>
        <v>0</v>
      </c>
      <c r="BC472" s="6">
        <f t="shared" si="47"/>
        <v>0</v>
      </c>
      <c r="BE472" s="6">
        <f>+'St of Net Assets - GA'!Y472-'St of Activities - GA Exp'!BC472</f>
        <v>0</v>
      </c>
    </row>
    <row r="473" spans="1:57">
      <c r="A473" s="11" t="s">
        <v>254</v>
      </c>
      <c r="B473" s="11"/>
      <c r="C473" s="11" t="s">
        <v>19</v>
      </c>
      <c r="E473" s="6">
        <v>5186890</v>
      </c>
      <c r="G473" s="6">
        <v>925228</v>
      </c>
      <c r="I473" s="6">
        <v>232408</v>
      </c>
      <c r="K473" s="6">
        <v>0</v>
      </c>
      <c r="M473" s="6">
        <v>50709</v>
      </c>
      <c r="O473" s="6">
        <v>389637</v>
      </c>
      <c r="Q473" s="6">
        <v>451978</v>
      </c>
      <c r="S473" s="6">
        <v>20297</v>
      </c>
      <c r="U473" s="6">
        <v>857416</v>
      </c>
      <c r="W473" s="6">
        <v>378214</v>
      </c>
      <c r="Y473" s="6">
        <v>15121</v>
      </c>
      <c r="AA473" s="6">
        <v>1441083</v>
      </c>
      <c r="AC473" s="6">
        <v>1036606</v>
      </c>
      <c r="AE473" s="6">
        <v>3102</v>
      </c>
      <c r="AG473" s="11" t="s">
        <v>254</v>
      </c>
      <c r="AH473" s="11"/>
      <c r="AI473" s="11" t="s">
        <v>19</v>
      </c>
      <c r="AJ473" s="11"/>
      <c r="AK473" s="6">
        <v>652388</v>
      </c>
      <c r="AM473" s="6">
        <v>0</v>
      </c>
      <c r="AO473" s="6">
        <v>415219</v>
      </c>
      <c r="AQ473" s="6">
        <v>138609</v>
      </c>
      <c r="AU473" s="6">
        <v>0</v>
      </c>
      <c r="AW473" s="6">
        <f t="shared" si="48"/>
        <v>12194905</v>
      </c>
      <c r="AY473" s="6">
        <f>+'St of Activites - GA Rev'!AG473-'St of Activities - GA Exp'!AW473</f>
        <v>360320</v>
      </c>
      <c r="BA473" s="6">
        <v>15965872</v>
      </c>
      <c r="BC473" s="6">
        <f t="shared" si="47"/>
        <v>16326192</v>
      </c>
      <c r="BE473" s="6">
        <f>+'St of Net Assets - GA'!Y473-'St of Activities - GA Exp'!BC473</f>
        <v>0</v>
      </c>
    </row>
    <row r="474" spans="1:57" hidden="1">
      <c r="A474" s="11" t="s">
        <v>826</v>
      </c>
      <c r="B474" s="11"/>
      <c r="C474" s="11" t="s">
        <v>77</v>
      </c>
      <c r="E474" s="6">
        <v>0</v>
      </c>
      <c r="G474" s="6">
        <v>0</v>
      </c>
      <c r="I474" s="6">
        <v>0</v>
      </c>
      <c r="K474" s="6">
        <v>0</v>
      </c>
      <c r="M474" s="6">
        <v>0</v>
      </c>
      <c r="O474" s="6">
        <v>0</v>
      </c>
      <c r="Q474" s="6">
        <v>0</v>
      </c>
      <c r="S474" s="6">
        <v>0</v>
      </c>
      <c r="U474" s="6">
        <v>0</v>
      </c>
      <c r="W474" s="6">
        <v>0</v>
      </c>
      <c r="Y474" s="6">
        <v>0</v>
      </c>
      <c r="AA474" s="6">
        <v>0</v>
      </c>
      <c r="AC474" s="6">
        <v>0</v>
      </c>
      <c r="AE474" s="6">
        <v>0</v>
      </c>
      <c r="AG474" s="11" t="s">
        <v>826</v>
      </c>
      <c r="AH474" s="11"/>
      <c r="AI474" s="11" t="s">
        <v>77</v>
      </c>
      <c r="AJ474" s="11"/>
      <c r="AK474" s="6">
        <v>0</v>
      </c>
      <c r="AM474" s="6">
        <v>0</v>
      </c>
      <c r="AO474" s="6">
        <v>0</v>
      </c>
      <c r="AQ474" s="6">
        <v>0</v>
      </c>
      <c r="AU474" s="6">
        <v>0</v>
      </c>
      <c r="AW474" s="6">
        <f t="shared" si="48"/>
        <v>0</v>
      </c>
      <c r="AY474" s="6">
        <f>+'St of Activites - GA Rev'!AG474-'St of Activities - GA Exp'!AW474</f>
        <v>0</v>
      </c>
      <c r="BC474" s="6">
        <f t="shared" si="47"/>
        <v>0</v>
      </c>
      <c r="BE474" s="6">
        <f>+'St of Net Assets - GA'!Y474-'St of Activities - GA Exp'!BC474</f>
        <v>0</v>
      </c>
    </row>
    <row r="475" spans="1:57" hidden="1">
      <c r="A475" s="11" t="s">
        <v>827</v>
      </c>
      <c r="B475" s="11"/>
      <c r="C475" s="11" t="s">
        <v>71</v>
      </c>
      <c r="E475" s="6">
        <v>0</v>
      </c>
      <c r="G475" s="6">
        <v>0</v>
      </c>
      <c r="I475" s="6">
        <v>0</v>
      </c>
      <c r="K475" s="6">
        <v>0</v>
      </c>
      <c r="M475" s="6">
        <v>0</v>
      </c>
      <c r="O475" s="6">
        <v>0</v>
      </c>
      <c r="Q475" s="6">
        <v>0</v>
      </c>
      <c r="S475" s="6">
        <v>0</v>
      </c>
      <c r="U475" s="6">
        <v>0</v>
      </c>
      <c r="W475" s="6">
        <v>0</v>
      </c>
      <c r="Y475" s="6">
        <v>0</v>
      </c>
      <c r="AA475" s="6">
        <v>0</v>
      </c>
      <c r="AC475" s="6">
        <v>0</v>
      </c>
      <c r="AE475" s="6">
        <v>0</v>
      </c>
      <c r="AG475" s="11" t="s">
        <v>827</v>
      </c>
      <c r="AH475" s="11"/>
      <c r="AI475" s="11" t="s">
        <v>71</v>
      </c>
      <c r="AJ475" s="11"/>
      <c r="AK475" s="6">
        <v>0</v>
      </c>
      <c r="AM475" s="6">
        <v>0</v>
      </c>
      <c r="AO475" s="6">
        <v>0</v>
      </c>
      <c r="AQ475" s="6">
        <v>0</v>
      </c>
      <c r="AU475" s="6">
        <v>0</v>
      </c>
      <c r="AW475" s="6">
        <f t="shared" si="48"/>
        <v>0</v>
      </c>
      <c r="AY475" s="6">
        <f>+'St of Activites - GA Rev'!AG475-'St of Activities - GA Exp'!AW475</f>
        <v>0</v>
      </c>
      <c r="BC475" s="6">
        <f t="shared" si="47"/>
        <v>0</v>
      </c>
      <c r="BE475" s="6">
        <f>+'St of Net Assets - GA'!Y475-'St of Activities - GA Exp'!BC475</f>
        <v>0</v>
      </c>
    </row>
    <row r="476" spans="1:57">
      <c r="A476" s="11" t="s">
        <v>413</v>
      </c>
      <c r="B476" s="11"/>
      <c r="C476" s="11" t="s">
        <v>46</v>
      </c>
      <c r="E476" s="6">
        <v>8998968</v>
      </c>
      <c r="G476" s="6">
        <v>1711539</v>
      </c>
      <c r="I476" s="6">
        <v>283217</v>
      </c>
      <c r="K476" s="6">
        <v>0</v>
      </c>
      <c r="M476" s="6">
        <v>0</v>
      </c>
      <c r="O476" s="6">
        <v>434192</v>
      </c>
      <c r="Q476" s="6">
        <v>985333</v>
      </c>
      <c r="S476" s="6">
        <v>17974</v>
      </c>
      <c r="U476" s="6">
        <v>1572641</v>
      </c>
      <c r="W476" s="6">
        <v>443267</v>
      </c>
      <c r="Y476" s="6">
        <v>52255</v>
      </c>
      <c r="AA476" s="6">
        <v>1413711</v>
      </c>
      <c r="AC476" s="6">
        <v>1138404</v>
      </c>
      <c r="AE476" s="6">
        <v>83543</v>
      </c>
      <c r="AG476" s="11" t="s">
        <v>413</v>
      </c>
      <c r="AH476" s="11"/>
      <c r="AI476" s="11" t="s">
        <v>46</v>
      </c>
      <c r="AJ476" s="11"/>
      <c r="AK476" s="6">
        <v>0</v>
      </c>
      <c r="AM476" s="6">
        <v>848091</v>
      </c>
      <c r="AO476" s="6">
        <v>579157</v>
      </c>
      <c r="AQ476" s="6">
        <v>632221</v>
      </c>
      <c r="AU476" s="6">
        <v>0</v>
      </c>
      <c r="AW476" s="6">
        <f t="shared" si="48"/>
        <v>19194513</v>
      </c>
      <c r="AY476" s="6">
        <f>+'St of Activites - GA Rev'!AG476-'St of Activities - GA Exp'!AW476</f>
        <v>-355605</v>
      </c>
      <c r="BA476" s="6">
        <v>29887582</v>
      </c>
      <c r="BC476" s="6">
        <f t="shared" si="47"/>
        <v>29531977</v>
      </c>
      <c r="BE476" s="6">
        <f>+'St of Net Assets - GA'!Y476-'St of Activities - GA Exp'!BC476</f>
        <v>0</v>
      </c>
    </row>
    <row r="477" spans="1:57">
      <c r="A477" s="11" t="s">
        <v>255</v>
      </c>
      <c r="B477" s="11"/>
      <c r="C477" s="11" t="s">
        <v>19</v>
      </c>
      <c r="E477" s="6">
        <v>9683892</v>
      </c>
      <c r="G477" s="6">
        <v>2357604</v>
      </c>
      <c r="I477" s="6">
        <v>333967</v>
      </c>
      <c r="K477" s="6">
        <v>0</v>
      </c>
      <c r="M477" s="6">
        <v>0</v>
      </c>
      <c r="O477" s="6">
        <v>869889</v>
      </c>
      <c r="Q477" s="6">
        <v>1369867</v>
      </c>
      <c r="S477" s="6">
        <v>54242</v>
      </c>
      <c r="U477" s="6">
        <v>1551734</v>
      </c>
      <c r="W477" s="6">
        <v>688054</v>
      </c>
      <c r="Y477" s="6">
        <v>0</v>
      </c>
      <c r="AA477" s="6">
        <v>2171399</v>
      </c>
      <c r="AC477" s="6">
        <v>1723549</v>
      </c>
      <c r="AE477" s="6">
        <v>737349</v>
      </c>
      <c r="AG477" s="11" t="s">
        <v>255</v>
      </c>
      <c r="AH477" s="11"/>
      <c r="AI477" s="11" t="s">
        <v>19</v>
      </c>
      <c r="AJ477" s="11"/>
      <c r="AK477" s="6">
        <v>974691</v>
      </c>
      <c r="AM477" s="6">
        <v>8567</v>
      </c>
      <c r="AO477" s="6">
        <v>399241</v>
      </c>
      <c r="AQ477" s="6">
        <v>59669</v>
      </c>
      <c r="AU477" s="6">
        <v>0</v>
      </c>
      <c r="AW477" s="6">
        <f t="shared" si="48"/>
        <v>22983714</v>
      </c>
      <c r="AY477" s="6">
        <f>+'St of Activites - GA Rev'!AG477-'St of Activities - GA Exp'!AW477</f>
        <v>574475</v>
      </c>
      <c r="BA477" s="6">
        <v>12865051</v>
      </c>
      <c r="BC477" s="6">
        <f t="shared" si="47"/>
        <v>13439526</v>
      </c>
      <c r="BE477" s="6">
        <f>+'St of Net Assets - GA'!Y477-'St of Activities - GA Exp'!BC477</f>
        <v>0</v>
      </c>
    </row>
    <row r="478" spans="1:57" hidden="1">
      <c r="A478" s="11" t="s">
        <v>828</v>
      </c>
      <c r="B478" s="11"/>
      <c r="C478" s="11" t="s">
        <v>339</v>
      </c>
      <c r="E478" s="6">
        <v>0</v>
      </c>
      <c r="G478" s="6">
        <v>0</v>
      </c>
      <c r="I478" s="6">
        <v>0</v>
      </c>
      <c r="K478" s="6">
        <v>0</v>
      </c>
      <c r="M478" s="6">
        <v>0</v>
      </c>
      <c r="O478" s="6">
        <v>0</v>
      </c>
      <c r="Q478" s="6">
        <v>0</v>
      </c>
      <c r="S478" s="6">
        <v>0</v>
      </c>
      <c r="U478" s="6">
        <v>0</v>
      </c>
      <c r="W478" s="6">
        <v>0</v>
      </c>
      <c r="Y478" s="6">
        <v>0</v>
      </c>
      <c r="AA478" s="6">
        <v>0</v>
      </c>
      <c r="AC478" s="6">
        <v>0</v>
      </c>
      <c r="AE478" s="6">
        <v>0</v>
      </c>
      <c r="AG478" s="11" t="s">
        <v>828</v>
      </c>
      <c r="AH478" s="11"/>
      <c r="AI478" s="11" t="s">
        <v>339</v>
      </c>
      <c r="AJ478" s="11"/>
      <c r="AK478" s="6">
        <v>0</v>
      </c>
      <c r="AM478" s="6">
        <v>0</v>
      </c>
      <c r="AO478" s="6">
        <v>0</v>
      </c>
      <c r="AQ478" s="6">
        <v>0</v>
      </c>
      <c r="AU478" s="6">
        <v>0</v>
      </c>
      <c r="AW478" s="6">
        <f t="shared" si="48"/>
        <v>0</v>
      </c>
      <c r="AY478" s="6">
        <f>+'St of Activites - GA Rev'!AG478-'St of Activities - GA Exp'!AW478</f>
        <v>0</v>
      </c>
      <c r="BC478" s="6">
        <f t="shared" si="47"/>
        <v>0</v>
      </c>
      <c r="BE478" s="6">
        <f>+'St of Net Assets - GA'!Y478-'St of Activities - GA Exp'!BC478</f>
        <v>0</v>
      </c>
    </row>
    <row r="479" spans="1:57" s="28" customFormat="1">
      <c r="A479" s="27" t="s">
        <v>379</v>
      </c>
      <c r="B479" s="27"/>
      <c r="C479" s="27" t="s">
        <v>41</v>
      </c>
      <c r="E479" s="28">
        <v>19590454</v>
      </c>
      <c r="G479" s="28">
        <v>3992853</v>
      </c>
      <c r="I479" s="28">
        <v>0</v>
      </c>
      <c r="K479" s="28">
        <v>0</v>
      </c>
      <c r="M479" s="28">
        <v>1821276</v>
      </c>
      <c r="O479" s="28">
        <v>2065936</v>
      </c>
      <c r="Q479" s="28">
        <v>1334458</v>
      </c>
      <c r="S479" s="28">
        <v>22264</v>
      </c>
      <c r="U479" s="28">
        <v>4317489</v>
      </c>
      <c r="W479" s="28">
        <v>1138577</v>
      </c>
      <c r="Y479" s="28">
        <v>5331</v>
      </c>
      <c r="AA479" s="28">
        <v>3455919</v>
      </c>
      <c r="AC479" s="28">
        <v>3929862</v>
      </c>
      <c r="AE479" s="28">
        <v>47347</v>
      </c>
      <c r="AG479" s="27" t="s">
        <v>379</v>
      </c>
      <c r="AH479" s="27"/>
      <c r="AI479" s="27" t="s">
        <v>41</v>
      </c>
      <c r="AJ479" s="27"/>
      <c r="AK479" s="28">
        <v>0</v>
      </c>
      <c r="AM479" s="28">
        <v>71051</v>
      </c>
      <c r="AO479" s="28">
        <v>812192</v>
      </c>
      <c r="AQ479" s="28">
        <v>122246</v>
      </c>
      <c r="AU479" s="28">
        <v>0</v>
      </c>
      <c r="AW479" s="28">
        <f t="shared" si="48"/>
        <v>42727255</v>
      </c>
      <c r="AY479" s="28">
        <f>+'St of Activites - GA Rev'!AG479-'St of Activities - GA Exp'!AW479</f>
        <v>506415</v>
      </c>
      <c r="BA479" s="28">
        <v>13575427</v>
      </c>
      <c r="BC479" s="28">
        <f t="shared" si="47"/>
        <v>14081842</v>
      </c>
      <c r="BE479" s="28">
        <f>+'St of Net Assets - GA'!Y479-'St of Activities - GA Exp'!BC479</f>
        <v>0</v>
      </c>
    </row>
    <row r="480" spans="1:57">
      <c r="A480" s="11" t="s">
        <v>379</v>
      </c>
      <c r="B480" s="11"/>
      <c r="C480" s="11" t="s">
        <v>43</v>
      </c>
      <c r="E480" s="6">
        <v>3857741</v>
      </c>
      <c r="G480" s="6">
        <v>987146</v>
      </c>
      <c r="I480" s="6">
        <v>154310</v>
      </c>
      <c r="K480" s="6">
        <v>0</v>
      </c>
      <c r="M480" s="6">
        <v>0</v>
      </c>
      <c r="O480" s="6">
        <v>143985</v>
      </c>
      <c r="Q480" s="6">
        <v>291694</v>
      </c>
      <c r="S480" s="6">
        <v>15298</v>
      </c>
      <c r="U480" s="6">
        <v>387608</v>
      </c>
      <c r="W480" s="6">
        <v>260325</v>
      </c>
      <c r="Y480" s="6">
        <v>21017</v>
      </c>
      <c r="AA480" s="6">
        <v>860371</v>
      </c>
      <c r="AC480" s="6">
        <v>435963</v>
      </c>
      <c r="AE480" s="6">
        <v>144754</v>
      </c>
      <c r="AG480" s="11" t="s">
        <v>379</v>
      </c>
      <c r="AH480" s="11"/>
      <c r="AI480" s="11" t="s">
        <v>43</v>
      </c>
      <c r="AJ480" s="11"/>
      <c r="AK480" s="6">
        <v>412285</v>
      </c>
      <c r="AM480" s="6">
        <v>500</v>
      </c>
      <c r="AO480" s="6">
        <v>225836</v>
      </c>
      <c r="AQ480" s="6">
        <v>139798</v>
      </c>
      <c r="AU480" s="6">
        <v>0</v>
      </c>
      <c r="AW480" s="6">
        <f t="shared" si="48"/>
        <v>8338631</v>
      </c>
      <c r="AY480" s="6">
        <f>+'St of Activites - GA Rev'!AG480-'St of Activities - GA Exp'!AW480</f>
        <v>-487138</v>
      </c>
      <c r="BA480" s="6">
        <v>10494538</v>
      </c>
      <c r="BC480" s="6">
        <f t="shared" si="47"/>
        <v>10007400</v>
      </c>
      <c r="BE480" s="6">
        <f>+'St of Net Assets - GA'!Y480-'St of Activities - GA Exp'!BC480</f>
        <v>0</v>
      </c>
    </row>
    <row r="481" spans="1:57">
      <c r="A481" s="11" t="s">
        <v>370</v>
      </c>
      <c r="B481" s="11"/>
      <c r="C481" s="11" t="s">
        <v>366</v>
      </c>
      <c r="E481" s="6">
        <v>9609525</v>
      </c>
      <c r="G481" s="6">
        <v>2612559</v>
      </c>
      <c r="I481" s="6">
        <v>288252</v>
      </c>
      <c r="K481" s="6">
        <v>0</v>
      </c>
      <c r="M481" s="6">
        <v>0</v>
      </c>
      <c r="O481" s="6">
        <v>680821</v>
      </c>
      <c r="Q481" s="6">
        <v>492636</v>
      </c>
      <c r="S481" s="6">
        <v>501276</v>
      </c>
      <c r="U481" s="6">
        <v>1178992</v>
      </c>
      <c r="W481" s="6">
        <v>390841</v>
      </c>
      <c r="Y481" s="6">
        <v>0</v>
      </c>
      <c r="AA481" s="6">
        <v>2484156</v>
      </c>
      <c r="AC481" s="6">
        <v>1362880</v>
      </c>
      <c r="AE481" s="6">
        <v>112121</v>
      </c>
      <c r="AG481" s="11" t="s">
        <v>370</v>
      </c>
      <c r="AH481" s="11"/>
      <c r="AI481" s="11" t="s">
        <v>366</v>
      </c>
      <c r="AJ481" s="11"/>
      <c r="AK481" s="6">
        <v>958239</v>
      </c>
      <c r="AM481" s="6">
        <v>8027</v>
      </c>
      <c r="AO481" s="6">
        <v>592028</v>
      </c>
      <c r="AQ481" s="6">
        <v>0</v>
      </c>
      <c r="AU481" s="6">
        <v>0</v>
      </c>
      <c r="AW481" s="6">
        <f t="shared" si="48"/>
        <v>21272353</v>
      </c>
      <c r="AY481" s="6">
        <f>+'St of Activites - GA Rev'!AG481-'St of Activities - GA Exp'!AW481</f>
        <v>-1362713</v>
      </c>
      <c r="BA481" s="6">
        <v>40675858</v>
      </c>
      <c r="BC481" s="6">
        <f t="shared" si="47"/>
        <v>39313145</v>
      </c>
      <c r="BE481" s="6">
        <f>+'St of Net Assets - GA'!Y481-'St of Activities - GA Exp'!BC481</f>
        <v>0</v>
      </c>
    </row>
    <row r="482" spans="1:57" ht="12" customHeight="1">
      <c r="A482" s="11" t="s">
        <v>713</v>
      </c>
      <c r="B482" s="11"/>
      <c r="C482" s="11" t="s">
        <v>20</v>
      </c>
      <c r="E482" s="6">
        <v>14666644</v>
      </c>
      <c r="G482" s="6">
        <v>4297132</v>
      </c>
      <c r="I482" s="6">
        <v>563717</v>
      </c>
      <c r="K482" s="6">
        <v>0</v>
      </c>
      <c r="M482" s="6">
        <v>38806</v>
      </c>
      <c r="O482" s="6">
        <v>2191955</v>
      </c>
      <c r="Q482" s="6">
        <v>1492007</v>
      </c>
      <c r="S482" s="6">
        <v>37547</v>
      </c>
      <c r="U482" s="6">
        <v>1863081</v>
      </c>
      <c r="W482" s="6">
        <v>1070676</v>
      </c>
      <c r="Y482" s="6">
        <v>540107</v>
      </c>
      <c r="AA482" s="6">
        <v>3582485</v>
      </c>
      <c r="AC482" s="6">
        <v>1823724</v>
      </c>
      <c r="AE482" s="6">
        <v>812506</v>
      </c>
      <c r="AG482" s="11" t="s">
        <v>713</v>
      </c>
      <c r="AH482" s="11"/>
      <c r="AI482" s="11" t="s">
        <v>20</v>
      </c>
      <c r="AJ482" s="11"/>
      <c r="AK482" s="6">
        <v>427707</v>
      </c>
      <c r="AM482" s="6">
        <v>1433679</v>
      </c>
      <c r="AO482" s="6">
        <v>1253575</v>
      </c>
      <c r="AQ482" s="6">
        <v>3097923</v>
      </c>
      <c r="AU482" s="6">
        <v>0</v>
      </c>
      <c r="AW482" s="6">
        <f t="shared" si="48"/>
        <v>39193271</v>
      </c>
      <c r="AY482" s="6">
        <f>+'St of Activites - GA Rev'!AG482-'St of Activities - GA Exp'!AW482</f>
        <v>1179499</v>
      </c>
      <c r="BA482" s="6">
        <v>11206780</v>
      </c>
      <c r="BC482" s="6">
        <f t="shared" si="47"/>
        <v>12386279</v>
      </c>
      <c r="BE482" s="6">
        <f>+'St of Net Assets - GA'!Y482-'St of Activities - GA Exp'!BC482</f>
        <v>0</v>
      </c>
    </row>
    <row r="483" spans="1:57" ht="12" customHeight="1">
      <c r="A483" s="11" t="s">
        <v>321</v>
      </c>
      <c r="B483" s="11"/>
      <c r="C483" s="11" t="s">
        <v>31</v>
      </c>
      <c r="E483" s="6">
        <v>7320035</v>
      </c>
      <c r="G483" s="6">
        <v>2145607</v>
      </c>
      <c r="I483" s="6">
        <v>220181</v>
      </c>
      <c r="K483" s="6">
        <v>0</v>
      </c>
      <c r="M483" s="6">
        <v>1696956</v>
      </c>
      <c r="O483" s="6">
        <v>527608</v>
      </c>
      <c r="Q483" s="6">
        <v>1103617</v>
      </c>
      <c r="S483" s="6">
        <v>27802</v>
      </c>
      <c r="U483" s="6">
        <v>1375081</v>
      </c>
      <c r="W483" s="6">
        <v>578413</v>
      </c>
      <c r="Y483" s="6">
        <v>0</v>
      </c>
      <c r="AA483" s="6">
        <v>1600870</v>
      </c>
      <c r="AC483" s="6">
        <v>883344</v>
      </c>
      <c r="AE483" s="6">
        <v>79250</v>
      </c>
      <c r="AG483" s="11" t="s">
        <v>321</v>
      </c>
      <c r="AH483" s="11"/>
      <c r="AI483" s="11" t="s">
        <v>31</v>
      </c>
      <c r="AJ483" s="11"/>
      <c r="AK483" s="6">
        <v>968437</v>
      </c>
      <c r="AM483" s="6">
        <v>7490</v>
      </c>
      <c r="AO483" s="6">
        <v>285337</v>
      </c>
      <c r="AQ483" s="6">
        <v>25091</v>
      </c>
      <c r="AU483" s="6">
        <v>0</v>
      </c>
      <c r="AW483" s="6">
        <f t="shared" si="48"/>
        <v>18845119</v>
      </c>
      <c r="AY483" s="6">
        <f>+'St of Activites - GA Rev'!AG483-'St of Activities - GA Exp'!AW483</f>
        <v>1042907</v>
      </c>
      <c r="BA483" s="6">
        <v>16152074</v>
      </c>
      <c r="BC483" s="6">
        <f t="shared" si="47"/>
        <v>17194981</v>
      </c>
      <c r="BE483" s="6">
        <f>+'St of Net Assets - GA'!Y483-'St of Activities - GA Exp'!BC483</f>
        <v>0</v>
      </c>
    </row>
    <row r="484" spans="1:57" ht="12" customHeight="1">
      <c r="A484" s="11" t="s">
        <v>462</v>
      </c>
      <c r="B484" s="11"/>
      <c r="C484" s="11" t="s">
        <v>56</v>
      </c>
      <c r="E484" s="6">
        <v>4754939</v>
      </c>
      <c r="G484" s="6">
        <v>1078319</v>
      </c>
      <c r="I484" s="6">
        <v>195634</v>
      </c>
      <c r="K484" s="6">
        <v>0</v>
      </c>
      <c r="M484" s="6">
        <f>3932+624981</f>
        <v>628913</v>
      </c>
      <c r="O484" s="6">
        <v>539328</v>
      </c>
      <c r="Q484" s="6">
        <v>372620</v>
      </c>
      <c r="S484" s="6">
        <v>25543</v>
      </c>
      <c r="U484" s="6">
        <v>828372</v>
      </c>
      <c r="W484" s="6">
        <v>366940</v>
      </c>
      <c r="Y484" s="6">
        <v>13631</v>
      </c>
      <c r="AA484" s="6">
        <v>762487</v>
      </c>
      <c r="AC484" s="6">
        <v>711462</v>
      </c>
      <c r="AE484" s="6">
        <v>811</v>
      </c>
      <c r="AG484" s="11" t="s">
        <v>462</v>
      </c>
      <c r="AH484" s="11"/>
      <c r="AI484" s="11" t="s">
        <v>56</v>
      </c>
      <c r="AJ484" s="11"/>
      <c r="AK484" s="6">
        <v>362012</v>
      </c>
      <c r="AM484" s="6">
        <v>1273</v>
      </c>
      <c r="AO484" s="6">
        <v>365120</v>
      </c>
      <c r="AQ484" s="6">
        <v>0</v>
      </c>
      <c r="AU484" s="6">
        <v>0</v>
      </c>
      <c r="AW484" s="6">
        <f t="shared" si="48"/>
        <v>11007404</v>
      </c>
      <c r="AY484" s="6">
        <f>+'St of Activites - GA Rev'!AG484-'St of Activities - GA Exp'!AW484</f>
        <v>1151844</v>
      </c>
      <c r="BA484" s="6">
        <v>3362036</v>
      </c>
      <c r="BC484" s="6">
        <f t="shared" si="47"/>
        <v>4513880</v>
      </c>
      <c r="BE484" s="6">
        <f>+'St of Net Assets - GA'!Y484-'St of Activities - GA Exp'!BC484</f>
        <v>0</v>
      </c>
    </row>
    <row r="485" spans="1:57" ht="12" customHeight="1">
      <c r="A485" s="11" t="s">
        <v>714</v>
      </c>
      <c r="B485" s="11"/>
      <c r="C485" s="11" t="s">
        <v>221</v>
      </c>
      <c r="E485" s="6">
        <v>12225999</v>
      </c>
      <c r="G485" s="6">
        <v>1788561</v>
      </c>
      <c r="I485" s="6">
        <v>0</v>
      </c>
      <c r="K485" s="6">
        <v>0</v>
      </c>
      <c r="M485" s="6">
        <v>786732</v>
      </c>
      <c r="O485" s="6">
        <v>868746</v>
      </c>
      <c r="Q485" s="6">
        <v>1376411</v>
      </c>
      <c r="S485" s="6">
        <v>21793</v>
      </c>
      <c r="U485" s="6">
        <v>1960498</v>
      </c>
      <c r="W485" s="6">
        <v>665521</v>
      </c>
      <c r="Y485" s="6">
        <v>0</v>
      </c>
      <c r="AA485" s="6">
        <v>2334690</v>
      </c>
      <c r="AC485" s="6">
        <v>1676655</v>
      </c>
      <c r="AE485" s="6">
        <v>7200</v>
      </c>
      <c r="AG485" s="11" t="s">
        <v>714</v>
      </c>
      <c r="AH485" s="11"/>
      <c r="AI485" s="11" t="s">
        <v>221</v>
      </c>
      <c r="AJ485" s="11"/>
      <c r="AK485" s="6">
        <v>1109769</v>
      </c>
      <c r="AM485" s="6">
        <v>187191</v>
      </c>
      <c r="AO485" s="6">
        <v>799603</v>
      </c>
      <c r="AQ485" s="6">
        <v>729462</v>
      </c>
      <c r="AU485" s="6">
        <v>0</v>
      </c>
      <c r="AW485" s="6">
        <f t="shared" si="48"/>
        <v>26538831</v>
      </c>
      <c r="AY485" s="6">
        <f>+'St of Activites - GA Rev'!AG485-'St of Activities - GA Exp'!AW485</f>
        <v>2046855</v>
      </c>
      <c r="BA485" s="6">
        <v>43783944</v>
      </c>
      <c r="BC485" s="6">
        <f t="shared" si="47"/>
        <v>45830799</v>
      </c>
      <c r="BE485" s="6">
        <f>+'St of Net Assets - GA'!Y485-'St of Activities - GA Exp'!BC485</f>
        <v>0</v>
      </c>
    </row>
    <row r="486" spans="1:57" ht="12" customHeight="1">
      <c r="A486" s="11" t="s">
        <v>777</v>
      </c>
      <c r="B486" s="11"/>
      <c r="C486" s="11" t="s">
        <v>72</v>
      </c>
      <c r="E486" s="6">
        <v>11379408</v>
      </c>
      <c r="G486" s="6">
        <v>2510651</v>
      </c>
      <c r="I486" s="6">
        <v>308858</v>
      </c>
      <c r="K486" s="6">
        <v>26828</v>
      </c>
      <c r="M486" s="6">
        <v>0</v>
      </c>
      <c r="O486" s="6">
        <v>1881052</v>
      </c>
      <c r="Q486" s="6">
        <v>1481630</v>
      </c>
      <c r="S486" s="6">
        <v>48582</v>
      </c>
      <c r="U486" s="6">
        <v>2155174</v>
      </c>
      <c r="W486" s="6">
        <v>455455</v>
      </c>
      <c r="Y486" s="6">
        <v>117473</v>
      </c>
      <c r="AA486" s="6">
        <v>2105891</v>
      </c>
      <c r="AC486" s="6">
        <v>1053824</v>
      </c>
      <c r="AE486" s="6">
        <v>549277</v>
      </c>
      <c r="AG486" s="11" t="s">
        <v>777</v>
      </c>
      <c r="AH486" s="11"/>
      <c r="AI486" s="11" t="s">
        <v>72</v>
      </c>
      <c r="AJ486" s="11"/>
      <c r="AK486" s="6">
        <v>0</v>
      </c>
      <c r="AM486" s="6">
        <v>1042061</v>
      </c>
      <c r="AO486" s="6">
        <v>780924</v>
      </c>
      <c r="AQ486" s="6">
        <v>0</v>
      </c>
      <c r="AU486" s="6">
        <v>0</v>
      </c>
      <c r="AW486" s="6">
        <f t="shared" si="48"/>
        <v>25897088</v>
      </c>
      <c r="AY486" s="6">
        <f>+'St of Activites - GA Rev'!AG486-'St of Activities - GA Exp'!AW486</f>
        <v>-2494745</v>
      </c>
      <c r="BA486" s="6">
        <v>19774747</v>
      </c>
      <c r="BC486" s="6">
        <f t="shared" si="47"/>
        <v>17280002</v>
      </c>
      <c r="BE486" s="6">
        <f>+'St of Net Assets - GA'!Y486-'St of Activities - GA Exp'!BC486</f>
        <v>0</v>
      </c>
    </row>
    <row r="487" spans="1:57" ht="12" customHeight="1">
      <c r="A487" s="11" t="s">
        <v>492</v>
      </c>
      <c r="B487" s="11"/>
      <c r="C487" s="11" t="s">
        <v>61</v>
      </c>
      <c r="E487" s="6">
        <v>2136804</v>
      </c>
      <c r="G487" s="6">
        <v>429876</v>
      </c>
      <c r="I487" s="6">
        <v>0</v>
      </c>
      <c r="K487" s="6">
        <v>0</v>
      </c>
      <c r="M487" s="6">
        <v>7016</v>
      </c>
      <c r="O487" s="6">
        <v>93258</v>
      </c>
      <c r="Q487" s="6">
        <v>40298</v>
      </c>
      <c r="S487" s="6">
        <v>6549</v>
      </c>
      <c r="U487" s="6">
        <v>342643</v>
      </c>
      <c r="W487" s="6">
        <v>146639</v>
      </c>
      <c r="Y487" s="6">
        <v>474</v>
      </c>
      <c r="AA487" s="6">
        <v>359314</v>
      </c>
      <c r="AC487" s="6">
        <v>173951</v>
      </c>
      <c r="AE487" s="6">
        <v>117821</v>
      </c>
      <c r="AG487" s="11" t="s">
        <v>492</v>
      </c>
      <c r="AH487" s="11"/>
      <c r="AI487" s="11" t="s">
        <v>61</v>
      </c>
      <c r="AJ487" s="11"/>
      <c r="AK487" s="6">
        <v>0</v>
      </c>
      <c r="AM487" s="6">
        <v>190445</v>
      </c>
      <c r="AO487" s="6">
        <v>196246</v>
      </c>
      <c r="AQ487" s="6">
        <v>235246</v>
      </c>
      <c r="AU487" s="6">
        <v>164231</v>
      </c>
      <c r="AW487" s="6">
        <f t="shared" si="48"/>
        <v>4640811</v>
      </c>
      <c r="AY487" s="6">
        <f>+'St of Activites - GA Rev'!AG487-'St of Activities - GA Exp'!AW487</f>
        <v>568248</v>
      </c>
      <c r="BA487" s="6">
        <v>8263200</v>
      </c>
      <c r="BC487" s="6">
        <f t="shared" si="47"/>
        <v>8831448</v>
      </c>
      <c r="BE487" s="6">
        <f>+'St of Net Assets - GA'!Y487-'St of Activities - GA Exp'!BC487</f>
        <v>0</v>
      </c>
    </row>
    <row r="488" spans="1:57">
      <c r="A488" s="11" t="s">
        <v>607</v>
      </c>
      <c r="B488" s="11"/>
      <c r="C488" s="11" t="s">
        <v>112</v>
      </c>
      <c r="E488" s="6">
        <v>8137245</v>
      </c>
      <c r="G488" s="6">
        <v>2703658</v>
      </c>
      <c r="I488" s="6">
        <v>279676</v>
      </c>
      <c r="K488" s="6">
        <v>636967</v>
      </c>
      <c r="M488" s="6">
        <v>1895758</v>
      </c>
      <c r="O488" s="6">
        <v>1010162</v>
      </c>
      <c r="Q488" s="6">
        <v>570366</v>
      </c>
      <c r="S488" s="6">
        <v>39210</v>
      </c>
      <c r="U488" s="6">
        <v>2115957</v>
      </c>
      <c r="W488" s="6">
        <v>584169</v>
      </c>
      <c r="Y488" s="6">
        <v>12946</v>
      </c>
      <c r="AA488" s="6">
        <v>1708534</v>
      </c>
      <c r="AC488" s="6">
        <v>901662</v>
      </c>
      <c r="AE488" s="6">
        <v>168186</v>
      </c>
      <c r="AG488" s="11" t="s">
        <v>607</v>
      </c>
      <c r="AH488" s="11"/>
      <c r="AI488" s="11" t="s">
        <v>112</v>
      </c>
      <c r="AJ488" s="11"/>
      <c r="AK488" s="6">
        <v>701162</v>
      </c>
      <c r="AM488" s="6">
        <v>146094</v>
      </c>
      <c r="AO488" s="6">
        <v>729602</v>
      </c>
      <c r="AQ488" s="6">
        <v>105622</v>
      </c>
      <c r="AU488" s="6">
        <v>0</v>
      </c>
      <c r="AW488" s="6">
        <f t="shared" si="48"/>
        <v>22446976</v>
      </c>
      <c r="AY488" s="6">
        <f>+'St of Activites - GA Rev'!AG488-'St of Activities - GA Exp'!AW488</f>
        <v>58533</v>
      </c>
      <c r="BA488" s="6">
        <v>6442936</v>
      </c>
      <c r="BC488" s="6">
        <f t="shared" si="47"/>
        <v>6501469</v>
      </c>
      <c r="BE488" s="6">
        <f>+'St of Net Assets - GA'!Y488-'St of Activities - GA Exp'!BC488</f>
        <v>0</v>
      </c>
    </row>
    <row r="489" spans="1:57">
      <c r="A489" s="11" t="s">
        <v>290</v>
      </c>
      <c r="B489" s="11"/>
      <c r="C489" s="11" t="s">
        <v>24</v>
      </c>
      <c r="E489" s="6">
        <v>21639724</v>
      </c>
      <c r="G489" s="6">
        <v>7748222</v>
      </c>
      <c r="I489" s="6">
        <v>1449564</v>
      </c>
      <c r="K489" s="6">
        <v>1100334</v>
      </c>
      <c r="M489" s="6">
        <v>383125</v>
      </c>
      <c r="O489" s="6">
        <v>1905257</v>
      </c>
      <c r="Q489" s="6">
        <v>2891614</v>
      </c>
      <c r="S489" s="6">
        <v>194969</v>
      </c>
      <c r="U489" s="6">
        <v>2844207</v>
      </c>
      <c r="W489" s="6">
        <v>775946</v>
      </c>
      <c r="Y489" s="6">
        <v>154022</v>
      </c>
      <c r="AA489" s="6">
        <v>3280303</v>
      </c>
      <c r="AC489" s="6">
        <v>1918458</v>
      </c>
      <c r="AE489" s="6">
        <v>1330662</v>
      </c>
      <c r="AG489" s="11" t="s">
        <v>290</v>
      </c>
      <c r="AH489" s="11"/>
      <c r="AI489" s="11" t="s">
        <v>24</v>
      </c>
      <c r="AJ489" s="11"/>
      <c r="AK489" s="6">
        <v>0</v>
      </c>
      <c r="AM489" s="6">
        <v>2855443</v>
      </c>
      <c r="AO489" s="6">
        <v>1065669</v>
      </c>
      <c r="AQ489" s="6">
        <v>49997</v>
      </c>
      <c r="AU489" s="6">
        <v>0</v>
      </c>
      <c r="AW489" s="6">
        <f t="shared" si="48"/>
        <v>51587516</v>
      </c>
      <c r="AY489" s="6">
        <f>+'St of Activites - GA Rev'!AG489-'St of Activities - GA Exp'!AW489</f>
        <v>-1434461</v>
      </c>
      <c r="BA489" s="6">
        <v>12695834</v>
      </c>
      <c r="BC489" s="6">
        <f t="shared" si="47"/>
        <v>11261373</v>
      </c>
      <c r="BE489" s="6">
        <f>+'St of Net Assets - GA'!Y489-'St of Activities - GA Exp'!BC489</f>
        <v>0</v>
      </c>
    </row>
    <row r="490" spans="1:57">
      <c r="A490" s="11" t="s">
        <v>504</v>
      </c>
      <c r="B490" s="11"/>
      <c r="C490" s="11" t="s">
        <v>62</v>
      </c>
      <c r="E490" s="6">
        <v>5771866</v>
      </c>
      <c r="G490" s="6">
        <v>1856036</v>
      </c>
      <c r="I490" s="6">
        <v>799056</v>
      </c>
      <c r="K490" s="6">
        <v>0</v>
      </c>
      <c r="M490" s="6">
        <v>506690</v>
      </c>
      <c r="O490" s="6">
        <v>1159373</v>
      </c>
      <c r="Q490" s="6">
        <v>225033</v>
      </c>
      <c r="S490" s="6">
        <v>13965</v>
      </c>
      <c r="U490" s="6">
        <v>1179756</v>
      </c>
      <c r="W490" s="6">
        <v>398078</v>
      </c>
      <c r="Y490" s="6">
        <v>116081</v>
      </c>
      <c r="AA490" s="6">
        <v>1189753</v>
      </c>
      <c r="AC490" s="6">
        <v>1020520</v>
      </c>
      <c r="AE490" s="6">
        <v>8168</v>
      </c>
      <c r="AG490" s="11" t="s">
        <v>504</v>
      </c>
      <c r="AH490" s="11"/>
      <c r="AI490" s="11" t="s">
        <v>62</v>
      </c>
      <c r="AJ490" s="11"/>
      <c r="AK490" s="6">
        <v>814223</v>
      </c>
      <c r="AM490" s="6">
        <v>52309</v>
      </c>
      <c r="AO490" s="6">
        <v>537772</v>
      </c>
      <c r="AQ490" s="6">
        <v>543672</v>
      </c>
      <c r="AU490" s="6">
        <v>0</v>
      </c>
      <c r="AW490" s="6">
        <f t="shared" si="48"/>
        <v>16192351</v>
      </c>
      <c r="AY490" s="6">
        <f>+'St of Activites - GA Rev'!AG490-'St of Activities - GA Exp'!AW490</f>
        <v>-526703</v>
      </c>
      <c r="BA490" s="6">
        <v>30607417</v>
      </c>
      <c r="BC490" s="6">
        <f t="shared" si="47"/>
        <v>30080714</v>
      </c>
      <c r="BE490" s="6">
        <f>+'St of Net Assets - GA'!Y490-'St of Activities - GA Exp'!BC490</f>
        <v>0</v>
      </c>
    </row>
    <row r="491" spans="1:57">
      <c r="A491" s="11" t="s">
        <v>456</v>
      </c>
      <c r="B491" s="11"/>
      <c r="C491" s="11" t="s">
        <v>55</v>
      </c>
      <c r="E491" s="6">
        <v>7221706</v>
      </c>
      <c r="G491" s="6">
        <v>2118382</v>
      </c>
      <c r="I491" s="6">
        <v>0</v>
      </c>
      <c r="K491" s="6">
        <v>0</v>
      </c>
      <c r="M491" s="6">
        <v>22913</v>
      </c>
      <c r="O491" s="6">
        <v>743709</v>
      </c>
      <c r="Q491" s="6">
        <v>1040635</v>
      </c>
      <c r="S491" s="6">
        <v>17415</v>
      </c>
      <c r="U491" s="6">
        <v>1816985</v>
      </c>
      <c r="W491" s="6">
        <v>356099</v>
      </c>
      <c r="Y491" s="6">
        <v>0</v>
      </c>
      <c r="AA491" s="6">
        <v>1665538</v>
      </c>
      <c r="AC491" s="6">
        <v>1164316</v>
      </c>
      <c r="AE491" s="6">
        <v>214700</v>
      </c>
      <c r="AG491" s="11" t="s">
        <v>456</v>
      </c>
      <c r="AH491" s="11"/>
      <c r="AI491" s="11" t="s">
        <v>55</v>
      </c>
      <c r="AJ491" s="11"/>
      <c r="AK491" s="6">
        <v>0</v>
      </c>
      <c r="AM491" s="6">
        <v>645288</v>
      </c>
      <c r="AO491" s="6">
        <v>421060</v>
      </c>
      <c r="AQ491" s="6">
        <v>45894</v>
      </c>
      <c r="AS491" s="6">
        <v>0</v>
      </c>
      <c r="AU491" s="6">
        <v>48000</v>
      </c>
      <c r="AW491" s="6">
        <f t="shared" si="48"/>
        <v>17542640</v>
      </c>
      <c r="AY491" s="6">
        <f>+'St of Activites - GA Rev'!AG491-'St of Activities - GA Exp'!AW491</f>
        <v>-1142727</v>
      </c>
      <c r="BA491" s="6">
        <v>28865952</v>
      </c>
      <c r="BC491" s="6">
        <f t="shared" si="47"/>
        <v>27723225</v>
      </c>
      <c r="BE491" s="6">
        <f>+'St of Net Assets - GA'!Y491-'St of Activities - GA Exp'!BC491</f>
        <v>0</v>
      </c>
    </row>
    <row r="492" spans="1:57">
      <c r="A492" s="11" t="s">
        <v>405</v>
      </c>
      <c r="B492" s="11"/>
      <c r="C492" s="11" t="s">
        <v>45</v>
      </c>
      <c r="E492" s="6">
        <v>3063807</v>
      </c>
      <c r="G492" s="6">
        <v>1767258</v>
      </c>
      <c r="I492" s="6">
        <v>7181</v>
      </c>
      <c r="K492" s="6">
        <v>0</v>
      </c>
      <c r="M492" s="6">
        <v>0</v>
      </c>
      <c r="O492" s="6">
        <v>200327</v>
      </c>
      <c r="Q492" s="6">
        <v>283059</v>
      </c>
      <c r="S492" s="6">
        <v>12165</v>
      </c>
      <c r="U492" s="6">
        <v>711260</v>
      </c>
      <c r="W492" s="6">
        <v>259953</v>
      </c>
      <c r="Y492" s="6">
        <v>0</v>
      </c>
      <c r="AA492" s="6">
        <v>747143</v>
      </c>
      <c r="AC492" s="6">
        <v>180982</v>
      </c>
      <c r="AE492" s="6">
        <v>42</v>
      </c>
      <c r="AG492" s="11" t="s">
        <v>405</v>
      </c>
      <c r="AH492" s="11"/>
      <c r="AI492" s="11" t="s">
        <v>45</v>
      </c>
      <c r="AJ492" s="11"/>
      <c r="AK492" s="6">
        <v>334714</v>
      </c>
      <c r="AM492" s="6">
        <v>0</v>
      </c>
      <c r="AO492" s="6">
        <v>238523</v>
      </c>
      <c r="AQ492" s="6">
        <v>40755</v>
      </c>
      <c r="AS492" s="6">
        <v>0</v>
      </c>
      <c r="AU492" s="6">
        <v>0</v>
      </c>
      <c r="AW492" s="6">
        <f t="shared" si="48"/>
        <v>7847169</v>
      </c>
      <c r="AY492" s="6">
        <f>+'St of Activites - GA Rev'!AG492-'St of Activities - GA Exp'!AW492</f>
        <v>-546750</v>
      </c>
      <c r="BA492" s="6">
        <v>10472046</v>
      </c>
      <c r="BC492" s="6">
        <f t="shared" si="47"/>
        <v>9925296</v>
      </c>
      <c r="BE492" s="6">
        <f>+'St of Net Assets - GA'!Y492-'St of Activities - GA Exp'!BC492</f>
        <v>0</v>
      </c>
    </row>
    <row r="493" spans="1:57">
      <c r="A493" s="11" t="s">
        <v>487</v>
      </c>
      <c r="B493" s="11"/>
      <c r="C493" s="11" t="s">
        <v>60</v>
      </c>
      <c r="E493" s="6">
        <v>4651631</v>
      </c>
      <c r="G493" s="6">
        <v>1207039</v>
      </c>
      <c r="I493" s="6">
        <v>202145</v>
      </c>
      <c r="K493" s="6">
        <v>0</v>
      </c>
      <c r="M493" s="6">
        <v>0</v>
      </c>
      <c r="O493" s="6">
        <v>168775</v>
      </c>
      <c r="Q493" s="6">
        <v>390762</v>
      </c>
      <c r="S493" s="6">
        <v>46917</v>
      </c>
      <c r="U493" s="6">
        <v>603115</v>
      </c>
      <c r="W493" s="6">
        <v>324116</v>
      </c>
      <c r="Y493" s="6">
        <v>10468</v>
      </c>
      <c r="AA493" s="6">
        <v>1127891</v>
      </c>
      <c r="AC493" s="6">
        <v>556937</v>
      </c>
      <c r="AE493" s="6">
        <v>0</v>
      </c>
      <c r="AG493" s="11" t="s">
        <v>487</v>
      </c>
      <c r="AH493" s="11"/>
      <c r="AI493" s="11" t="s">
        <v>60</v>
      </c>
      <c r="AJ493" s="11"/>
      <c r="AK493" s="6">
        <v>458253</v>
      </c>
      <c r="AM493" s="6">
        <v>41136</v>
      </c>
      <c r="AO493" s="6">
        <v>432417</v>
      </c>
      <c r="AQ493" s="6">
        <v>524402</v>
      </c>
      <c r="AU493" s="6">
        <v>0</v>
      </c>
      <c r="AW493" s="6">
        <f t="shared" si="48"/>
        <v>10746004</v>
      </c>
      <c r="AY493" s="6">
        <f>+'St of Activites - GA Rev'!AG493-'St of Activities - GA Exp'!AW493</f>
        <v>-1414441</v>
      </c>
      <c r="BA493" s="6">
        <v>22789326</v>
      </c>
      <c r="BC493" s="6">
        <f t="shared" si="47"/>
        <v>21374885</v>
      </c>
      <c r="BE493" s="6">
        <f>+'St of Net Assets - GA'!Y493-'St of Activities - GA Exp'!BC493</f>
        <v>0</v>
      </c>
    </row>
    <row r="494" spans="1:57">
      <c r="A494" s="11" t="s">
        <v>217</v>
      </c>
      <c r="B494" s="11"/>
      <c r="C494" s="11" t="s">
        <v>15</v>
      </c>
      <c r="E494" s="6">
        <v>3987137</v>
      </c>
      <c r="G494" s="6">
        <v>674163</v>
      </c>
      <c r="I494" s="6">
        <v>28715</v>
      </c>
      <c r="K494" s="6">
        <v>0</v>
      </c>
      <c r="M494" s="6">
        <v>0</v>
      </c>
      <c r="O494" s="6">
        <v>236759</v>
      </c>
      <c r="Q494" s="6">
        <v>156613</v>
      </c>
      <c r="S494" s="6">
        <v>34771</v>
      </c>
      <c r="U494" s="6">
        <v>694330</v>
      </c>
      <c r="W494" s="6">
        <v>283732</v>
      </c>
      <c r="Y494" s="6">
        <v>0</v>
      </c>
      <c r="AA494" s="6">
        <v>635355</v>
      </c>
      <c r="AC494" s="6">
        <v>249869</v>
      </c>
      <c r="AE494" s="6">
        <v>0</v>
      </c>
      <c r="AG494" s="11" t="s">
        <v>217</v>
      </c>
      <c r="AH494" s="11"/>
      <c r="AI494" s="11" t="s">
        <v>15</v>
      </c>
      <c r="AJ494" s="11"/>
      <c r="AK494" s="6">
        <v>144884</v>
      </c>
      <c r="AM494" s="6">
        <v>0</v>
      </c>
      <c r="AO494" s="6">
        <v>256052</v>
      </c>
      <c r="AQ494" s="6">
        <v>4491</v>
      </c>
      <c r="AU494" s="6">
        <v>0</v>
      </c>
      <c r="AW494" s="6">
        <f t="shared" ref="AW494:AW507" si="50">SUM(E494:AV494)</f>
        <v>7386871</v>
      </c>
      <c r="AY494" s="6">
        <f>+'St of Activites - GA Rev'!AG494-'St of Activities - GA Exp'!AW494</f>
        <v>-617424</v>
      </c>
      <c r="BA494" s="6">
        <v>6660079</v>
      </c>
      <c r="BC494" s="6">
        <f t="shared" ref="BC494:BC507" si="51">+AY494+BA494</f>
        <v>6042655</v>
      </c>
      <c r="BE494" s="6">
        <f>+'St of Net Assets - GA'!Y494-'St of Activities - GA Exp'!BC494</f>
        <v>0</v>
      </c>
    </row>
    <row r="495" spans="1:57">
      <c r="A495" s="11" t="s">
        <v>715</v>
      </c>
      <c r="B495" s="11"/>
      <c r="C495" s="11" t="s">
        <v>20</v>
      </c>
      <c r="E495" s="6">
        <v>34781444</v>
      </c>
      <c r="G495" s="6">
        <v>12002923</v>
      </c>
      <c r="I495" s="6">
        <v>150353</v>
      </c>
      <c r="K495" s="6">
        <v>0</v>
      </c>
      <c r="M495" s="6">
        <f>58630+8693</f>
        <v>67323</v>
      </c>
      <c r="O495" s="6">
        <v>5572330</v>
      </c>
      <c r="Q495" s="6">
        <v>7919880</v>
      </c>
      <c r="S495" s="6">
        <v>18470</v>
      </c>
      <c r="U495" s="6">
        <v>5911037</v>
      </c>
      <c r="W495" s="6">
        <v>2645931</v>
      </c>
      <c r="Y495" s="6">
        <v>1043044</v>
      </c>
      <c r="AA495" s="6">
        <v>12347748</v>
      </c>
      <c r="AC495" s="6">
        <v>4456181</v>
      </c>
      <c r="AE495" s="6">
        <v>1754818</v>
      </c>
      <c r="AG495" s="11" t="s">
        <v>715</v>
      </c>
      <c r="AH495" s="11"/>
      <c r="AI495" s="11" t="s">
        <v>20</v>
      </c>
      <c r="AJ495" s="11"/>
      <c r="AK495" s="6">
        <v>1820200</v>
      </c>
      <c r="AM495" s="6">
        <v>1428394</v>
      </c>
      <c r="AO495" s="6">
        <v>1268779</v>
      </c>
      <c r="AQ495" s="6">
        <v>1000513</v>
      </c>
      <c r="AU495" s="6">
        <v>0</v>
      </c>
      <c r="AW495" s="6">
        <f t="shared" si="50"/>
        <v>94189368</v>
      </c>
      <c r="AY495" s="6">
        <f>+'St of Activites - GA Rev'!AG495-'St of Activities - GA Exp'!AW495</f>
        <v>6312991</v>
      </c>
      <c r="BA495" s="6">
        <v>42273282</v>
      </c>
      <c r="BC495" s="6">
        <f t="shared" si="51"/>
        <v>48586273</v>
      </c>
      <c r="BE495" s="6">
        <f>+'St of Net Assets - GA'!Y495-'St of Activities - GA Exp'!BC495</f>
        <v>0</v>
      </c>
    </row>
    <row r="496" spans="1:57" hidden="1">
      <c r="A496" s="11" t="s">
        <v>700</v>
      </c>
      <c r="B496" s="11"/>
      <c r="C496" s="11" t="s">
        <v>10</v>
      </c>
      <c r="AG496" s="11" t="s">
        <v>700</v>
      </c>
      <c r="AH496" s="11"/>
      <c r="AI496" s="11" t="s">
        <v>10</v>
      </c>
      <c r="AJ496" s="11"/>
      <c r="AW496" s="6">
        <f t="shared" si="50"/>
        <v>0</v>
      </c>
      <c r="AY496" s="6">
        <f>+'St of Activites - GA Rev'!AG496-'St of Activities - GA Exp'!AW496</f>
        <v>0</v>
      </c>
      <c r="BC496" s="6">
        <f t="shared" si="51"/>
        <v>0</v>
      </c>
      <c r="BE496" s="6">
        <f>+'St of Net Assets - GA'!Y496-'St of Activities - GA Exp'!BC496</f>
        <v>0</v>
      </c>
    </row>
    <row r="497" spans="1:57" ht="12" customHeight="1">
      <c r="A497" s="11" t="s">
        <v>789</v>
      </c>
      <c r="B497" s="11"/>
      <c r="C497" s="11" t="s">
        <v>44</v>
      </c>
      <c r="E497" s="6">
        <v>9394091</v>
      </c>
      <c r="G497" s="6">
        <v>2928592</v>
      </c>
      <c r="I497" s="6">
        <v>140618</v>
      </c>
      <c r="K497" s="6">
        <v>0</v>
      </c>
      <c r="M497" s="6">
        <v>16182</v>
      </c>
      <c r="O497" s="6">
        <v>1316907</v>
      </c>
      <c r="Q497" s="6">
        <v>957774</v>
      </c>
      <c r="S497" s="6">
        <v>51128</v>
      </c>
      <c r="U497" s="6">
        <v>1463210</v>
      </c>
      <c r="W497" s="6">
        <v>643632</v>
      </c>
      <c r="Y497" s="6">
        <v>238865</v>
      </c>
      <c r="AA497" s="6">
        <v>1567294</v>
      </c>
      <c r="AC497" s="6">
        <v>1113478</v>
      </c>
      <c r="AE497" s="6">
        <v>225865</v>
      </c>
      <c r="AG497" s="11" t="s">
        <v>789</v>
      </c>
      <c r="AH497" s="11"/>
      <c r="AI497" s="11" t="s">
        <v>44</v>
      </c>
      <c r="AJ497" s="11"/>
      <c r="AK497" s="6">
        <v>710784</v>
      </c>
      <c r="AM497" s="6">
        <v>747</v>
      </c>
      <c r="AO497" s="6">
        <v>560457</v>
      </c>
      <c r="AQ497" s="6">
        <v>1108835</v>
      </c>
      <c r="AU497" s="6">
        <v>0</v>
      </c>
      <c r="AW497" s="6">
        <f t="shared" si="50"/>
        <v>22438459</v>
      </c>
      <c r="AY497" s="6">
        <f>+'St of Activites - GA Rev'!AG497-'St of Activities - GA Exp'!AW497</f>
        <v>-673586</v>
      </c>
      <c r="BA497" s="6">
        <v>13952151</v>
      </c>
      <c r="BC497" s="6">
        <f t="shared" si="51"/>
        <v>13278565</v>
      </c>
      <c r="BE497" s="6">
        <f>+'St of Net Assets - GA'!Y497-'St of Activities - GA Exp'!BC497</f>
        <v>0</v>
      </c>
    </row>
    <row r="498" spans="1:57">
      <c r="A498" s="11" t="s">
        <v>472</v>
      </c>
      <c r="B498" s="11"/>
      <c r="C498" s="11" t="s">
        <v>110</v>
      </c>
      <c r="E498" s="6">
        <v>8573354</v>
      </c>
      <c r="G498" s="6">
        <v>2320074</v>
      </c>
      <c r="I498" s="6">
        <v>36725</v>
      </c>
      <c r="K498" s="6">
        <v>0</v>
      </c>
      <c r="M498" s="6">
        <v>0</v>
      </c>
      <c r="O498" s="6">
        <v>868421</v>
      </c>
      <c r="Q498" s="6">
        <v>1422285</v>
      </c>
      <c r="S498" s="6">
        <v>55860</v>
      </c>
      <c r="U498" s="6">
        <v>1404447</v>
      </c>
      <c r="W498" s="6">
        <v>689505</v>
      </c>
      <c r="Y498" s="6">
        <v>5143</v>
      </c>
      <c r="AA498" s="6">
        <v>1833888</v>
      </c>
      <c r="AC498" s="6">
        <v>981268</v>
      </c>
      <c r="AE498" s="6">
        <v>344701</v>
      </c>
      <c r="AG498" s="11" t="s">
        <v>472</v>
      </c>
      <c r="AH498" s="11"/>
      <c r="AI498" s="11" t="s">
        <v>110</v>
      </c>
      <c r="AJ498" s="11"/>
      <c r="AK498" s="6">
        <v>1043247</v>
      </c>
      <c r="AM498" s="6">
        <v>149346</v>
      </c>
      <c r="AO498" s="6">
        <v>676519</v>
      </c>
      <c r="AQ498" s="6">
        <v>1089342</v>
      </c>
      <c r="AU498" s="6">
        <v>0</v>
      </c>
      <c r="AW498" s="6">
        <f t="shared" si="50"/>
        <v>21494125</v>
      </c>
      <c r="AY498" s="6">
        <f>+'St of Activites - GA Rev'!AG498-'St of Activities - GA Exp'!AW498</f>
        <v>-13528</v>
      </c>
      <c r="BA498" s="6">
        <v>19295276</v>
      </c>
      <c r="BC498" s="6">
        <f t="shared" si="51"/>
        <v>19281748</v>
      </c>
      <c r="BE498" s="6">
        <f>+'St of Net Assets - GA'!Y498-'St of Activities - GA Exp'!BC498</f>
        <v>0</v>
      </c>
    </row>
    <row r="499" spans="1:57" hidden="1">
      <c r="A499" s="11" t="s">
        <v>833</v>
      </c>
      <c r="B499" s="11"/>
      <c r="C499" s="11" t="s">
        <v>61</v>
      </c>
      <c r="AG499" s="11" t="s">
        <v>833</v>
      </c>
      <c r="AH499" s="11"/>
      <c r="AI499" s="11" t="s">
        <v>61</v>
      </c>
      <c r="AJ499" s="11"/>
      <c r="AW499" s="6">
        <f t="shared" si="50"/>
        <v>0</v>
      </c>
      <c r="AY499" s="6">
        <f>+'St of Activites - GA Rev'!AG499-'St of Activities - GA Exp'!AW499</f>
        <v>0</v>
      </c>
      <c r="BC499" s="6">
        <f t="shared" si="51"/>
        <v>0</v>
      </c>
      <c r="BE499" s="6">
        <f>+'St of Net Assets - GA'!Y499-'St of Activities - GA Exp'!BC499</f>
        <v>0</v>
      </c>
    </row>
    <row r="500" spans="1:57">
      <c r="A500" s="11" t="s">
        <v>277</v>
      </c>
      <c r="B500" s="11"/>
      <c r="C500" s="11" t="s">
        <v>20</v>
      </c>
      <c r="E500" s="6">
        <v>34849476</v>
      </c>
      <c r="G500" s="6">
        <v>7509648</v>
      </c>
      <c r="I500" s="6">
        <v>615249</v>
      </c>
      <c r="K500" s="6">
        <v>51906</v>
      </c>
      <c r="M500" s="6">
        <v>827044</v>
      </c>
      <c r="O500" s="6">
        <v>4060991</v>
      </c>
      <c r="Q500" s="6">
        <v>1647952</v>
      </c>
      <c r="S500" s="6">
        <v>36903</v>
      </c>
      <c r="U500" s="6">
        <v>3385260</v>
      </c>
      <c r="W500" s="6">
        <v>1679589</v>
      </c>
      <c r="Y500" s="6">
        <v>1017545</v>
      </c>
      <c r="AA500" s="6">
        <v>6670846</v>
      </c>
      <c r="AC500" s="6">
        <v>3446202</v>
      </c>
      <c r="AE500" s="6">
        <v>1104302</v>
      </c>
      <c r="AG500" s="11" t="s">
        <v>277</v>
      </c>
      <c r="AH500" s="11"/>
      <c r="AI500" s="11" t="s">
        <v>20</v>
      </c>
      <c r="AJ500" s="11"/>
      <c r="AK500" s="6">
        <v>1948170</v>
      </c>
      <c r="AM500" s="6">
        <v>300480</v>
      </c>
      <c r="AO500" s="6">
        <v>1782529</v>
      </c>
      <c r="AQ500" s="6">
        <v>726494</v>
      </c>
      <c r="AU500" s="6">
        <v>0</v>
      </c>
      <c r="AW500" s="6">
        <f t="shared" si="50"/>
        <v>71660586</v>
      </c>
      <c r="AY500" s="6">
        <f>+'St of Activites - GA Rev'!AG500-'St of Activities - GA Exp'!AW500</f>
        <v>8672802</v>
      </c>
      <c r="BA500" s="6">
        <v>37535290</v>
      </c>
      <c r="BC500" s="6">
        <f t="shared" si="51"/>
        <v>46208092</v>
      </c>
      <c r="BE500" s="6">
        <f>+'St of Net Assets - GA'!Y500-'St of Activities - GA Exp'!BC500</f>
        <v>0</v>
      </c>
    </row>
    <row r="501" spans="1:57">
      <c r="A501" s="11" t="s">
        <v>633</v>
      </c>
      <c r="B501" s="11"/>
      <c r="C501" s="11" t="s">
        <v>37</v>
      </c>
      <c r="E501" s="6">
        <v>3914336</v>
      </c>
      <c r="G501" s="6">
        <v>559287</v>
      </c>
      <c r="I501" s="6">
        <v>185907</v>
      </c>
      <c r="K501" s="6">
        <v>0</v>
      </c>
      <c r="M501" s="6">
        <v>781252</v>
      </c>
      <c r="O501" s="6">
        <v>344510</v>
      </c>
      <c r="Q501" s="6">
        <v>483378</v>
      </c>
      <c r="S501" s="6">
        <v>24284</v>
      </c>
      <c r="U501" s="6">
        <v>810067</v>
      </c>
      <c r="W501" s="6">
        <v>237817</v>
      </c>
      <c r="Y501" s="6">
        <v>0</v>
      </c>
      <c r="AA501" s="6">
        <v>789233</v>
      </c>
      <c r="AC501" s="6">
        <v>684699</v>
      </c>
      <c r="AE501" s="6">
        <v>286</v>
      </c>
      <c r="AG501" s="11" t="s">
        <v>633</v>
      </c>
      <c r="AH501" s="11"/>
      <c r="AI501" s="11" t="s">
        <v>37</v>
      </c>
      <c r="AJ501" s="11"/>
      <c r="AK501" s="6">
        <v>431561</v>
      </c>
      <c r="AM501" s="6">
        <v>9500</v>
      </c>
      <c r="AO501" s="6">
        <v>314576</v>
      </c>
      <c r="AQ501" s="6">
        <v>45249</v>
      </c>
      <c r="AU501" s="6">
        <v>0</v>
      </c>
      <c r="AW501" s="6">
        <f t="shared" si="50"/>
        <v>9615942</v>
      </c>
      <c r="AY501" s="6">
        <f>+'St of Activites - GA Rev'!AG501-'St of Activities - GA Exp'!AW501</f>
        <v>-607344</v>
      </c>
      <c r="BA501" s="6">
        <v>8154464</v>
      </c>
      <c r="BC501" s="6">
        <f t="shared" si="51"/>
        <v>7547120</v>
      </c>
      <c r="BE501" s="6">
        <f>+'St of Net Assets - GA'!Y501-'St of Activities - GA Exp'!BC501</f>
        <v>0</v>
      </c>
    </row>
    <row r="502" spans="1:57">
      <c r="A502" s="11" t="s">
        <v>278</v>
      </c>
      <c r="B502" s="11"/>
      <c r="C502" s="11" t="s">
        <v>20</v>
      </c>
      <c r="E502" s="6">
        <v>23771805</v>
      </c>
      <c r="G502" s="6">
        <v>9094517</v>
      </c>
      <c r="I502" s="6">
        <v>2004882</v>
      </c>
      <c r="K502" s="6">
        <v>0</v>
      </c>
      <c r="M502" s="6">
        <v>1252324</v>
      </c>
      <c r="O502" s="6">
        <v>4130354</v>
      </c>
      <c r="Q502" s="6">
        <v>1449460</v>
      </c>
      <c r="S502" s="6">
        <v>245149</v>
      </c>
      <c r="U502" s="6">
        <v>3644349</v>
      </c>
      <c r="W502" s="6">
        <v>1874350</v>
      </c>
      <c r="Y502" s="6">
        <v>373195</v>
      </c>
      <c r="AA502" s="6">
        <v>6622079</v>
      </c>
      <c r="AC502" s="6">
        <v>2845497</v>
      </c>
      <c r="AE502" s="6">
        <v>1378785</v>
      </c>
      <c r="AG502" s="11" t="s">
        <v>278</v>
      </c>
      <c r="AH502" s="11"/>
      <c r="AI502" s="11" t="s">
        <v>20</v>
      </c>
      <c r="AJ502" s="11"/>
      <c r="AK502" s="6">
        <v>1738513</v>
      </c>
      <c r="AM502" s="6">
        <v>1133331</v>
      </c>
      <c r="AO502" s="6">
        <v>1305547</v>
      </c>
      <c r="AQ502" s="6">
        <v>562692</v>
      </c>
      <c r="AU502" s="6">
        <v>0</v>
      </c>
      <c r="AW502" s="6">
        <f t="shared" si="50"/>
        <v>63426829</v>
      </c>
      <c r="AY502" s="6">
        <f>+'St of Activites - GA Rev'!AG502-'St of Activities - GA Exp'!AW502</f>
        <v>4573530</v>
      </c>
      <c r="BA502" s="6">
        <v>26268161</v>
      </c>
      <c r="BC502" s="6">
        <f t="shared" si="51"/>
        <v>30841691</v>
      </c>
      <c r="BE502" s="6">
        <f>+'St of Net Assets - GA'!Y502-'St of Activities - GA Exp'!BC502</f>
        <v>0</v>
      </c>
    </row>
    <row r="503" spans="1:57" ht="12" customHeight="1">
      <c r="A503" s="11" t="s">
        <v>371</v>
      </c>
      <c r="B503" s="11"/>
      <c r="C503" s="11" t="s">
        <v>366</v>
      </c>
      <c r="E503" s="6">
        <v>8761568</v>
      </c>
      <c r="G503" s="6">
        <v>2220957</v>
      </c>
      <c r="I503" s="6">
        <v>259259</v>
      </c>
      <c r="K503" s="6">
        <v>0</v>
      </c>
      <c r="M503" s="6">
        <f>39699+11060</f>
        <v>50759</v>
      </c>
      <c r="O503" s="6">
        <v>563661</v>
      </c>
      <c r="Q503" s="6">
        <v>991860</v>
      </c>
      <c r="S503" s="6">
        <v>172179</v>
      </c>
      <c r="U503" s="6">
        <v>1059704</v>
      </c>
      <c r="W503" s="6">
        <v>477592</v>
      </c>
      <c r="Y503" s="6">
        <v>0</v>
      </c>
      <c r="AA503" s="6">
        <v>1763829</v>
      </c>
      <c r="AC503" s="6">
        <v>1055390</v>
      </c>
      <c r="AE503" s="6">
        <v>59196</v>
      </c>
      <c r="AG503" s="11" t="s">
        <v>371</v>
      </c>
      <c r="AH503" s="11"/>
      <c r="AI503" s="11" t="s">
        <v>366</v>
      </c>
      <c r="AJ503" s="11"/>
      <c r="AK503" s="6">
        <v>831024</v>
      </c>
      <c r="AM503" s="6">
        <v>1028</v>
      </c>
      <c r="AO503" s="6">
        <v>322345</v>
      </c>
      <c r="AQ503" s="6">
        <v>500158</v>
      </c>
      <c r="AU503" s="6">
        <v>66805</v>
      </c>
      <c r="AW503" s="6">
        <f t="shared" si="50"/>
        <v>19157314</v>
      </c>
      <c r="AY503" s="6">
        <f>+'St of Activites - GA Rev'!AG503-'St of Activities - GA Exp'!AW503</f>
        <v>541814</v>
      </c>
      <c r="BA503" s="6">
        <v>47541862</v>
      </c>
      <c r="BC503" s="6">
        <f t="shared" si="51"/>
        <v>48083676</v>
      </c>
      <c r="BE503" s="6">
        <f>+'St of Net Assets - GA'!Y503-'St of Activities - GA Exp'!BC503</f>
        <v>0</v>
      </c>
    </row>
    <row r="504" spans="1:57">
      <c r="A504" s="11" t="s">
        <v>406</v>
      </c>
      <c r="B504" s="11"/>
      <c r="C504" s="11" t="s">
        <v>45</v>
      </c>
      <c r="E504" s="6">
        <v>6591144</v>
      </c>
      <c r="G504" s="6">
        <v>1428762</v>
      </c>
      <c r="I504" s="6">
        <v>163278</v>
      </c>
      <c r="K504" s="6">
        <v>0</v>
      </c>
      <c r="M504" s="6">
        <v>316350</v>
      </c>
      <c r="O504" s="6">
        <v>313923</v>
      </c>
      <c r="Q504" s="6">
        <v>510256</v>
      </c>
      <c r="S504" s="6">
        <v>64408</v>
      </c>
      <c r="U504" s="6">
        <v>841048</v>
      </c>
      <c r="W504" s="6">
        <v>437335</v>
      </c>
      <c r="Y504" s="6">
        <v>0</v>
      </c>
      <c r="AA504" s="6">
        <v>1156219</v>
      </c>
      <c r="AC504" s="6">
        <v>1015987</v>
      </c>
      <c r="AE504" s="6">
        <v>113347</v>
      </c>
      <c r="AG504" s="11" t="s">
        <v>406</v>
      </c>
      <c r="AH504" s="11"/>
      <c r="AI504" s="11" t="s">
        <v>45</v>
      </c>
      <c r="AJ504" s="11"/>
      <c r="AK504" s="6">
        <v>399170</v>
      </c>
      <c r="AM504" s="6">
        <v>1045</v>
      </c>
      <c r="AO504" s="6">
        <v>593174</v>
      </c>
      <c r="AQ504" s="6">
        <v>901359</v>
      </c>
      <c r="AU504" s="6">
        <v>0</v>
      </c>
      <c r="AW504" s="6">
        <f t="shared" si="50"/>
        <v>14846805</v>
      </c>
      <c r="AY504" s="6">
        <f>+'St of Activites - GA Rev'!AG504-'St of Activities - GA Exp'!AW504</f>
        <v>-3396076</v>
      </c>
      <c r="BA504" s="6">
        <v>23365087</v>
      </c>
      <c r="BC504" s="6">
        <f t="shared" si="51"/>
        <v>19969011</v>
      </c>
      <c r="BE504" s="6">
        <f>+'St of Net Assets - GA'!Y504-'St of Activities - GA Exp'!BC504</f>
        <v>0</v>
      </c>
    </row>
    <row r="505" spans="1:57">
      <c r="A505" s="11" t="s">
        <v>463</v>
      </c>
      <c r="B505" s="11"/>
      <c r="C505" s="11" t="s">
        <v>56</v>
      </c>
      <c r="E505" s="6">
        <v>8514311</v>
      </c>
      <c r="G505" s="6">
        <v>2768000</v>
      </c>
      <c r="I505" s="6">
        <v>106226</v>
      </c>
      <c r="K505" s="6">
        <v>0</v>
      </c>
      <c r="M505" s="6">
        <f>24862+945890</f>
        <v>970752</v>
      </c>
      <c r="O505" s="6">
        <v>1141590</v>
      </c>
      <c r="Q505" s="6">
        <v>430217</v>
      </c>
      <c r="S505" s="6">
        <v>174327</v>
      </c>
      <c r="U505" s="6">
        <v>1294735</v>
      </c>
      <c r="W505" s="6">
        <v>438385</v>
      </c>
      <c r="Y505" s="6">
        <v>100666</v>
      </c>
      <c r="AA505" s="6">
        <v>3495441</v>
      </c>
      <c r="AC505" s="6">
        <v>1464588</v>
      </c>
      <c r="AE505" s="6">
        <v>89883</v>
      </c>
      <c r="AG505" s="11" t="s">
        <v>463</v>
      </c>
      <c r="AH505" s="11"/>
      <c r="AI505" s="11" t="s">
        <v>56</v>
      </c>
      <c r="AJ505" s="11"/>
      <c r="AK505" s="6">
        <v>656587</v>
      </c>
      <c r="AM505" s="6">
        <v>0</v>
      </c>
      <c r="AO505" s="6">
        <v>545982</v>
      </c>
      <c r="AQ505" s="6">
        <v>147047</v>
      </c>
      <c r="AU505" s="6">
        <v>0</v>
      </c>
      <c r="AW505" s="6">
        <f t="shared" si="50"/>
        <v>22338737</v>
      </c>
      <c r="AY505" s="6">
        <f>+'St of Activites - GA Rev'!AG505-'St of Activities - GA Exp'!AW505</f>
        <v>-1705551</v>
      </c>
      <c r="BA505" s="6">
        <v>38596922</v>
      </c>
      <c r="BC505" s="6">
        <f t="shared" si="51"/>
        <v>36891371</v>
      </c>
      <c r="BE505" s="6">
        <f>+'St of Net Assets - GA'!Y505-'St of Activities - GA Exp'!BC505</f>
        <v>0</v>
      </c>
    </row>
    <row r="506" spans="1:57">
      <c r="A506" s="11" t="s">
        <v>463</v>
      </c>
      <c r="B506" s="11"/>
      <c r="C506" s="11" t="s">
        <v>71</v>
      </c>
      <c r="E506" s="6">
        <v>6704170</v>
      </c>
      <c r="G506" s="6">
        <v>2742027</v>
      </c>
      <c r="I506" s="6">
        <v>230392</v>
      </c>
      <c r="K506" s="6">
        <v>0</v>
      </c>
      <c r="M506" s="6">
        <v>919895</v>
      </c>
      <c r="O506" s="6">
        <v>703719</v>
      </c>
      <c r="Q506" s="6">
        <v>851624</v>
      </c>
      <c r="S506" s="6">
        <v>31410</v>
      </c>
      <c r="U506" s="6">
        <v>1592928</v>
      </c>
      <c r="W506" s="6">
        <v>392932</v>
      </c>
      <c r="Y506" s="6">
        <v>0</v>
      </c>
      <c r="AA506" s="6">
        <v>1198292</v>
      </c>
      <c r="AC506" s="6">
        <v>1238743</v>
      </c>
      <c r="AE506" s="6">
        <v>214552</v>
      </c>
      <c r="AG506" s="11" t="s">
        <v>463</v>
      </c>
      <c r="AH506" s="11"/>
      <c r="AI506" s="11" t="s">
        <v>71</v>
      </c>
      <c r="AJ506" s="11"/>
      <c r="AK506" s="6">
        <v>0</v>
      </c>
      <c r="AM506" s="6">
        <v>874472</v>
      </c>
      <c r="AO506" s="6">
        <v>553819</v>
      </c>
      <c r="AQ506" s="6">
        <v>4060</v>
      </c>
      <c r="AU506" s="6">
        <v>0</v>
      </c>
      <c r="AW506" s="6">
        <f t="shared" si="50"/>
        <v>18253035</v>
      </c>
      <c r="AY506" s="6">
        <f>+'St of Activites - GA Rev'!AG506-'St of Activities - GA Exp'!AW506</f>
        <v>742053</v>
      </c>
      <c r="BA506" s="6">
        <v>4087687</v>
      </c>
      <c r="BC506" s="6">
        <f t="shared" si="51"/>
        <v>4829740</v>
      </c>
      <c r="BE506" s="6">
        <f>+'St of Net Assets - GA'!Y506-'St of Activities - GA Exp'!BC506</f>
        <v>0</v>
      </c>
    </row>
    <row r="507" spans="1:57">
      <c r="A507" s="11" t="s">
        <v>235</v>
      </c>
      <c r="B507" s="11"/>
      <c r="C507" s="11" t="s">
        <v>17</v>
      </c>
      <c r="E507" s="6">
        <v>3690562</v>
      </c>
      <c r="G507" s="6">
        <v>1110537</v>
      </c>
      <c r="I507" s="6">
        <v>243857</v>
      </c>
      <c r="K507" s="6">
        <v>0</v>
      </c>
      <c r="M507" s="6">
        <v>20322</v>
      </c>
      <c r="O507" s="6">
        <v>375767</v>
      </c>
      <c r="Q507" s="6">
        <v>291961</v>
      </c>
      <c r="S507" s="6">
        <v>25454</v>
      </c>
      <c r="U507" s="6">
        <v>577549</v>
      </c>
      <c r="W507" s="6">
        <v>284644</v>
      </c>
      <c r="Y507" s="6">
        <v>0</v>
      </c>
      <c r="AA507" s="6">
        <v>537705</v>
      </c>
      <c r="AC507" s="6">
        <v>408992</v>
      </c>
      <c r="AE507" s="6">
        <v>52989</v>
      </c>
      <c r="AG507" s="11" t="s">
        <v>235</v>
      </c>
      <c r="AH507" s="11"/>
      <c r="AI507" s="11" t="s">
        <v>17</v>
      </c>
      <c r="AJ507" s="11"/>
      <c r="AK507" s="6">
        <v>0</v>
      </c>
      <c r="AM507" s="6">
        <v>198092</v>
      </c>
      <c r="AO507" s="6">
        <v>317894</v>
      </c>
      <c r="AQ507" s="6">
        <v>77916</v>
      </c>
      <c r="AU507" s="6">
        <v>0</v>
      </c>
      <c r="AW507" s="6">
        <f t="shared" si="50"/>
        <v>8214241</v>
      </c>
      <c r="AY507" s="6">
        <f>+'St of Activites - GA Rev'!AG507-'St of Activities - GA Exp'!AW507</f>
        <v>32222</v>
      </c>
      <c r="BA507" s="6">
        <v>9366214</v>
      </c>
      <c r="BC507" s="6">
        <f t="shared" si="51"/>
        <v>9398436</v>
      </c>
      <c r="BE507" s="6">
        <f>+'St of Net Assets - GA'!Y507-'St of Activities - GA Exp'!BC507</f>
        <v>0</v>
      </c>
    </row>
    <row r="508" spans="1:57">
      <c r="A508" s="11" t="s">
        <v>235</v>
      </c>
      <c r="B508" s="11"/>
      <c r="C508" s="11" t="s">
        <v>58</v>
      </c>
      <c r="E508" s="6">
        <v>5912244</v>
      </c>
      <c r="G508" s="6">
        <v>1591867</v>
      </c>
      <c r="I508" s="6">
        <v>0</v>
      </c>
      <c r="K508" s="6">
        <v>0</v>
      </c>
      <c r="M508" s="6">
        <v>119</v>
      </c>
      <c r="O508" s="6">
        <v>569261</v>
      </c>
      <c r="Q508" s="6">
        <v>346653</v>
      </c>
      <c r="S508" s="6">
        <v>0</v>
      </c>
      <c r="U508" s="6">
        <v>647183</v>
      </c>
      <c r="W508" s="6">
        <v>243883</v>
      </c>
      <c r="Y508" s="6">
        <v>171039</v>
      </c>
      <c r="AA508" s="6">
        <v>1079419</v>
      </c>
      <c r="AC508" s="6">
        <v>983010</v>
      </c>
      <c r="AE508" s="6">
        <v>109448</v>
      </c>
      <c r="AG508" s="11" t="s">
        <v>235</v>
      </c>
      <c r="AH508" s="11"/>
      <c r="AI508" s="11" t="s">
        <v>58</v>
      </c>
      <c r="AJ508" s="11"/>
      <c r="AK508" s="6">
        <v>0</v>
      </c>
      <c r="AM508" s="6">
        <v>445432</v>
      </c>
      <c r="AO508" s="6">
        <v>447626</v>
      </c>
      <c r="AQ508" s="6">
        <v>235869</v>
      </c>
      <c r="AU508" s="6">
        <v>0</v>
      </c>
      <c r="AW508" s="6">
        <f t="shared" ref="AW508:AW514" si="52">SUM(E508:AV508)</f>
        <v>12783053</v>
      </c>
      <c r="AY508" s="6">
        <f>+'St of Activites - GA Rev'!AG508-'St of Activities - GA Exp'!AW508</f>
        <v>-613943</v>
      </c>
      <c r="BA508" s="6">
        <v>24906961</v>
      </c>
      <c r="BC508" s="6">
        <f t="shared" ref="BC508:BC514" si="53">+AY508+BA508</f>
        <v>24293018</v>
      </c>
      <c r="BE508" s="6">
        <f>+'St of Net Assets - GA'!Y508-'St of Activities - GA Exp'!BC508</f>
        <v>0</v>
      </c>
    </row>
    <row r="509" spans="1:57">
      <c r="A509" s="11" t="s">
        <v>645</v>
      </c>
      <c r="B509" s="11"/>
      <c r="C509" s="11" t="s">
        <v>112</v>
      </c>
      <c r="E509" s="6">
        <v>3963369</v>
      </c>
      <c r="G509" s="6">
        <v>1084296</v>
      </c>
      <c r="I509" s="6">
        <v>231356</v>
      </c>
      <c r="K509" s="6">
        <v>0</v>
      </c>
      <c r="M509" s="6">
        <v>223039</v>
      </c>
      <c r="O509" s="6">
        <v>925262</v>
      </c>
      <c r="Q509" s="6">
        <v>762434</v>
      </c>
      <c r="S509" s="6">
        <v>1188653</v>
      </c>
      <c r="U509" s="6">
        <v>672584</v>
      </c>
      <c r="W509" s="6">
        <v>245978</v>
      </c>
      <c r="Y509" s="6">
        <v>58281</v>
      </c>
      <c r="AA509" s="6">
        <v>1233733</v>
      </c>
      <c r="AC509" s="6">
        <v>905396</v>
      </c>
      <c r="AE509" s="6">
        <v>116491</v>
      </c>
      <c r="AG509" s="11" t="s">
        <v>645</v>
      </c>
      <c r="AH509" s="11"/>
      <c r="AI509" s="11" t="s">
        <v>112</v>
      </c>
      <c r="AJ509" s="11"/>
      <c r="AK509" s="6">
        <v>426203</v>
      </c>
      <c r="AM509" s="6">
        <v>38114</v>
      </c>
      <c r="AO509" s="6">
        <v>239485</v>
      </c>
      <c r="AQ509" s="6">
        <v>126497</v>
      </c>
      <c r="AU509" s="6">
        <v>0</v>
      </c>
      <c r="AW509" s="6">
        <f t="shared" si="52"/>
        <v>12441171</v>
      </c>
      <c r="AY509" s="6">
        <f>+'St of Activites - GA Rev'!AG509-'St of Activities - GA Exp'!AW509</f>
        <v>-718726</v>
      </c>
      <c r="BA509" s="6">
        <v>11209219</v>
      </c>
      <c r="BC509" s="6">
        <f t="shared" si="53"/>
        <v>10490493</v>
      </c>
      <c r="BE509" s="6">
        <f>+'St of Net Assets - GA'!Y509-'St of Activities - GA Exp'!BC509</f>
        <v>0</v>
      </c>
    </row>
    <row r="510" spans="1:57">
      <c r="A510" s="11" t="s">
        <v>250</v>
      </c>
      <c r="B510" s="11"/>
      <c r="C510" s="11" t="s">
        <v>420</v>
      </c>
      <c r="E510" s="6">
        <v>3401279</v>
      </c>
      <c r="G510" s="6">
        <v>953277</v>
      </c>
      <c r="I510" s="6">
        <v>161932</v>
      </c>
      <c r="K510" s="6">
        <v>0</v>
      </c>
      <c r="M510" s="6">
        <v>227392</v>
      </c>
      <c r="O510" s="6">
        <v>703535</v>
      </c>
      <c r="Q510" s="6">
        <v>504783</v>
      </c>
      <c r="S510" s="6">
        <v>28410</v>
      </c>
      <c r="U510" s="6">
        <v>487948</v>
      </c>
      <c r="W510" s="6">
        <v>307724</v>
      </c>
      <c r="Y510" s="6">
        <v>0</v>
      </c>
      <c r="AA510" s="6">
        <v>613053</v>
      </c>
      <c r="AC510" s="6">
        <v>695700</v>
      </c>
      <c r="AE510" s="6">
        <v>230947</v>
      </c>
      <c r="AG510" s="11" t="s">
        <v>250</v>
      </c>
      <c r="AH510" s="11"/>
      <c r="AI510" s="11" t="s">
        <v>420</v>
      </c>
      <c r="AJ510" s="11"/>
      <c r="AK510" s="6">
        <v>0</v>
      </c>
      <c r="AM510" s="6">
        <v>432335</v>
      </c>
      <c r="AO510" s="6">
        <v>151546</v>
      </c>
      <c r="AQ510" s="6">
        <v>298342</v>
      </c>
      <c r="AU510" s="6">
        <v>0</v>
      </c>
      <c r="AW510" s="6">
        <f t="shared" si="52"/>
        <v>9198203</v>
      </c>
      <c r="AY510" s="6">
        <f>+'St of Activites - GA Rev'!AG510-'St of Activities - GA Exp'!AW510</f>
        <v>-1138609</v>
      </c>
      <c r="BA510" s="6">
        <v>16634239</v>
      </c>
      <c r="BC510" s="6">
        <f t="shared" si="53"/>
        <v>15495630</v>
      </c>
      <c r="BE510" s="6">
        <f>+'St of Net Assets - GA'!Y510-'St of Activities - GA Exp'!BC510</f>
        <v>0</v>
      </c>
    </row>
    <row r="511" spans="1:57" hidden="1">
      <c r="A511" s="11" t="s">
        <v>701</v>
      </c>
      <c r="B511" s="11"/>
      <c r="C511" s="11" t="s">
        <v>451</v>
      </c>
      <c r="AG511" s="11" t="s">
        <v>701</v>
      </c>
      <c r="AH511" s="11"/>
      <c r="AI511" s="11" t="s">
        <v>451</v>
      </c>
      <c r="AJ511" s="11"/>
      <c r="AW511" s="6">
        <f t="shared" si="52"/>
        <v>0</v>
      </c>
      <c r="AY511" s="6">
        <f>+'St of Activites - GA Rev'!AG511-'St of Activities - GA Exp'!AW511</f>
        <v>0</v>
      </c>
      <c r="BC511" s="6">
        <f t="shared" si="53"/>
        <v>0</v>
      </c>
      <c r="BE511" s="6">
        <f>+'St of Net Assets - GA'!Y511-'St of Activities - GA Exp'!BC511</f>
        <v>0</v>
      </c>
    </row>
    <row r="512" spans="1:57">
      <c r="A512" s="11" t="s">
        <v>530</v>
      </c>
      <c r="B512" s="11"/>
      <c r="C512" s="11" t="s">
        <v>64</v>
      </c>
      <c r="E512" s="6">
        <v>4477299</v>
      </c>
      <c r="G512" s="6">
        <v>527479</v>
      </c>
      <c r="I512" s="6">
        <v>61</v>
      </c>
      <c r="K512" s="6">
        <v>0</v>
      </c>
      <c r="M512" s="6">
        <v>0</v>
      </c>
      <c r="O512" s="6">
        <v>884231</v>
      </c>
      <c r="Q512" s="6">
        <v>118423</v>
      </c>
      <c r="S512" s="6">
        <v>137662</v>
      </c>
      <c r="U512" s="6">
        <v>692569</v>
      </c>
      <c r="W512" s="6">
        <v>396115</v>
      </c>
      <c r="Y512" s="6">
        <v>40538</v>
      </c>
      <c r="AA512" s="6">
        <v>751728</v>
      </c>
      <c r="AC512" s="6">
        <v>753269</v>
      </c>
      <c r="AE512" s="6">
        <v>26986</v>
      </c>
      <c r="AG512" s="11" t="s">
        <v>530</v>
      </c>
      <c r="AH512" s="11"/>
      <c r="AI512" s="11" t="s">
        <v>64</v>
      </c>
      <c r="AJ512" s="11"/>
      <c r="AK512" s="6">
        <v>207233</v>
      </c>
      <c r="AM512" s="6">
        <v>105978</v>
      </c>
      <c r="AO512" s="6">
        <v>353969</v>
      </c>
      <c r="AQ512" s="6">
        <v>320734</v>
      </c>
      <c r="AU512" s="6">
        <v>0</v>
      </c>
      <c r="AW512" s="6">
        <f t="shared" si="52"/>
        <v>9794274</v>
      </c>
      <c r="AY512" s="6">
        <f>+'St of Activites - GA Rev'!AG512-'St of Activities - GA Exp'!AW512</f>
        <v>-3627057</v>
      </c>
      <c r="BA512" s="6">
        <v>19310768</v>
      </c>
      <c r="BC512" s="6">
        <f t="shared" si="53"/>
        <v>15683711</v>
      </c>
      <c r="BE512" s="6">
        <f>+'St of Net Assets - GA'!Y512-'St of Activities - GA Exp'!BC512</f>
        <v>0</v>
      </c>
    </row>
    <row r="513" spans="1:57" ht="12" hidden="1" customHeight="1">
      <c r="A513" s="11" t="s">
        <v>829</v>
      </c>
      <c r="B513" s="11"/>
      <c r="C513" s="11" t="s">
        <v>42</v>
      </c>
      <c r="AG513" s="10" t="s">
        <v>829</v>
      </c>
      <c r="AH513" s="11"/>
      <c r="AI513" s="11" t="s">
        <v>42</v>
      </c>
      <c r="AJ513" s="11"/>
      <c r="AW513" s="6">
        <f t="shared" si="52"/>
        <v>0</v>
      </c>
      <c r="AY513" s="6">
        <f>+'St of Activites - GA Rev'!AG513-'St of Activities - GA Exp'!AW513</f>
        <v>0</v>
      </c>
      <c r="BC513" s="6">
        <f t="shared" si="53"/>
        <v>0</v>
      </c>
      <c r="BE513" s="6">
        <f>+'St of Net Assets - GA'!Y513-'St of Activities - GA Exp'!BC513</f>
        <v>0</v>
      </c>
    </row>
    <row r="514" spans="1:57" ht="12" customHeight="1">
      <c r="A514" s="11" t="s">
        <v>331</v>
      </c>
      <c r="B514" s="11"/>
      <c r="C514" s="11" t="s">
        <v>32</v>
      </c>
      <c r="E514" s="6">
        <v>14585915</v>
      </c>
      <c r="G514" s="6">
        <v>3969473</v>
      </c>
      <c r="I514" s="6">
        <v>5597</v>
      </c>
      <c r="K514" s="6">
        <v>0</v>
      </c>
      <c r="M514" s="6">
        <v>588617</v>
      </c>
      <c r="O514" s="6">
        <v>1412174</v>
      </c>
      <c r="Q514" s="6">
        <v>1152490</v>
      </c>
      <c r="S514" s="6">
        <v>0</v>
      </c>
      <c r="U514" s="6">
        <f>64259+2644330</f>
        <v>2708589</v>
      </c>
      <c r="W514" s="6">
        <v>888251</v>
      </c>
      <c r="Y514" s="6">
        <v>100</v>
      </c>
      <c r="AA514" s="6">
        <v>3058830</v>
      </c>
      <c r="AC514" s="6">
        <v>1383740</v>
      </c>
      <c r="AE514" s="6">
        <v>102689</v>
      </c>
      <c r="AG514" s="11" t="s">
        <v>331</v>
      </c>
      <c r="AH514" s="11"/>
      <c r="AI514" s="11" t="s">
        <v>32</v>
      </c>
      <c r="AJ514" s="11"/>
      <c r="AK514" s="6">
        <v>0</v>
      </c>
      <c r="AM514" s="6">
        <v>2226388</v>
      </c>
      <c r="AO514" s="6">
        <v>730699</v>
      </c>
      <c r="AQ514" s="6">
        <v>670609</v>
      </c>
      <c r="AU514" s="6">
        <v>0</v>
      </c>
      <c r="AW514" s="6">
        <f t="shared" si="52"/>
        <v>33484161</v>
      </c>
      <c r="AY514" s="6">
        <f>+'St of Activites - GA Rev'!AG514-'St of Activities - GA Exp'!AW514</f>
        <v>3007799</v>
      </c>
      <c r="BA514" s="6">
        <v>7305191</v>
      </c>
      <c r="BC514" s="6">
        <f t="shared" si="53"/>
        <v>10312990</v>
      </c>
      <c r="BE514" s="6">
        <f>+'St of Net Assets - GA'!Y514-'St of Activities - GA Exp'!BC514</f>
        <v>0</v>
      </c>
    </row>
    <row r="515" spans="1:57">
      <c r="A515" s="11" t="s">
        <v>307</v>
      </c>
      <c r="B515" s="11"/>
      <c r="C515" s="11" t="s">
        <v>27</v>
      </c>
      <c r="E515" s="6">
        <v>101677915</v>
      </c>
      <c r="G515" s="6">
        <v>31207794</v>
      </c>
      <c r="I515" s="6">
        <v>6069817</v>
      </c>
      <c r="K515" s="6">
        <v>0</v>
      </c>
      <c r="M515" s="6">
        <v>917499</v>
      </c>
      <c r="O515" s="6">
        <v>10258396</v>
      </c>
      <c r="Q515" s="6">
        <v>15611841</v>
      </c>
      <c r="S515" s="6">
        <v>35875</v>
      </c>
      <c r="U515" s="6">
        <v>15677734</v>
      </c>
      <c r="W515" s="6">
        <v>3634551</v>
      </c>
      <c r="Y515" s="6">
        <v>883314</v>
      </c>
      <c r="AA515" s="6">
        <v>16496886</v>
      </c>
      <c r="AC515" s="6">
        <v>12371791</v>
      </c>
      <c r="AE515" s="6">
        <v>6659541</v>
      </c>
      <c r="AG515" s="11" t="s">
        <v>307</v>
      </c>
      <c r="AH515" s="11"/>
      <c r="AI515" s="11" t="s">
        <v>27</v>
      </c>
      <c r="AJ515" s="11"/>
      <c r="AK515" s="6">
        <v>8388222</v>
      </c>
      <c r="AM515" s="6">
        <v>1520689</v>
      </c>
      <c r="AO515" s="6">
        <v>4052430</v>
      </c>
      <c r="AQ515" s="6">
        <v>3568207</v>
      </c>
      <c r="AU515" s="6">
        <v>0</v>
      </c>
      <c r="AW515" s="6">
        <f t="shared" ref="AW515:AW575" si="54">SUM(E515:AV515)</f>
        <v>239032502</v>
      </c>
      <c r="AY515" s="6">
        <f>+'St of Activites - GA Rev'!AG515-'St of Activities - GA Exp'!AW515</f>
        <v>31465098</v>
      </c>
      <c r="BA515" s="6">
        <v>168437016</v>
      </c>
      <c r="BC515" s="6">
        <f t="shared" ref="BC515:BC569" si="55">+AY515+BA515</f>
        <v>199902114</v>
      </c>
      <c r="BE515" s="6">
        <f>+'St of Net Assets - GA'!Y515-'St of Activities - GA Exp'!BC515</f>
        <v>0</v>
      </c>
    </row>
    <row r="516" spans="1:57" ht="12" hidden="1" customHeight="1">
      <c r="A516" s="11" t="s">
        <v>702</v>
      </c>
      <c r="B516" s="11"/>
      <c r="C516" s="11" t="s">
        <v>10</v>
      </c>
      <c r="AG516" s="11" t="s">
        <v>702</v>
      </c>
      <c r="AH516" s="11"/>
      <c r="AI516" s="11" t="s">
        <v>10</v>
      </c>
      <c r="AJ516" s="11"/>
      <c r="AW516" s="6">
        <f t="shared" si="54"/>
        <v>0</v>
      </c>
      <c r="AY516" s="6">
        <f>+'St of Activites - GA Rev'!AG516-'St of Activities - GA Exp'!AW516</f>
        <v>0</v>
      </c>
      <c r="BC516" s="6">
        <f t="shared" si="55"/>
        <v>0</v>
      </c>
      <c r="BE516" s="6">
        <f>+'St of Net Assets - GA'!Y516-'St of Activities - GA Exp'!BC516</f>
        <v>0</v>
      </c>
    </row>
    <row r="517" spans="1:57" ht="12" customHeight="1">
      <c r="A517" s="10" t="s">
        <v>847</v>
      </c>
      <c r="B517" s="11"/>
      <c r="C517" s="11" t="s">
        <v>69</v>
      </c>
      <c r="E517" s="6">
        <v>22006369</v>
      </c>
      <c r="G517" s="6">
        <v>4045239</v>
      </c>
      <c r="I517" s="6">
        <v>299</v>
      </c>
      <c r="K517" s="6">
        <v>0</v>
      </c>
      <c r="M517" s="6">
        <v>636380</v>
      </c>
      <c r="O517" s="6">
        <v>2320559</v>
      </c>
      <c r="Q517" s="6">
        <v>3397699</v>
      </c>
      <c r="S517" s="6">
        <v>213068</v>
      </c>
      <c r="U517" s="6">
        <v>3262221</v>
      </c>
      <c r="W517" s="6">
        <v>915344</v>
      </c>
      <c r="Y517" s="6">
        <v>252618</v>
      </c>
      <c r="AA517" s="6">
        <v>4842480</v>
      </c>
      <c r="AC517" s="6">
        <v>2857030</v>
      </c>
      <c r="AE517" s="6">
        <v>250137</v>
      </c>
      <c r="AG517" s="10" t="s">
        <v>847</v>
      </c>
      <c r="AH517" s="11"/>
      <c r="AI517" s="11" t="s">
        <v>69</v>
      </c>
      <c r="AJ517" s="11"/>
      <c r="AK517" s="6">
        <v>0</v>
      </c>
      <c r="AM517" s="6">
        <v>1297250</v>
      </c>
      <c r="AO517" s="6">
        <v>1305156</v>
      </c>
      <c r="AQ517" s="6">
        <v>3989213</v>
      </c>
      <c r="AU517" s="6">
        <v>0</v>
      </c>
      <c r="AW517" s="6">
        <f t="shared" si="54"/>
        <v>51591062</v>
      </c>
      <c r="AY517" s="6">
        <f>+'St of Activites - GA Rev'!AG517-'St of Activities - GA Exp'!AW517</f>
        <v>1893388</v>
      </c>
      <c r="BA517" s="6">
        <v>1528231</v>
      </c>
      <c r="BC517" s="6">
        <f t="shared" si="55"/>
        <v>3421619</v>
      </c>
      <c r="BE517" s="6">
        <f>+'St of Net Assets - GA'!Y517-'St of Activities - GA Exp'!BC517</f>
        <v>0</v>
      </c>
    </row>
    <row r="518" spans="1:57">
      <c r="A518" s="11" t="s">
        <v>629</v>
      </c>
      <c r="B518" s="11"/>
      <c r="C518" s="11" t="s">
        <v>17</v>
      </c>
      <c r="E518" s="6">
        <v>42585310</v>
      </c>
      <c r="G518" s="6">
        <v>10839302</v>
      </c>
      <c r="I518" s="6">
        <v>199176</v>
      </c>
      <c r="K518" s="6">
        <v>150523</v>
      </c>
      <c r="M518" s="6">
        <v>669752</v>
      </c>
      <c r="O518" s="6">
        <v>7732168</v>
      </c>
      <c r="Q518" s="6">
        <v>7245080</v>
      </c>
      <c r="S518" s="6">
        <v>335410</v>
      </c>
      <c r="U518" s="6">
        <v>7276306</v>
      </c>
      <c r="W518" s="6">
        <v>1640152</v>
      </c>
      <c r="Y518" s="6">
        <v>402992</v>
      </c>
      <c r="AA518" s="6">
        <v>7033279</v>
      </c>
      <c r="AC518" s="6">
        <v>2232768</v>
      </c>
      <c r="AE518" s="6">
        <v>1568814</v>
      </c>
      <c r="AG518" s="11" t="s">
        <v>629</v>
      </c>
      <c r="AH518" s="11"/>
      <c r="AI518" s="11" t="s">
        <v>17</v>
      </c>
      <c r="AJ518" s="11"/>
      <c r="AK518" s="6">
        <v>0</v>
      </c>
      <c r="AM518" s="6">
        <v>5568068</v>
      </c>
      <c r="AO518" s="6">
        <v>1068171</v>
      </c>
      <c r="AQ518" s="6">
        <v>1738970</v>
      </c>
      <c r="AU518" s="6">
        <v>4733369</v>
      </c>
      <c r="AW518" s="6">
        <f t="shared" si="54"/>
        <v>103019610</v>
      </c>
      <c r="AY518" s="6">
        <f>+'St of Activites - GA Rev'!AG518-'St of Activities - GA Exp'!AW518</f>
        <v>80489</v>
      </c>
      <c r="BA518" s="6">
        <v>196066738</v>
      </c>
      <c r="BC518" s="6">
        <f t="shared" si="55"/>
        <v>196147227</v>
      </c>
      <c r="BE518" s="6">
        <f>+'St of Net Assets - GA'!Y518-'St of Activities - GA Exp'!BC518</f>
        <v>0</v>
      </c>
    </row>
    <row r="519" spans="1:57">
      <c r="A519" s="11" t="s">
        <v>716</v>
      </c>
      <c r="B519" s="11"/>
      <c r="C519" s="11" t="s">
        <v>115</v>
      </c>
      <c r="E519" s="6">
        <v>18125531</v>
      </c>
      <c r="G519" s="6">
        <v>4811727</v>
      </c>
      <c r="I519" s="6">
        <v>304745</v>
      </c>
      <c r="K519" s="6">
        <v>0</v>
      </c>
      <c r="M519" s="6">
        <v>2938612</v>
      </c>
      <c r="O519" s="6">
        <v>1350814</v>
      </c>
      <c r="Q519" s="6">
        <v>409281</v>
      </c>
      <c r="S519" s="6">
        <v>47218</v>
      </c>
      <c r="U519" s="6">
        <v>2877955</v>
      </c>
      <c r="W519" s="6">
        <v>746002</v>
      </c>
      <c r="Y519" s="6">
        <v>0</v>
      </c>
      <c r="AA519" s="6">
        <v>3188783</v>
      </c>
      <c r="AC519" s="6">
        <v>2006063</v>
      </c>
      <c r="AE519" s="6">
        <v>115229</v>
      </c>
      <c r="AG519" s="11" t="s">
        <v>716</v>
      </c>
      <c r="AH519" s="11"/>
      <c r="AI519" s="11" t="s">
        <v>115</v>
      </c>
      <c r="AJ519" s="11"/>
      <c r="AK519" s="6">
        <v>1459995</v>
      </c>
      <c r="AM519" s="6">
        <v>917041</v>
      </c>
      <c r="AO519" s="6">
        <v>1214948</v>
      </c>
      <c r="AQ519" s="6">
        <v>559279</v>
      </c>
      <c r="AU519" s="6">
        <v>0</v>
      </c>
      <c r="AW519" s="6">
        <f t="shared" si="54"/>
        <v>41073223</v>
      </c>
      <c r="AY519" s="6">
        <f>+'St of Activites - GA Rev'!AG519-'St of Activities - GA Exp'!AW519</f>
        <v>2783105</v>
      </c>
      <c r="BA519" s="6">
        <v>8298594</v>
      </c>
      <c r="BC519" s="6">
        <f t="shared" si="55"/>
        <v>11081699</v>
      </c>
      <c r="BE519" s="6">
        <f>+'St of Net Assets - GA'!Y519-'St of Activities - GA Exp'!BC519</f>
        <v>0</v>
      </c>
    </row>
    <row r="520" spans="1:57">
      <c r="A520" s="11" t="s">
        <v>393</v>
      </c>
      <c r="B520" s="11"/>
      <c r="C520" s="11" t="s">
        <v>45</v>
      </c>
      <c r="E520" s="6">
        <v>4884996</v>
      </c>
      <c r="G520" s="6">
        <v>1145279</v>
      </c>
      <c r="I520" s="6">
        <v>194302</v>
      </c>
      <c r="K520" s="6">
        <v>0</v>
      </c>
      <c r="M520" s="6">
        <v>55117</v>
      </c>
      <c r="O520" s="6">
        <v>554884</v>
      </c>
      <c r="Q520" s="6">
        <v>429208</v>
      </c>
      <c r="S520" s="6">
        <v>26721</v>
      </c>
      <c r="U520" s="6">
        <v>1224301</v>
      </c>
      <c r="W520" s="6">
        <v>328425</v>
      </c>
      <c r="Y520" s="6">
        <v>2394</v>
      </c>
      <c r="AA520" s="6">
        <v>983844</v>
      </c>
      <c r="AC520" s="6">
        <v>640168</v>
      </c>
      <c r="AE520" s="6">
        <v>36179</v>
      </c>
      <c r="AG520" s="11" t="s">
        <v>393</v>
      </c>
      <c r="AH520" s="11"/>
      <c r="AI520" s="11" t="s">
        <v>45</v>
      </c>
      <c r="AJ520" s="11"/>
      <c r="AK520" s="6">
        <v>548178</v>
      </c>
      <c r="AM520" s="6">
        <v>3330</v>
      </c>
      <c r="AO520" s="6">
        <v>547825</v>
      </c>
      <c r="AQ520" s="6">
        <v>73435</v>
      </c>
      <c r="AU520" s="6">
        <v>0</v>
      </c>
      <c r="AW520" s="6">
        <f t="shared" si="54"/>
        <v>11678586</v>
      </c>
      <c r="AY520" s="6">
        <f>+'St of Activites - GA Rev'!AG520-'St of Activities - GA Exp'!AW520</f>
        <v>-336477</v>
      </c>
      <c r="BA520" s="6">
        <v>5773725</v>
      </c>
      <c r="BC520" s="6">
        <f t="shared" si="55"/>
        <v>5437248</v>
      </c>
      <c r="BE520" s="6">
        <f>+'St of Net Assets - GA'!Y520-'St of Activities - GA Exp'!BC520</f>
        <v>0</v>
      </c>
    </row>
    <row r="521" spans="1:57">
      <c r="A521" s="11" t="s">
        <v>393</v>
      </c>
      <c r="B521" s="11"/>
      <c r="C521" s="11" t="s">
        <v>63</v>
      </c>
      <c r="E521" s="6">
        <v>10653013</v>
      </c>
      <c r="G521" s="6">
        <v>3438801</v>
      </c>
      <c r="I521" s="6">
        <v>228223</v>
      </c>
      <c r="K521" s="6">
        <v>0</v>
      </c>
      <c r="M521" s="6">
        <v>2367043</v>
      </c>
      <c r="O521" s="6">
        <v>1311257</v>
      </c>
      <c r="Q521" s="6">
        <v>993441</v>
      </c>
      <c r="S521" s="6">
        <v>51421</v>
      </c>
      <c r="U521" s="6">
        <v>1602617</v>
      </c>
      <c r="W521" s="6">
        <v>652082</v>
      </c>
      <c r="Y521" s="6">
        <v>136515</v>
      </c>
      <c r="AA521" s="6">
        <v>2108832</v>
      </c>
      <c r="AC521" s="6">
        <v>1319351</v>
      </c>
      <c r="AE521" s="6">
        <v>57010</v>
      </c>
      <c r="AG521" s="11" t="s">
        <v>393</v>
      </c>
      <c r="AH521" s="11"/>
      <c r="AI521" s="11" t="s">
        <v>63</v>
      </c>
      <c r="AJ521" s="11"/>
      <c r="AK521" s="6">
        <v>871692</v>
      </c>
      <c r="AM521" s="6">
        <v>77389</v>
      </c>
      <c r="AO521" s="6">
        <v>718359</v>
      </c>
      <c r="AQ521" s="6">
        <v>2039405</v>
      </c>
      <c r="AU521" s="6">
        <v>0</v>
      </c>
      <c r="AW521" s="6">
        <f t="shared" si="54"/>
        <v>28626451</v>
      </c>
      <c r="AY521" s="6">
        <f>+'St of Activites - GA Rev'!AG521-'St of Activities - GA Exp'!AW521</f>
        <v>3143659</v>
      </c>
      <c r="BA521" s="6">
        <v>14427258</v>
      </c>
      <c r="BC521" s="6">
        <f t="shared" si="55"/>
        <v>17570917</v>
      </c>
      <c r="BE521" s="6">
        <f>+'St of Net Assets - GA'!Y521-'St of Activities - GA Exp'!BC521</f>
        <v>0</v>
      </c>
    </row>
    <row r="522" spans="1:57">
      <c r="A522" s="11" t="s">
        <v>786</v>
      </c>
      <c r="B522" s="11"/>
      <c r="C522" s="11" t="s">
        <v>32</v>
      </c>
      <c r="E522" s="6">
        <v>6229069</v>
      </c>
      <c r="G522" s="6">
        <v>1771824</v>
      </c>
      <c r="I522" s="6">
        <v>0</v>
      </c>
      <c r="K522" s="6">
        <v>0</v>
      </c>
      <c r="M522" s="6">
        <v>105617</v>
      </c>
      <c r="O522" s="6">
        <v>899677</v>
      </c>
      <c r="Q522" s="6">
        <v>588271</v>
      </c>
      <c r="S522" s="6">
        <v>0</v>
      </c>
      <c r="U522" s="6">
        <f>16926+1006250</f>
        <v>1023176</v>
      </c>
      <c r="W522" s="6">
        <v>475487</v>
      </c>
      <c r="Y522" s="6">
        <v>0</v>
      </c>
      <c r="AA522" s="6">
        <v>1139189</v>
      </c>
      <c r="AC522" s="6">
        <v>392293</v>
      </c>
      <c r="AE522" s="6">
        <v>145688</v>
      </c>
      <c r="AG522" s="11" t="s">
        <v>786</v>
      </c>
      <c r="AH522" s="11"/>
      <c r="AI522" s="11" t="s">
        <v>32</v>
      </c>
      <c r="AJ522" s="11"/>
      <c r="AK522" s="6">
        <v>0</v>
      </c>
      <c r="AM522" s="6">
        <v>956931</v>
      </c>
      <c r="AO522" s="6">
        <v>254232</v>
      </c>
      <c r="AQ522" s="6">
        <v>55523</v>
      </c>
      <c r="AU522" s="6">
        <v>0</v>
      </c>
      <c r="AW522" s="6">
        <f t="shared" si="54"/>
        <v>14036977</v>
      </c>
      <c r="AY522" s="6">
        <f>+'St of Activites - GA Rev'!AG522-'St of Activities - GA Exp'!AW522</f>
        <v>932819</v>
      </c>
      <c r="BA522" s="6">
        <v>8615659</v>
      </c>
      <c r="BC522" s="6">
        <f t="shared" si="55"/>
        <v>9548478</v>
      </c>
      <c r="BE522" s="6">
        <f>+'St of Net Assets - GA'!Y522-'St of Activities - GA Exp'!BC522</f>
        <v>0</v>
      </c>
    </row>
    <row r="523" spans="1:57">
      <c r="A523" s="11" t="s">
        <v>787</v>
      </c>
      <c r="B523" s="11"/>
      <c r="C523" s="11" t="s">
        <v>15</v>
      </c>
      <c r="E523" s="6">
        <v>7753584</v>
      </c>
      <c r="G523" s="6">
        <v>1563757</v>
      </c>
      <c r="I523" s="6">
        <v>25655</v>
      </c>
      <c r="K523" s="6">
        <v>0</v>
      </c>
      <c r="M523" s="6">
        <v>0</v>
      </c>
      <c r="O523" s="6">
        <v>892754</v>
      </c>
      <c r="Q523" s="6">
        <v>469062</v>
      </c>
      <c r="S523" s="6">
        <v>20033</v>
      </c>
      <c r="U523" s="6">
        <v>844365</v>
      </c>
      <c r="W523" s="6">
        <v>508427</v>
      </c>
      <c r="Y523" s="6">
        <v>0</v>
      </c>
      <c r="AA523" s="6">
        <v>1217445</v>
      </c>
      <c r="AC523" s="6">
        <v>681530</v>
      </c>
      <c r="AE523" s="6">
        <v>259668</v>
      </c>
      <c r="AG523" s="11" t="s">
        <v>787</v>
      </c>
      <c r="AH523" s="11"/>
      <c r="AI523" s="11" t="s">
        <v>15</v>
      </c>
      <c r="AJ523" s="11"/>
      <c r="AK523" s="6">
        <v>309954</v>
      </c>
      <c r="AM523" s="6">
        <v>189053</v>
      </c>
      <c r="AO523" s="6">
        <v>701727</v>
      </c>
      <c r="AQ523" s="6">
        <v>204173</v>
      </c>
      <c r="AU523" s="6">
        <v>0</v>
      </c>
      <c r="AW523" s="6">
        <f t="shared" si="54"/>
        <v>15641187</v>
      </c>
      <c r="AY523" s="6">
        <f>+'St of Activites - GA Rev'!AG523-'St of Activities - GA Exp'!AW523</f>
        <v>-608844</v>
      </c>
      <c r="BA523" s="6">
        <v>8180434</v>
      </c>
      <c r="BC523" s="6">
        <f t="shared" si="55"/>
        <v>7571590</v>
      </c>
      <c r="BE523" s="6">
        <f>+'St of Net Assets - GA'!Y523-'St of Activities - GA Exp'!BC523</f>
        <v>0</v>
      </c>
    </row>
    <row r="524" spans="1:57" ht="12" hidden="1" customHeight="1">
      <c r="A524" s="11" t="s">
        <v>703</v>
      </c>
      <c r="B524" s="11"/>
      <c r="C524" s="11" t="s">
        <v>422</v>
      </c>
      <c r="AG524" s="11" t="s">
        <v>703</v>
      </c>
      <c r="AH524" s="11"/>
      <c r="AI524" s="11" t="s">
        <v>422</v>
      </c>
      <c r="AJ524" s="11"/>
      <c r="AW524" s="6">
        <f t="shared" si="54"/>
        <v>0</v>
      </c>
      <c r="AY524" s="6">
        <f>+'St of Activites - GA Rev'!AG524-'St of Activities - GA Exp'!AW524</f>
        <v>0</v>
      </c>
      <c r="BC524" s="6">
        <f t="shared" si="55"/>
        <v>0</v>
      </c>
      <c r="BE524" s="6">
        <f>+'St of Net Assets - GA'!Y524-'St of Activities - GA Exp'!BC524</f>
        <v>0</v>
      </c>
    </row>
    <row r="525" spans="1:57" ht="12" hidden="1" customHeight="1">
      <c r="A525" s="11" t="s">
        <v>704</v>
      </c>
      <c r="B525" s="11"/>
      <c r="C525" s="11" t="s">
        <v>14</v>
      </c>
      <c r="AG525" s="11" t="s">
        <v>704</v>
      </c>
      <c r="AH525" s="11"/>
      <c r="AI525" s="11" t="s">
        <v>14</v>
      </c>
      <c r="AJ525" s="11"/>
      <c r="AW525" s="6">
        <f t="shared" si="54"/>
        <v>0</v>
      </c>
      <c r="AY525" s="6">
        <f>+'St of Activites - GA Rev'!AG525-'St of Activities - GA Exp'!AW525</f>
        <v>0</v>
      </c>
      <c r="BC525" s="6">
        <f t="shared" si="55"/>
        <v>0</v>
      </c>
      <c r="BE525" s="6">
        <f>+'St of Net Assets - GA'!Y525-'St of Activities - GA Exp'!BC525</f>
        <v>0</v>
      </c>
    </row>
    <row r="526" spans="1:57">
      <c r="A526" s="11" t="s">
        <v>364</v>
      </c>
      <c r="B526" s="11"/>
      <c r="C526" s="11" t="s">
        <v>39</v>
      </c>
      <c r="E526" s="6">
        <v>11645132</v>
      </c>
      <c r="G526" s="6">
        <v>3845780</v>
      </c>
      <c r="I526" s="6">
        <v>750867</v>
      </c>
      <c r="K526" s="6">
        <v>0</v>
      </c>
      <c r="M526" s="6">
        <v>78660</v>
      </c>
      <c r="O526" s="6">
        <v>813774</v>
      </c>
      <c r="Q526" s="6">
        <v>931349</v>
      </c>
      <c r="S526" s="6">
        <v>46636</v>
      </c>
      <c r="U526" s="6">
        <v>1926020</v>
      </c>
      <c r="W526" s="6">
        <v>420671</v>
      </c>
      <c r="Y526" s="6">
        <v>266593</v>
      </c>
      <c r="AA526" s="6">
        <v>2724243</v>
      </c>
      <c r="AC526" s="6">
        <v>490917</v>
      </c>
      <c r="AE526" s="6">
        <v>2891</v>
      </c>
      <c r="AG526" s="11" t="s">
        <v>364</v>
      </c>
      <c r="AH526" s="11"/>
      <c r="AI526" s="11" t="s">
        <v>39</v>
      </c>
      <c r="AJ526" s="11"/>
      <c r="AK526" s="6">
        <v>957588</v>
      </c>
      <c r="AM526" s="6">
        <v>455268</v>
      </c>
      <c r="AO526" s="6">
        <v>565697</v>
      </c>
      <c r="AQ526" s="6">
        <v>314672</v>
      </c>
      <c r="AU526" s="6">
        <v>0</v>
      </c>
      <c r="AW526" s="6">
        <f t="shared" si="54"/>
        <v>26236758</v>
      </c>
      <c r="AY526" s="6">
        <f>+'St of Activites - GA Rev'!AG526-'St of Activities - GA Exp'!AW526</f>
        <v>-1216288</v>
      </c>
      <c r="BA526" s="6">
        <v>55806119</v>
      </c>
      <c r="BC526" s="6">
        <f t="shared" si="55"/>
        <v>54589831</v>
      </c>
      <c r="BE526" s="6">
        <f>+'St of Net Assets - GA'!Y526-'St of Activities - GA Exp'!BC526</f>
        <v>0</v>
      </c>
    </row>
    <row r="527" spans="1:57">
      <c r="A527" s="11" t="s">
        <v>514</v>
      </c>
      <c r="B527" s="11"/>
      <c r="C527" s="11" t="s">
        <v>63</v>
      </c>
      <c r="E527" s="6">
        <v>24818358</v>
      </c>
      <c r="G527" s="6">
        <v>4578782</v>
      </c>
      <c r="I527" s="6">
        <v>1594810</v>
      </c>
      <c r="K527" s="6">
        <v>0</v>
      </c>
      <c r="M527" s="6">
        <v>795323</v>
      </c>
      <c r="O527" s="6">
        <v>2924738</v>
      </c>
      <c r="Q527" s="6">
        <v>2099634</v>
      </c>
      <c r="S527" s="6">
        <v>554243</v>
      </c>
      <c r="U527" s="6">
        <v>3386624</v>
      </c>
      <c r="W527" s="6">
        <v>1472498</v>
      </c>
      <c r="Y527" s="6">
        <v>80341</v>
      </c>
      <c r="AA527" s="6">
        <v>5042203</v>
      </c>
      <c r="AC527" s="6">
        <v>3412539</v>
      </c>
      <c r="AE527" s="6">
        <v>616663</v>
      </c>
      <c r="AG527" s="11" t="s">
        <v>514</v>
      </c>
      <c r="AH527" s="11"/>
      <c r="AI527" s="11" t="s">
        <v>63</v>
      </c>
      <c r="AJ527" s="11"/>
      <c r="AK527" s="6">
        <v>1269711</v>
      </c>
      <c r="AM527" s="6">
        <v>351300</v>
      </c>
      <c r="AO527" s="6">
        <v>1201505</v>
      </c>
      <c r="AQ527" s="6">
        <v>120443</v>
      </c>
      <c r="AU527" s="6">
        <v>0</v>
      </c>
      <c r="AW527" s="6">
        <f t="shared" si="54"/>
        <v>54319715</v>
      </c>
      <c r="AY527" s="6">
        <f>+'St of Activites - GA Rev'!AG527-'St of Activities - GA Exp'!AW527</f>
        <v>2494764</v>
      </c>
      <c r="BA527" s="6">
        <v>22923004</v>
      </c>
      <c r="BC527" s="6">
        <f t="shared" si="55"/>
        <v>25417768</v>
      </c>
      <c r="BE527" s="6">
        <f>+'St of Net Assets - GA'!Y527-'St of Activities - GA Exp'!BC527</f>
        <v>0</v>
      </c>
    </row>
    <row r="528" spans="1:57" hidden="1">
      <c r="A528" s="11" t="s">
        <v>705</v>
      </c>
      <c r="B528" s="11"/>
      <c r="C528" s="11" t="s">
        <v>65</v>
      </c>
      <c r="AG528" s="11" t="s">
        <v>705</v>
      </c>
      <c r="AH528" s="11"/>
      <c r="AI528" s="11" t="s">
        <v>65</v>
      </c>
      <c r="AJ528" s="11"/>
      <c r="AW528" s="6">
        <f t="shared" si="54"/>
        <v>0</v>
      </c>
      <c r="AY528" s="6">
        <f>+'St of Activites - GA Rev'!AG528-'St of Activities - GA Exp'!AW528</f>
        <v>0</v>
      </c>
      <c r="BC528" s="6">
        <f t="shared" si="55"/>
        <v>0</v>
      </c>
      <c r="BE528" s="6">
        <f>+'St of Net Assets - GA'!Y528-'St of Activities - GA Exp'!BC528</f>
        <v>0</v>
      </c>
    </row>
    <row r="529" spans="1:57">
      <c r="A529" s="11" t="s">
        <v>464</v>
      </c>
      <c r="B529" s="11"/>
      <c r="C529" s="11" t="s">
        <v>56</v>
      </c>
      <c r="E529" s="6">
        <v>9635453</v>
      </c>
      <c r="G529" s="6">
        <v>1703225</v>
      </c>
      <c r="I529" s="6">
        <v>99114</v>
      </c>
      <c r="K529" s="6">
        <v>0</v>
      </c>
      <c r="M529" s="6">
        <f>244284+1020260</f>
        <v>1264544</v>
      </c>
      <c r="O529" s="6">
        <v>1433207</v>
      </c>
      <c r="Q529" s="6">
        <v>1355944</v>
      </c>
      <c r="S529" s="6">
        <v>189903</v>
      </c>
      <c r="U529" s="6">
        <v>1569207</v>
      </c>
      <c r="W529" s="6">
        <v>691650</v>
      </c>
      <c r="Y529" s="6">
        <v>198808</v>
      </c>
      <c r="AA529" s="6">
        <v>2689931</v>
      </c>
      <c r="AC529" s="6">
        <v>1345812</v>
      </c>
      <c r="AE529" s="6">
        <v>94386</v>
      </c>
      <c r="AG529" s="11" t="s">
        <v>464</v>
      </c>
      <c r="AH529" s="11"/>
      <c r="AI529" s="11" t="s">
        <v>56</v>
      </c>
      <c r="AJ529" s="11"/>
      <c r="AK529" s="6">
        <v>709352</v>
      </c>
      <c r="AM529" s="6">
        <f>106493+5827</f>
        <v>112320</v>
      </c>
      <c r="AO529" s="6">
        <v>588303</v>
      </c>
      <c r="AQ529" s="6">
        <v>586879</v>
      </c>
      <c r="AU529" s="6">
        <v>0</v>
      </c>
      <c r="AW529" s="6">
        <f t="shared" si="54"/>
        <v>24268038</v>
      </c>
      <c r="AY529" s="6">
        <f>+'St of Activites - GA Rev'!AG529-'St of Activities - GA Exp'!AW529</f>
        <v>1077990</v>
      </c>
      <c r="BA529" s="6">
        <v>9751676</v>
      </c>
      <c r="BC529" s="6">
        <f t="shared" si="55"/>
        <v>10829666</v>
      </c>
      <c r="BE529" s="6">
        <f>+'St of Net Assets - GA'!Y529-'St of Activities - GA Exp'!BC529</f>
        <v>0</v>
      </c>
    </row>
    <row r="530" spans="1:57">
      <c r="A530" s="11" t="s">
        <v>279</v>
      </c>
      <c r="B530" s="11"/>
      <c r="C530" s="11" t="s">
        <v>20</v>
      </c>
      <c r="E530" s="6">
        <v>35973496</v>
      </c>
      <c r="G530" s="6">
        <v>5591707</v>
      </c>
      <c r="I530" s="6">
        <v>301853</v>
      </c>
      <c r="K530" s="6">
        <v>0</v>
      </c>
      <c r="M530" s="6">
        <v>60166</v>
      </c>
      <c r="O530" s="6">
        <v>2849267</v>
      </c>
      <c r="Q530" s="6">
        <v>3635697</v>
      </c>
      <c r="S530" s="6">
        <v>24073</v>
      </c>
      <c r="U530" s="6">
        <v>2710461</v>
      </c>
      <c r="W530" s="6">
        <v>6414832</v>
      </c>
      <c r="Y530" s="6">
        <v>469688</v>
      </c>
      <c r="AA530" s="6">
        <v>6808831</v>
      </c>
      <c r="AC530" s="6">
        <v>3933960</v>
      </c>
      <c r="AE530" s="6">
        <v>633707</v>
      </c>
      <c r="AG530" s="11" t="s">
        <v>279</v>
      </c>
      <c r="AH530" s="11"/>
      <c r="AI530" s="11" t="s">
        <v>20</v>
      </c>
      <c r="AJ530" s="11"/>
      <c r="AK530" s="6">
        <v>1717290</v>
      </c>
      <c r="AM530" s="6">
        <v>502180</v>
      </c>
      <c r="AO530" s="6">
        <v>528523</v>
      </c>
      <c r="AQ530" s="6">
        <v>658114</v>
      </c>
      <c r="AU530" s="6">
        <v>0</v>
      </c>
      <c r="AW530" s="6">
        <f t="shared" si="54"/>
        <v>72813845</v>
      </c>
      <c r="AY530" s="6">
        <f>+'St of Activites - GA Rev'!AG530-'St of Activities - GA Exp'!AW530</f>
        <v>8741398</v>
      </c>
      <c r="BA530" s="6">
        <v>26220343</v>
      </c>
      <c r="BC530" s="6">
        <f t="shared" si="55"/>
        <v>34961741</v>
      </c>
      <c r="BE530" s="6">
        <f>+'St of Net Assets - GA'!Y530-'St of Activities - GA Exp'!BC530</f>
        <v>0</v>
      </c>
    </row>
    <row r="531" spans="1:57" ht="12" customHeight="1">
      <c r="A531" s="11" t="s">
        <v>407</v>
      </c>
      <c r="B531" s="11"/>
      <c r="C531" s="11" t="s">
        <v>45</v>
      </c>
      <c r="E531" s="6">
        <v>8737839</v>
      </c>
      <c r="G531" s="6">
        <v>3866757</v>
      </c>
      <c r="I531" s="6">
        <v>386025</v>
      </c>
      <c r="K531" s="6">
        <v>0</v>
      </c>
      <c r="M531" s="6">
        <v>1340461</v>
      </c>
      <c r="O531" s="6">
        <v>738961</v>
      </c>
      <c r="Q531" s="6">
        <v>231904</v>
      </c>
      <c r="S531" s="6">
        <v>175871</v>
      </c>
      <c r="U531" s="6">
        <v>1181792</v>
      </c>
      <c r="W531" s="6">
        <v>781972</v>
      </c>
      <c r="Y531" s="6">
        <v>67225</v>
      </c>
      <c r="AA531" s="6">
        <v>1722734</v>
      </c>
      <c r="AC531" s="6">
        <v>428405</v>
      </c>
      <c r="AE531" s="6">
        <v>54514</v>
      </c>
      <c r="AG531" s="11" t="s">
        <v>407</v>
      </c>
      <c r="AH531" s="11"/>
      <c r="AI531" s="11" t="s">
        <v>45</v>
      </c>
      <c r="AJ531" s="11"/>
      <c r="AK531" s="6">
        <v>884552</v>
      </c>
      <c r="AM531" s="6">
        <v>104404</v>
      </c>
      <c r="AO531" s="6">
        <v>743553</v>
      </c>
      <c r="AQ531" s="6">
        <v>194275</v>
      </c>
      <c r="AU531" s="6">
        <v>0</v>
      </c>
      <c r="AW531" s="6">
        <f t="shared" si="54"/>
        <v>21641244</v>
      </c>
      <c r="AY531" s="6">
        <f>+'St of Activites - GA Rev'!AG531-'St of Activities - GA Exp'!AW531</f>
        <v>-1204617</v>
      </c>
      <c r="BA531" s="6">
        <v>26336265</v>
      </c>
      <c r="BC531" s="6">
        <f t="shared" si="55"/>
        <v>25131648</v>
      </c>
      <c r="BE531" s="6">
        <f>+'St of Net Assets - GA'!Y531-'St of Activities - GA Exp'!BC531</f>
        <v>0</v>
      </c>
    </row>
    <row r="532" spans="1:57" hidden="1">
      <c r="A532" s="11" t="s">
        <v>898</v>
      </c>
      <c r="B532" s="11"/>
      <c r="C532" s="11" t="s">
        <v>552</v>
      </c>
      <c r="E532" s="6">
        <v>0</v>
      </c>
      <c r="G532" s="6">
        <v>0</v>
      </c>
      <c r="I532" s="6">
        <v>0</v>
      </c>
      <c r="K532" s="6">
        <v>0</v>
      </c>
      <c r="M532" s="6">
        <v>0</v>
      </c>
      <c r="O532" s="6">
        <v>0</v>
      </c>
      <c r="Q532" s="6">
        <v>0</v>
      </c>
      <c r="S532" s="6">
        <v>0</v>
      </c>
      <c r="U532" s="6">
        <v>0</v>
      </c>
      <c r="W532" s="6">
        <v>0</v>
      </c>
      <c r="Y532" s="6">
        <v>0</v>
      </c>
      <c r="AA532" s="6">
        <v>0</v>
      </c>
      <c r="AC532" s="6">
        <v>0</v>
      </c>
      <c r="AE532" s="6">
        <v>0</v>
      </c>
      <c r="AG532" s="11" t="s">
        <v>898</v>
      </c>
      <c r="AH532" s="11"/>
      <c r="AI532" s="11" t="s">
        <v>552</v>
      </c>
      <c r="AJ532" s="11"/>
      <c r="AK532" s="6">
        <v>0</v>
      </c>
      <c r="AM532" s="6">
        <v>0</v>
      </c>
      <c r="AO532" s="6">
        <v>0</v>
      </c>
      <c r="AQ532" s="6">
        <v>0</v>
      </c>
      <c r="AU532" s="6">
        <v>0</v>
      </c>
      <c r="AW532" s="6">
        <f t="shared" si="54"/>
        <v>0</v>
      </c>
      <c r="AY532" s="6">
        <f>+'St of Activites - GA Rev'!AG532-'St of Activities - GA Exp'!AW532</f>
        <v>0</v>
      </c>
      <c r="BC532" s="6">
        <f t="shared" si="55"/>
        <v>0</v>
      </c>
      <c r="BE532" s="6">
        <f>+'St of Net Assets - GA'!Y532-'St of Activities - GA Exp'!BC532</f>
        <v>0</v>
      </c>
    </row>
    <row r="533" spans="1:57" hidden="1">
      <c r="A533" s="11" t="s">
        <v>899</v>
      </c>
      <c r="B533" s="11"/>
      <c r="C533" s="11" t="s">
        <v>28</v>
      </c>
      <c r="E533" s="6">
        <v>0</v>
      </c>
      <c r="G533" s="6">
        <v>0</v>
      </c>
      <c r="I533" s="6">
        <v>0</v>
      </c>
      <c r="K533" s="6">
        <v>0</v>
      </c>
      <c r="M533" s="6">
        <v>0</v>
      </c>
      <c r="O533" s="6">
        <v>0</v>
      </c>
      <c r="Q533" s="6">
        <v>0</v>
      </c>
      <c r="S533" s="6">
        <v>0</v>
      </c>
      <c r="U533" s="6">
        <v>0</v>
      </c>
      <c r="W533" s="6">
        <v>0</v>
      </c>
      <c r="Y533" s="6">
        <v>0</v>
      </c>
      <c r="AA533" s="6">
        <v>0</v>
      </c>
      <c r="AC533" s="6">
        <v>0</v>
      </c>
      <c r="AE533" s="6">
        <v>0</v>
      </c>
      <c r="AG533" s="11" t="s">
        <v>899</v>
      </c>
      <c r="AH533" s="11"/>
      <c r="AI533" s="11" t="s">
        <v>28</v>
      </c>
      <c r="AJ533" s="11"/>
      <c r="AK533" s="6">
        <v>0</v>
      </c>
      <c r="AM533" s="6">
        <v>0</v>
      </c>
      <c r="AO533" s="6">
        <v>0</v>
      </c>
      <c r="AQ533" s="6">
        <v>0</v>
      </c>
      <c r="AU533" s="6">
        <v>0</v>
      </c>
      <c r="AW533" s="6">
        <f t="shared" si="54"/>
        <v>0</v>
      </c>
      <c r="AY533" s="6">
        <f>+'St of Activites - GA Rev'!AG533-'St of Activities - GA Exp'!AW533</f>
        <v>0</v>
      </c>
      <c r="BC533" s="6">
        <f t="shared" si="55"/>
        <v>0</v>
      </c>
      <c r="BE533" s="6">
        <f>+'St of Net Assets - GA'!Y533-'St of Activities - GA Exp'!BC533</f>
        <v>0</v>
      </c>
    </row>
    <row r="534" spans="1:57">
      <c r="A534" s="11" t="s">
        <v>628</v>
      </c>
      <c r="B534" s="11"/>
      <c r="C534" s="11" t="s">
        <v>49</v>
      </c>
      <c r="E534" s="6">
        <v>10953347</v>
      </c>
      <c r="G534" s="6">
        <v>3302149</v>
      </c>
      <c r="I534" s="6">
        <v>2136618</v>
      </c>
      <c r="K534" s="6">
        <v>0</v>
      </c>
      <c r="M534" s="6">
        <v>3047</v>
      </c>
      <c r="O534" s="6">
        <v>989440</v>
      </c>
      <c r="Q534" s="6">
        <v>930778</v>
      </c>
      <c r="S534" s="6">
        <v>50934</v>
      </c>
      <c r="U534" s="6">
        <v>2005352</v>
      </c>
      <c r="W534" s="6">
        <v>923675</v>
      </c>
      <c r="Y534" s="6">
        <v>0</v>
      </c>
      <c r="AA534" s="6">
        <v>3119632</v>
      </c>
      <c r="AC534" s="6">
        <v>2989420</v>
      </c>
      <c r="AE534" s="6">
        <v>111781</v>
      </c>
      <c r="AG534" s="11" t="s">
        <v>427</v>
      </c>
      <c r="AH534" s="11"/>
      <c r="AI534" s="11" t="s">
        <v>49</v>
      </c>
      <c r="AJ534" s="11"/>
      <c r="AK534" s="6">
        <v>1579944</v>
      </c>
      <c r="AM534" s="6">
        <v>71248</v>
      </c>
      <c r="AO534" s="6">
        <v>585013</v>
      </c>
      <c r="AQ534" s="6">
        <v>1789058</v>
      </c>
      <c r="AU534" s="6">
        <v>0</v>
      </c>
      <c r="AW534" s="6">
        <f t="shared" si="54"/>
        <v>31541436</v>
      </c>
      <c r="AY534" s="6">
        <f>+'St of Activites - GA Rev'!AG534-'St of Activities - GA Exp'!AW534</f>
        <v>2262685</v>
      </c>
      <c r="BA534" s="6">
        <v>64020177</v>
      </c>
      <c r="BC534" s="6">
        <f t="shared" si="55"/>
        <v>66282862</v>
      </c>
      <c r="BE534" s="6">
        <f>+'St of Net Assets - GA'!Y534-'St of Activities - GA Exp'!BC534</f>
        <v>0</v>
      </c>
    </row>
    <row r="535" spans="1:57" ht="12" customHeight="1">
      <c r="A535" s="10" t="s">
        <v>834</v>
      </c>
      <c r="B535" s="11"/>
      <c r="C535" s="11" t="s">
        <v>32</v>
      </c>
      <c r="E535" s="6">
        <v>35683442</v>
      </c>
      <c r="G535" s="6">
        <v>7485979</v>
      </c>
      <c r="I535" s="6">
        <v>0</v>
      </c>
      <c r="K535" s="6">
        <v>0</v>
      </c>
      <c r="M535" s="6">
        <v>515708</v>
      </c>
      <c r="O535" s="6">
        <v>4501904</v>
      </c>
      <c r="Q535" s="6">
        <v>5381387</v>
      </c>
      <c r="S535" s="6">
        <v>0</v>
      </c>
      <c r="U535" s="6">
        <f>34905+5442912</f>
        <v>5477817</v>
      </c>
      <c r="W535" s="6">
        <v>1802179</v>
      </c>
      <c r="Y535" s="6">
        <v>70801</v>
      </c>
      <c r="AA535" s="6">
        <v>7201240</v>
      </c>
      <c r="AC535" s="6">
        <v>5405086</v>
      </c>
      <c r="AE535" s="6">
        <v>2106257</v>
      </c>
      <c r="AG535" s="10" t="s">
        <v>834</v>
      </c>
      <c r="AH535" s="11"/>
      <c r="AI535" s="11" t="s">
        <v>32</v>
      </c>
      <c r="AJ535" s="11"/>
      <c r="AM535" s="6">
        <v>3729700</v>
      </c>
      <c r="AO535" s="6">
        <v>1731577</v>
      </c>
      <c r="AQ535" s="6">
        <v>3298583</v>
      </c>
      <c r="AW535" s="6">
        <f t="shared" si="54"/>
        <v>84391660</v>
      </c>
      <c r="AY535" s="6">
        <f>+'St of Activites - GA Rev'!AG535-'St of Activities - GA Exp'!AW535</f>
        <v>2557906</v>
      </c>
      <c r="BA535" s="6">
        <v>73445494</v>
      </c>
      <c r="BC535" s="6">
        <f t="shared" si="55"/>
        <v>76003400</v>
      </c>
      <c r="BE535" s="6">
        <f>+'St of Net Assets - GA'!Y535-'St of Activities - GA Exp'!BC535</f>
        <v>0</v>
      </c>
    </row>
    <row r="536" spans="1:57">
      <c r="A536" s="11" t="s">
        <v>394</v>
      </c>
      <c r="B536" s="11"/>
      <c r="C536" s="11" t="s">
        <v>115</v>
      </c>
      <c r="E536" s="6">
        <v>33248216</v>
      </c>
      <c r="G536" s="6">
        <v>8384850</v>
      </c>
      <c r="I536" s="6">
        <v>1791409</v>
      </c>
      <c r="K536" s="6">
        <v>63024</v>
      </c>
      <c r="M536" s="6">
        <v>1723810</v>
      </c>
      <c r="O536" s="6">
        <v>5497493</v>
      </c>
      <c r="Q536" s="6">
        <v>3982751</v>
      </c>
      <c r="S536" s="6">
        <v>28371</v>
      </c>
      <c r="U536" s="6">
        <v>8391763</v>
      </c>
      <c r="W536" s="6">
        <v>1882065</v>
      </c>
      <c r="Y536" s="6">
        <v>209741</v>
      </c>
      <c r="AA536" s="6">
        <v>8742706</v>
      </c>
      <c r="AC536" s="6">
        <v>4964367</v>
      </c>
      <c r="AE536" s="6">
        <v>981385</v>
      </c>
      <c r="AG536" s="11" t="s">
        <v>394</v>
      </c>
      <c r="AH536" s="11"/>
      <c r="AI536" s="11" t="s">
        <v>115</v>
      </c>
      <c r="AJ536" s="11"/>
      <c r="AK536" s="6">
        <v>1797621</v>
      </c>
      <c r="AM536" s="6">
        <v>1168920</v>
      </c>
      <c r="AO536" s="6">
        <v>2536129</v>
      </c>
      <c r="AQ536" s="6">
        <v>4927828</v>
      </c>
      <c r="AU536" s="6">
        <v>0</v>
      </c>
      <c r="AW536" s="6">
        <f t="shared" si="54"/>
        <v>90322449</v>
      </c>
      <c r="AY536" s="6">
        <f>+'St of Activites - GA Rev'!AG536-'St of Activities - GA Exp'!AW536</f>
        <v>2068934</v>
      </c>
      <c r="BA536" s="6">
        <v>6498057</v>
      </c>
      <c r="BC536" s="6">
        <f t="shared" si="55"/>
        <v>8566991</v>
      </c>
      <c r="BE536" s="6">
        <f>+'St of Net Assets - GA'!Y536-'St of Activities - GA Exp'!BC536</f>
        <v>0</v>
      </c>
    </row>
    <row r="537" spans="1:57">
      <c r="A537" s="11" t="s">
        <v>372</v>
      </c>
      <c r="B537" s="11"/>
      <c r="C537" s="11" t="s">
        <v>366</v>
      </c>
      <c r="E537" s="6">
        <v>4390190</v>
      </c>
      <c r="G537" s="6">
        <v>1060900</v>
      </c>
      <c r="I537" s="6">
        <v>170141</v>
      </c>
      <c r="K537" s="6">
        <v>0</v>
      </c>
      <c r="M537" s="6">
        <v>0</v>
      </c>
      <c r="O537" s="6">
        <v>232838</v>
      </c>
      <c r="Q537" s="6">
        <v>327323</v>
      </c>
      <c r="S537" s="6">
        <v>119283</v>
      </c>
      <c r="U537" s="6">
        <v>555092</v>
      </c>
      <c r="W537" s="6">
        <v>364378</v>
      </c>
      <c r="Y537" s="6">
        <v>0</v>
      </c>
      <c r="AA537" s="6">
        <v>887217</v>
      </c>
      <c r="AC537" s="6">
        <v>1024084</v>
      </c>
      <c r="AE537" s="6">
        <v>88163</v>
      </c>
      <c r="AG537" s="11" t="s">
        <v>372</v>
      </c>
      <c r="AH537" s="11"/>
      <c r="AI537" s="11" t="s">
        <v>366</v>
      </c>
      <c r="AJ537" s="11"/>
      <c r="AK537" s="6">
        <v>381848</v>
      </c>
      <c r="AM537" s="6">
        <v>0</v>
      </c>
      <c r="AO537" s="6">
        <v>262655</v>
      </c>
      <c r="AQ537" s="6">
        <v>26592</v>
      </c>
      <c r="AU537" s="6">
        <v>0</v>
      </c>
      <c r="AW537" s="6">
        <f t="shared" si="54"/>
        <v>9890704</v>
      </c>
      <c r="AY537" s="6">
        <f>+'St of Activites - GA Rev'!AG537-'St of Activities - GA Exp'!AW537</f>
        <v>-899002</v>
      </c>
      <c r="BA537" s="6">
        <v>11956834</v>
      </c>
      <c r="BC537" s="6">
        <f t="shared" si="55"/>
        <v>11057832</v>
      </c>
      <c r="BE537" s="6">
        <f>+'St of Net Assets - GA'!Y537-'St of Activities - GA Exp'!BC537</f>
        <v>0</v>
      </c>
    </row>
    <row r="538" spans="1:57">
      <c r="A538" s="11" t="s">
        <v>717</v>
      </c>
      <c r="B538" s="11"/>
      <c r="C538" s="11" t="s">
        <v>221</v>
      </c>
      <c r="E538" s="6">
        <v>15366560</v>
      </c>
      <c r="G538" s="6">
        <v>2748478</v>
      </c>
      <c r="I538" s="6">
        <v>0</v>
      </c>
      <c r="K538" s="6">
        <v>0</v>
      </c>
      <c r="M538" s="6">
        <v>1152602</v>
      </c>
      <c r="O538" s="6">
        <v>2289623</v>
      </c>
      <c r="Q538" s="6">
        <v>2396094</v>
      </c>
      <c r="S538" s="6">
        <v>62036</v>
      </c>
      <c r="U538" s="6">
        <v>2129639</v>
      </c>
      <c r="W538" s="6">
        <v>1315195</v>
      </c>
      <c r="Y538" s="6">
        <v>858</v>
      </c>
      <c r="AA538" s="6">
        <v>1862312</v>
      </c>
      <c r="AC538" s="6">
        <v>2561141</v>
      </c>
      <c r="AE538" s="6">
        <v>206188</v>
      </c>
      <c r="AG538" s="11" t="s">
        <v>717</v>
      </c>
      <c r="AH538" s="11"/>
      <c r="AI538" s="11" t="s">
        <v>221</v>
      </c>
      <c r="AJ538" s="11"/>
      <c r="AK538" s="6">
        <v>1203195</v>
      </c>
      <c r="AM538" s="6">
        <v>122419</v>
      </c>
      <c r="AO538" s="6">
        <v>1078336</v>
      </c>
      <c r="AQ538" s="6">
        <v>2744185</v>
      </c>
      <c r="AU538" s="6">
        <v>0</v>
      </c>
      <c r="AW538" s="6">
        <f t="shared" si="54"/>
        <v>37238861</v>
      </c>
      <c r="AY538" s="6">
        <f>+'St of Activites - GA Rev'!AG538-'St of Activities - GA Exp'!AW538</f>
        <v>4495866</v>
      </c>
      <c r="BA538" s="6">
        <v>33405495</v>
      </c>
      <c r="BC538" s="6">
        <f t="shared" si="55"/>
        <v>37901361</v>
      </c>
      <c r="BE538" s="6">
        <f>+'St of Net Assets - GA'!Y538-'St of Activities - GA Exp'!BC538</f>
        <v>0</v>
      </c>
    </row>
    <row r="539" spans="1:57">
      <c r="A539" s="11" t="s">
        <v>515</v>
      </c>
      <c r="B539" s="11"/>
      <c r="C539" s="11" t="s">
        <v>63</v>
      </c>
      <c r="E539" s="6">
        <v>14760941</v>
      </c>
      <c r="G539" s="6">
        <v>2858271</v>
      </c>
      <c r="I539" s="6">
        <v>777865</v>
      </c>
      <c r="K539" s="6">
        <v>113079</v>
      </c>
      <c r="M539" s="6">
        <v>0</v>
      </c>
      <c r="O539" s="6">
        <v>1437623</v>
      </c>
      <c r="Q539" s="6">
        <v>632718</v>
      </c>
      <c r="S539" s="6">
        <v>35849</v>
      </c>
      <c r="U539" s="6">
        <v>1861450</v>
      </c>
      <c r="W539" s="6">
        <v>860372</v>
      </c>
      <c r="Y539" s="6">
        <v>135970</v>
      </c>
      <c r="AA539" s="6">
        <v>1953199</v>
      </c>
      <c r="AC539" s="6">
        <v>1973491</v>
      </c>
      <c r="AE539" s="6">
        <v>515216</v>
      </c>
      <c r="AG539" s="11" t="s">
        <v>515</v>
      </c>
      <c r="AH539" s="11"/>
      <c r="AI539" s="11" t="s">
        <v>63</v>
      </c>
      <c r="AJ539" s="11"/>
      <c r="AK539" s="6">
        <v>0</v>
      </c>
      <c r="AM539" s="6">
        <v>776014</v>
      </c>
      <c r="AO539" s="6">
        <v>1009055</v>
      </c>
      <c r="AQ539" s="6">
        <v>1209280</v>
      </c>
      <c r="AU539" s="6">
        <v>0</v>
      </c>
      <c r="AW539" s="6">
        <f t="shared" si="54"/>
        <v>30910393</v>
      </c>
      <c r="AY539" s="6">
        <f>+'St of Activites - GA Rev'!AG539-'St of Activities - GA Exp'!AW539</f>
        <v>-1028128</v>
      </c>
      <c r="BA539" s="6">
        <v>15095225</v>
      </c>
      <c r="BC539" s="6">
        <f t="shared" si="55"/>
        <v>14067097</v>
      </c>
      <c r="BE539" s="6">
        <f>+'St of Net Assets - GA'!Y539-'St of Activities - GA Exp'!BC539</f>
        <v>0</v>
      </c>
    </row>
    <row r="540" spans="1:57">
      <c r="A540" s="11" t="s">
        <v>454</v>
      </c>
      <c r="B540" s="11"/>
      <c r="C540" s="11" t="s">
        <v>54</v>
      </c>
      <c r="E540" s="6">
        <v>19070085</v>
      </c>
      <c r="G540" s="6">
        <v>3476513</v>
      </c>
      <c r="I540" s="6">
        <v>605738</v>
      </c>
      <c r="K540" s="6">
        <v>0</v>
      </c>
      <c r="M540" s="6">
        <v>115009</v>
      </c>
      <c r="O540" s="6">
        <v>1268035</v>
      </c>
      <c r="Q540" s="6">
        <v>1410066</v>
      </c>
      <c r="S540" s="6">
        <v>198377</v>
      </c>
      <c r="U540" s="6">
        <v>3382368</v>
      </c>
      <c r="W540" s="6">
        <v>900694</v>
      </c>
      <c r="Y540" s="6">
        <v>224506</v>
      </c>
      <c r="AA540" s="6">
        <v>3757168</v>
      </c>
      <c r="AC540" s="6">
        <v>2267511</v>
      </c>
      <c r="AE540" s="6">
        <v>293916</v>
      </c>
      <c r="AG540" s="11" t="s">
        <v>454</v>
      </c>
      <c r="AH540" s="11"/>
      <c r="AI540" s="11" t="s">
        <v>54</v>
      </c>
      <c r="AJ540" s="11"/>
      <c r="AK540" s="6">
        <v>1315688</v>
      </c>
      <c r="AM540" s="6">
        <v>30807</v>
      </c>
      <c r="AO540" s="6">
        <v>923349</v>
      </c>
      <c r="AQ540" s="6">
        <v>1804873</v>
      </c>
      <c r="AU540" s="6">
        <v>0</v>
      </c>
      <c r="AW540" s="6">
        <f t="shared" si="54"/>
        <v>41044703</v>
      </c>
      <c r="AY540" s="6">
        <f>+'St of Activites - GA Rev'!AG540-'St of Activities - GA Exp'!AW540</f>
        <v>-7055356</v>
      </c>
      <c r="BA540" s="6">
        <v>77604954</v>
      </c>
      <c r="BC540" s="6">
        <f t="shared" si="55"/>
        <v>70549598</v>
      </c>
      <c r="BE540" s="6">
        <f>+'St of Net Assets - GA'!Y540-'St of Activities - GA Exp'!BC540</f>
        <v>0</v>
      </c>
    </row>
    <row r="541" spans="1:57">
      <c r="A541" s="11" t="s">
        <v>236</v>
      </c>
      <c r="B541" s="11"/>
      <c r="C541" s="11" t="s">
        <v>17</v>
      </c>
      <c r="E541" s="6">
        <v>12093387</v>
      </c>
      <c r="G541" s="6">
        <v>3861213</v>
      </c>
      <c r="I541" s="6">
        <v>371330</v>
      </c>
      <c r="K541" s="6">
        <v>0</v>
      </c>
      <c r="M541" s="6">
        <f>36751+1186766</f>
        <v>1223517</v>
      </c>
      <c r="O541" s="6">
        <v>1946408</v>
      </c>
      <c r="Q541" s="6">
        <v>1281192</v>
      </c>
      <c r="S541" s="6">
        <v>66774</v>
      </c>
      <c r="U541" s="6">
        <v>2664062</v>
      </c>
      <c r="W541" s="6">
        <v>552195</v>
      </c>
      <c r="Y541" s="6">
        <v>55427</v>
      </c>
      <c r="AA541" s="6">
        <v>3238264</v>
      </c>
      <c r="AC541" s="6">
        <v>1547885</v>
      </c>
      <c r="AE541" s="6">
        <v>163236</v>
      </c>
      <c r="AG541" s="11" t="s">
        <v>236</v>
      </c>
      <c r="AH541" s="11"/>
      <c r="AI541" s="11" t="s">
        <v>17</v>
      </c>
      <c r="AJ541" s="11"/>
      <c r="AK541" s="6">
        <v>0</v>
      </c>
      <c r="AM541" s="6">
        <v>1753574</v>
      </c>
      <c r="AO541" s="6">
        <v>547448</v>
      </c>
      <c r="AQ541" s="6">
        <v>890467</v>
      </c>
      <c r="AU541" s="6">
        <v>2684325</v>
      </c>
      <c r="AW541" s="6">
        <f t="shared" si="54"/>
        <v>34940704</v>
      </c>
      <c r="AY541" s="6">
        <f>+'St of Activites - GA Rev'!AG541-'St of Activities - GA Exp'!AW541</f>
        <v>-4817371</v>
      </c>
      <c r="BA541" s="6">
        <v>65333492</v>
      </c>
      <c r="BC541" s="6">
        <f t="shared" si="55"/>
        <v>60516121</v>
      </c>
      <c r="BE541" s="6">
        <f>+'St of Net Assets - GA'!Y541-'St of Activities - GA Exp'!BC541</f>
        <v>0</v>
      </c>
    </row>
    <row r="542" spans="1:57" ht="12" customHeight="1">
      <c r="A542" s="11" t="s">
        <v>725</v>
      </c>
      <c r="B542" s="11"/>
      <c r="C542" s="11" t="s">
        <v>32</v>
      </c>
      <c r="E542" s="6">
        <v>8404499</v>
      </c>
      <c r="G542" s="6">
        <v>3750330</v>
      </c>
      <c r="I542" s="6">
        <v>2390</v>
      </c>
      <c r="K542" s="6">
        <v>0</v>
      </c>
      <c r="M542" s="6">
        <v>536488</v>
      </c>
      <c r="O542" s="6">
        <v>1249898</v>
      </c>
      <c r="Q542" s="6">
        <v>511539</v>
      </c>
      <c r="S542" s="6">
        <v>48024</v>
      </c>
      <c r="U542" s="6">
        <v>1552559</v>
      </c>
      <c r="W542" s="6">
        <v>559457</v>
      </c>
      <c r="Y542" s="6">
        <v>0</v>
      </c>
      <c r="AA542" s="6">
        <v>1437744</v>
      </c>
      <c r="AC542" s="6">
        <v>1421946</v>
      </c>
      <c r="AE542" s="6">
        <v>601319</v>
      </c>
      <c r="AG542" s="11" t="s">
        <v>725</v>
      </c>
      <c r="AH542" s="11"/>
      <c r="AI542" s="11" t="s">
        <v>32</v>
      </c>
      <c r="AJ542" s="11"/>
      <c r="AK542" s="6">
        <v>0</v>
      </c>
      <c r="AM542" s="6">
        <v>943735</v>
      </c>
      <c r="AO542" s="6">
        <v>594818</v>
      </c>
      <c r="AQ542" s="6">
        <v>2134323</v>
      </c>
      <c r="AU542" s="6">
        <v>0</v>
      </c>
      <c r="AW542" s="6">
        <f t="shared" si="54"/>
        <v>23749069</v>
      </c>
      <c r="AY542" s="6">
        <f>+'St of Activites - GA Rev'!AG542-'St of Activities - GA Exp'!AW542</f>
        <v>1475808</v>
      </c>
      <c r="BA542" s="6">
        <v>41566202</v>
      </c>
      <c r="BC542" s="6">
        <f t="shared" si="55"/>
        <v>43042010</v>
      </c>
      <c r="BE542" s="6">
        <f>+'St of Net Assets - GA'!Y542-'St of Activities - GA Exp'!BC542</f>
        <v>0</v>
      </c>
    </row>
    <row r="543" spans="1:57" ht="12" customHeight="1">
      <c r="A543" s="11" t="s">
        <v>488</v>
      </c>
      <c r="B543" s="11"/>
      <c r="C543" s="11" t="s">
        <v>60</v>
      </c>
      <c r="E543" s="6">
        <v>11486058</v>
      </c>
      <c r="G543" s="6">
        <v>3739090</v>
      </c>
      <c r="I543" s="6">
        <v>137409</v>
      </c>
      <c r="K543" s="6">
        <v>0</v>
      </c>
      <c r="M543" s="6">
        <v>25585</v>
      </c>
      <c r="O543" s="6">
        <v>1311960</v>
      </c>
      <c r="Q543" s="6">
        <v>1246466</v>
      </c>
      <c r="S543" s="6">
        <v>27995</v>
      </c>
      <c r="U543" s="6">
        <v>2083046</v>
      </c>
      <c r="W543" s="6">
        <v>537875</v>
      </c>
      <c r="Y543" s="6">
        <v>50562</v>
      </c>
      <c r="AA543" s="6">
        <v>2030597</v>
      </c>
      <c r="AC543" s="6">
        <v>856509</v>
      </c>
      <c r="AE543" s="6">
        <v>31415</v>
      </c>
      <c r="AG543" s="11" t="s">
        <v>488</v>
      </c>
      <c r="AH543" s="11"/>
      <c r="AI543" s="11" t="s">
        <v>60</v>
      </c>
      <c r="AJ543" s="11"/>
      <c r="AK543" s="6">
        <v>890101</v>
      </c>
      <c r="AM543" s="6">
        <v>163618</v>
      </c>
      <c r="AO543" s="6">
        <v>666058</v>
      </c>
      <c r="AQ543" s="6">
        <v>353143</v>
      </c>
      <c r="AU543" s="6">
        <v>0</v>
      </c>
      <c r="AW543" s="6">
        <f t="shared" si="54"/>
        <v>25637487</v>
      </c>
      <c r="AY543" s="6">
        <f>+'St of Activites - GA Rev'!AG543-'St of Activities - GA Exp'!AW543</f>
        <v>1082272</v>
      </c>
      <c r="BA543" s="6">
        <v>15861585</v>
      </c>
      <c r="BC543" s="6">
        <f t="shared" si="55"/>
        <v>16943857</v>
      </c>
      <c r="BE543" s="6">
        <f>+'St of Net Assets - GA'!Y543-'St of Activities - GA Exp'!BC543</f>
        <v>0</v>
      </c>
    </row>
    <row r="544" spans="1:57">
      <c r="A544" s="11" t="s">
        <v>778</v>
      </c>
      <c r="B544" s="11"/>
      <c r="C544" s="11" t="s">
        <v>48</v>
      </c>
      <c r="E544" s="6">
        <v>14900372</v>
      </c>
      <c r="G544" s="6">
        <v>0</v>
      </c>
      <c r="I544" s="6">
        <v>0</v>
      </c>
      <c r="K544" s="6">
        <v>0</v>
      </c>
      <c r="M544" s="6">
        <v>0</v>
      </c>
      <c r="O544" s="6">
        <v>889591</v>
      </c>
      <c r="Q544" s="6">
        <v>1168944</v>
      </c>
      <c r="S544" s="6">
        <v>0</v>
      </c>
      <c r="U544" s="6">
        <v>1757627</v>
      </c>
      <c r="W544" s="6">
        <v>600030</v>
      </c>
      <c r="Y544" s="6">
        <v>138600</v>
      </c>
      <c r="AA544" s="6">
        <v>2036973</v>
      </c>
      <c r="AC544" s="6">
        <v>1069727</v>
      </c>
      <c r="AE544" s="6">
        <v>286849</v>
      </c>
      <c r="AG544" s="11" t="s">
        <v>778</v>
      </c>
      <c r="AH544" s="11"/>
      <c r="AI544" s="11" t="s">
        <v>48</v>
      </c>
      <c r="AJ544" s="11"/>
      <c r="AK544" s="6">
        <v>0</v>
      </c>
      <c r="AM544" s="6">
        <f>9185+810170</f>
        <v>819355</v>
      </c>
      <c r="AO544" s="6">
        <v>1179769</v>
      </c>
      <c r="AQ544" s="6">
        <v>821095</v>
      </c>
      <c r="AS544" s="6">
        <v>0</v>
      </c>
      <c r="AU544" s="6">
        <v>0</v>
      </c>
      <c r="AW544" s="6">
        <f t="shared" si="54"/>
        <v>25668932</v>
      </c>
      <c r="AY544" s="6">
        <f>+'St of Activites - GA Rev'!AG544-'St of Activities - GA Exp'!AW544</f>
        <v>7828</v>
      </c>
      <c r="BA544" s="6">
        <v>6579341</v>
      </c>
      <c r="BC544" s="6">
        <f t="shared" si="55"/>
        <v>6587169</v>
      </c>
      <c r="BE544" s="6">
        <f>+'St of Net Assets - GA'!Y544-'St of Activities - GA Exp'!BC544</f>
        <v>0</v>
      </c>
    </row>
    <row r="545" spans="1:57">
      <c r="A545" s="11" t="s">
        <v>395</v>
      </c>
      <c r="B545" s="11"/>
      <c r="C545" s="11" t="s">
        <v>115</v>
      </c>
      <c r="E545" s="6">
        <v>236207897</v>
      </c>
      <c r="G545" s="6">
        <v>0</v>
      </c>
      <c r="I545" s="6">
        <v>0</v>
      </c>
      <c r="K545" s="6">
        <v>0</v>
      </c>
      <c r="M545" s="6">
        <v>0</v>
      </c>
      <c r="O545" s="6">
        <v>114249054</v>
      </c>
      <c r="Q545" s="6">
        <v>0</v>
      </c>
      <c r="S545" s="6">
        <v>0</v>
      </c>
      <c r="U545" s="6">
        <v>0</v>
      </c>
      <c r="W545" s="6">
        <v>0</v>
      </c>
      <c r="Y545" s="6">
        <v>0</v>
      </c>
      <c r="AA545" s="6">
        <v>0</v>
      </c>
      <c r="AC545" s="6">
        <v>0</v>
      </c>
      <c r="AE545" s="6">
        <v>0</v>
      </c>
      <c r="AG545" s="11" t="s">
        <v>395</v>
      </c>
      <c r="AH545" s="11"/>
      <c r="AI545" s="11" t="s">
        <v>115</v>
      </c>
      <c r="AJ545" s="11"/>
      <c r="AK545" s="6">
        <v>0</v>
      </c>
      <c r="AM545" s="6">
        <v>13873137</v>
      </c>
      <c r="AO545" s="6">
        <v>2387172</v>
      </c>
      <c r="AQ545" s="6">
        <v>6815825</v>
      </c>
      <c r="AU545" s="6">
        <v>0</v>
      </c>
      <c r="AW545" s="6">
        <f t="shared" si="54"/>
        <v>373533085</v>
      </c>
      <c r="AY545" s="6">
        <f>+'St of Activites - GA Rev'!AG545-'St of Activities - GA Exp'!AW545</f>
        <v>15051791</v>
      </c>
      <c r="BA545" s="6">
        <v>508739120</v>
      </c>
      <c r="BC545" s="6">
        <f t="shared" si="55"/>
        <v>523790911</v>
      </c>
      <c r="BE545" s="6">
        <f>+'St of Net Assets - GA'!Y545-'St of Activities - GA Exp'!BC545</f>
        <v>0</v>
      </c>
    </row>
    <row r="546" spans="1:57" hidden="1">
      <c r="A546" s="11" t="s">
        <v>894</v>
      </c>
      <c r="B546" s="11"/>
      <c r="C546" s="11" t="s">
        <v>115</v>
      </c>
      <c r="AG546" s="11" t="s">
        <v>894</v>
      </c>
      <c r="AH546" s="11"/>
      <c r="AI546" s="11" t="s">
        <v>115</v>
      </c>
      <c r="AJ546" s="11"/>
      <c r="AW546" s="6">
        <f t="shared" si="54"/>
        <v>0</v>
      </c>
      <c r="AY546" s="6">
        <f>+'St of Activites - GA Rev'!AG546-'St of Activities - GA Exp'!AW546</f>
        <v>0</v>
      </c>
      <c r="BC546" s="6">
        <f t="shared" si="55"/>
        <v>0</v>
      </c>
      <c r="BE546" s="6">
        <f>+'St of Net Assets - GA'!Y546-'St of Activities - GA Exp'!BC546</f>
        <v>0</v>
      </c>
    </row>
    <row r="547" spans="1:57">
      <c r="A547" s="11" t="s">
        <v>726</v>
      </c>
      <c r="B547" s="11"/>
      <c r="C547" s="11" t="s">
        <v>39</v>
      </c>
      <c r="E547" s="6">
        <v>3120352</v>
      </c>
      <c r="G547" s="6">
        <v>1004880</v>
      </c>
      <c r="I547" s="6">
        <v>101889</v>
      </c>
      <c r="K547" s="6">
        <v>0</v>
      </c>
      <c r="M547" s="6">
        <f>77417+653872</f>
        <v>731289</v>
      </c>
      <c r="O547" s="6">
        <v>270046</v>
      </c>
      <c r="Q547" s="6">
        <v>271508</v>
      </c>
      <c r="S547" s="6">
        <v>10318</v>
      </c>
      <c r="U547" s="6">
        <v>955843</v>
      </c>
      <c r="W547" s="6">
        <v>326180</v>
      </c>
      <c r="Y547" s="6">
        <v>73856</v>
      </c>
      <c r="AA547" s="6">
        <v>735065</v>
      </c>
      <c r="AC547" s="6">
        <v>128662</v>
      </c>
      <c r="AE547" s="6">
        <v>10274</v>
      </c>
      <c r="AG547" s="11" t="s">
        <v>726</v>
      </c>
      <c r="AH547" s="11"/>
      <c r="AI547" s="11" t="s">
        <v>39</v>
      </c>
      <c r="AJ547" s="11"/>
      <c r="AK547" s="6">
        <v>0</v>
      </c>
      <c r="AM547" s="6">
        <v>396614</v>
      </c>
      <c r="AO547" s="6">
        <v>302996</v>
      </c>
      <c r="AQ547" s="6">
        <v>727602</v>
      </c>
      <c r="AU547" s="6">
        <v>28311</v>
      </c>
      <c r="AW547" s="6">
        <f t="shared" si="54"/>
        <v>9195685</v>
      </c>
      <c r="AY547" s="6">
        <f>+'St of Activites - GA Rev'!AG547-'St of Activities - GA Exp'!AW547</f>
        <v>-3000617</v>
      </c>
      <c r="BA547" s="6">
        <v>17175394</v>
      </c>
      <c r="BC547" s="6">
        <f t="shared" si="55"/>
        <v>14174777</v>
      </c>
      <c r="BE547" s="6">
        <f>+'St of Net Assets - GA'!Y547-'St of Activities - GA Exp'!BC547</f>
        <v>0</v>
      </c>
    </row>
    <row r="548" spans="1:57">
      <c r="A548" s="11" t="s">
        <v>229</v>
      </c>
      <c r="B548" s="11"/>
      <c r="C548" s="11" t="s">
        <v>228</v>
      </c>
      <c r="E548" s="6">
        <v>5016539</v>
      </c>
      <c r="G548" s="6">
        <v>1257193</v>
      </c>
      <c r="I548" s="6">
        <v>159037</v>
      </c>
      <c r="K548" s="6">
        <v>0</v>
      </c>
      <c r="M548" s="6">
        <v>63663</v>
      </c>
      <c r="O548" s="6">
        <v>383125</v>
      </c>
      <c r="Q548" s="6">
        <v>284905</v>
      </c>
      <c r="S548" s="6">
        <v>44213</v>
      </c>
      <c r="U548" s="6">
        <v>909907</v>
      </c>
      <c r="W548" s="6">
        <v>310282</v>
      </c>
      <c r="Y548" s="6">
        <v>8388</v>
      </c>
      <c r="AA548" s="6">
        <v>995433</v>
      </c>
      <c r="AC548" s="6">
        <v>680524</v>
      </c>
      <c r="AE548" s="6">
        <v>216417</v>
      </c>
      <c r="AG548" s="11" t="s">
        <v>229</v>
      </c>
      <c r="AH548" s="11"/>
      <c r="AI548" s="11" t="s">
        <v>228</v>
      </c>
      <c r="AJ548" s="11"/>
      <c r="AK548" s="6">
        <v>453524</v>
      </c>
      <c r="AM548" s="6">
        <v>0</v>
      </c>
      <c r="AO548" s="6">
        <v>457087</v>
      </c>
      <c r="AQ548" s="6">
        <v>279611</v>
      </c>
      <c r="AU548" s="6">
        <v>0</v>
      </c>
      <c r="AW548" s="6">
        <f t="shared" si="54"/>
        <v>11519848</v>
      </c>
      <c r="AY548" s="6">
        <f>+'St of Activites - GA Rev'!AG548-'St of Activities - GA Exp'!AW548</f>
        <v>-848048</v>
      </c>
      <c r="BA548" s="6">
        <v>13192581</v>
      </c>
      <c r="BC548" s="6">
        <f t="shared" si="55"/>
        <v>12344533</v>
      </c>
      <c r="BE548" s="6">
        <f>+'St of Net Assets - GA'!Y548-'St of Activities - GA Exp'!BC548</f>
        <v>0</v>
      </c>
    </row>
    <row r="549" spans="1:57">
      <c r="A549" s="11" t="s">
        <v>466</v>
      </c>
      <c r="B549" s="11"/>
      <c r="C549" s="11" t="s">
        <v>57</v>
      </c>
      <c r="E549" s="6">
        <v>5429516</v>
      </c>
      <c r="G549" s="6">
        <v>1046213</v>
      </c>
      <c r="I549" s="6">
        <v>67262</v>
      </c>
      <c r="K549" s="6">
        <v>0</v>
      </c>
      <c r="M549" s="6">
        <v>0</v>
      </c>
      <c r="O549" s="6">
        <v>565903</v>
      </c>
      <c r="Q549" s="6">
        <v>638339</v>
      </c>
      <c r="S549" s="6">
        <v>18892</v>
      </c>
      <c r="U549" s="6">
        <v>1064866</v>
      </c>
      <c r="W549" s="6">
        <v>195945</v>
      </c>
      <c r="Y549" s="6">
        <v>0</v>
      </c>
      <c r="AA549" s="6">
        <v>834326</v>
      </c>
      <c r="AC549" s="6">
        <v>647205</v>
      </c>
      <c r="AE549" s="6">
        <v>27048</v>
      </c>
      <c r="AG549" s="11" t="s">
        <v>466</v>
      </c>
      <c r="AH549" s="11"/>
      <c r="AI549" s="11" t="s">
        <v>57</v>
      </c>
      <c r="AJ549" s="11"/>
      <c r="AK549" s="6">
        <v>0</v>
      </c>
      <c r="AM549" s="6">
        <v>435738</v>
      </c>
      <c r="AO549" s="6">
        <v>464942</v>
      </c>
      <c r="AQ549" s="6">
        <v>0</v>
      </c>
      <c r="AU549" s="6">
        <v>0</v>
      </c>
      <c r="AW549" s="6">
        <f t="shared" si="54"/>
        <v>11436195</v>
      </c>
      <c r="AY549" s="6">
        <f>+'St of Activites - GA Rev'!AG549-'St of Activities - GA Exp'!AW549</f>
        <v>-2048166</v>
      </c>
      <c r="BA549" s="6">
        <v>13214594</v>
      </c>
      <c r="BC549" s="6">
        <f t="shared" si="55"/>
        <v>11166428</v>
      </c>
      <c r="BE549" s="6">
        <f>+'St of Net Assets - GA'!Y549-'St of Activities - GA Exp'!BC549</f>
        <v>0</v>
      </c>
    </row>
    <row r="550" spans="1:57">
      <c r="A550" s="11" t="s">
        <v>212</v>
      </c>
      <c r="B550" s="11"/>
      <c r="C550" s="11" t="s">
        <v>13</v>
      </c>
      <c r="E550" s="6">
        <v>3206590</v>
      </c>
      <c r="G550" s="6">
        <v>1798787</v>
      </c>
      <c r="I550" s="6">
        <v>1152</v>
      </c>
      <c r="K550" s="6">
        <v>0</v>
      </c>
      <c r="M550" s="6">
        <f>72777+871055</f>
        <v>943832</v>
      </c>
      <c r="O550" s="6">
        <v>459700</v>
      </c>
      <c r="Q550" s="6">
        <v>598545</v>
      </c>
      <c r="S550" s="6">
        <v>87547</v>
      </c>
      <c r="U550" s="6">
        <v>754388</v>
      </c>
      <c r="W550" s="6">
        <v>242831</v>
      </c>
      <c r="Y550" s="6">
        <v>0</v>
      </c>
      <c r="AA550" s="6">
        <v>842185</v>
      </c>
      <c r="AC550" s="6">
        <v>588082</v>
      </c>
      <c r="AE550" s="6">
        <v>19728</v>
      </c>
      <c r="AG550" s="11" t="s">
        <v>212</v>
      </c>
      <c r="AH550" s="11"/>
      <c r="AI550" s="11" t="s">
        <v>13</v>
      </c>
      <c r="AJ550" s="11"/>
      <c r="AK550" s="6">
        <v>0</v>
      </c>
      <c r="AM550" s="6">
        <v>450530</v>
      </c>
      <c r="AO550" s="6">
        <v>165046</v>
      </c>
      <c r="AQ550" s="6">
        <v>24113</v>
      </c>
      <c r="AS550" s="6">
        <v>0</v>
      </c>
      <c r="AU550" s="6">
        <v>481737</v>
      </c>
      <c r="AW550" s="6">
        <f>SUM(E550:AV550)</f>
        <v>10664793</v>
      </c>
      <c r="AY550" s="6">
        <f>+'St of Activites - GA Rev'!AG550-'St of Activities - GA Exp'!AW550</f>
        <v>763363</v>
      </c>
      <c r="BA550" s="6">
        <v>14671389</v>
      </c>
      <c r="BC550" s="6">
        <f t="shared" si="55"/>
        <v>15434752</v>
      </c>
      <c r="BE550" s="6">
        <f>+'St of Net Assets - GA'!Y550-'St of Activities - GA Exp'!BC550</f>
        <v>0</v>
      </c>
    </row>
    <row r="551" spans="1:57">
      <c r="A551" s="11" t="s">
        <v>446</v>
      </c>
      <c r="B551" s="11"/>
      <c r="C551" s="11" t="s">
        <v>51</v>
      </c>
      <c r="E551" s="6">
        <v>14092741</v>
      </c>
      <c r="G551" s="6">
        <v>4143446</v>
      </c>
      <c r="I551" s="6">
        <v>365917</v>
      </c>
      <c r="K551" s="6">
        <v>0</v>
      </c>
      <c r="M551" s="6">
        <v>43279</v>
      </c>
      <c r="O551" s="6">
        <v>771160</v>
      </c>
      <c r="Q551" s="6">
        <v>1099348</v>
      </c>
      <c r="S551" s="6">
        <v>563364</v>
      </c>
      <c r="U551" s="6">
        <v>2492712</v>
      </c>
      <c r="W551" s="6">
        <v>443937</v>
      </c>
      <c r="Y551" s="6">
        <v>0</v>
      </c>
      <c r="AA551" s="6">
        <v>2433567</v>
      </c>
      <c r="AC551" s="6">
        <v>2045969</v>
      </c>
      <c r="AE551" s="6">
        <v>497915</v>
      </c>
      <c r="AG551" s="11" t="s">
        <v>446</v>
      </c>
      <c r="AH551" s="11"/>
      <c r="AI551" s="11" t="s">
        <v>51</v>
      </c>
      <c r="AJ551" s="11"/>
      <c r="AK551" s="6">
        <v>1363678</v>
      </c>
      <c r="AM551" s="6">
        <v>166006</v>
      </c>
      <c r="AO551" s="6">
        <v>309271</v>
      </c>
      <c r="AQ551" s="6">
        <v>876068</v>
      </c>
      <c r="AU551" s="6">
        <v>0</v>
      </c>
      <c r="AW551" s="6">
        <f t="shared" si="54"/>
        <v>31708378</v>
      </c>
      <c r="AY551" s="6">
        <f>+'St of Activites - GA Rev'!AG551-'St of Activities - GA Exp'!AW551</f>
        <v>-48154</v>
      </c>
      <c r="BA551" s="6">
        <v>55079130</v>
      </c>
      <c r="BC551" s="6">
        <f t="shared" si="55"/>
        <v>55030976</v>
      </c>
      <c r="BE551" s="6">
        <f>+'St of Net Assets - GA'!Y551-'St of Activities - GA Exp'!BC551</f>
        <v>0</v>
      </c>
    </row>
    <row r="552" spans="1:57" ht="12" hidden="1" customHeight="1">
      <c r="A552" s="11" t="s">
        <v>690</v>
      </c>
      <c r="B552" s="11"/>
      <c r="C552" s="11" t="s">
        <v>21</v>
      </c>
      <c r="AG552" s="11" t="s">
        <v>690</v>
      </c>
      <c r="AH552" s="11"/>
      <c r="AI552" s="11" t="s">
        <v>21</v>
      </c>
      <c r="AJ552" s="11"/>
      <c r="AW552" s="6">
        <f t="shared" si="54"/>
        <v>0</v>
      </c>
      <c r="AY552" s="6">
        <f>+'St of Activites - GA Rev'!AG552-'St of Activities - GA Exp'!AW552</f>
        <v>0</v>
      </c>
      <c r="BC552" s="6">
        <f t="shared" si="55"/>
        <v>0</v>
      </c>
      <c r="BE552" s="6">
        <f>+'St of Net Assets - GA'!Y552-'St of Activities - GA Exp'!BC552</f>
        <v>0</v>
      </c>
    </row>
    <row r="553" spans="1:57" hidden="1">
      <c r="A553" s="10" t="s">
        <v>835</v>
      </c>
      <c r="B553" s="11"/>
      <c r="C553" s="11" t="s">
        <v>71</v>
      </c>
      <c r="AG553" s="10" t="s">
        <v>835</v>
      </c>
      <c r="AH553" s="11"/>
      <c r="AI553" s="11" t="s">
        <v>71</v>
      </c>
      <c r="AJ553" s="11"/>
      <c r="AW553" s="6">
        <f t="shared" si="54"/>
        <v>0</v>
      </c>
      <c r="AY553" s="6">
        <f>+'St of Activites - GA Rev'!AG553-'St of Activities - GA Exp'!AW553</f>
        <v>0</v>
      </c>
      <c r="BC553" s="6">
        <f t="shared" si="55"/>
        <v>0</v>
      </c>
      <c r="BE553" s="6">
        <f>+'St of Net Assets - GA'!Y553-'St of Activities - GA Exp'!BC553</f>
        <v>0</v>
      </c>
    </row>
    <row r="554" spans="1:57">
      <c r="A554" s="11" t="s">
        <v>436</v>
      </c>
      <c r="B554" s="11"/>
      <c r="C554" s="11" t="s">
        <v>50</v>
      </c>
      <c r="E554" s="6">
        <v>12567272</v>
      </c>
      <c r="G554" s="6">
        <v>3499779</v>
      </c>
      <c r="I554" s="6">
        <v>224</v>
      </c>
      <c r="K554" s="6">
        <v>0</v>
      </c>
      <c r="M554" s="6">
        <v>261738</v>
      </c>
      <c r="O554" s="6">
        <v>2239933</v>
      </c>
      <c r="Q554" s="6">
        <v>1917281</v>
      </c>
      <c r="S554" s="6">
        <v>63178</v>
      </c>
      <c r="U554" s="6">
        <v>2706784</v>
      </c>
      <c r="W554" s="6">
        <v>5810690</v>
      </c>
      <c r="Y554" s="6">
        <v>490959</v>
      </c>
      <c r="AA554" s="6">
        <v>3083281</v>
      </c>
      <c r="AC554" s="6">
        <v>1864107</v>
      </c>
      <c r="AE554" s="6">
        <v>1166969</v>
      </c>
      <c r="AG554" s="11" t="s">
        <v>436</v>
      </c>
      <c r="AH554" s="11"/>
      <c r="AI554" s="11" t="s">
        <v>50</v>
      </c>
      <c r="AJ554" s="11"/>
      <c r="AK554" s="6">
        <v>0</v>
      </c>
      <c r="AM554" s="6">
        <v>2385734</v>
      </c>
      <c r="AO554" s="6">
        <v>577480</v>
      </c>
      <c r="AQ554" s="6">
        <v>2350627</v>
      </c>
      <c r="AU554" s="6">
        <v>0</v>
      </c>
      <c r="AW554" s="6">
        <f t="shared" si="54"/>
        <v>40986036</v>
      </c>
      <c r="AY554" s="6">
        <f>+'St of Activites - GA Rev'!AG554-'St of Activities - GA Exp'!AW554</f>
        <v>-22266</v>
      </c>
      <c r="BA554" s="6">
        <v>65939538</v>
      </c>
      <c r="BC554" s="6">
        <f t="shared" si="55"/>
        <v>65917272</v>
      </c>
      <c r="BE554" s="6">
        <f>+'St of Net Assets - GA'!Y554-'St of Activities - GA Exp'!BC554</f>
        <v>0</v>
      </c>
    </row>
    <row r="555" spans="1:57">
      <c r="A555" s="11" t="s">
        <v>426</v>
      </c>
      <c r="B555" s="11"/>
      <c r="C555" s="11" t="s">
        <v>48</v>
      </c>
      <c r="E555" s="6">
        <v>23339103</v>
      </c>
      <c r="G555" s="6">
        <v>5979908</v>
      </c>
      <c r="I555" s="6">
        <v>19682</v>
      </c>
      <c r="K555" s="6">
        <v>0</v>
      </c>
      <c r="M555" s="6">
        <v>3836878</v>
      </c>
      <c r="O555" s="6">
        <v>2118955</v>
      </c>
      <c r="Q555" s="6">
        <v>1272245</v>
      </c>
      <c r="S555" s="6">
        <v>653928</v>
      </c>
      <c r="U555" s="6">
        <v>3647967</v>
      </c>
      <c r="W555" s="6">
        <v>541404</v>
      </c>
      <c r="Y555" s="6">
        <v>515415</v>
      </c>
      <c r="AA555" s="6">
        <v>3568807</v>
      </c>
      <c r="AC555" s="6">
        <v>1948816</v>
      </c>
      <c r="AE555" s="6">
        <v>203979</v>
      </c>
      <c r="AG555" s="11" t="s">
        <v>426</v>
      </c>
      <c r="AH555" s="11"/>
      <c r="AI555" s="11" t="s">
        <v>48</v>
      </c>
      <c r="AJ555" s="11"/>
      <c r="AK555" s="6">
        <v>0</v>
      </c>
      <c r="AM555" s="6">
        <v>2626127</v>
      </c>
      <c r="AO555" s="6">
        <v>509864</v>
      </c>
      <c r="AQ555" s="6">
        <v>785432</v>
      </c>
      <c r="AU555" s="6">
        <v>605889</v>
      </c>
      <c r="AW555" s="6">
        <f t="shared" si="54"/>
        <v>52174399</v>
      </c>
      <c r="AY555" s="6">
        <f>+'St of Activites - GA Rev'!AG555-'St of Activities - GA Exp'!AW555</f>
        <v>-2926851</v>
      </c>
      <c r="BA555" s="6">
        <v>20166509</v>
      </c>
      <c r="BC555" s="6">
        <f t="shared" si="55"/>
        <v>17239658</v>
      </c>
      <c r="BE555" s="6">
        <f>+'St of Net Assets - GA'!Y555-'St of Activities - GA Exp'!BC555</f>
        <v>0</v>
      </c>
    </row>
    <row r="556" spans="1:57">
      <c r="A556" s="11" t="s">
        <v>538</v>
      </c>
      <c r="B556" s="11"/>
      <c r="C556" s="11" t="s">
        <v>65</v>
      </c>
      <c r="E556" s="6">
        <v>5832488</v>
      </c>
      <c r="G556" s="6">
        <v>854095</v>
      </c>
      <c r="I556" s="6">
        <v>138814</v>
      </c>
      <c r="K556" s="6">
        <v>0</v>
      </c>
      <c r="M556" s="6">
        <v>1134441</v>
      </c>
      <c r="O556" s="6">
        <v>449364</v>
      </c>
      <c r="Q556" s="6">
        <v>474741</v>
      </c>
      <c r="S556" s="6">
        <v>29700</v>
      </c>
      <c r="U556" s="6">
        <v>1241309</v>
      </c>
      <c r="W556" s="6">
        <v>371051</v>
      </c>
      <c r="Y556" s="6">
        <v>0</v>
      </c>
      <c r="AA556" s="6">
        <v>954367</v>
      </c>
      <c r="AC556" s="6">
        <v>1101041</v>
      </c>
      <c r="AE556" s="6">
        <v>80572</v>
      </c>
      <c r="AG556" s="11" t="s">
        <v>538</v>
      </c>
      <c r="AH556" s="11"/>
      <c r="AI556" s="11" t="s">
        <v>65</v>
      </c>
      <c r="AJ556" s="11"/>
      <c r="AK556" s="6">
        <v>527878</v>
      </c>
      <c r="AM556" s="6">
        <v>0</v>
      </c>
      <c r="AO556" s="6">
        <v>356860</v>
      </c>
      <c r="AQ556" s="6">
        <v>242368</v>
      </c>
      <c r="AU556" s="6">
        <v>0</v>
      </c>
      <c r="AW556" s="6">
        <f t="shared" si="54"/>
        <v>13789089</v>
      </c>
      <c r="AY556" s="6">
        <f>+'St of Activites - GA Rev'!AG556-'St of Activities - GA Exp'!AW556</f>
        <v>179016</v>
      </c>
      <c r="BA556" s="6">
        <v>6779449</v>
      </c>
      <c r="BC556" s="6">
        <f t="shared" si="55"/>
        <v>6958465</v>
      </c>
      <c r="BE556" s="6">
        <f>+'St of Net Assets - GA'!Y556-'St of Activities - GA Exp'!BC556</f>
        <v>0</v>
      </c>
    </row>
    <row r="557" spans="1:57">
      <c r="A557" s="11" t="s">
        <v>505</v>
      </c>
      <c r="B557" s="11"/>
      <c r="C557" s="11" t="s">
        <v>62</v>
      </c>
      <c r="E557" s="6">
        <v>5568451</v>
      </c>
      <c r="G557" s="6">
        <v>1713684</v>
      </c>
      <c r="I557" s="6">
        <v>148591</v>
      </c>
      <c r="K557" s="6">
        <v>0</v>
      </c>
      <c r="M557" s="6">
        <v>2584</v>
      </c>
      <c r="O557" s="6">
        <v>748329</v>
      </c>
      <c r="Q557" s="6">
        <v>490371</v>
      </c>
      <c r="S557" s="6">
        <v>12384</v>
      </c>
      <c r="U557" s="6">
        <v>1032939</v>
      </c>
      <c r="W557" s="6">
        <v>362045</v>
      </c>
      <c r="Y557" s="6">
        <v>41794</v>
      </c>
      <c r="AA557" s="6">
        <v>1126602</v>
      </c>
      <c r="AC557" s="6">
        <v>924261</v>
      </c>
      <c r="AE557" s="6">
        <v>32597</v>
      </c>
      <c r="AG557" s="11" t="s">
        <v>505</v>
      </c>
      <c r="AH557" s="11"/>
      <c r="AI557" s="11" t="s">
        <v>62</v>
      </c>
      <c r="AJ557" s="11"/>
      <c r="AK557" s="6">
        <v>0</v>
      </c>
      <c r="AM557" s="6">
        <v>520128</v>
      </c>
      <c r="AO557" s="6">
        <v>998026</v>
      </c>
      <c r="AQ557" s="6">
        <v>488820</v>
      </c>
      <c r="AU557" s="6">
        <v>0</v>
      </c>
      <c r="AW557" s="6">
        <f t="shared" si="54"/>
        <v>14211606</v>
      </c>
      <c r="AY557" s="6">
        <f>+'St of Activites - GA Rev'!AG557-'St of Activities - GA Exp'!AW557</f>
        <v>361788</v>
      </c>
      <c r="BA557" s="6">
        <v>16568961</v>
      </c>
      <c r="BC557" s="6">
        <f t="shared" si="55"/>
        <v>16930749</v>
      </c>
      <c r="BE557" s="6">
        <f>+'St of Net Assets - GA'!Y557-'St of Activities - GA Exp'!BC557</f>
        <v>0</v>
      </c>
    </row>
    <row r="558" spans="1:57" ht="12" hidden="1" customHeight="1">
      <c r="A558" s="11" t="s">
        <v>695</v>
      </c>
      <c r="B558" s="11"/>
      <c r="C558" s="11" t="s">
        <v>57</v>
      </c>
      <c r="AG558" s="11" t="s">
        <v>695</v>
      </c>
      <c r="AH558" s="11"/>
      <c r="AI558" s="11" t="s">
        <v>57</v>
      </c>
      <c r="AJ558" s="11"/>
      <c r="AW558" s="6">
        <f t="shared" si="54"/>
        <v>0</v>
      </c>
      <c r="AY558" s="6">
        <f>+'St of Activites - GA Rev'!AG558-'St of Activities - GA Exp'!AW558</f>
        <v>0</v>
      </c>
      <c r="BC558" s="6">
        <f t="shared" si="55"/>
        <v>0</v>
      </c>
      <c r="BE558" s="6">
        <f>+'St of Net Assets - GA'!Y558-'St of Activities - GA Exp'!BC558</f>
        <v>0</v>
      </c>
    </row>
    <row r="559" spans="1:57">
      <c r="A559" s="11" t="s">
        <v>516</v>
      </c>
      <c r="B559" s="11"/>
      <c r="C559" s="11" t="s">
        <v>63</v>
      </c>
      <c r="E559" s="6">
        <v>22319458</v>
      </c>
      <c r="G559" s="6">
        <v>3230989</v>
      </c>
      <c r="I559" s="6">
        <v>198687</v>
      </c>
      <c r="K559" s="6">
        <v>0</v>
      </c>
      <c r="M559" s="6">
        <f>67693+390852</f>
        <v>458545</v>
      </c>
      <c r="O559" s="6">
        <v>2703374</v>
      </c>
      <c r="Q559" s="6">
        <v>2074706</v>
      </c>
      <c r="S559" s="6">
        <v>384137</v>
      </c>
      <c r="U559" s="6">
        <v>3176089</v>
      </c>
      <c r="W559" s="6">
        <v>1106318</v>
      </c>
      <c r="Y559" s="6">
        <v>131066</v>
      </c>
      <c r="AA559" s="6">
        <v>3955087</v>
      </c>
      <c r="AC559" s="6">
        <v>2904778</v>
      </c>
      <c r="AE559" s="6">
        <v>910173</v>
      </c>
      <c r="AG559" s="11" t="s">
        <v>516</v>
      </c>
      <c r="AH559" s="11"/>
      <c r="AI559" s="11" t="s">
        <v>63</v>
      </c>
      <c r="AJ559" s="11"/>
      <c r="AK559" s="6">
        <v>1292913</v>
      </c>
      <c r="AM559" s="6">
        <v>1918</v>
      </c>
      <c r="AO559" s="6">
        <v>1308438</v>
      </c>
      <c r="AQ559" s="6">
        <v>856912</v>
      </c>
      <c r="AU559" s="6">
        <v>0</v>
      </c>
      <c r="AW559" s="6">
        <f t="shared" si="54"/>
        <v>47013588</v>
      </c>
      <c r="AY559" s="6">
        <f>+'St of Activites - GA Rev'!AG559-'St of Activities - GA Exp'!AW559</f>
        <v>-692965</v>
      </c>
      <c r="BA559" s="6">
        <v>46729927</v>
      </c>
      <c r="BC559" s="6">
        <f t="shared" si="55"/>
        <v>46036962</v>
      </c>
      <c r="BE559" s="6">
        <f>+'St of Net Assets - GA'!Y559-'St of Activities - GA Exp'!BC559</f>
        <v>0</v>
      </c>
    </row>
    <row r="560" spans="1:57" hidden="1">
      <c r="A560" s="10" t="s">
        <v>836</v>
      </c>
      <c r="B560" s="11"/>
      <c r="C560" s="11" t="s">
        <v>15</v>
      </c>
      <c r="AG560" s="10" t="s">
        <v>836</v>
      </c>
      <c r="AH560" s="11"/>
      <c r="AI560" s="11" t="s">
        <v>15</v>
      </c>
      <c r="AJ560" s="11"/>
      <c r="AW560" s="6">
        <f t="shared" si="54"/>
        <v>0</v>
      </c>
      <c r="AY560" s="6">
        <f>+'St of Activites - GA Rev'!AG560-'St of Activities - GA Exp'!AW560</f>
        <v>0</v>
      </c>
      <c r="BC560" s="6">
        <f t="shared" si="55"/>
        <v>0</v>
      </c>
      <c r="BE560" s="6">
        <f>+'St of Net Assets - GA'!Y560-'St of Activities - GA Exp'!BC560</f>
        <v>0</v>
      </c>
    </row>
    <row r="561" spans="1:57">
      <c r="A561" s="11" t="s">
        <v>476</v>
      </c>
      <c r="B561" s="11"/>
      <c r="C561" s="11" t="s">
        <v>58</v>
      </c>
      <c r="E561" s="6">
        <v>11841112</v>
      </c>
      <c r="G561" s="6">
        <v>1647752</v>
      </c>
      <c r="I561" s="6">
        <v>23059</v>
      </c>
      <c r="K561" s="6">
        <v>0</v>
      </c>
      <c r="M561" s="6">
        <v>0</v>
      </c>
      <c r="O561" s="6">
        <v>855823</v>
      </c>
      <c r="Q561" s="6">
        <v>665718</v>
      </c>
      <c r="S561" s="6">
        <v>833722</v>
      </c>
      <c r="U561" s="6">
        <v>1115239</v>
      </c>
      <c r="W561" s="6">
        <v>471287</v>
      </c>
      <c r="Y561" s="6">
        <v>20029</v>
      </c>
      <c r="AA561" s="6">
        <v>1415385</v>
      </c>
      <c r="AC561" s="6">
        <v>910710</v>
      </c>
      <c r="AE561" s="6">
        <v>130917</v>
      </c>
      <c r="AG561" s="11" t="s">
        <v>476</v>
      </c>
      <c r="AH561" s="11"/>
      <c r="AI561" s="11" t="s">
        <v>58</v>
      </c>
      <c r="AJ561" s="11"/>
      <c r="AK561" s="6">
        <v>0</v>
      </c>
      <c r="AM561" s="6">
        <v>986896</v>
      </c>
      <c r="AO561" s="6">
        <v>244358</v>
      </c>
      <c r="AQ561" s="6">
        <v>211388</v>
      </c>
      <c r="AU561" s="6">
        <v>0</v>
      </c>
      <c r="AW561" s="6">
        <f t="shared" si="54"/>
        <v>21373395</v>
      </c>
      <c r="AY561" s="6">
        <f>+'St of Activites - GA Rev'!AG561-'St of Activities - GA Exp'!AW561</f>
        <v>-1174985</v>
      </c>
      <c r="BA561" s="6">
        <v>32816401</v>
      </c>
      <c r="BC561" s="6">
        <f t="shared" si="55"/>
        <v>31641416</v>
      </c>
      <c r="BE561" s="6">
        <f>+'St of Net Assets - GA'!Y561-'St of Activities - GA Exp'!BC561</f>
        <v>0</v>
      </c>
    </row>
    <row r="562" spans="1:57" ht="12" customHeight="1">
      <c r="A562" s="11" t="s">
        <v>251</v>
      </c>
      <c r="B562" s="11"/>
      <c r="C562" s="11" t="s">
        <v>112</v>
      </c>
      <c r="E562" s="6">
        <v>5681760</v>
      </c>
      <c r="G562" s="6">
        <v>1642430</v>
      </c>
      <c r="I562" s="6">
        <v>224387</v>
      </c>
      <c r="K562" s="6">
        <v>9320</v>
      </c>
      <c r="M562" s="6">
        <v>22449</v>
      </c>
      <c r="O562" s="6">
        <v>437441</v>
      </c>
      <c r="Q562" s="6">
        <v>496775</v>
      </c>
      <c r="S562" s="6">
        <v>91768</v>
      </c>
      <c r="U562" s="6">
        <v>951949</v>
      </c>
      <c r="W562" s="6">
        <v>288237</v>
      </c>
      <c r="Y562" s="6">
        <v>21095</v>
      </c>
      <c r="AA562" s="6">
        <v>903485</v>
      </c>
      <c r="AC562" s="6">
        <v>868292</v>
      </c>
      <c r="AE562" s="6">
        <v>39465</v>
      </c>
      <c r="AG562" s="11" t="s">
        <v>251</v>
      </c>
      <c r="AH562" s="11"/>
      <c r="AI562" s="11" t="s">
        <v>112</v>
      </c>
      <c r="AJ562" s="11"/>
      <c r="AK562" s="6">
        <v>611981</v>
      </c>
      <c r="AM562" s="6">
        <v>1029</v>
      </c>
      <c r="AO562" s="6">
        <v>594586</v>
      </c>
      <c r="AQ562" s="6">
        <v>1053</v>
      </c>
      <c r="AU562" s="6">
        <v>0</v>
      </c>
      <c r="AW562" s="6">
        <f t="shared" si="54"/>
        <v>12887502</v>
      </c>
      <c r="AY562" s="6">
        <f>+'St of Activites - GA Rev'!AG562-'St of Activities - GA Exp'!AW562</f>
        <v>51517</v>
      </c>
      <c r="BA562" s="6">
        <v>10905244</v>
      </c>
      <c r="BC562" s="6">
        <f t="shared" si="55"/>
        <v>10956761</v>
      </c>
      <c r="BE562" s="6">
        <f>+'St of Net Assets - GA'!Y562-'St of Activities - GA Exp'!BC562</f>
        <v>0</v>
      </c>
    </row>
    <row r="563" spans="1:57" s="28" customFormat="1">
      <c r="A563" s="27" t="s">
        <v>308</v>
      </c>
      <c r="B563" s="27"/>
      <c r="C563" s="27" t="s">
        <v>27</v>
      </c>
      <c r="E563" s="28">
        <v>43743599</v>
      </c>
      <c r="G563" s="28">
        <v>9396705</v>
      </c>
      <c r="I563" s="28">
        <v>85864</v>
      </c>
      <c r="K563" s="28">
        <v>0</v>
      </c>
      <c r="M563" s="28">
        <v>0</v>
      </c>
      <c r="O563" s="28">
        <v>4934480</v>
      </c>
      <c r="Q563" s="28">
        <v>6510053</v>
      </c>
      <c r="S563" s="28">
        <v>46605</v>
      </c>
      <c r="U563" s="28">
        <v>4864004</v>
      </c>
      <c r="W563" s="28">
        <v>1524348</v>
      </c>
      <c r="Y563" s="28">
        <v>625227</v>
      </c>
      <c r="AA563" s="28">
        <v>7330495</v>
      </c>
      <c r="AC563" s="28">
        <v>1959944</v>
      </c>
      <c r="AE563" s="28">
        <v>2081741</v>
      </c>
      <c r="AG563" s="27" t="s">
        <v>308</v>
      </c>
      <c r="AH563" s="27"/>
      <c r="AI563" s="27" t="s">
        <v>27</v>
      </c>
      <c r="AJ563" s="27"/>
      <c r="AK563" s="28">
        <v>1387469</v>
      </c>
      <c r="AM563" s="28">
        <v>2977770</v>
      </c>
      <c r="AO563" s="28">
        <v>2824387</v>
      </c>
      <c r="AQ563" s="28">
        <v>1374981</v>
      </c>
      <c r="AU563" s="28">
        <v>0</v>
      </c>
      <c r="AW563" s="28">
        <f t="shared" si="54"/>
        <v>91667672</v>
      </c>
      <c r="AY563" s="28">
        <f>+'St of Activites - GA Rev'!AG563-'St of Activities - GA Exp'!AW563</f>
        <v>165529</v>
      </c>
      <c r="BA563" s="28">
        <v>80063328</v>
      </c>
      <c r="BC563" s="28">
        <f t="shared" si="55"/>
        <v>80228857</v>
      </c>
      <c r="BE563" s="28">
        <f>+'St of Net Assets - GA'!Y563-'St of Activities - GA Exp'!BC563</f>
        <v>0</v>
      </c>
    </row>
    <row r="564" spans="1:57" ht="12" hidden="1" customHeight="1">
      <c r="A564" s="11" t="s">
        <v>779</v>
      </c>
      <c r="B564" s="11"/>
      <c r="C564" s="11" t="s">
        <v>558</v>
      </c>
      <c r="AG564" s="11" t="s">
        <v>779</v>
      </c>
      <c r="AH564" s="11"/>
      <c r="AI564" s="11" t="s">
        <v>558</v>
      </c>
      <c r="AJ564" s="11"/>
      <c r="AW564" s="6">
        <f t="shared" si="54"/>
        <v>0</v>
      </c>
      <c r="AY564" s="6">
        <f>+'St of Activites - GA Rev'!AG564-'St of Activities - GA Exp'!AW564</f>
        <v>0</v>
      </c>
      <c r="BC564" s="6">
        <f t="shared" si="55"/>
        <v>0</v>
      </c>
      <c r="BE564" s="6">
        <f>+'St of Net Assets - GA'!Y564-'St of Activities - GA Exp'!BC564</f>
        <v>0</v>
      </c>
    </row>
    <row r="565" spans="1:57" ht="12" hidden="1" customHeight="1">
      <c r="A565" s="11" t="s">
        <v>696</v>
      </c>
      <c r="B565" s="11"/>
      <c r="C565" s="11" t="s">
        <v>339</v>
      </c>
      <c r="AG565" s="11" t="s">
        <v>696</v>
      </c>
      <c r="AH565" s="11"/>
      <c r="AI565" s="11" t="s">
        <v>339</v>
      </c>
      <c r="AJ565" s="11"/>
      <c r="AW565" s="6">
        <f t="shared" si="54"/>
        <v>0</v>
      </c>
      <c r="AY565" s="6">
        <f>+'St of Activites - GA Rev'!AG565-'St of Activities - GA Exp'!AW565</f>
        <v>0</v>
      </c>
      <c r="BC565" s="6">
        <f t="shared" si="55"/>
        <v>0</v>
      </c>
      <c r="BE565" s="6">
        <f>+'St of Net Assets - GA'!Y565-'St of Activities - GA Exp'!BC565</f>
        <v>0</v>
      </c>
    </row>
    <row r="566" spans="1:57" hidden="1">
      <c r="A566" s="11" t="s">
        <v>895</v>
      </c>
      <c r="B566" s="11"/>
      <c r="C566" s="11" t="s">
        <v>228</v>
      </c>
      <c r="E566" s="6">
        <v>0</v>
      </c>
      <c r="G566" s="6">
        <v>0</v>
      </c>
      <c r="I566" s="6">
        <v>0</v>
      </c>
      <c r="K566" s="6">
        <v>0</v>
      </c>
      <c r="M566" s="6">
        <v>0</v>
      </c>
      <c r="O566" s="6">
        <v>0</v>
      </c>
      <c r="Q566" s="6">
        <v>0</v>
      </c>
      <c r="S566" s="6">
        <v>0</v>
      </c>
      <c r="U566" s="6">
        <v>0</v>
      </c>
      <c r="W566" s="6">
        <v>0</v>
      </c>
      <c r="Y566" s="6">
        <v>0</v>
      </c>
      <c r="AA566" s="6">
        <v>0</v>
      </c>
      <c r="AC566" s="6">
        <v>0</v>
      </c>
      <c r="AE566" s="6">
        <v>0</v>
      </c>
      <c r="AG566" s="11" t="s">
        <v>895</v>
      </c>
      <c r="AH566" s="11"/>
      <c r="AI566" s="11" t="s">
        <v>228</v>
      </c>
      <c r="AJ566" s="11"/>
      <c r="AK566" s="6">
        <v>0</v>
      </c>
      <c r="AM566" s="6">
        <v>0</v>
      </c>
      <c r="AO566" s="6">
        <v>0</v>
      </c>
      <c r="AQ566" s="6">
        <v>0</v>
      </c>
      <c r="AU566" s="6">
        <v>0</v>
      </c>
      <c r="AW566" s="6">
        <f t="shared" si="54"/>
        <v>0</v>
      </c>
      <c r="AY566" s="6">
        <f>+'St of Activites - GA Rev'!AG566-'St of Activities - GA Exp'!AW566</f>
        <v>0</v>
      </c>
      <c r="BC566" s="6">
        <f t="shared" si="55"/>
        <v>0</v>
      </c>
      <c r="BE566" s="6">
        <f>+'St of Net Assets - GA'!Y566-'St of Activities - GA Exp'!BC566</f>
        <v>0</v>
      </c>
    </row>
    <row r="567" spans="1:57" ht="12" hidden="1" customHeight="1">
      <c r="A567" s="11" t="s">
        <v>697</v>
      </c>
      <c r="B567" s="11"/>
      <c r="C567" s="11" t="s">
        <v>59</v>
      </c>
      <c r="AG567" s="11" t="s">
        <v>697</v>
      </c>
      <c r="AH567" s="11"/>
      <c r="AI567" s="11" t="s">
        <v>59</v>
      </c>
      <c r="AJ567" s="11"/>
      <c r="AW567" s="6">
        <f t="shared" si="54"/>
        <v>0</v>
      </c>
      <c r="AY567" s="6">
        <f>+'St of Activites - GA Rev'!AG567-'St of Activities - GA Exp'!AW567</f>
        <v>0</v>
      </c>
      <c r="BC567" s="6">
        <f t="shared" si="55"/>
        <v>0</v>
      </c>
      <c r="BE567" s="6">
        <f>+'St of Net Assets - GA'!Y567-'St of Activities - GA Exp'!BC567</f>
        <v>0</v>
      </c>
    </row>
    <row r="568" spans="1:57">
      <c r="A568" s="11" t="s">
        <v>437</v>
      </c>
      <c r="B568" s="11"/>
      <c r="C568" s="11" t="s">
        <v>50</v>
      </c>
      <c r="E568" s="6">
        <v>8752525</v>
      </c>
      <c r="G568" s="6">
        <v>1637062</v>
      </c>
      <c r="I568" s="6">
        <v>322311</v>
      </c>
      <c r="K568" s="6">
        <v>0</v>
      </c>
      <c r="M568" s="6">
        <v>629930</v>
      </c>
      <c r="O568" s="6">
        <v>1207225</v>
      </c>
      <c r="Q568" s="6">
        <v>2081748</v>
      </c>
      <c r="S568" s="6">
        <v>92618</v>
      </c>
      <c r="U568" s="6">
        <v>1055416</v>
      </c>
      <c r="W568" s="6">
        <v>300117</v>
      </c>
      <c r="Y568" s="6">
        <v>10158</v>
      </c>
      <c r="AA568" s="6">
        <v>1501572</v>
      </c>
      <c r="AC568" s="6">
        <v>1126713</v>
      </c>
      <c r="AE568" s="6">
        <v>307093</v>
      </c>
      <c r="AG568" s="11" t="s">
        <v>437</v>
      </c>
      <c r="AH568" s="11"/>
      <c r="AI568" s="11" t="s">
        <v>50</v>
      </c>
      <c r="AJ568" s="11"/>
      <c r="AK568" s="6">
        <v>734905</v>
      </c>
      <c r="AM568" s="6">
        <v>0</v>
      </c>
      <c r="AO568" s="6">
        <v>739719</v>
      </c>
      <c r="AQ568" s="6">
        <v>37412</v>
      </c>
      <c r="AU568" s="6">
        <v>0</v>
      </c>
      <c r="AW568" s="6">
        <f t="shared" si="54"/>
        <v>20536524</v>
      </c>
      <c r="AY568" s="6">
        <f>+'St of Activites - GA Rev'!AG568-'St of Activities - GA Exp'!AW568</f>
        <v>-1334575</v>
      </c>
      <c r="BA568" s="6">
        <v>6592260</v>
      </c>
      <c r="BC568" s="6">
        <f t="shared" si="55"/>
        <v>5257685</v>
      </c>
      <c r="BE568" s="6">
        <f>+'St of Net Assets - GA'!Y568-'St of Activities - GA Exp'!BC568</f>
        <v>0</v>
      </c>
    </row>
    <row r="569" spans="1:57">
      <c r="A569" s="11" t="s">
        <v>338</v>
      </c>
      <c r="B569" s="11"/>
      <c r="C569" s="11" t="s">
        <v>33</v>
      </c>
      <c r="E569" s="6">
        <v>5075529</v>
      </c>
      <c r="G569" s="6">
        <v>1146738</v>
      </c>
      <c r="I569" s="6">
        <v>197332</v>
      </c>
      <c r="K569" s="6">
        <v>0</v>
      </c>
      <c r="M569" s="6">
        <v>0</v>
      </c>
      <c r="O569" s="6">
        <v>360912</v>
      </c>
      <c r="Q569" s="6">
        <v>343185</v>
      </c>
      <c r="S569" s="6">
        <v>70721</v>
      </c>
      <c r="U569" s="6">
        <v>791437</v>
      </c>
      <c r="W569" s="6">
        <v>445223</v>
      </c>
      <c r="Y569" s="6">
        <v>0</v>
      </c>
      <c r="AA569" s="6">
        <v>1367684</v>
      </c>
      <c r="AC569" s="6">
        <v>582512</v>
      </c>
      <c r="AE569" s="6">
        <v>30717</v>
      </c>
      <c r="AG569" s="11" t="s">
        <v>338</v>
      </c>
      <c r="AH569" s="11"/>
      <c r="AI569" s="11" t="s">
        <v>33</v>
      </c>
      <c r="AJ569" s="11"/>
      <c r="AK569" s="6">
        <v>0</v>
      </c>
      <c r="AM569" s="6">
        <v>311185</v>
      </c>
      <c r="AO569" s="6">
        <v>443975</v>
      </c>
      <c r="AQ569" s="6">
        <v>269670</v>
      </c>
      <c r="AU569" s="6">
        <v>0</v>
      </c>
      <c r="AW569" s="6">
        <f t="shared" si="54"/>
        <v>11436820</v>
      </c>
      <c r="AY569" s="6">
        <f>+'St of Activites - GA Rev'!AG569-'St of Activities - GA Exp'!AW569</f>
        <v>1260883</v>
      </c>
      <c r="BA569" s="6">
        <v>14938879</v>
      </c>
      <c r="BC569" s="6">
        <f t="shared" si="55"/>
        <v>16199762</v>
      </c>
      <c r="BE569" s="6">
        <f>+'St of Net Assets - GA'!Y569-'St of Activities - GA Exp'!BC569</f>
        <v>0</v>
      </c>
    </row>
    <row r="570" spans="1:57" ht="12" hidden="1" customHeight="1">
      <c r="A570" s="11" t="s">
        <v>830</v>
      </c>
      <c r="B570" s="11"/>
      <c r="C570" s="11" t="s">
        <v>67</v>
      </c>
      <c r="AG570" s="10" t="s">
        <v>830</v>
      </c>
      <c r="AH570" s="11"/>
      <c r="AI570" s="11" t="s">
        <v>67</v>
      </c>
      <c r="AJ570" s="11"/>
      <c r="AW570" s="6">
        <f t="shared" si="54"/>
        <v>0</v>
      </c>
      <c r="AY570" s="6">
        <f>+'St of Activites - GA Rev'!AG570-'St of Activities - GA Exp'!AW570</f>
        <v>0</v>
      </c>
      <c r="BC570" s="6">
        <f>+AY570+BA570</f>
        <v>0</v>
      </c>
      <c r="BE570" s="6">
        <f>+'St of Net Assets - GA'!Y570-'St of Activities - GA Exp'!BC570</f>
        <v>0</v>
      </c>
    </row>
    <row r="571" spans="1:57">
      <c r="A571" s="11" t="s">
        <v>438</v>
      </c>
      <c r="B571" s="11"/>
      <c r="C571" s="11" t="s">
        <v>50</v>
      </c>
      <c r="E571" s="6">
        <v>14861782</v>
      </c>
      <c r="G571" s="6">
        <v>4481886</v>
      </c>
      <c r="I571" s="6">
        <v>357786</v>
      </c>
      <c r="K571" s="6">
        <v>0</v>
      </c>
      <c r="M571" s="6">
        <v>2290890</v>
      </c>
      <c r="O571" s="6">
        <v>3190604</v>
      </c>
      <c r="Q571" s="6">
        <v>2942196</v>
      </c>
      <c r="S571" s="6">
        <v>74555</v>
      </c>
      <c r="U571" s="6">
        <v>2067224</v>
      </c>
      <c r="W571" s="6">
        <v>688508</v>
      </c>
      <c r="Y571" s="6">
        <v>222467</v>
      </c>
      <c r="AA571" s="6">
        <v>1094420</v>
      </c>
      <c r="AC571" s="6">
        <v>1545395</v>
      </c>
      <c r="AE571" s="6">
        <v>458738</v>
      </c>
      <c r="AG571" s="11" t="s">
        <v>438</v>
      </c>
      <c r="AH571" s="11"/>
      <c r="AI571" s="11" t="s">
        <v>50</v>
      </c>
      <c r="AJ571" s="11"/>
      <c r="AK571" s="6">
        <v>1244545</v>
      </c>
      <c r="AM571" s="6">
        <v>365181</v>
      </c>
      <c r="AO571" s="6">
        <v>548926</v>
      </c>
      <c r="AQ571" s="6">
        <v>2507261</v>
      </c>
      <c r="AU571" s="6">
        <v>0</v>
      </c>
      <c r="AW571" s="6">
        <f t="shared" si="54"/>
        <v>38942364</v>
      </c>
      <c r="AY571" s="6">
        <f>+'St of Activites - GA Rev'!AG571-'St of Activities - GA Exp'!AW571</f>
        <v>-2240189</v>
      </c>
      <c r="BA571" s="6">
        <v>13942275</v>
      </c>
      <c r="BC571" s="6">
        <f>+AY571+BA571</f>
        <v>11702086</v>
      </c>
      <c r="BE571" s="6">
        <f>+'St of Net Assets - GA'!Y571-'St of Activities - GA Exp'!BC571</f>
        <v>0</v>
      </c>
    </row>
    <row r="572" spans="1:57" ht="12" hidden="1" customHeight="1">
      <c r="A572" s="11" t="s">
        <v>698</v>
      </c>
      <c r="B572" s="11"/>
      <c r="C572" s="11" t="s">
        <v>33</v>
      </c>
      <c r="AG572" s="11" t="s">
        <v>698</v>
      </c>
      <c r="AH572" s="11"/>
      <c r="AI572" s="11" t="s">
        <v>33</v>
      </c>
      <c r="AJ572" s="11"/>
      <c r="AW572" s="6">
        <f t="shared" si="54"/>
        <v>0</v>
      </c>
      <c r="AY572" s="6">
        <f>+'St of Activites - GA Rev'!AG572-'St of Activities - GA Exp'!AW572</f>
        <v>0</v>
      </c>
      <c r="BC572" s="6">
        <f>+AY572+BA572</f>
        <v>0</v>
      </c>
      <c r="BE572" s="6">
        <f>+'St of Net Assets - GA'!Y572-'St of Activities - GA Exp'!BC572</f>
        <v>0</v>
      </c>
    </row>
    <row r="573" spans="1:57">
      <c r="A573" s="11" t="s">
        <v>291</v>
      </c>
      <c r="B573" s="11"/>
      <c r="C573" s="11" t="s">
        <v>24</v>
      </c>
      <c r="E573" s="6">
        <v>8678540</v>
      </c>
      <c r="G573" s="6">
        <v>1747549</v>
      </c>
      <c r="I573" s="6">
        <v>255716</v>
      </c>
      <c r="K573" s="6">
        <v>0</v>
      </c>
      <c r="M573" s="6">
        <v>1569679</v>
      </c>
      <c r="O573" s="6">
        <v>1330996</v>
      </c>
      <c r="Q573" s="6">
        <v>2198074</v>
      </c>
      <c r="S573" s="6">
        <v>176402</v>
      </c>
      <c r="U573" s="6">
        <v>1671636</v>
      </c>
      <c r="W573" s="6">
        <v>555810</v>
      </c>
      <c r="Y573" s="6">
        <v>119974</v>
      </c>
      <c r="AA573" s="6">
        <v>1990947</v>
      </c>
      <c r="AC573" s="6">
        <v>1379620</v>
      </c>
      <c r="AE573" s="6">
        <v>53895</v>
      </c>
      <c r="AG573" s="11" t="s">
        <v>291</v>
      </c>
      <c r="AH573" s="11"/>
      <c r="AI573" s="11" t="s">
        <v>24</v>
      </c>
      <c r="AJ573" s="11"/>
      <c r="AK573" s="6">
        <v>721653</v>
      </c>
      <c r="AM573" s="6">
        <v>56855</v>
      </c>
      <c r="AO573" s="6">
        <v>681622</v>
      </c>
      <c r="AQ573" s="6">
        <v>244283</v>
      </c>
      <c r="AU573" s="6">
        <v>0</v>
      </c>
      <c r="AW573" s="6">
        <f t="shared" si="54"/>
        <v>23433251</v>
      </c>
      <c r="AY573" s="6">
        <f>+'St of Activites - GA Rev'!AG573-'St of Activities - GA Exp'!AW573</f>
        <v>1524266</v>
      </c>
      <c r="BA573" s="6">
        <v>17214790</v>
      </c>
      <c r="BC573" s="6">
        <f>+AY573+BA573</f>
        <v>18739056</v>
      </c>
      <c r="BE573" s="6">
        <f>+'St of Net Assets - GA'!Y573-'St of Activities - GA Exp'!BC573</f>
        <v>0</v>
      </c>
    </row>
    <row r="574" spans="1:57" hidden="1">
      <c r="A574" s="11" t="s">
        <v>699</v>
      </c>
      <c r="B574" s="11"/>
      <c r="C574" s="11" t="s">
        <v>21</v>
      </c>
      <c r="AG574" s="11" t="s">
        <v>699</v>
      </c>
      <c r="AH574" s="11"/>
      <c r="AI574" s="11" t="s">
        <v>21</v>
      </c>
      <c r="AJ574" s="11"/>
      <c r="AY574" s="6">
        <f>+'St of Activites - GA Rev'!AG574-'St of Activities - GA Exp'!AW574</f>
        <v>0</v>
      </c>
    </row>
    <row r="575" spans="1:57">
      <c r="A575" s="11" t="s">
        <v>542</v>
      </c>
      <c r="B575" s="11"/>
      <c r="C575" s="11" t="s">
        <v>68</v>
      </c>
      <c r="E575" s="6">
        <v>12394310</v>
      </c>
      <c r="G575" s="6">
        <v>2651365</v>
      </c>
      <c r="I575" s="6">
        <v>273642</v>
      </c>
      <c r="K575" s="6">
        <v>0</v>
      </c>
      <c r="M575" s="6">
        <f>117343+1162073</f>
        <v>1279416</v>
      </c>
      <c r="O575" s="6">
        <v>1225514</v>
      </c>
      <c r="Q575" s="6">
        <v>1524042</v>
      </c>
      <c r="S575" s="6">
        <v>385716</v>
      </c>
      <c r="U575" s="6">
        <v>2231563</v>
      </c>
      <c r="W575" s="6">
        <v>451477</v>
      </c>
      <c r="Y575" s="6">
        <v>0</v>
      </c>
      <c r="AA575" s="6">
        <v>2186012</v>
      </c>
      <c r="AC575" s="6">
        <v>2266481</v>
      </c>
      <c r="AE575" s="6">
        <v>393039</v>
      </c>
      <c r="AG575" s="11" t="s">
        <v>542</v>
      </c>
      <c r="AH575" s="11"/>
      <c r="AI575" s="11" t="s">
        <v>68</v>
      </c>
      <c r="AJ575" s="11"/>
      <c r="AK575" s="6">
        <v>0</v>
      </c>
      <c r="AM575" s="6">
        <v>1326127</v>
      </c>
      <c r="AO575" s="6">
        <v>316649</v>
      </c>
      <c r="AQ575" s="6">
        <v>296391</v>
      </c>
      <c r="AU575" s="6">
        <v>0</v>
      </c>
      <c r="AW575" s="6">
        <f t="shared" si="54"/>
        <v>29201744</v>
      </c>
      <c r="AY575" s="6">
        <f>+'St of Activites - GA Rev'!AG575-'St of Activities - GA Exp'!AW575</f>
        <v>-1111369</v>
      </c>
      <c r="BA575" s="6">
        <v>70320472</v>
      </c>
      <c r="BC575" s="6">
        <f>+AY575+BA575</f>
        <v>69209103</v>
      </c>
      <c r="BE575" s="6">
        <f>+'St of Net Assets - GA'!Y575-'St of Activities - GA Exp'!BC575</f>
        <v>0</v>
      </c>
    </row>
    <row r="576" spans="1:57">
      <c r="A576" s="11" t="s">
        <v>419</v>
      </c>
      <c r="B576" s="11"/>
      <c r="C576" s="11" t="s">
        <v>47</v>
      </c>
      <c r="E576" s="6">
        <v>18775004</v>
      </c>
      <c r="G576" s="6">
        <v>2900373</v>
      </c>
      <c r="I576" s="6">
        <v>1649470</v>
      </c>
      <c r="K576" s="6">
        <v>36591</v>
      </c>
      <c r="M576" s="6">
        <v>1328205</v>
      </c>
      <c r="O576" s="6">
        <v>2906682</v>
      </c>
      <c r="Q576" s="6">
        <v>1101405</v>
      </c>
      <c r="S576" s="6">
        <v>299170</v>
      </c>
      <c r="U576" s="6">
        <v>3446132</v>
      </c>
      <c r="W576" s="6">
        <v>880318</v>
      </c>
      <c r="Y576" s="6">
        <v>0</v>
      </c>
      <c r="AA576" s="6">
        <v>3824414</v>
      </c>
      <c r="AC576" s="6">
        <v>1751853</v>
      </c>
      <c r="AE576" s="6">
        <v>893381</v>
      </c>
      <c r="AG576" s="11" t="s">
        <v>419</v>
      </c>
      <c r="AH576" s="11"/>
      <c r="AI576" s="11" t="s">
        <v>47</v>
      </c>
      <c r="AJ576" s="11"/>
      <c r="AK576" s="6">
        <v>1364494</v>
      </c>
      <c r="AM576" s="6">
        <v>339007</v>
      </c>
      <c r="AO576" s="6">
        <v>1045916</v>
      </c>
      <c r="AQ576" s="6">
        <v>5056848</v>
      </c>
      <c r="AU576" s="6">
        <v>702420</v>
      </c>
      <c r="AW576" s="6">
        <f t="shared" ref="AW576:AW598" si="56">SUM(E576:AV576)</f>
        <v>48301683</v>
      </c>
      <c r="AY576" s="6">
        <f>+'St of Activites - GA Rev'!AG576-'St of Activities - GA Exp'!AW576</f>
        <v>-5499704</v>
      </c>
      <c r="BA576" s="6">
        <v>84084613</v>
      </c>
      <c r="BC576" s="6">
        <f t="shared" ref="BC576:BC598" si="57">+AY576+BA576</f>
        <v>78584909</v>
      </c>
      <c r="BE576" s="6">
        <f>+'St of Net Assets - GA'!Y576-'St of Activities - GA Exp'!BC576</f>
        <v>0</v>
      </c>
    </row>
    <row r="577" spans="1:57" hidden="1">
      <c r="A577" s="11" t="s">
        <v>875</v>
      </c>
      <c r="B577" s="11"/>
      <c r="C577" s="11" t="s">
        <v>25</v>
      </c>
      <c r="E577" s="6">
        <v>0</v>
      </c>
      <c r="G577" s="6">
        <v>0</v>
      </c>
      <c r="I577" s="6">
        <v>0</v>
      </c>
      <c r="K577" s="6">
        <v>0</v>
      </c>
      <c r="M577" s="6">
        <v>0</v>
      </c>
      <c r="O577" s="6">
        <v>0</v>
      </c>
      <c r="Q577" s="6">
        <v>0</v>
      </c>
      <c r="S577" s="6">
        <v>0</v>
      </c>
      <c r="U577" s="6">
        <v>0</v>
      </c>
      <c r="W577" s="6">
        <v>0</v>
      </c>
      <c r="Y577" s="6">
        <v>0</v>
      </c>
      <c r="AA577" s="6">
        <v>0</v>
      </c>
      <c r="AC577" s="6">
        <v>0</v>
      </c>
      <c r="AE577" s="6">
        <v>0</v>
      </c>
      <c r="AG577" s="11" t="s">
        <v>875</v>
      </c>
      <c r="AH577" s="11"/>
      <c r="AI577" s="11" t="s">
        <v>25</v>
      </c>
      <c r="AJ577" s="11"/>
      <c r="AK577" s="6">
        <v>0</v>
      </c>
      <c r="AM577" s="6">
        <v>0</v>
      </c>
      <c r="AO577" s="6">
        <v>0</v>
      </c>
      <c r="AQ577" s="6">
        <v>0</v>
      </c>
      <c r="AU577" s="6">
        <v>0</v>
      </c>
      <c r="AW577" s="6">
        <f t="shared" ref="AW577:AW579" si="58">SUM(E577:AV577)</f>
        <v>0</v>
      </c>
      <c r="AY577" s="6">
        <f>+'St of Activites - GA Rev'!AG577-'St of Activities - GA Exp'!AW577</f>
        <v>0</v>
      </c>
      <c r="BC577" s="6">
        <f t="shared" ref="BC577:BC579" si="59">+AY577+BA577</f>
        <v>0</v>
      </c>
      <c r="BE577" s="6">
        <f>+'St of Net Assets - GA'!Y577-'St of Activities - GA Exp'!BC577</f>
        <v>0</v>
      </c>
    </row>
    <row r="578" spans="1:57" hidden="1">
      <c r="A578" s="11" t="s">
        <v>876</v>
      </c>
      <c r="B578" s="11"/>
      <c r="C578" s="11" t="s">
        <v>14</v>
      </c>
      <c r="E578" s="6">
        <v>0</v>
      </c>
      <c r="G578" s="6">
        <v>0</v>
      </c>
      <c r="I578" s="6">
        <v>0</v>
      </c>
      <c r="K578" s="6">
        <v>0</v>
      </c>
      <c r="M578" s="6">
        <v>0</v>
      </c>
      <c r="O578" s="6">
        <v>0</v>
      </c>
      <c r="Q578" s="6">
        <v>0</v>
      </c>
      <c r="S578" s="6">
        <v>0</v>
      </c>
      <c r="U578" s="6">
        <v>0</v>
      </c>
      <c r="W578" s="6">
        <v>0</v>
      </c>
      <c r="Y578" s="6">
        <v>0</v>
      </c>
      <c r="AA578" s="6">
        <v>0</v>
      </c>
      <c r="AC578" s="6">
        <v>0</v>
      </c>
      <c r="AE578" s="6">
        <v>0</v>
      </c>
      <c r="AG578" s="11" t="s">
        <v>876</v>
      </c>
      <c r="AH578" s="11"/>
      <c r="AI578" s="11" t="s">
        <v>14</v>
      </c>
      <c r="AJ578" s="11"/>
      <c r="AK578" s="6">
        <v>0</v>
      </c>
      <c r="AM578" s="6">
        <v>0</v>
      </c>
      <c r="AO578" s="6">
        <v>0</v>
      </c>
      <c r="AQ578" s="6">
        <v>0</v>
      </c>
      <c r="AU578" s="6">
        <v>0</v>
      </c>
      <c r="AW578" s="6">
        <f t="shared" si="58"/>
        <v>0</v>
      </c>
      <c r="AY578" s="6">
        <f>+'St of Activites - GA Rev'!AG578-'St of Activities - GA Exp'!AW578</f>
        <v>0</v>
      </c>
      <c r="BC578" s="6">
        <f t="shared" si="59"/>
        <v>0</v>
      </c>
      <c r="BE578" s="6">
        <f>+'St of Net Assets - GA'!Y578-'St of Activities - GA Exp'!BC578</f>
        <v>0</v>
      </c>
    </row>
    <row r="579" spans="1:57" hidden="1">
      <c r="A579" s="10" t="s">
        <v>877</v>
      </c>
      <c r="B579" s="10"/>
      <c r="C579" s="10" t="s">
        <v>63</v>
      </c>
      <c r="E579" s="6">
        <v>0</v>
      </c>
      <c r="G579" s="6">
        <v>0</v>
      </c>
      <c r="I579" s="6">
        <v>0</v>
      </c>
      <c r="K579" s="6">
        <v>0</v>
      </c>
      <c r="M579" s="6">
        <v>0</v>
      </c>
      <c r="O579" s="6">
        <v>0</v>
      </c>
      <c r="Q579" s="6">
        <v>0</v>
      </c>
      <c r="S579" s="6">
        <v>0</v>
      </c>
      <c r="U579" s="6">
        <v>0</v>
      </c>
      <c r="W579" s="6">
        <v>0</v>
      </c>
      <c r="Y579" s="6">
        <v>0</v>
      </c>
      <c r="AA579" s="6">
        <v>0</v>
      </c>
      <c r="AC579" s="6">
        <v>0</v>
      </c>
      <c r="AE579" s="6">
        <v>0</v>
      </c>
      <c r="AG579" s="10" t="s">
        <v>877</v>
      </c>
      <c r="AH579" s="10"/>
      <c r="AI579" s="10" t="s">
        <v>63</v>
      </c>
      <c r="AJ579" s="11"/>
      <c r="AK579" s="6">
        <v>0</v>
      </c>
      <c r="AM579" s="6">
        <v>0</v>
      </c>
      <c r="AO579" s="6">
        <v>0</v>
      </c>
      <c r="AQ579" s="6">
        <v>0</v>
      </c>
      <c r="AU579" s="6">
        <v>0</v>
      </c>
      <c r="AW579" s="6">
        <f t="shared" si="58"/>
        <v>0</v>
      </c>
      <c r="AY579" s="6">
        <f>+'St of Activites - GA Rev'!AG579-'St of Activities - GA Exp'!AW579</f>
        <v>0</v>
      </c>
      <c r="BC579" s="6">
        <f t="shared" si="59"/>
        <v>0</v>
      </c>
      <c r="BE579" s="6">
        <f>+'St of Net Assets - GA'!Y579-'St of Activities - GA Exp'!BC579</f>
        <v>0</v>
      </c>
    </row>
    <row r="580" spans="1:57">
      <c r="A580" s="11" t="s">
        <v>531</v>
      </c>
      <c r="B580" s="11"/>
      <c r="C580" s="11" t="s">
        <v>64</v>
      </c>
      <c r="E580" s="6">
        <v>28318041</v>
      </c>
      <c r="G580" s="6">
        <v>10769968</v>
      </c>
      <c r="I580" s="6">
        <v>202724</v>
      </c>
      <c r="K580" s="6">
        <v>0</v>
      </c>
      <c r="M580" s="6">
        <v>2830361</v>
      </c>
      <c r="O580" s="6">
        <v>4030293</v>
      </c>
      <c r="Q580" s="6">
        <v>6962299</v>
      </c>
      <c r="S580" s="6">
        <v>52384</v>
      </c>
      <c r="U580" s="6">
        <v>5792625</v>
      </c>
      <c r="W580" s="6">
        <v>1174414</v>
      </c>
      <c r="Y580" s="6">
        <v>838559</v>
      </c>
      <c r="AA580" s="6">
        <v>7983184</v>
      </c>
      <c r="AC580" s="6">
        <v>3071923</v>
      </c>
      <c r="AE580" s="6">
        <v>1345651</v>
      </c>
      <c r="AG580" s="11" t="s">
        <v>531</v>
      </c>
      <c r="AH580" s="11"/>
      <c r="AI580" s="11" t="s">
        <v>64</v>
      </c>
      <c r="AJ580" s="11"/>
      <c r="AK580" s="6">
        <v>3354319</v>
      </c>
      <c r="AM580" s="6">
        <v>393772</v>
      </c>
      <c r="AO580" s="6">
        <v>1169627</v>
      </c>
      <c r="AQ580" s="6">
        <v>1514046</v>
      </c>
      <c r="AU580" s="6">
        <v>0</v>
      </c>
      <c r="AW580" s="6">
        <f t="shared" si="56"/>
        <v>79804190</v>
      </c>
      <c r="AY580" s="6">
        <f>+'St of Activites - GA Rev'!AG580-'St of Activities - GA Exp'!AW580</f>
        <v>-4096037</v>
      </c>
      <c r="BA580" s="6">
        <v>142029483</v>
      </c>
      <c r="BC580" s="6">
        <f t="shared" si="57"/>
        <v>137933446</v>
      </c>
      <c r="BE580" s="6">
        <f>+'St of Net Assets - GA'!Y580-'St of Activities - GA Exp'!BC580</f>
        <v>0</v>
      </c>
    </row>
    <row r="581" spans="1:57" ht="12" customHeight="1">
      <c r="A581" s="11" t="s">
        <v>549</v>
      </c>
      <c r="B581" s="11"/>
      <c r="C581" s="11" t="s">
        <v>70</v>
      </c>
      <c r="E581" s="6">
        <v>10902036</v>
      </c>
      <c r="G581" s="6">
        <v>2010990</v>
      </c>
      <c r="I581" s="6">
        <v>87302</v>
      </c>
      <c r="K581" s="6">
        <v>0</v>
      </c>
      <c r="M581" s="6">
        <v>10649</v>
      </c>
      <c r="O581" s="6">
        <v>578709</v>
      </c>
      <c r="Q581" s="6">
        <v>855592</v>
      </c>
      <c r="S581" s="6">
        <v>43423</v>
      </c>
      <c r="U581" s="6">
        <v>1475953</v>
      </c>
      <c r="W581" s="6">
        <v>508570</v>
      </c>
      <c r="Y581" s="6">
        <v>8954</v>
      </c>
      <c r="AA581" s="6">
        <v>1807890</v>
      </c>
      <c r="AC581" s="6">
        <v>1694677</v>
      </c>
      <c r="AE581" s="6">
        <v>31349</v>
      </c>
      <c r="AG581" s="11" t="s">
        <v>549</v>
      </c>
      <c r="AH581" s="11"/>
      <c r="AI581" s="11" t="s">
        <v>70</v>
      </c>
      <c r="AJ581" s="11"/>
      <c r="AK581" s="6">
        <v>0</v>
      </c>
      <c r="AM581" s="6">
        <v>973</v>
      </c>
      <c r="AO581" s="6">
        <v>452627</v>
      </c>
      <c r="AQ581" s="6">
        <v>0</v>
      </c>
      <c r="AU581" s="6">
        <v>0</v>
      </c>
      <c r="AW581" s="6">
        <f t="shared" si="56"/>
        <v>20469694</v>
      </c>
      <c r="AY581" s="6">
        <f>+'St of Activites - GA Rev'!AG581-'St of Activities - GA Exp'!AW581</f>
        <v>1447377</v>
      </c>
      <c r="BA581" s="6">
        <v>9020929</v>
      </c>
      <c r="BC581" s="6">
        <f t="shared" si="57"/>
        <v>10468306</v>
      </c>
      <c r="BE581" s="6">
        <f>+'St of Net Assets - GA'!Y581-'St of Activities - GA Exp'!BC581</f>
        <v>0</v>
      </c>
    </row>
    <row r="582" spans="1:57">
      <c r="A582" s="11" t="s">
        <v>280</v>
      </c>
      <c r="B582" s="11"/>
      <c r="C582" s="11" t="s">
        <v>20</v>
      </c>
      <c r="E582" s="6">
        <v>13918576</v>
      </c>
      <c r="G582" s="6">
        <v>4396160</v>
      </c>
      <c r="I582" s="6">
        <v>132104</v>
      </c>
      <c r="K582" s="6">
        <v>0</v>
      </c>
      <c r="M582" s="6">
        <v>0</v>
      </c>
      <c r="O582" s="6">
        <v>1288574</v>
      </c>
      <c r="Q582" s="6">
        <v>2764846</v>
      </c>
      <c r="S582" s="6">
        <v>81011</v>
      </c>
      <c r="U582" s="6">
        <v>2674975</v>
      </c>
      <c r="W582" s="6">
        <v>1309290</v>
      </c>
      <c r="Y582" s="6">
        <v>1298750</v>
      </c>
      <c r="AA582" s="6">
        <v>4209200</v>
      </c>
      <c r="AC582" s="6">
        <v>1128755</v>
      </c>
      <c r="AE582" s="6">
        <v>317254</v>
      </c>
      <c r="AG582" s="11" t="s">
        <v>280</v>
      </c>
      <c r="AH582" s="11"/>
      <c r="AI582" s="11" t="s">
        <v>20</v>
      </c>
      <c r="AJ582" s="11"/>
      <c r="AK582" s="6">
        <v>871410</v>
      </c>
      <c r="AM582" s="6">
        <v>157204</v>
      </c>
      <c r="AO582" s="6">
        <v>332152</v>
      </c>
      <c r="AQ582" s="6">
        <v>1079567</v>
      </c>
      <c r="AU582" s="6">
        <v>0</v>
      </c>
      <c r="AW582" s="6">
        <f t="shared" si="56"/>
        <v>35959828</v>
      </c>
      <c r="AY582" s="6">
        <f>+'St of Activites - GA Rev'!AG582-'St of Activities - GA Exp'!AW582</f>
        <v>2376945</v>
      </c>
      <c r="BA582" s="6">
        <v>16654628</v>
      </c>
      <c r="BC582" s="6">
        <f t="shared" si="57"/>
        <v>19031573</v>
      </c>
      <c r="BE582" s="6">
        <f>+'St of Net Assets - GA'!Y582-'St of Activities - GA Exp'!BC582</f>
        <v>0</v>
      </c>
    </row>
    <row r="583" spans="1:57" ht="12" customHeight="1">
      <c r="A583" s="11" t="s">
        <v>298</v>
      </c>
      <c r="B583" s="11"/>
      <c r="C583" s="11" t="s">
        <v>26</v>
      </c>
      <c r="E583" s="6">
        <v>10538995</v>
      </c>
      <c r="G583" s="6">
        <v>3133902</v>
      </c>
      <c r="I583" s="6">
        <v>0</v>
      </c>
      <c r="K583" s="6">
        <v>0</v>
      </c>
      <c r="M583" s="6">
        <v>23121</v>
      </c>
      <c r="O583" s="6">
        <v>835272</v>
      </c>
      <c r="Q583" s="6">
        <v>957995</v>
      </c>
      <c r="S583" s="6">
        <v>34813</v>
      </c>
      <c r="U583" s="6">
        <v>1855760</v>
      </c>
      <c r="W583" s="6">
        <v>554316</v>
      </c>
      <c r="Y583" s="6">
        <v>0</v>
      </c>
      <c r="AA583" s="6">
        <v>2354696</v>
      </c>
      <c r="AC583" s="6">
        <v>745985</v>
      </c>
      <c r="AE583" s="6">
        <v>249438</v>
      </c>
      <c r="AG583" s="11" t="s">
        <v>298</v>
      </c>
      <c r="AH583" s="11"/>
      <c r="AI583" s="11" t="s">
        <v>26</v>
      </c>
      <c r="AJ583" s="11"/>
      <c r="AK583" s="6">
        <v>1121634</v>
      </c>
      <c r="AM583" s="6">
        <v>0</v>
      </c>
      <c r="AO583" s="6">
        <v>731007</v>
      </c>
      <c r="AQ583" s="6">
        <v>1029656</v>
      </c>
      <c r="AU583" s="6">
        <v>0</v>
      </c>
      <c r="AW583" s="6">
        <f t="shared" si="56"/>
        <v>24166590</v>
      </c>
      <c r="AY583" s="6">
        <f>+'St of Activites - GA Rev'!AG583-'St of Activities - GA Exp'!AW583</f>
        <v>-1155504</v>
      </c>
      <c r="BA583" s="6">
        <v>54594712</v>
      </c>
      <c r="BC583" s="6">
        <f t="shared" si="57"/>
        <v>53439208</v>
      </c>
      <c r="BE583" s="6">
        <f>+'St of Net Assets - GA'!Y583-'St of Activities - GA Exp'!BC583</f>
        <v>0</v>
      </c>
    </row>
    <row r="584" spans="1:57" ht="12" customHeight="1">
      <c r="A584" s="11" t="s">
        <v>396</v>
      </c>
      <c r="B584" s="11"/>
      <c r="C584" s="11" t="s">
        <v>115</v>
      </c>
      <c r="E584" s="6">
        <v>31041430</v>
      </c>
      <c r="G584" s="6">
        <v>9958729</v>
      </c>
      <c r="I584" s="6">
        <v>2803761</v>
      </c>
      <c r="K584" s="6">
        <v>1082</v>
      </c>
      <c r="M584" s="6">
        <v>3493625</v>
      </c>
      <c r="O584" s="6">
        <v>4167699</v>
      </c>
      <c r="Q584" s="6">
        <v>3609521</v>
      </c>
      <c r="S584" s="6">
        <v>144906</v>
      </c>
      <c r="U584" s="6">
        <v>5034386</v>
      </c>
      <c r="W584" s="6">
        <v>1586668</v>
      </c>
      <c r="Y584" s="6">
        <v>601649</v>
      </c>
      <c r="AA584" s="6">
        <v>8184106</v>
      </c>
      <c r="AC584" s="6">
        <v>3613447</v>
      </c>
      <c r="AE584" s="6">
        <v>1738199</v>
      </c>
      <c r="AG584" s="11" t="s">
        <v>396</v>
      </c>
      <c r="AH584" s="11"/>
      <c r="AI584" s="11" t="s">
        <v>115</v>
      </c>
      <c r="AJ584" s="11"/>
      <c r="AK584" s="6">
        <v>2518016</v>
      </c>
      <c r="AM584" s="6">
        <v>987416</v>
      </c>
      <c r="AO584" s="6">
        <v>1636766</v>
      </c>
      <c r="AQ584" s="6">
        <v>42727</v>
      </c>
      <c r="AU584" s="6">
        <v>0</v>
      </c>
      <c r="AW584" s="6">
        <f t="shared" si="56"/>
        <v>81164133</v>
      </c>
      <c r="AY584" s="6">
        <f>+'St of Activites - GA Rev'!AG584-'St of Activities - GA Exp'!AW584</f>
        <v>-50008</v>
      </c>
      <c r="BA584" s="6">
        <v>57282802</v>
      </c>
      <c r="BC584" s="6">
        <f t="shared" si="57"/>
        <v>57232794</v>
      </c>
      <c r="BE584" s="6">
        <f>+'St of Net Assets - GA'!Y584-'St of Activities - GA Exp'!BC584</f>
        <v>0</v>
      </c>
    </row>
    <row r="585" spans="1:57" ht="12" customHeight="1">
      <c r="A585" s="11" t="s">
        <v>485</v>
      </c>
      <c r="B585" s="11"/>
      <c r="C585" s="11" t="s">
        <v>59</v>
      </c>
      <c r="E585" s="6">
        <v>7347729</v>
      </c>
      <c r="G585" s="6">
        <v>2585819</v>
      </c>
      <c r="I585" s="6">
        <v>109481</v>
      </c>
      <c r="K585" s="6">
        <v>0</v>
      </c>
      <c r="M585" s="6">
        <v>92162</v>
      </c>
      <c r="O585" s="6">
        <v>867905</v>
      </c>
      <c r="Q585" s="6">
        <v>857922</v>
      </c>
      <c r="S585" s="6">
        <v>47556</v>
      </c>
      <c r="U585" s="6">
        <v>1247463</v>
      </c>
      <c r="W585" s="6">
        <v>347115</v>
      </c>
      <c r="Y585" s="6">
        <v>0</v>
      </c>
      <c r="AA585" s="6">
        <v>1760926</v>
      </c>
      <c r="AC585" s="6">
        <v>780757</v>
      </c>
      <c r="AE585" s="6">
        <v>0</v>
      </c>
      <c r="AG585" s="11" t="s">
        <v>485</v>
      </c>
      <c r="AH585" s="11"/>
      <c r="AI585" s="11" t="s">
        <v>59</v>
      </c>
      <c r="AJ585" s="11"/>
      <c r="AK585" s="6">
        <v>847700</v>
      </c>
      <c r="AM585" s="6">
        <v>0</v>
      </c>
      <c r="AO585" s="6">
        <v>600631</v>
      </c>
      <c r="AQ585" s="6">
        <v>24465</v>
      </c>
      <c r="AU585" s="6">
        <v>0</v>
      </c>
      <c r="AW585" s="6">
        <f t="shared" si="56"/>
        <v>17517631</v>
      </c>
      <c r="AY585" s="6">
        <f>+'St of Activites - GA Rev'!AG585-'St of Activities - GA Exp'!AW585</f>
        <v>-1459191</v>
      </c>
      <c r="BA585" s="6">
        <v>38815528</v>
      </c>
      <c r="BC585" s="6">
        <f t="shared" si="57"/>
        <v>37356337</v>
      </c>
      <c r="BE585" s="6">
        <f>+'St of Net Assets - GA'!Y585-'St of Activities - GA Exp'!BC585</f>
        <v>0</v>
      </c>
    </row>
    <row r="586" spans="1:57" ht="12" customHeight="1">
      <c r="A586" s="11" t="s">
        <v>465</v>
      </c>
      <c r="B586" s="11"/>
      <c r="C586" s="11" t="s">
        <v>56</v>
      </c>
      <c r="E586" s="6">
        <v>5333371</v>
      </c>
      <c r="G586" s="6">
        <v>1602402</v>
      </c>
      <c r="I586" s="6">
        <v>0</v>
      </c>
      <c r="K586" s="6">
        <v>0</v>
      </c>
      <c r="M586" s="6">
        <v>17669</v>
      </c>
      <c r="O586" s="6">
        <v>421415</v>
      </c>
      <c r="Q586" s="6">
        <v>353847</v>
      </c>
      <c r="S586" s="6">
        <v>22725</v>
      </c>
      <c r="U586" s="6">
        <v>927338</v>
      </c>
      <c r="W586" s="6">
        <v>328072</v>
      </c>
      <c r="Y586" s="6">
        <v>33485</v>
      </c>
      <c r="AA586" s="6">
        <v>898710</v>
      </c>
      <c r="AC586" s="6">
        <v>789956</v>
      </c>
      <c r="AE586" s="6">
        <v>15735</v>
      </c>
      <c r="AG586" s="11" t="s">
        <v>465</v>
      </c>
      <c r="AH586" s="11"/>
      <c r="AI586" s="11" t="s">
        <v>56</v>
      </c>
      <c r="AJ586" s="11"/>
      <c r="AK586" s="6">
        <v>391139</v>
      </c>
      <c r="AM586" s="6">
        <v>57426</v>
      </c>
      <c r="AO586" s="6">
        <v>375843</v>
      </c>
      <c r="AQ586" s="6">
        <v>524881</v>
      </c>
      <c r="AU586" s="6">
        <v>0</v>
      </c>
      <c r="AW586" s="6">
        <f t="shared" si="56"/>
        <v>12094014</v>
      </c>
      <c r="AY586" s="6">
        <f>+'St of Activites - GA Rev'!AG586-'St of Activities - GA Exp'!AW586</f>
        <v>59090</v>
      </c>
      <c r="BA586" s="6">
        <v>9001000</v>
      </c>
      <c r="BC586" s="6">
        <f t="shared" si="57"/>
        <v>9060090</v>
      </c>
      <c r="BE586" s="6">
        <f>+'St of Net Assets - GA'!Y586-'St of Activities - GA Exp'!BC586</f>
        <v>0</v>
      </c>
    </row>
    <row r="587" spans="1:57" ht="12" customHeight="1">
      <c r="A587" s="11" t="s">
        <v>780</v>
      </c>
      <c r="B587" s="11"/>
      <c r="C587" s="11" t="s">
        <v>28</v>
      </c>
      <c r="E587" s="6">
        <v>8044287</v>
      </c>
      <c r="G587" s="6">
        <v>2002548</v>
      </c>
      <c r="I587" s="6">
        <v>277124</v>
      </c>
      <c r="K587" s="6">
        <v>0</v>
      </c>
      <c r="M587" s="6">
        <v>959687</v>
      </c>
      <c r="O587" s="6">
        <v>708929</v>
      </c>
      <c r="Q587" s="6">
        <v>789504</v>
      </c>
      <c r="S587" s="6">
        <v>42579</v>
      </c>
      <c r="U587" s="6">
        <v>1334459</v>
      </c>
      <c r="W587" s="6">
        <v>408328</v>
      </c>
      <c r="Y587" s="6">
        <v>67737</v>
      </c>
      <c r="AA587" s="6">
        <v>1597706</v>
      </c>
      <c r="AC587" s="6">
        <v>796583</v>
      </c>
      <c r="AE587" s="6">
        <v>121145</v>
      </c>
      <c r="AG587" s="11" t="s">
        <v>780</v>
      </c>
      <c r="AH587" s="11"/>
      <c r="AI587" s="11" t="s">
        <v>28</v>
      </c>
      <c r="AJ587" s="11"/>
      <c r="AK587" s="6">
        <v>864470</v>
      </c>
      <c r="AM587" s="6">
        <v>3994</v>
      </c>
      <c r="AO587" s="6">
        <v>729647</v>
      </c>
      <c r="AQ587" s="6">
        <v>1151411</v>
      </c>
      <c r="AU587" s="6">
        <v>0</v>
      </c>
      <c r="AW587" s="6">
        <f t="shared" si="56"/>
        <v>19900138</v>
      </c>
      <c r="AY587" s="6">
        <f>+'St of Activites - GA Rev'!AG587-'St of Activities - GA Exp'!AW587</f>
        <v>-1274974</v>
      </c>
      <c r="BA587" s="6">
        <v>35066704</v>
      </c>
      <c r="BC587" s="6">
        <f t="shared" si="57"/>
        <v>33791730</v>
      </c>
      <c r="BE587" s="6">
        <f>+'St of Net Assets - GA'!Y587-'St of Activities - GA Exp'!BC587</f>
        <v>0</v>
      </c>
    </row>
    <row r="588" spans="1:57">
      <c r="A588" s="11" t="s">
        <v>457</v>
      </c>
      <c r="B588" s="11"/>
      <c r="C588" s="11" t="s">
        <v>55</v>
      </c>
      <c r="E588" s="6">
        <v>8162239</v>
      </c>
      <c r="G588" s="6">
        <v>2803339</v>
      </c>
      <c r="I588" s="6">
        <v>214640</v>
      </c>
      <c r="K588" s="6">
        <v>0</v>
      </c>
      <c r="M588" s="6">
        <v>110282</v>
      </c>
      <c r="O588" s="6">
        <v>711373</v>
      </c>
      <c r="Q588" s="6">
        <v>1591833</v>
      </c>
      <c r="S588" s="6">
        <v>46407</v>
      </c>
      <c r="U588" s="6">
        <v>1418958</v>
      </c>
      <c r="W588" s="6">
        <v>514204</v>
      </c>
      <c r="Y588" s="6">
        <v>0</v>
      </c>
      <c r="AA588" s="6">
        <v>1958645</v>
      </c>
      <c r="AC588" s="6">
        <v>1203159</v>
      </c>
      <c r="AE588" s="6">
        <v>31317</v>
      </c>
      <c r="AG588" s="11" t="s">
        <v>457</v>
      </c>
      <c r="AH588" s="11"/>
      <c r="AI588" s="11" t="s">
        <v>55</v>
      </c>
      <c r="AJ588" s="11"/>
      <c r="AK588" s="6">
        <v>885987</v>
      </c>
      <c r="AM588" s="6">
        <v>233318</v>
      </c>
      <c r="AO588" s="6">
        <v>539627</v>
      </c>
      <c r="AQ588" s="6">
        <v>374441</v>
      </c>
      <c r="AU588" s="6">
        <v>0</v>
      </c>
      <c r="AW588" s="6">
        <f t="shared" si="56"/>
        <v>20799769</v>
      </c>
      <c r="AY588" s="6">
        <f>+'St of Activites - GA Rev'!AG588-'St of Activities - GA Exp'!AW588</f>
        <v>-845162</v>
      </c>
      <c r="BA588" s="6">
        <v>34351726</v>
      </c>
      <c r="BC588" s="6">
        <f t="shared" si="57"/>
        <v>33506564</v>
      </c>
      <c r="BE588" s="6">
        <f>+'St of Net Assets - GA'!Y588-'St of Activities - GA Exp'!BC588</f>
        <v>0</v>
      </c>
    </row>
    <row r="589" spans="1:57" ht="12" hidden="1" customHeight="1">
      <c r="A589" s="11" t="s">
        <v>708</v>
      </c>
      <c r="B589" s="11"/>
      <c r="C589" s="11" t="s">
        <v>69</v>
      </c>
      <c r="AG589" s="11" t="s">
        <v>708</v>
      </c>
      <c r="AH589" s="11"/>
      <c r="AI589" s="11" t="s">
        <v>69</v>
      </c>
      <c r="AJ589" s="11"/>
      <c r="AW589" s="6">
        <f t="shared" si="56"/>
        <v>0</v>
      </c>
      <c r="AY589" s="6">
        <f>+'St of Activites - GA Rev'!AG589-'St of Activities - GA Exp'!AW589</f>
        <v>0</v>
      </c>
      <c r="BC589" s="6">
        <f t="shared" si="57"/>
        <v>0</v>
      </c>
      <c r="BE589" s="6">
        <f>+'St of Net Assets - GA'!Y589-'St of Activities - GA Exp'!BC589</f>
        <v>0</v>
      </c>
    </row>
    <row r="590" spans="1:57" ht="12" hidden="1" customHeight="1">
      <c r="A590" s="11" t="s">
        <v>803</v>
      </c>
      <c r="B590" s="11"/>
      <c r="C590" s="11" t="s">
        <v>450</v>
      </c>
      <c r="AG590" s="11" t="s">
        <v>803</v>
      </c>
      <c r="AH590" s="11"/>
      <c r="AI590" s="11" t="s">
        <v>450</v>
      </c>
      <c r="AJ590" s="11"/>
      <c r="AW590" s="6">
        <f t="shared" si="56"/>
        <v>0</v>
      </c>
      <c r="AY590" s="6">
        <f>+'St of Activites - GA Rev'!AG590-'St of Activities - GA Exp'!AW590</f>
        <v>0</v>
      </c>
      <c r="BC590" s="6">
        <f t="shared" si="57"/>
        <v>0</v>
      </c>
      <c r="BE590" s="6">
        <f>+'St of Net Assets - GA'!Y590-'St of Activities - GA Exp'!BC590</f>
        <v>0</v>
      </c>
    </row>
    <row r="591" spans="1:57" hidden="1">
      <c r="A591" s="11" t="s">
        <v>646</v>
      </c>
      <c r="B591" s="11"/>
      <c r="C591" s="11" t="s">
        <v>14</v>
      </c>
      <c r="AG591" s="11" t="s">
        <v>646</v>
      </c>
      <c r="AH591" s="11"/>
      <c r="AI591" s="11" t="s">
        <v>14</v>
      </c>
      <c r="AJ591" s="11"/>
      <c r="AW591" s="6">
        <f t="shared" si="56"/>
        <v>0</v>
      </c>
      <c r="AY591" s="6">
        <f>+'St of Activites - GA Rev'!AG591-'St of Activities - GA Exp'!AW591</f>
        <v>0</v>
      </c>
      <c r="BC591" s="6">
        <f t="shared" si="57"/>
        <v>0</v>
      </c>
      <c r="BE591" s="6">
        <f>+'St of Net Assets - GA'!Y591-'St of Activities - GA Exp'!BC591</f>
        <v>0</v>
      </c>
    </row>
    <row r="592" spans="1:57">
      <c r="A592" s="11" t="s">
        <v>532</v>
      </c>
      <c r="B592" s="11"/>
      <c r="C592" s="11" t="s">
        <v>64</v>
      </c>
      <c r="E592" s="6">
        <v>4046892</v>
      </c>
      <c r="G592" s="6">
        <v>1022177</v>
      </c>
      <c r="I592" s="6">
        <v>0</v>
      </c>
      <c r="K592" s="6">
        <v>0</v>
      </c>
      <c r="M592" s="6">
        <v>447144</v>
      </c>
      <c r="O592" s="6">
        <v>445635</v>
      </c>
      <c r="Q592" s="6">
        <v>170917</v>
      </c>
      <c r="S592" s="6">
        <v>19804</v>
      </c>
      <c r="U592" s="6">
        <v>772584</v>
      </c>
      <c r="W592" s="6">
        <v>303416</v>
      </c>
      <c r="Y592" s="6">
        <v>8624</v>
      </c>
      <c r="AA592" s="6">
        <v>1148441</v>
      </c>
      <c r="AC592" s="6">
        <v>354409</v>
      </c>
      <c r="AE592" s="6">
        <v>7668</v>
      </c>
      <c r="AG592" s="11" t="s">
        <v>532</v>
      </c>
      <c r="AH592" s="11"/>
      <c r="AI592" s="11" t="s">
        <v>64</v>
      </c>
      <c r="AJ592" s="11"/>
      <c r="AK592" s="6">
        <v>328910</v>
      </c>
      <c r="AM592" s="6">
        <v>0</v>
      </c>
      <c r="AO592" s="6">
        <v>411248</v>
      </c>
      <c r="AQ592" s="6">
        <v>96854</v>
      </c>
      <c r="AU592" s="6">
        <v>0</v>
      </c>
      <c r="AW592" s="6">
        <f t="shared" si="56"/>
        <v>9584723</v>
      </c>
      <c r="AY592" s="6">
        <f>+'St of Activites - GA Rev'!AG592-'St of Activities - GA Exp'!AW592</f>
        <v>-231543</v>
      </c>
      <c r="BA592" s="6">
        <v>3857026</v>
      </c>
      <c r="BC592" s="6">
        <f t="shared" si="57"/>
        <v>3625483</v>
      </c>
      <c r="BE592" s="6">
        <f>+'St of Net Assets - GA'!Y592-'St of Activities - GA Exp'!BC592</f>
        <v>0</v>
      </c>
    </row>
    <row r="593" spans="1:57">
      <c r="A593" s="11" t="s">
        <v>781</v>
      </c>
      <c r="B593" s="11"/>
      <c r="C593" s="11" t="s">
        <v>44</v>
      </c>
      <c r="E593" s="6">
        <v>6744714</v>
      </c>
      <c r="G593" s="6">
        <v>1519525</v>
      </c>
      <c r="I593" s="6">
        <v>100764</v>
      </c>
      <c r="K593" s="6">
        <v>0</v>
      </c>
      <c r="M593" s="6">
        <v>0</v>
      </c>
      <c r="O593" s="6">
        <v>553536</v>
      </c>
      <c r="Q593" s="6">
        <v>985810</v>
      </c>
      <c r="S593" s="6">
        <v>22806</v>
      </c>
      <c r="U593" s="6">
        <v>1243867</v>
      </c>
      <c r="W593" s="6">
        <v>368591</v>
      </c>
      <c r="Y593" s="6">
        <v>0</v>
      </c>
      <c r="AA593" s="6">
        <v>1027543</v>
      </c>
      <c r="AC593" s="6">
        <v>578710</v>
      </c>
      <c r="AE593" s="6">
        <v>226016</v>
      </c>
      <c r="AG593" s="11" t="s">
        <v>781</v>
      </c>
      <c r="AH593" s="11"/>
      <c r="AI593" s="11" t="s">
        <v>44</v>
      </c>
      <c r="AJ593" s="11"/>
      <c r="AK593" s="6">
        <v>0</v>
      </c>
      <c r="AM593" s="6">
        <v>481789</v>
      </c>
      <c r="AO593" s="6">
        <v>377799</v>
      </c>
      <c r="AQ593" s="6">
        <v>45583</v>
      </c>
      <c r="AU593" s="6">
        <v>0</v>
      </c>
      <c r="AW593" s="6">
        <f t="shared" si="56"/>
        <v>14277053</v>
      </c>
      <c r="AY593" s="6">
        <f>+'St of Activites - GA Rev'!AG593-'St of Activities - GA Exp'!AW593</f>
        <v>132571</v>
      </c>
      <c r="BA593" s="6">
        <v>8542484</v>
      </c>
      <c r="BC593" s="6">
        <f t="shared" si="57"/>
        <v>8675055</v>
      </c>
      <c r="BE593" s="6">
        <f>+'St of Net Assets - GA'!Y593-'St of Activities - GA Exp'!BC593</f>
        <v>0</v>
      </c>
    </row>
    <row r="594" spans="1:57">
      <c r="A594" s="11" t="s">
        <v>361</v>
      </c>
      <c r="B594" s="11"/>
      <c r="C594" s="11" t="s">
        <v>38</v>
      </c>
      <c r="E594" s="6">
        <v>6512723</v>
      </c>
      <c r="G594" s="6">
        <v>2641627</v>
      </c>
      <c r="I594" s="6">
        <v>65221</v>
      </c>
      <c r="K594" s="6">
        <v>0</v>
      </c>
      <c r="M594" s="6">
        <v>16171</v>
      </c>
      <c r="O594" s="6">
        <v>738119</v>
      </c>
      <c r="Q594" s="6">
        <v>1131680</v>
      </c>
      <c r="S594" s="6">
        <v>223489</v>
      </c>
      <c r="U594" s="6">
        <v>1262305</v>
      </c>
      <c r="W594" s="6">
        <v>471264</v>
      </c>
      <c r="Y594" s="6">
        <v>0</v>
      </c>
      <c r="AA594" s="6">
        <v>1662611</v>
      </c>
      <c r="AC594" s="6">
        <v>826461</v>
      </c>
      <c r="AE594" s="6">
        <v>208833</v>
      </c>
      <c r="AG594" s="11" t="s">
        <v>361</v>
      </c>
      <c r="AH594" s="11"/>
      <c r="AI594" s="11" t="s">
        <v>38</v>
      </c>
      <c r="AJ594" s="11"/>
      <c r="AK594" s="6">
        <v>786812</v>
      </c>
      <c r="AM594" s="6">
        <v>162705</v>
      </c>
      <c r="AO594" s="6">
        <v>365366</v>
      </c>
      <c r="AQ594" s="6">
        <v>206720</v>
      </c>
      <c r="AU594" s="6">
        <v>0</v>
      </c>
      <c r="AW594" s="6">
        <f t="shared" si="56"/>
        <v>17282107</v>
      </c>
      <c r="AY594" s="6">
        <f>+'St of Activites - GA Rev'!AG594-'St of Activities - GA Exp'!AW594</f>
        <v>1193587</v>
      </c>
      <c r="BA594" s="6">
        <v>45762876</v>
      </c>
      <c r="BC594" s="6">
        <f t="shared" si="57"/>
        <v>46956463</v>
      </c>
      <c r="BE594" s="6">
        <f>+'St of Net Assets - GA'!Y594-'St of Activities - GA Exp'!BC594</f>
        <v>0</v>
      </c>
    </row>
    <row r="595" spans="1:57" ht="12" customHeight="1">
      <c r="A595" s="11" t="s">
        <v>252</v>
      </c>
      <c r="B595" s="11"/>
      <c r="C595" s="11" t="s">
        <v>112</v>
      </c>
      <c r="E595" s="6">
        <v>4566808</v>
      </c>
      <c r="G595" s="6">
        <v>1198719</v>
      </c>
      <c r="I595" s="6">
        <v>156250</v>
      </c>
      <c r="K595" s="6">
        <v>0</v>
      </c>
      <c r="M595" s="6">
        <v>114044</v>
      </c>
      <c r="O595" s="6">
        <v>299093</v>
      </c>
      <c r="Q595" s="6">
        <v>388659</v>
      </c>
      <c r="S595" s="6">
        <v>12914</v>
      </c>
      <c r="U595" s="6">
        <v>869849</v>
      </c>
      <c r="W595" s="6">
        <v>217277</v>
      </c>
      <c r="Y595" s="6">
        <v>0</v>
      </c>
      <c r="AA595" s="6">
        <v>885336</v>
      </c>
      <c r="AC595" s="6">
        <v>180630</v>
      </c>
      <c r="AE595" s="6">
        <v>64129</v>
      </c>
      <c r="AG595" s="11" t="s">
        <v>252</v>
      </c>
      <c r="AH595" s="11"/>
      <c r="AI595" s="11" t="s">
        <v>112</v>
      </c>
      <c r="AJ595" s="11"/>
      <c r="AK595" s="6">
        <v>429180</v>
      </c>
      <c r="AM595" s="6">
        <v>769</v>
      </c>
      <c r="AO595" s="6">
        <v>232880</v>
      </c>
      <c r="AQ595" s="6">
        <v>55984</v>
      </c>
      <c r="AU595" s="6">
        <v>0</v>
      </c>
      <c r="AW595" s="6">
        <f t="shared" si="56"/>
        <v>9672521</v>
      </c>
      <c r="AY595" s="6">
        <f>+'St of Activites - GA Rev'!AG595-'St of Activities - GA Exp'!AW595</f>
        <v>-504175</v>
      </c>
      <c r="BA595" s="6">
        <v>8298575</v>
      </c>
      <c r="BC595" s="6">
        <f t="shared" si="57"/>
        <v>7794400</v>
      </c>
      <c r="BE595" s="6">
        <f>+'St of Net Assets - GA'!Y595-'St of Activities - GA Exp'!BC595</f>
        <v>0</v>
      </c>
    </row>
    <row r="596" spans="1:57">
      <c r="A596" s="11" t="s">
        <v>408</v>
      </c>
      <c r="B596" s="11"/>
      <c r="C596" s="11" t="s">
        <v>45</v>
      </c>
      <c r="E596" s="6">
        <v>10635346</v>
      </c>
      <c r="G596" s="6">
        <v>2567384</v>
      </c>
      <c r="I596" s="6">
        <v>403034</v>
      </c>
      <c r="K596" s="6">
        <v>0</v>
      </c>
      <c r="M596" s="6">
        <v>163439</v>
      </c>
      <c r="O596" s="6">
        <v>1257896</v>
      </c>
      <c r="Q596" s="6">
        <v>210671</v>
      </c>
      <c r="S596" s="6">
        <v>44727</v>
      </c>
      <c r="U596" s="6">
        <v>1719352</v>
      </c>
      <c r="W596" s="6">
        <v>486374</v>
      </c>
      <c r="Y596" s="6">
        <v>10360</v>
      </c>
      <c r="AA596" s="6">
        <v>2022248</v>
      </c>
      <c r="AC596" s="6">
        <v>1550663</v>
      </c>
      <c r="AE596" s="6">
        <v>272622</v>
      </c>
      <c r="AG596" s="11" t="s">
        <v>408</v>
      </c>
      <c r="AH596" s="11"/>
      <c r="AI596" s="11" t="s">
        <v>45</v>
      </c>
      <c r="AJ596" s="11"/>
      <c r="AK596" s="6">
        <v>903816</v>
      </c>
      <c r="AM596" s="6">
        <v>69027</v>
      </c>
      <c r="AO596" s="6">
        <v>629466</v>
      </c>
      <c r="AQ596" s="6">
        <v>371618</v>
      </c>
      <c r="AU596" s="6">
        <v>0</v>
      </c>
      <c r="AW596" s="6">
        <f t="shared" si="56"/>
        <v>23318043</v>
      </c>
      <c r="AY596" s="6">
        <f>+'St of Activites - GA Rev'!AG596-'St of Activities - GA Exp'!AW596</f>
        <v>-1847117</v>
      </c>
      <c r="BA596" s="6">
        <v>38215190</v>
      </c>
      <c r="BC596" s="6">
        <f t="shared" si="57"/>
        <v>36368073</v>
      </c>
      <c r="BE596" s="6">
        <f>+'St of Net Assets - GA'!Y596-'St of Activities - GA Exp'!BC596</f>
        <v>0</v>
      </c>
    </row>
    <row r="597" spans="1:57">
      <c r="A597" s="11" t="s">
        <v>707</v>
      </c>
      <c r="B597" s="11"/>
      <c r="C597" s="11" t="s">
        <v>50</v>
      </c>
      <c r="E597" s="6">
        <v>15728858</v>
      </c>
      <c r="G597" s="6">
        <v>5449998</v>
      </c>
      <c r="I597" s="6">
        <v>226058</v>
      </c>
      <c r="K597" s="6">
        <v>0</v>
      </c>
      <c r="M597" s="6">
        <v>2213824</v>
      </c>
      <c r="O597" s="6">
        <v>2701725</v>
      </c>
      <c r="Q597" s="6">
        <v>2458673</v>
      </c>
      <c r="S597" s="6">
        <v>31629</v>
      </c>
      <c r="U597" s="6">
        <v>3095452</v>
      </c>
      <c r="W597" s="6">
        <v>722616</v>
      </c>
      <c r="Y597" s="6">
        <v>501238</v>
      </c>
      <c r="AA597" s="6">
        <v>3300877</v>
      </c>
      <c r="AC597" s="6">
        <v>2658051</v>
      </c>
      <c r="AE597" s="6">
        <v>239135</v>
      </c>
      <c r="AG597" s="11" t="s">
        <v>707</v>
      </c>
      <c r="AH597" s="11"/>
      <c r="AI597" s="11" t="s">
        <v>50</v>
      </c>
      <c r="AJ597" s="11"/>
      <c r="AK597" s="6">
        <v>1649570</v>
      </c>
      <c r="AM597" s="6">
        <v>76929</v>
      </c>
      <c r="AO597" s="6">
        <v>870242</v>
      </c>
      <c r="AQ597" s="6">
        <v>137810</v>
      </c>
      <c r="AU597" s="6">
        <v>0</v>
      </c>
      <c r="AW597" s="6">
        <f t="shared" si="56"/>
        <v>42062685</v>
      </c>
      <c r="AY597" s="6">
        <f>+'St of Activites - GA Rev'!AG597-'St of Activities - GA Exp'!AW597</f>
        <v>-773422</v>
      </c>
      <c r="BA597" s="6">
        <v>27473429</v>
      </c>
      <c r="BC597" s="6">
        <f t="shared" si="57"/>
        <v>26700007</v>
      </c>
      <c r="BE597" s="6">
        <f>+'St of Net Assets - GA'!Y597-'St of Activities - GA Exp'!BC597</f>
        <v>0</v>
      </c>
    </row>
    <row r="598" spans="1:57">
      <c r="A598" s="11" t="s">
        <v>241</v>
      </c>
      <c r="B598" s="11"/>
      <c r="C598" s="11" t="s">
        <v>113</v>
      </c>
      <c r="E598" s="6">
        <v>34356317</v>
      </c>
      <c r="G598" s="6">
        <v>12823322</v>
      </c>
      <c r="I598" s="6">
        <v>276169</v>
      </c>
      <c r="K598" s="6">
        <v>0</v>
      </c>
      <c r="M598" s="6">
        <v>0</v>
      </c>
      <c r="O598" s="6">
        <v>4368889</v>
      </c>
      <c r="Q598" s="6">
        <v>2612956</v>
      </c>
      <c r="S598" s="6">
        <v>122646</v>
      </c>
      <c r="U598" s="6">
        <v>5491608</v>
      </c>
      <c r="W598" s="6">
        <v>1658897</v>
      </c>
      <c r="Y598" s="6">
        <v>47703</v>
      </c>
      <c r="AA598" s="6">
        <v>5328603</v>
      </c>
      <c r="AC598" s="6">
        <v>5498547</v>
      </c>
      <c r="AE598" s="6">
        <v>1452797</v>
      </c>
      <c r="AG598" s="11" t="s">
        <v>241</v>
      </c>
      <c r="AH598" s="11"/>
      <c r="AI598" s="11" t="s">
        <v>113</v>
      </c>
      <c r="AJ598" s="11"/>
      <c r="AK598" s="6">
        <v>0</v>
      </c>
      <c r="AM598" s="6">
        <v>2878962</v>
      </c>
      <c r="AO598" s="6">
        <v>1156813</v>
      </c>
      <c r="AQ598" s="6">
        <v>1510876</v>
      </c>
      <c r="AU598" s="6">
        <v>0</v>
      </c>
      <c r="AW598" s="6">
        <f t="shared" si="56"/>
        <v>79585105</v>
      </c>
      <c r="AY598" s="6">
        <f>+'St of Activites - GA Rev'!AG598-'St of Activities - GA Exp'!AW598</f>
        <v>-4086246</v>
      </c>
      <c r="BA598" s="6">
        <v>25506382</v>
      </c>
      <c r="BC598" s="6">
        <f t="shared" si="57"/>
        <v>21420136</v>
      </c>
      <c r="BE598" s="6">
        <f>+'St of Net Assets - GA'!Y598-'St of Activities - GA Exp'!BC598</f>
        <v>0</v>
      </c>
    </row>
    <row r="599" spans="1:57">
      <c r="A599" s="11" t="s">
        <v>316</v>
      </c>
      <c r="B599" s="11"/>
      <c r="C599" s="11" t="s">
        <v>30</v>
      </c>
      <c r="E599" s="6">
        <v>11306826</v>
      </c>
      <c r="G599" s="6">
        <v>3873958</v>
      </c>
      <c r="I599" s="6">
        <v>332260</v>
      </c>
      <c r="K599" s="6">
        <v>0</v>
      </c>
      <c r="M599" s="6">
        <f>64113+406071</f>
        <v>470184</v>
      </c>
      <c r="O599" s="6">
        <v>1922300</v>
      </c>
      <c r="Q599" s="6">
        <v>942218</v>
      </c>
      <c r="S599" s="6">
        <v>127610</v>
      </c>
      <c r="U599" s="6">
        <v>1789418</v>
      </c>
      <c r="W599" s="6">
        <v>800680</v>
      </c>
      <c r="Y599" s="6">
        <v>324808</v>
      </c>
      <c r="AA599" s="6">
        <v>2362058</v>
      </c>
      <c r="AC599" s="6">
        <v>2045889</v>
      </c>
      <c r="AE599" s="6">
        <v>16349</v>
      </c>
      <c r="AG599" s="11" t="s">
        <v>316</v>
      </c>
      <c r="AH599" s="11"/>
      <c r="AI599" s="11" t="s">
        <v>30</v>
      </c>
      <c r="AJ599" s="11"/>
      <c r="AK599" s="6">
        <v>494548</v>
      </c>
      <c r="AM599" s="6">
        <f>482234+400</f>
        <v>482634</v>
      </c>
      <c r="AO599" s="6">
        <v>922720</v>
      </c>
      <c r="AQ599" s="6">
        <v>203746</v>
      </c>
      <c r="AU599" s="6">
        <v>0</v>
      </c>
      <c r="AW599" s="6">
        <f>SUM(E599:AV599)</f>
        <v>28418206</v>
      </c>
      <c r="AY599" s="6">
        <f>+'St of Activites - GA Rev'!AG599-'St of Activities - GA Exp'!AW599</f>
        <v>2712534</v>
      </c>
      <c r="BA599" s="6">
        <v>17638744</v>
      </c>
      <c r="BC599" s="6">
        <f>+AY599+BA599</f>
        <v>20351278</v>
      </c>
      <c r="BE599" s="6">
        <f>+'St of Net Assets - GA'!Y599-'St of Activities - GA Exp'!BC599</f>
        <v>0</v>
      </c>
    </row>
    <row r="600" spans="1:57">
      <c r="A600" s="11" t="s">
        <v>354</v>
      </c>
      <c r="B600" s="11"/>
      <c r="C600" s="11" t="s">
        <v>36</v>
      </c>
      <c r="E600" s="6">
        <v>11376699</v>
      </c>
      <c r="G600" s="6">
        <v>3585238</v>
      </c>
      <c r="I600" s="6">
        <v>293337</v>
      </c>
      <c r="K600" s="6">
        <v>0</v>
      </c>
      <c r="M600" s="6">
        <v>0</v>
      </c>
      <c r="O600" s="6">
        <v>778504</v>
      </c>
      <c r="Q600" s="6">
        <v>1147038</v>
      </c>
      <c r="S600" s="6">
        <v>31808</v>
      </c>
      <c r="U600" s="6">
        <v>1999782</v>
      </c>
      <c r="W600" s="6">
        <v>582554</v>
      </c>
      <c r="Y600" s="6">
        <v>12288</v>
      </c>
      <c r="AA600" s="6">
        <v>2331040</v>
      </c>
      <c r="AC600" s="6">
        <v>1828603</v>
      </c>
      <c r="AE600" s="6">
        <v>61880</v>
      </c>
      <c r="AG600" s="11" t="s">
        <v>354</v>
      </c>
      <c r="AH600" s="11"/>
      <c r="AI600" s="11" t="s">
        <v>36</v>
      </c>
      <c r="AJ600" s="11"/>
      <c r="AK600" s="6">
        <v>1062606</v>
      </c>
      <c r="AM600" s="6">
        <v>36827</v>
      </c>
      <c r="AO600" s="6">
        <v>650001</v>
      </c>
      <c r="AQ600" s="6">
        <v>447143</v>
      </c>
      <c r="AU600" s="6">
        <v>0</v>
      </c>
      <c r="AW600" s="6">
        <f t="shared" ref="AW600:AW630" si="60">SUM(E600:AV600)</f>
        <v>26225348</v>
      </c>
      <c r="AY600" s="6">
        <f>+'St of Activites - GA Rev'!AG600-'St of Activities - GA Exp'!AW600</f>
        <v>-880536</v>
      </c>
      <c r="BA600" s="6">
        <v>22367030</v>
      </c>
      <c r="BC600" s="6">
        <f t="shared" ref="BC600:BC630" si="61">+AY600+BA600</f>
        <v>21486494</v>
      </c>
      <c r="BE600" s="6">
        <f>+'St of Net Assets - GA'!Y600-'St of Activities - GA Exp'!BC600</f>
        <v>0</v>
      </c>
    </row>
    <row r="601" spans="1:57">
      <c r="A601" s="11" t="s">
        <v>230</v>
      </c>
      <c r="B601" s="11"/>
      <c r="C601" s="11" t="s">
        <v>228</v>
      </c>
      <c r="E601" s="6">
        <v>5022444</v>
      </c>
      <c r="G601" s="6">
        <v>2420024</v>
      </c>
      <c r="I601" s="6">
        <v>182486</v>
      </c>
      <c r="K601" s="6">
        <v>0</v>
      </c>
      <c r="M601" s="6">
        <v>433060</v>
      </c>
      <c r="O601" s="6">
        <v>599876</v>
      </c>
      <c r="Q601" s="6">
        <v>596256</v>
      </c>
      <c r="S601" s="6">
        <v>103064</v>
      </c>
      <c r="U601" s="6">
        <v>836811</v>
      </c>
      <c r="W601" s="6">
        <v>430263</v>
      </c>
      <c r="Y601" s="6">
        <v>823</v>
      </c>
      <c r="AA601" s="6">
        <v>1009023</v>
      </c>
      <c r="AC601" s="6">
        <v>824513</v>
      </c>
      <c r="AE601" s="6">
        <v>261036</v>
      </c>
      <c r="AG601" s="11" t="s">
        <v>230</v>
      </c>
      <c r="AH601" s="11"/>
      <c r="AI601" s="11" t="s">
        <v>228</v>
      </c>
      <c r="AJ601" s="11"/>
      <c r="AK601" s="6">
        <v>550885</v>
      </c>
      <c r="AM601" s="6">
        <v>5503</v>
      </c>
      <c r="AO601" s="6">
        <v>584202</v>
      </c>
      <c r="AQ601" s="6">
        <v>1161</v>
      </c>
      <c r="AU601" s="6">
        <v>0</v>
      </c>
      <c r="AW601" s="6">
        <f t="shared" si="60"/>
        <v>13861430</v>
      </c>
      <c r="AY601" s="6">
        <f>+'St of Activites - GA Rev'!AG601-'St of Activities - GA Exp'!AW601</f>
        <v>-1738520</v>
      </c>
      <c r="BA601" s="6">
        <v>5768569</v>
      </c>
      <c r="BC601" s="6">
        <f t="shared" si="61"/>
        <v>4030049</v>
      </c>
      <c r="BE601" s="6">
        <f>+'St of Net Assets - GA'!Y601-'St of Activities - GA Exp'!BC601</f>
        <v>0</v>
      </c>
    </row>
    <row r="602" spans="1:57">
      <c r="A602" s="11" t="s">
        <v>447</v>
      </c>
      <c r="B602" s="11"/>
      <c r="C602" s="11" t="s">
        <v>51</v>
      </c>
      <c r="E602" s="6">
        <v>7839592</v>
      </c>
      <c r="G602" s="6">
        <v>2123359</v>
      </c>
      <c r="I602" s="6">
        <v>124846</v>
      </c>
      <c r="K602" s="6">
        <v>0</v>
      </c>
      <c r="M602" s="6">
        <f>10984+105260</f>
        <v>116244</v>
      </c>
      <c r="O602" s="6">
        <v>440870</v>
      </c>
      <c r="Q602" s="6">
        <v>973735</v>
      </c>
      <c r="S602" s="6">
        <v>15889</v>
      </c>
      <c r="U602" s="6">
        <v>1290615</v>
      </c>
      <c r="W602" s="6">
        <v>407445</v>
      </c>
      <c r="Y602" s="6">
        <v>0</v>
      </c>
      <c r="AA602" s="6">
        <v>1499175</v>
      </c>
      <c r="AC602" s="6">
        <v>1056029</v>
      </c>
      <c r="AE602" s="6">
        <v>52894</v>
      </c>
      <c r="AG602" s="11" t="s">
        <v>447</v>
      </c>
      <c r="AH602" s="11"/>
      <c r="AI602" s="11" t="s">
        <v>51</v>
      </c>
      <c r="AJ602" s="11"/>
      <c r="AK602" s="6">
        <v>755583</v>
      </c>
      <c r="AM602" s="6">
        <v>11646</v>
      </c>
      <c r="AO602" s="6">
        <v>219695</v>
      </c>
      <c r="AQ602" s="6">
        <v>1012154</v>
      </c>
      <c r="AU602" s="6">
        <v>0</v>
      </c>
      <c r="AW602" s="6">
        <f t="shared" si="60"/>
        <v>17939771</v>
      </c>
      <c r="AY602" s="6">
        <f>+'St of Activites - GA Rev'!AG602-'St of Activities - GA Exp'!AW602</f>
        <v>2825980</v>
      </c>
      <c r="BA602" s="6">
        <v>6283577</v>
      </c>
      <c r="BC602" s="6">
        <f t="shared" si="61"/>
        <v>9109557</v>
      </c>
      <c r="BE602" s="6">
        <f>+'St of Net Assets - GA'!Y602-'St of Activities - GA Exp'!BC602</f>
        <v>0</v>
      </c>
    </row>
    <row r="603" spans="1:57">
      <c r="A603" s="11" t="s">
        <v>220</v>
      </c>
      <c r="B603" s="11"/>
      <c r="C603" s="11" t="s">
        <v>77</v>
      </c>
      <c r="E603" s="6">
        <v>16329045</v>
      </c>
      <c r="G603" s="6">
        <v>4004178</v>
      </c>
      <c r="I603" s="6">
        <v>239806</v>
      </c>
      <c r="K603" s="6">
        <v>0</v>
      </c>
      <c r="M603" s="6">
        <v>0</v>
      </c>
      <c r="O603" s="6">
        <v>693481</v>
      </c>
      <c r="Q603" s="6">
        <v>861619</v>
      </c>
      <c r="S603" s="6">
        <v>24927</v>
      </c>
      <c r="U603" s="6">
        <v>2142559</v>
      </c>
      <c r="W603" s="6">
        <v>614206</v>
      </c>
      <c r="Y603" s="6">
        <v>0</v>
      </c>
      <c r="AA603" s="6">
        <v>2904360</v>
      </c>
      <c r="AC603" s="6">
        <v>2176110</v>
      </c>
      <c r="AE603" s="6">
        <v>348599</v>
      </c>
      <c r="AG603" s="11" t="s">
        <v>220</v>
      </c>
      <c r="AH603" s="11"/>
      <c r="AI603" s="11" t="s">
        <v>77</v>
      </c>
      <c r="AJ603" s="11"/>
      <c r="AK603" s="6">
        <v>0</v>
      </c>
      <c r="AM603" s="6">
        <v>13539</v>
      </c>
      <c r="AO603" s="6">
        <v>835287</v>
      </c>
      <c r="AQ603" s="6">
        <v>192209</v>
      </c>
      <c r="AU603" s="6">
        <v>0</v>
      </c>
      <c r="AW603" s="6">
        <f t="shared" si="60"/>
        <v>31379925</v>
      </c>
      <c r="AY603" s="6">
        <f>+'St of Activites - GA Rev'!AG603-'St of Activities - GA Exp'!AW603</f>
        <v>-816853</v>
      </c>
      <c r="BA603" s="6">
        <v>44925814</v>
      </c>
      <c r="BC603" s="6">
        <f t="shared" si="61"/>
        <v>44108961</v>
      </c>
      <c r="BE603" s="6">
        <f>+'St of Net Assets - GA'!Y603-'St of Activities - GA Exp'!BC603</f>
        <v>0</v>
      </c>
    </row>
    <row r="604" spans="1:57">
      <c r="A604" s="11" t="s">
        <v>458</v>
      </c>
      <c r="B604" s="11"/>
      <c r="C604" s="11" t="s">
        <v>55</v>
      </c>
      <c r="E604" s="6">
        <v>3923712</v>
      </c>
      <c r="G604" s="6">
        <v>1520534</v>
      </c>
      <c r="I604" s="6">
        <v>0</v>
      </c>
      <c r="K604" s="6">
        <v>0</v>
      </c>
      <c r="M604" s="6">
        <v>718777</v>
      </c>
      <c r="O604" s="6">
        <v>472780</v>
      </c>
      <c r="Q604" s="6">
        <v>424499</v>
      </c>
      <c r="S604" s="6">
        <v>14877</v>
      </c>
      <c r="U604" s="6">
        <v>847524</v>
      </c>
      <c r="W604" s="6">
        <v>199382</v>
      </c>
      <c r="Y604" s="6">
        <v>0</v>
      </c>
      <c r="AA604" s="6">
        <v>909965</v>
      </c>
      <c r="AC604" s="6">
        <v>787039</v>
      </c>
      <c r="AE604" s="6">
        <v>115714</v>
      </c>
      <c r="AG604" s="11" t="s">
        <v>458</v>
      </c>
      <c r="AH604" s="11"/>
      <c r="AI604" s="11" t="s">
        <v>55</v>
      </c>
      <c r="AJ604" s="11"/>
      <c r="AK604" s="6">
        <v>0</v>
      </c>
      <c r="AM604" s="6">
        <v>489962</v>
      </c>
      <c r="AO604" s="6">
        <v>175665</v>
      </c>
      <c r="AQ604" s="6">
        <v>25369</v>
      </c>
      <c r="AU604" s="6">
        <v>51513</v>
      </c>
      <c r="AW604" s="6">
        <f t="shared" si="60"/>
        <v>10677312</v>
      </c>
      <c r="AY604" s="6">
        <f>+'St of Activites - GA Rev'!AG604-'St of Activities - GA Exp'!AW604</f>
        <v>-1306854</v>
      </c>
      <c r="BA604" s="6">
        <v>20599400</v>
      </c>
      <c r="BC604" s="6">
        <f t="shared" si="61"/>
        <v>19292546</v>
      </c>
      <c r="BE604" s="6">
        <f>+'St of Net Assets - GA'!Y604-'St of Activities - GA Exp'!BC604</f>
        <v>0</v>
      </c>
    </row>
    <row r="605" spans="1:57">
      <c r="A605" s="11" t="s">
        <v>359</v>
      </c>
      <c r="B605" s="11"/>
      <c r="C605" s="11" t="s">
        <v>37</v>
      </c>
      <c r="E605" s="6">
        <v>5983349</v>
      </c>
      <c r="G605" s="6">
        <v>1453975</v>
      </c>
      <c r="I605" s="6">
        <v>204932</v>
      </c>
      <c r="K605" s="6">
        <v>0</v>
      </c>
      <c r="M605" s="6">
        <v>260833</v>
      </c>
      <c r="O605" s="6">
        <v>227613</v>
      </c>
      <c r="Q605" s="6">
        <v>820020</v>
      </c>
      <c r="S605" s="6">
        <v>82531</v>
      </c>
      <c r="U605" s="6">
        <v>969145</v>
      </c>
      <c r="W605" s="6">
        <v>431850</v>
      </c>
      <c r="Y605" s="6">
        <v>38862</v>
      </c>
      <c r="AA605" s="6">
        <v>1122842</v>
      </c>
      <c r="AC605" s="6">
        <v>693963</v>
      </c>
      <c r="AE605" s="6">
        <v>38769</v>
      </c>
      <c r="AG605" s="11" t="s">
        <v>359</v>
      </c>
      <c r="AH605" s="11"/>
      <c r="AI605" s="11" t="s">
        <v>37</v>
      </c>
      <c r="AJ605" s="11"/>
      <c r="AK605" s="6">
        <v>503785</v>
      </c>
      <c r="AM605" s="6">
        <v>203895</v>
      </c>
      <c r="AO605" s="6">
        <v>521380</v>
      </c>
      <c r="AQ605" s="6">
        <v>85041</v>
      </c>
      <c r="AU605" s="6">
        <v>0</v>
      </c>
      <c r="AW605" s="6">
        <f t="shared" si="60"/>
        <v>13642785</v>
      </c>
      <c r="AY605" s="6">
        <f>+'St of Activites - GA Rev'!AG605-'St of Activities - GA Exp'!AW605</f>
        <v>-664393</v>
      </c>
      <c r="BA605" s="6">
        <v>16164507</v>
      </c>
      <c r="BC605" s="6">
        <f t="shared" si="61"/>
        <v>15500114</v>
      </c>
      <c r="BE605" s="6">
        <f>+'St of Net Assets - GA'!Y605-'St of Activities - GA Exp'!BC605</f>
        <v>0</v>
      </c>
    </row>
    <row r="606" spans="1:57">
      <c r="A606" s="11" t="s">
        <v>359</v>
      </c>
      <c r="B606" s="11"/>
      <c r="C606" s="11" t="s">
        <v>45</v>
      </c>
      <c r="E606" s="6">
        <v>2896328</v>
      </c>
      <c r="G606" s="6">
        <v>837055</v>
      </c>
      <c r="I606" s="6">
        <v>125291</v>
      </c>
      <c r="K606" s="6">
        <v>3645</v>
      </c>
      <c r="M606" s="6">
        <v>78025</v>
      </c>
      <c r="O606" s="6">
        <v>297023</v>
      </c>
      <c r="Q606" s="6">
        <v>416321</v>
      </c>
      <c r="S606" s="6">
        <v>22034</v>
      </c>
      <c r="U606" s="6">
        <v>701480</v>
      </c>
      <c r="W606" s="6">
        <v>276778</v>
      </c>
      <c r="Y606" s="6">
        <v>34410</v>
      </c>
      <c r="AA606" s="6">
        <v>794802</v>
      </c>
      <c r="AC606" s="6">
        <v>420783</v>
      </c>
      <c r="AE606" s="6">
        <v>20746</v>
      </c>
      <c r="AG606" s="11" t="s">
        <v>359</v>
      </c>
      <c r="AH606" s="11"/>
      <c r="AI606" s="11" t="s">
        <v>45</v>
      </c>
      <c r="AJ606" s="11"/>
      <c r="AK606" s="6">
        <v>253082</v>
      </c>
      <c r="AM606" s="6">
        <v>24649</v>
      </c>
      <c r="AO606" s="6">
        <v>416406</v>
      </c>
      <c r="AQ606" s="6">
        <v>461158</v>
      </c>
      <c r="AU606" s="6">
        <v>0</v>
      </c>
      <c r="AW606" s="6">
        <f t="shared" si="60"/>
        <v>8080016</v>
      </c>
      <c r="AY606" s="6">
        <f>+'St of Activites - GA Rev'!AG606-'St of Activities - GA Exp'!AW606</f>
        <v>753756</v>
      </c>
      <c r="BA606" s="6">
        <v>17607576</v>
      </c>
      <c r="BC606" s="6">
        <f t="shared" si="61"/>
        <v>18361332</v>
      </c>
      <c r="BE606" s="6">
        <f>+'St of Net Assets - GA'!Y606-'St of Activities - GA Exp'!BC606</f>
        <v>0</v>
      </c>
    </row>
    <row r="607" spans="1:57">
      <c r="A607" s="11" t="s">
        <v>309</v>
      </c>
      <c r="B607" s="11"/>
      <c r="C607" s="11" t="s">
        <v>27</v>
      </c>
      <c r="E607" s="6">
        <v>77038152</v>
      </c>
      <c r="G607" s="6">
        <v>22144035</v>
      </c>
      <c r="I607" s="6">
        <v>252328</v>
      </c>
      <c r="K607" s="6">
        <v>0</v>
      </c>
      <c r="M607" s="6">
        <v>855741</v>
      </c>
      <c r="O607" s="6">
        <v>12573607</v>
      </c>
      <c r="Q607" s="6">
        <v>9133132</v>
      </c>
      <c r="S607" s="6">
        <v>1424003</v>
      </c>
      <c r="U607" s="6">
        <v>12508555</v>
      </c>
      <c r="W607" s="6">
        <v>2628335</v>
      </c>
      <c r="Y607" s="6">
        <v>818150</v>
      </c>
      <c r="AA607" s="6">
        <v>12980201</v>
      </c>
      <c r="AC607" s="6">
        <v>8816149</v>
      </c>
      <c r="AE607" s="6">
        <v>2392018</v>
      </c>
      <c r="AG607" s="11" t="s">
        <v>309</v>
      </c>
      <c r="AH607" s="11"/>
      <c r="AI607" s="11" t="s">
        <v>27</v>
      </c>
      <c r="AJ607" s="11"/>
      <c r="AK607" s="6">
        <v>4540831</v>
      </c>
      <c r="AM607" s="6">
        <v>1081274</v>
      </c>
      <c r="AO607" s="6">
        <v>3333926</v>
      </c>
      <c r="AQ607" s="6">
        <v>4592392</v>
      </c>
      <c r="AU607" s="6">
        <v>0</v>
      </c>
      <c r="AW607" s="6">
        <f t="shared" si="60"/>
        <v>177112829</v>
      </c>
      <c r="AY607" s="6">
        <f>+'St of Activites - GA Rev'!AG607-'St of Activities - GA Exp'!AW607</f>
        <v>1365981</v>
      </c>
      <c r="BA607" s="6">
        <v>83649512</v>
      </c>
      <c r="BC607" s="6">
        <f t="shared" si="61"/>
        <v>85015493</v>
      </c>
      <c r="BE607" s="6">
        <f>+'St of Net Assets - GA'!Y607-'St of Activities - GA Exp'!BC607</f>
        <v>0</v>
      </c>
    </row>
    <row r="608" spans="1:57" ht="12" customHeight="1">
      <c r="A608" s="11" t="s">
        <v>455</v>
      </c>
      <c r="B608" s="11"/>
      <c r="C608" s="11" t="s">
        <v>54</v>
      </c>
      <c r="E608" s="6">
        <v>6967821</v>
      </c>
      <c r="G608" s="6">
        <v>1958074</v>
      </c>
      <c r="I608" s="6">
        <v>29238</v>
      </c>
      <c r="K608" s="6">
        <v>0</v>
      </c>
      <c r="M608" s="6">
        <v>40621</v>
      </c>
      <c r="O608" s="6">
        <v>211221</v>
      </c>
      <c r="Q608" s="6">
        <v>762208</v>
      </c>
      <c r="S608" s="6">
        <v>259500</v>
      </c>
      <c r="U608" s="6">
        <v>1397055</v>
      </c>
      <c r="W608" s="6">
        <v>429057</v>
      </c>
      <c r="Y608" s="6">
        <v>62104</v>
      </c>
      <c r="AA608" s="6">
        <v>1227118</v>
      </c>
      <c r="AC608" s="6">
        <v>1122129</v>
      </c>
      <c r="AE608" s="6">
        <v>336532</v>
      </c>
      <c r="AG608" s="11" t="s">
        <v>455</v>
      </c>
      <c r="AH608" s="11"/>
      <c r="AI608" s="11" t="s">
        <v>54</v>
      </c>
      <c r="AJ608" s="11"/>
      <c r="AK608" s="6">
        <v>647004</v>
      </c>
      <c r="AM608" s="6">
        <v>0</v>
      </c>
      <c r="AO608" s="6">
        <v>374881</v>
      </c>
      <c r="AQ608" s="6">
        <v>256361</v>
      </c>
      <c r="AU608" s="6">
        <v>0</v>
      </c>
      <c r="AW608" s="6">
        <f t="shared" si="60"/>
        <v>16080924</v>
      </c>
      <c r="AY608" s="6">
        <f>+'St of Activites - GA Rev'!AG608-'St of Activities - GA Exp'!AW608</f>
        <v>733112</v>
      </c>
      <c r="BA608" s="6">
        <v>12289424</v>
      </c>
      <c r="BC608" s="6">
        <f t="shared" si="61"/>
        <v>13022536</v>
      </c>
      <c r="BE608" s="6">
        <f>+'St of Net Assets - GA'!Y608-'St of Activities - GA Exp'!BC608</f>
        <v>0</v>
      </c>
    </row>
    <row r="609" spans="1:57">
      <c r="A609" s="11" t="s">
        <v>281</v>
      </c>
      <c r="B609" s="11"/>
      <c r="C609" s="11" t="s">
        <v>20</v>
      </c>
      <c r="E609" s="6">
        <v>23352699</v>
      </c>
      <c r="G609" s="6">
        <v>5113771</v>
      </c>
      <c r="I609" s="6">
        <v>279679</v>
      </c>
      <c r="K609" s="6">
        <v>75712</v>
      </c>
      <c r="M609" s="6">
        <v>1982160</v>
      </c>
      <c r="O609" s="6">
        <v>3688102</v>
      </c>
      <c r="Q609" s="6">
        <v>3893297</v>
      </c>
      <c r="S609" s="6">
        <v>34898</v>
      </c>
      <c r="U609" s="6">
        <v>3111459</v>
      </c>
      <c r="W609" s="6">
        <v>1339376</v>
      </c>
      <c r="Y609" s="6">
        <v>417407</v>
      </c>
      <c r="AA609" s="6">
        <v>4563603</v>
      </c>
      <c r="AC609" s="6">
        <v>4529102</v>
      </c>
      <c r="AE609" s="6">
        <v>116643</v>
      </c>
      <c r="AG609" s="11" t="s">
        <v>281</v>
      </c>
      <c r="AH609" s="11"/>
      <c r="AI609" s="11" t="s">
        <v>20</v>
      </c>
      <c r="AJ609" s="11"/>
      <c r="AK609" s="6">
        <v>1345128</v>
      </c>
      <c r="AM609" s="6">
        <v>726157</v>
      </c>
      <c r="AO609" s="6">
        <v>1539352</v>
      </c>
      <c r="AQ609" s="6">
        <v>5259363</v>
      </c>
      <c r="AU609" s="6">
        <v>0</v>
      </c>
      <c r="AW609" s="6">
        <f t="shared" si="60"/>
        <v>61367908</v>
      </c>
      <c r="AY609" s="6">
        <f>+'St of Activites - GA Rev'!AG609-'St of Activities - GA Exp'!AW609</f>
        <v>1819162</v>
      </c>
      <c r="BA609" s="6">
        <v>51679373</v>
      </c>
      <c r="BC609" s="6">
        <f t="shared" si="61"/>
        <v>53498535</v>
      </c>
      <c r="BE609" s="6">
        <f>+'St of Net Assets - GA'!Y609-'St of Activities - GA Exp'!BC609</f>
        <v>0</v>
      </c>
    </row>
    <row r="610" spans="1:57">
      <c r="A610" s="11" t="s">
        <v>486</v>
      </c>
      <c r="B610" s="11"/>
      <c r="C610" s="11" t="s">
        <v>59</v>
      </c>
      <c r="E610" s="6">
        <v>7967404</v>
      </c>
      <c r="G610" s="6">
        <v>1394901</v>
      </c>
      <c r="I610" s="6">
        <v>5446</v>
      </c>
      <c r="K610" s="6">
        <v>0</v>
      </c>
      <c r="M610" s="6">
        <v>3514</v>
      </c>
      <c r="O610" s="6">
        <v>707301</v>
      </c>
      <c r="Q610" s="6">
        <v>731491</v>
      </c>
      <c r="S610" s="6">
        <v>67284</v>
      </c>
      <c r="U610" s="6">
        <v>1004670</v>
      </c>
      <c r="W610" s="6">
        <v>356910</v>
      </c>
      <c r="Y610" s="6">
        <v>0</v>
      </c>
      <c r="AA610" s="6">
        <v>1437309</v>
      </c>
      <c r="AC610" s="6">
        <v>572475</v>
      </c>
      <c r="AE610" s="6">
        <v>88947</v>
      </c>
      <c r="AG610" s="11" t="s">
        <v>486</v>
      </c>
      <c r="AH610" s="11"/>
      <c r="AI610" s="11" t="s">
        <v>59</v>
      </c>
      <c r="AJ610" s="11"/>
      <c r="AK610" s="6">
        <v>577998</v>
      </c>
      <c r="AM610" s="6">
        <v>143427</v>
      </c>
      <c r="AO610" s="6">
        <v>608655</v>
      </c>
      <c r="AQ610" s="6">
        <v>415135</v>
      </c>
      <c r="AU610" s="6">
        <v>0</v>
      </c>
      <c r="AW610" s="6">
        <f t="shared" si="60"/>
        <v>16082867</v>
      </c>
      <c r="AY610" s="6">
        <f>+'St of Activites - GA Rev'!AG610-'St of Activities - GA Exp'!AW610</f>
        <v>-1395300</v>
      </c>
      <c r="BA610" s="6">
        <v>30481140</v>
      </c>
      <c r="BC610" s="6">
        <f t="shared" si="61"/>
        <v>29085840</v>
      </c>
      <c r="BE610" s="6">
        <f>+'St of Net Assets - GA'!Y610-'St of Activities - GA Exp'!BC610</f>
        <v>0</v>
      </c>
    </row>
    <row r="611" spans="1:57">
      <c r="A611" s="11" t="s">
        <v>310</v>
      </c>
      <c r="B611" s="11"/>
      <c r="C611" s="11" t="s">
        <v>27</v>
      </c>
      <c r="E611" s="6">
        <v>16780458</v>
      </c>
      <c r="G611" s="6">
        <v>6261555</v>
      </c>
      <c r="I611" s="6">
        <v>319125</v>
      </c>
      <c r="K611" s="6">
        <v>0</v>
      </c>
      <c r="M611" s="6">
        <v>88665</v>
      </c>
      <c r="O611" s="6">
        <v>1739733</v>
      </c>
      <c r="Q611" s="6">
        <v>1492271</v>
      </c>
      <c r="S611" s="6">
        <v>123879</v>
      </c>
      <c r="U611" s="6">
        <v>2953745</v>
      </c>
      <c r="W611" s="6">
        <v>0</v>
      </c>
      <c r="Y611" s="6">
        <v>799733</v>
      </c>
      <c r="AA611" s="6">
        <v>2928588</v>
      </c>
      <c r="AC611" s="6">
        <v>1941803</v>
      </c>
      <c r="AE611" s="6">
        <v>616242</v>
      </c>
      <c r="AG611" s="11" t="s">
        <v>310</v>
      </c>
      <c r="AH611" s="11"/>
      <c r="AI611" s="11" t="s">
        <v>27</v>
      </c>
      <c r="AJ611" s="11"/>
      <c r="AK611" s="6">
        <v>1288312</v>
      </c>
      <c r="AM611" s="6">
        <v>109119</v>
      </c>
      <c r="AO611" s="6">
        <v>724132</v>
      </c>
      <c r="AQ611" s="6">
        <v>1338512</v>
      </c>
      <c r="AU611" s="6">
        <v>0</v>
      </c>
      <c r="AW611" s="6">
        <f t="shared" si="60"/>
        <v>39505872</v>
      </c>
      <c r="AY611" s="6">
        <f>+'St of Activites - GA Rev'!AG611-'St of Activities - GA Exp'!AW611</f>
        <v>-1216078</v>
      </c>
      <c r="BA611" s="6">
        <v>78515841</v>
      </c>
      <c r="BC611" s="6">
        <f t="shared" si="61"/>
        <v>77299763</v>
      </c>
      <c r="BE611" s="6">
        <f>+'St of Net Assets - GA'!Y611-'St of Activities - GA Exp'!BC611</f>
        <v>0</v>
      </c>
    </row>
    <row r="612" spans="1:57" ht="12" hidden="1" customHeight="1">
      <c r="A612" s="11" t="s">
        <v>622</v>
      </c>
      <c r="B612" s="11"/>
      <c r="C612" s="11" t="s">
        <v>41</v>
      </c>
      <c r="AG612" s="11" t="s">
        <v>622</v>
      </c>
      <c r="AH612" s="11"/>
      <c r="AI612" s="11" t="s">
        <v>41</v>
      </c>
      <c r="AJ612" s="11"/>
      <c r="AW612" s="6">
        <f t="shared" si="60"/>
        <v>0</v>
      </c>
      <c r="AY612" s="6">
        <f>+'St of Activites - GA Rev'!AG612-'St of Activities - GA Exp'!AW612</f>
        <v>0</v>
      </c>
      <c r="BC612" s="6">
        <f t="shared" si="61"/>
        <v>0</v>
      </c>
      <c r="BE612" s="6">
        <f>+'St of Net Assets - GA'!Y612-'St of Activities - GA Exp'!BC612</f>
        <v>0</v>
      </c>
    </row>
    <row r="613" spans="1:57">
      <c r="A613" s="11" t="s">
        <v>360</v>
      </c>
      <c r="B613" s="11"/>
      <c r="C613" s="11" t="s">
        <v>37</v>
      </c>
      <c r="E613" s="6">
        <v>7686636</v>
      </c>
      <c r="G613" s="6">
        <v>1623741</v>
      </c>
      <c r="I613" s="6">
        <v>211073</v>
      </c>
      <c r="K613" s="6">
        <v>0</v>
      </c>
      <c r="M613" s="6">
        <v>2236454</v>
      </c>
      <c r="O613" s="6">
        <v>794018</v>
      </c>
      <c r="Q613" s="6">
        <v>707270</v>
      </c>
      <c r="S613" s="6">
        <v>461595</v>
      </c>
      <c r="U613" s="6">
        <v>1809946</v>
      </c>
      <c r="W613" s="6">
        <v>296001</v>
      </c>
      <c r="Y613" s="6">
        <v>44909</v>
      </c>
      <c r="AA613" s="6">
        <v>1233843</v>
      </c>
      <c r="AC613" s="6">
        <v>858452</v>
      </c>
      <c r="AE613" s="6">
        <v>4028</v>
      </c>
      <c r="AG613" s="11" t="s">
        <v>360</v>
      </c>
      <c r="AH613" s="11"/>
      <c r="AI613" s="11" t="s">
        <v>37</v>
      </c>
      <c r="AJ613" s="11"/>
      <c r="AK613" s="6">
        <v>940163</v>
      </c>
      <c r="AM613" s="6">
        <v>210084</v>
      </c>
      <c r="AO613" s="6">
        <v>603001</v>
      </c>
      <c r="AQ613" s="6">
        <v>1473187</v>
      </c>
      <c r="AU613" s="6">
        <v>0</v>
      </c>
      <c r="AW613" s="6">
        <f t="shared" si="60"/>
        <v>21194401</v>
      </c>
      <c r="AY613" s="6">
        <f>+'St of Activites - GA Rev'!AG613-'St of Activities - GA Exp'!AW613</f>
        <v>27740105</v>
      </c>
      <c r="BA613" s="6">
        <v>5252374</v>
      </c>
      <c r="BC613" s="6">
        <f t="shared" si="61"/>
        <v>32992479</v>
      </c>
      <c r="BE613" s="6">
        <f>+'St of Net Assets - GA'!Y613-'St of Activities - GA Exp'!BC613</f>
        <v>0</v>
      </c>
    </row>
    <row r="614" spans="1:57" hidden="1">
      <c r="A614" s="11" t="s">
        <v>893</v>
      </c>
      <c r="B614" s="11"/>
      <c r="C614" s="11" t="s">
        <v>113</v>
      </c>
      <c r="E614" s="6">
        <v>0</v>
      </c>
      <c r="G614" s="6">
        <v>0</v>
      </c>
      <c r="I614" s="6">
        <v>0</v>
      </c>
      <c r="K614" s="6">
        <v>0</v>
      </c>
      <c r="M614" s="6">
        <v>0</v>
      </c>
      <c r="O614" s="6">
        <v>0</v>
      </c>
      <c r="Q614" s="6">
        <v>0</v>
      </c>
      <c r="S614" s="6">
        <v>0</v>
      </c>
      <c r="U614" s="6">
        <v>0</v>
      </c>
      <c r="W614" s="6">
        <v>0</v>
      </c>
      <c r="Y614" s="6">
        <v>0</v>
      </c>
      <c r="AA614" s="6">
        <v>0</v>
      </c>
      <c r="AC614" s="6">
        <v>0</v>
      </c>
      <c r="AE614" s="6">
        <v>0</v>
      </c>
      <c r="AG614" s="11" t="s">
        <v>893</v>
      </c>
      <c r="AH614" s="11"/>
      <c r="AI614" s="11" t="s">
        <v>113</v>
      </c>
      <c r="AJ614" s="11"/>
      <c r="AK614" s="6">
        <v>0</v>
      </c>
      <c r="AM614" s="6">
        <v>0</v>
      </c>
      <c r="AO614" s="6">
        <v>0</v>
      </c>
      <c r="AQ614" s="6">
        <v>0</v>
      </c>
      <c r="AU614" s="6">
        <v>0</v>
      </c>
      <c r="AW614" s="6">
        <f t="shared" si="60"/>
        <v>0</v>
      </c>
      <c r="AY614" s="6">
        <f>+'St of Activites - GA Rev'!AG614-'St of Activities - GA Exp'!AW614</f>
        <v>0</v>
      </c>
      <c r="BC614" s="6">
        <f t="shared" si="61"/>
        <v>0</v>
      </c>
      <c r="BE614" s="6">
        <f>+'St of Net Assets - GA'!Y614-'St of Activities - GA Exp'!BC614</f>
        <v>0</v>
      </c>
    </row>
    <row r="615" spans="1:57">
      <c r="A615" s="11" t="s">
        <v>365</v>
      </c>
      <c r="B615" s="11"/>
      <c r="C615" s="11" t="s">
        <v>41</v>
      </c>
      <c r="E615" s="6">
        <v>39750547</v>
      </c>
      <c r="G615" s="6">
        <v>14815631</v>
      </c>
      <c r="I615" s="6">
        <v>1497892</v>
      </c>
      <c r="K615" s="6">
        <v>268451</v>
      </c>
      <c r="M615" s="6">
        <v>519888</v>
      </c>
      <c r="O615" s="6">
        <v>8328914</v>
      </c>
      <c r="Q615" s="6">
        <v>3470097</v>
      </c>
      <c r="S615" s="6">
        <v>385725</v>
      </c>
      <c r="U615" s="6">
        <v>5751464</v>
      </c>
      <c r="W615" s="6">
        <v>1770588</v>
      </c>
      <c r="Y615" s="6">
        <v>288084</v>
      </c>
      <c r="AA615" s="6">
        <v>12863850</v>
      </c>
      <c r="AC615" s="6">
        <v>6940877</v>
      </c>
      <c r="AE615" s="6">
        <v>1671673</v>
      </c>
      <c r="AG615" s="11" t="s">
        <v>365</v>
      </c>
      <c r="AH615" s="11"/>
      <c r="AI615" s="11" t="s">
        <v>41</v>
      </c>
      <c r="AJ615" s="11"/>
      <c r="AK615" s="6">
        <v>2441560</v>
      </c>
      <c r="AM615" s="6">
        <v>1108440</v>
      </c>
      <c r="AO615" s="6">
        <v>1983242</v>
      </c>
      <c r="AQ615" s="6">
        <v>1412296</v>
      </c>
      <c r="AU615" s="6">
        <v>0</v>
      </c>
      <c r="AW615" s="6">
        <f t="shared" si="60"/>
        <v>105269219</v>
      </c>
      <c r="AY615" s="6">
        <f>+'St of Activites - GA Rev'!AG615-'St of Activities - GA Exp'!AW615</f>
        <v>-11933468</v>
      </c>
      <c r="BA615" s="6">
        <v>19795815</v>
      </c>
      <c r="BC615" s="6">
        <f t="shared" si="61"/>
        <v>7862347</v>
      </c>
      <c r="BE615" s="6">
        <f>+'St of Net Assets - GA'!Y615-'St of Activities - GA Exp'!BC615</f>
        <v>0</v>
      </c>
    </row>
    <row r="616" spans="1:57">
      <c r="A616" s="11" t="s">
        <v>245</v>
      </c>
      <c r="B616" s="11"/>
      <c r="C616" s="11" t="s">
        <v>18</v>
      </c>
      <c r="E616" s="6">
        <v>13547880</v>
      </c>
      <c r="G616" s="6">
        <v>2858485</v>
      </c>
      <c r="I616" s="6">
        <v>240553</v>
      </c>
      <c r="K616" s="6">
        <v>0</v>
      </c>
      <c r="M616" s="6">
        <v>660821</v>
      </c>
      <c r="O616" s="6">
        <v>1620702</v>
      </c>
      <c r="Q616" s="6">
        <v>1680889</v>
      </c>
      <c r="S616" s="6">
        <v>108953</v>
      </c>
      <c r="U616" s="6">
        <v>1555355</v>
      </c>
      <c r="W616" s="6">
        <v>733976</v>
      </c>
      <c r="Y616" s="6">
        <v>276124</v>
      </c>
      <c r="AA616" s="6">
        <v>2386775</v>
      </c>
      <c r="AC616" s="6">
        <v>1428244</v>
      </c>
      <c r="AE616" s="6">
        <v>320490</v>
      </c>
      <c r="AG616" s="11" t="s">
        <v>245</v>
      </c>
      <c r="AH616" s="11"/>
      <c r="AI616" s="11" t="s">
        <v>18</v>
      </c>
      <c r="AJ616" s="11"/>
      <c r="AK616" s="6">
        <v>0</v>
      </c>
      <c r="AM616" s="6">
        <v>1477812</v>
      </c>
      <c r="AO616" s="6">
        <v>633298</v>
      </c>
      <c r="AQ616" s="6">
        <v>456617</v>
      </c>
      <c r="AU616" s="6">
        <v>0</v>
      </c>
      <c r="AW616" s="6">
        <f t="shared" si="60"/>
        <v>29986974</v>
      </c>
      <c r="AY616" s="6">
        <f>+'St of Activites - GA Rev'!AG616-'St of Activities - GA Exp'!AW616</f>
        <v>-421072</v>
      </c>
      <c r="BA616" s="6">
        <v>16703448</v>
      </c>
      <c r="BC616" s="6">
        <f t="shared" si="61"/>
        <v>16282376</v>
      </c>
      <c r="BE616" s="6">
        <f>+'St of Net Assets - GA'!Y616-'St of Activities - GA Exp'!BC616</f>
        <v>0</v>
      </c>
    </row>
    <row r="617" spans="1:57">
      <c r="A617" s="11" t="s">
        <v>782</v>
      </c>
      <c r="B617" s="11"/>
      <c r="C617" s="11" t="s">
        <v>56</v>
      </c>
      <c r="E617" s="6">
        <v>3613152</v>
      </c>
      <c r="G617" s="6">
        <v>1737167</v>
      </c>
      <c r="I617" s="6">
        <v>70900</v>
      </c>
      <c r="K617" s="6">
        <v>0</v>
      </c>
      <c r="M617" s="6">
        <v>1948</v>
      </c>
      <c r="O617" s="6">
        <v>451672</v>
      </c>
      <c r="Q617" s="6">
        <v>411531</v>
      </c>
      <c r="S617" s="6">
        <v>92158</v>
      </c>
      <c r="U617" s="6">
        <v>658198</v>
      </c>
      <c r="W617" s="6">
        <v>218425</v>
      </c>
      <c r="Y617" s="6">
        <v>16494</v>
      </c>
      <c r="AA617" s="6">
        <v>687452</v>
      </c>
      <c r="AC617" s="6">
        <v>417985</v>
      </c>
      <c r="AE617" s="6">
        <v>84441</v>
      </c>
      <c r="AG617" s="11" t="s">
        <v>782</v>
      </c>
      <c r="AH617" s="11"/>
      <c r="AI617" s="11" t="s">
        <v>56</v>
      </c>
      <c r="AJ617" s="11"/>
      <c r="AK617" s="6">
        <v>331112</v>
      </c>
      <c r="AM617" s="6">
        <v>0</v>
      </c>
      <c r="AO617" s="6">
        <v>242393</v>
      </c>
      <c r="AQ617" s="6">
        <v>30646</v>
      </c>
      <c r="AU617" s="6">
        <v>0</v>
      </c>
      <c r="AW617" s="6">
        <f t="shared" si="60"/>
        <v>9065674</v>
      </c>
      <c r="AY617" s="6">
        <f>+'St of Activites - GA Rev'!AG617-'St of Activities - GA Exp'!AW617</f>
        <v>93784</v>
      </c>
      <c r="BA617" s="6">
        <v>17887321</v>
      </c>
      <c r="BC617" s="6">
        <f t="shared" si="61"/>
        <v>17981105</v>
      </c>
      <c r="BE617" s="6">
        <f>+'St of Net Assets - GA'!Y617-'St of Activities - GA Exp'!BC617</f>
        <v>0</v>
      </c>
    </row>
    <row r="618" spans="1:57">
      <c r="A618" s="11" t="s">
        <v>332</v>
      </c>
      <c r="B618" s="11"/>
      <c r="C618" s="11" t="s">
        <v>32</v>
      </c>
      <c r="E618" s="6">
        <v>19813499</v>
      </c>
      <c r="G618" s="6">
        <v>5918789</v>
      </c>
      <c r="I618" s="6">
        <v>412074</v>
      </c>
      <c r="K618" s="6">
        <v>0</v>
      </c>
      <c r="M618" s="6">
        <v>0</v>
      </c>
      <c r="O618" s="6">
        <v>2636379</v>
      </c>
      <c r="Q618" s="6">
        <v>2980717</v>
      </c>
      <c r="S618" s="6">
        <v>106452</v>
      </c>
      <c r="U618" s="6">
        <v>3287106</v>
      </c>
      <c r="W618" s="6">
        <v>1220857</v>
      </c>
      <c r="Y618" s="6">
        <v>233832</v>
      </c>
      <c r="AA618" s="6">
        <v>3149362</v>
      </c>
      <c r="AC618" s="6">
        <v>2521054</v>
      </c>
      <c r="AE618" s="6">
        <v>975898</v>
      </c>
      <c r="AG618" s="11" t="s">
        <v>332</v>
      </c>
      <c r="AH618" s="11"/>
      <c r="AI618" s="11" t="s">
        <v>32</v>
      </c>
      <c r="AJ618" s="11"/>
      <c r="AK618" s="6">
        <v>0</v>
      </c>
      <c r="AM618" s="6">
        <v>2067491</v>
      </c>
      <c r="AO618" s="6">
        <v>834816</v>
      </c>
      <c r="AQ618" s="6">
        <v>166084</v>
      </c>
      <c r="AU618" s="6">
        <v>0</v>
      </c>
      <c r="AW618" s="6">
        <f t="shared" si="60"/>
        <v>46324410</v>
      </c>
      <c r="AY618" s="6">
        <f>+'St of Activites - GA Rev'!AG618-'St of Activities - GA Exp'!AW618</f>
        <v>5160569</v>
      </c>
      <c r="BA618" s="6">
        <v>15088070</v>
      </c>
      <c r="BC618" s="6">
        <f t="shared" si="61"/>
        <v>20248639</v>
      </c>
      <c r="BE618" s="6">
        <f>+'St of Net Assets - GA'!Y618-'St of Activities - GA Exp'!BC618</f>
        <v>0</v>
      </c>
    </row>
    <row r="619" spans="1:57">
      <c r="A619" s="11" t="s">
        <v>550</v>
      </c>
      <c r="B619" s="11"/>
      <c r="C619" s="11" t="s">
        <v>70</v>
      </c>
      <c r="E619" s="6">
        <v>3404248</v>
      </c>
      <c r="G619" s="6">
        <v>447289</v>
      </c>
      <c r="I619" s="6">
        <v>174262</v>
      </c>
      <c r="K619" s="6">
        <v>0</v>
      </c>
      <c r="M619" s="6">
        <v>20868</v>
      </c>
      <c r="O619" s="6">
        <v>262429</v>
      </c>
      <c r="Q619" s="6">
        <v>476437</v>
      </c>
      <c r="S619" s="6">
        <v>19802</v>
      </c>
      <c r="U619" s="6">
        <v>485772</v>
      </c>
      <c r="W619" s="6">
        <v>619903</v>
      </c>
      <c r="Y619" s="6">
        <v>0</v>
      </c>
      <c r="AA619" s="6">
        <v>599154</v>
      </c>
      <c r="AC619" s="6">
        <v>464413</v>
      </c>
      <c r="AE619" s="6">
        <v>40450</v>
      </c>
      <c r="AG619" s="11" t="s">
        <v>550</v>
      </c>
      <c r="AH619" s="11"/>
      <c r="AI619" s="11" t="s">
        <v>70</v>
      </c>
      <c r="AJ619" s="11"/>
      <c r="AK619" s="6">
        <v>241514</v>
      </c>
      <c r="AM619" s="6">
        <v>0</v>
      </c>
      <c r="AO619" s="6">
        <v>227126</v>
      </c>
      <c r="AQ619" s="6">
        <v>310626</v>
      </c>
      <c r="AU619" s="6">
        <v>0</v>
      </c>
      <c r="AW619" s="6">
        <f t="shared" si="60"/>
        <v>7794293</v>
      </c>
      <c r="AY619" s="6">
        <f>+'St of Activites - GA Rev'!AG619-'St of Activities - GA Exp'!AW619</f>
        <v>523090</v>
      </c>
      <c r="BA619" s="6">
        <v>10175169</v>
      </c>
      <c r="BC619" s="6">
        <f t="shared" si="61"/>
        <v>10698259</v>
      </c>
      <c r="BE619" s="6">
        <f>+'St of Net Assets - GA'!Y619-'St of Activities - GA Exp'!BC619</f>
        <v>0</v>
      </c>
    </row>
    <row r="620" spans="1:57">
      <c r="A620" s="11" t="s">
        <v>478</v>
      </c>
      <c r="B620" s="11"/>
      <c r="C620" s="11" t="s">
        <v>79</v>
      </c>
      <c r="E620" s="6">
        <v>5143465</v>
      </c>
      <c r="G620" s="6">
        <v>1041374</v>
      </c>
      <c r="I620" s="6">
        <v>11168</v>
      </c>
      <c r="K620" s="6">
        <v>0</v>
      </c>
      <c r="M620" s="6">
        <v>4164</v>
      </c>
      <c r="O620" s="6">
        <v>507900</v>
      </c>
      <c r="Q620" s="6">
        <v>213302</v>
      </c>
      <c r="S620" s="6">
        <v>66233</v>
      </c>
      <c r="U620" s="6">
        <v>933932</v>
      </c>
      <c r="W620" s="6">
        <v>349363</v>
      </c>
      <c r="Y620" s="6">
        <v>0</v>
      </c>
      <c r="AA620" s="6">
        <v>1143343</v>
      </c>
      <c r="AC620" s="6">
        <v>564693</v>
      </c>
      <c r="AE620" s="6">
        <v>0</v>
      </c>
      <c r="AG620" s="11" t="s">
        <v>478</v>
      </c>
      <c r="AH620" s="11"/>
      <c r="AI620" s="11" t="s">
        <v>79</v>
      </c>
      <c r="AJ620" s="11"/>
      <c r="AK620" s="6">
        <v>380616</v>
      </c>
      <c r="AM620" s="6">
        <v>52990</v>
      </c>
      <c r="AO620" s="6">
        <v>133187</v>
      </c>
      <c r="AQ620" s="6">
        <v>3985</v>
      </c>
      <c r="AU620" s="6">
        <v>0</v>
      </c>
      <c r="AW620" s="6">
        <f t="shared" si="60"/>
        <v>10549715</v>
      </c>
      <c r="AY620" s="6">
        <f>+'St of Activites - GA Rev'!AG620-'St of Activities - GA Exp'!AW620</f>
        <v>-198190</v>
      </c>
      <c r="BA620" s="6">
        <v>7429642</v>
      </c>
      <c r="BC620" s="6">
        <f t="shared" si="61"/>
        <v>7231452</v>
      </c>
      <c r="BE620" s="6">
        <f>+'St of Net Assets - GA'!Y620-'St of Activities - GA Exp'!BC620</f>
        <v>0</v>
      </c>
    </row>
    <row r="621" spans="1:57">
      <c r="A621" s="11" t="s">
        <v>517</v>
      </c>
      <c r="B621" s="11"/>
      <c r="C621" s="11" t="s">
        <v>63</v>
      </c>
      <c r="E621" s="6">
        <v>10603619</v>
      </c>
      <c r="G621" s="6">
        <v>3553111</v>
      </c>
      <c r="I621" s="6">
        <v>388926</v>
      </c>
      <c r="K621" s="6">
        <v>0</v>
      </c>
      <c r="M621" s="6">
        <v>538636</v>
      </c>
      <c r="O621" s="6">
        <v>1378641</v>
      </c>
      <c r="Q621" s="6">
        <v>484601</v>
      </c>
      <c r="S621" s="6">
        <v>29295</v>
      </c>
      <c r="U621" s="6">
        <v>2044694</v>
      </c>
      <c r="W621" s="6">
        <v>650104</v>
      </c>
      <c r="Y621" s="6">
        <v>16256</v>
      </c>
      <c r="AA621" s="6">
        <v>1716073</v>
      </c>
      <c r="AC621" s="6">
        <v>1803097</v>
      </c>
      <c r="AE621" s="6">
        <v>257361</v>
      </c>
      <c r="AG621" s="11" t="s">
        <v>517</v>
      </c>
      <c r="AH621" s="11"/>
      <c r="AI621" s="11" t="s">
        <v>63</v>
      </c>
      <c r="AJ621" s="11"/>
      <c r="AK621" s="6">
        <v>798228</v>
      </c>
      <c r="AM621" s="6">
        <v>21038</v>
      </c>
      <c r="AO621" s="6">
        <v>663772</v>
      </c>
      <c r="AQ621" s="6">
        <v>578475</v>
      </c>
      <c r="AU621" s="6">
        <v>0</v>
      </c>
      <c r="AW621" s="6">
        <f t="shared" si="60"/>
        <v>25525927</v>
      </c>
      <c r="AY621" s="6">
        <f>+'St of Activites - GA Rev'!AG621-'St of Activities - GA Exp'!AW621</f>
        <v>-986107</v>
      </c>
      <c r="BA621" s="6">
        <v>11735692</v>
      </c>
      <c r="BC621" s="6">
        <f t="shared" si="61"/>
        <v>10749585</v>
      </c>
      <c r="BE621" s="6">
        <f>+'St of Net Assets - GA'!Y621-'St of Activities - GA Exp'!BC621</f>
        <v>0</v>
      </c>
    </row>
    <row r="622" spans="1:57">
      <c r="A622" s="11" t="s">
        <v>623</v>
      </c>
      <c r="B622" s="11"/>
      <c r="C622" s="11" t="s">
        <v>71</v>
      </c>
      <c r="E622" s="6">
        <v>18821787</v>
      </c>
      <c r="G622" s="6">
        <v>4866007</v>
      </c>
      <c r="I622" s="6">
        <v>411365</v>
      </c>
      <c r="K622" s="6">
        <v>0</v>
      </c>
      <c r="M622" s="6">
        <f>75527+2487990</f>
        <v>2563517</v>
      </c>
      <c r="O622" s="6">
        <v>2143392</v>
      </c>
      <c r="Q622" s="6">
        <v>2114120</v>
      </c>
      <c r="S622" s="6">
        <v>114881</v>
      </c>
      <c r="U622" s="6">
        <v>2902550</v>
      </c>
      <c r="W622" s="6">
        <v>933305</v>
      </c>
      <c r="Y622" s="6">
        <v>307665</v>
      </c>
      <c r="AA622" s="6">
        <v>4602569</v>
      </c>
      <c r="AC622" s="6">
        <v>1736634</v>
      </c>
      <c r="AE622" s="6">
        <v>549611</v>
      </c>
      <c r="AG622" s="11" t="s">
        <v>623</v>
      </c>
      <c r="AH622" s="11"/>
      <c r="AI622" s="11" t="s">
        <v>71</v>
      </c>
      <c r="AJ622" s="11"/>
      <c r="AK622" s="6">
        <v>0</v>
      </c>
      <c r="AM622" s="6">
        <v>631421</v>
      </c>
      <c r="AO622" s="6">
        <v>625223</v>
      </c>
      <c r="AQ622" s="6">
        <v>1054462</v>
      </c>
      <c r="AU622" s="6">
        <v>90356</v>
      </c>
      <c r="AW622" s="6">
        <f t="shared" si="60"/>
        <v>44468865</v>
      </c>
      <c r="AY622" s="6">
        <f>+'St of Activites - GA Rev'!AG622-'St of Activities - GA Exp'!AW622</f>
        <v>6347323</v>
      </c>
      <c r="BA622" s="6">
        <v>33476667</v>
      </c>
      <c r="BC622" s="6">
        <f t="shared" si="61"/>
        <v>39823990</v>
      </c>
      <c r="BE622" s="6">
        <f>+'St of Net Assets - GA'!Y622-'St of Activities - GA Exp'!BC622</f>
        <v>0</v>
      </c>
    </row>
    <row r="623" spans="1:57" ht="12" customHeight="1">
      <c r="A623" s="11" t="s">
        <v>311</v>
      </c>
      <c r="B623" s="11"/>
      <c r="C623" s="11" t="s">
        <v>27</v>
      </c>
      <c r="E623" s="6">
        <v>60153790</v>
      </c>
      <c r="G623" s="6">
        <v>12942670</v>
      </c>
      <c r="I623" s="6">
        <v>948583</v>
      </c>
      <c r="K623" s="6">
        <v>2451</v>
      </c>
      <c r="M623" s="6">
        <v>0</v>
      </c>
      <c r="O623" s="6">
        <v>6850495</v>
      </c>
      <c r="Q623" s="6">
        <v>10831246</v>
      </c>
      <c r="S623" s="6">
        <v>73036</v>
      </c>
      <c r="U623" s="6">
        <v>8828711</v>
      </c>
      <c r="W623" s="6">
        <v>2624084</v>
      </c>
      <c r="Y623" s="6">
        <v>0</v>
      </c>
      <c r="AA623" s="6">
        <v>12975184</v>
      </c>
      <c r="AC623" s="6">
        <v>4432028</v>
      </c>
      <c r="AE623" s="6">
        <v>1335576</v>
      </c>
      <c r="AG623" s="11" t="s">
        <v>311</v>
      </c>
      <c r="AH623" s="11"/>
      <c r="AI623" s="11" t="s">
        <v>27</v>
      </c>
      <c r="AJ623" s="11"/>
      <c r="AK623" s="6">
        <v>3145849</v>
      </c>
      <c r="AM623" s="6">
        <v>1612180</v>
      </c>
      <c r="AO623" s="6">
        <v>2660440</v>
      </c>
      <c r="AQ623" s="6">
        <v>2219835</v>
      </c>
      <c r="AU623" s="6">
        <v>0</v>
      </c>
      <c r="AW623" s="6">
        <f t="shared" si="60"/>
        <v>131636158</v>
      </c>
      <c r="AY623" s="6">
        <f>+'St of Activites - GA Rev'!AG623-'St of Activities - GA Exp'!AW623</f>
        <v>5088065</v>
      </c>
      <c r="BA623" s="6">
        <v>81396937</v>
      </c>
      <c r="BC623" s="6">
        <f t="shared" si="61"/>
        <v>86485002</v>
      </c>
      <c r="BE623" s="6">
        <f>+'St of Net Assets - GA'!Y623-'St of Activities - GA Exp'!BC623</f>
        <v>0</v>
      </c>
    </row>
    <row r="624" spans="1:57">
      <c r="A624" s="11" t="s">
        <v>260</v>
      </c>
      <c r="B624" s="11"/>
      <c r="C624" s="11" t="s">
        <v>111</v>
      </c>
      <c r="E624" s="6">
        <v>4552678</v>
      </c>
      <c r="G624" s="6">
        <v>1459486</v>
      </c>
      <c r="I624" s="6">
        <v>68021</v>
      </c>
      <c r="K624" s="6">
        <v>0</v>
      </c>
      <c r="M624" s="6">
        <v>738083</v>
      </c>
      <c r="O624" s="6">
        <v>1008648</v>
      </c>
      <c r="Q624" s="6">
        <v>391159</v>
      </c>
      <c r="S624" s="6">
        <v>6946</v>
      </c>
      <c r="U624" s="6">
        <v>927932</v>
      </c>
      <c r="W624" s="6">
        <v>409957</v>
      </c>
      <c r="Y624" s="6">
        <v>16691</v>
      </c>
      <c r="AA624" s="6">
        <v>731215</v>
      </c>
      <c r="AC624" s="6">
        <v>614314</v>
      </c>
      <c r="AE624" s="6">
        <v>60404</v>
      </c>
      <c r="AG624" s="11" t="s">
        <v>260</v>
      </c>
      <c r="AH624" s="11"/>
      <c r="AI624" s="11" t="s">
        <v>111</v>
      </c>
      <c r="AJ624" s="11"/>
      <c r="AK624" s="6">
        <v>536632</v>
      </c>
      <c r="AM624" s="6">
        <v>600</v>
      </c>
      <c r="AO624" s="6">
        <v>376488</v>
      </c>
      <c r="AQ624" s="6">
        <v>266892</v>
      </c>
      <c r="AU624" s="6">
        <v>0</v>
      </c>
      <c r="AW624" s="6">
        <f t="shared" si="60"/>
        <v>12166146</v>
      </c>
      <c r="AY624" s="6">
        <f>+'St of Activites - GA Rev'!AG624-'St of Activities - GA Exp'!AW624</f>
        <v>21875</v>
      </c>
      <c r="BA624" s="6">
        <v>4232898</v>
      </c>
      <c r="BC624" s="6">
        <f t="shared" si="61"/>
        <v>4254773</v>
      </c>
      <c r="BE624" s="6">
        <f>+'St of Net Assets - GA'!Y624-'St of Activities - GA Exp'!BC624</f>
        <v>0</v>
      </c>
    </row>
    <row r="625" spans="1:57" ht="12" customHeight="1">
      <c r="A625" s="11" t="s">
        <v>333</v>
      </c>
      <c r="B625" s="11"/>
      <c r="C625" s="11" t="s">
        <v>32</v>
      </c>
      <c r="E625" s="6">
        <v>11987613</v>
      </c>
      <c r="G625" s="6">
        <v>2394999</v>
      </c>
      <c r="I625" s="6">
        <v>61497</v>
      </c>
      <c r="K625" s="6">
        <v>0</v>
      </c>
      <c r="M625" s="6">
        <v>27012</v>
      </c>
      <c r="O625" s="6">
        <v>1717685</v>
      </c>
      <c r="Q625" s="6">
        <v>1322260</v>
      </c>
      <c r="S625" s="6">
        <v>161592</v>
      </c>
      <c r="U625" s="6">
        <v>1647069</v>
      </c>
      <c r="W625" s="6">
        <v>951383</v>
      </c>
      <c r="Y625" s="6">
        <v>1108</v>
      </c>
      <c r="AA625" s="6">
        <v>1941999</v>
      </c>
      <c r="AC625" s="6">
        <v>400107</v>
      </c>
      <c r="AE625" s="6">
        <v>143089</v>
      </c>
      <c r="AG625" s="11" t="s">
        <v>333</v>
      </c>
      <c r="AH625" s="11"/>
      <c r="AI625" s="11" t="s">
        <v>32</v>
      </c>
      <c r="AJ625" s="11"/>
      <c r="AK625" s="6">
        <v>0</v>
      </c>
      <c r="AM625" s="6">
        <v>604873</v>
      </c>
      <c r="AO625" s="6">
        <v>756543</v>
      </c>
      <c r="AQ625" s="6">
        <v>1110184</v>
      </c>
      <c r="AU625" s="6">
        <v>0</v>
      </c>
      <c r="AW625" s="6">
        <f t="shared" si="60"/>
        <v>25229013</v>
      </c>
      <c r="AY625" s="6">
        <f>+'St of Activites - GA Rev'!AG625-'St of Activities - GA Exp'!AW625</f>
        <v>379859</v>
      </c>
      <c r="BA625" s="6">
        <v>17088413</v>
      </c>
      <c r="BC625" s="6">
        <f t="shared" si="61"/>
        <v>17468272</v>
      </c>
      <c r="BE625" s="6">
        <f>+'St of Net Assets - GA'!Y625-'St of Activities - GA Exp'!BC625</f>
        <v>0</v>
      </c>
    </row>
    <row r="626" spans="1:57">
      <c r="A626" s="10" t="s">
        <v>884</v>
      </c>
      <c r="B626" s="10"/>
      <c r="C626" s="10" t="s">
        <v>114</v>
      </c>
      <c r="E626" s="6">
        <v>19211531</v>
      </c>
      <c r="G626" s="6">
        <v>7535001</v>
      </c>
      <c r="I626" s="6">
        <v>417220</v>
      </c>
      <c r="K626" s="6">
        <v>0</v>
      </c>
      <c r="M626" s="6">
        <f>495784+568650</f>
        <v>1064434</v>
      </c>
      <c r="O626" s="6">
        <v>3100910</v>
      </c>
      <c r="Q626" s="6">
        <v>3644379</v>
      </c>
      <c r="S626" s="6">
        <v>48039</v>
      </c>
      <c r="U626" s="6">
        <v>4104162</v>
      </c>
      <c r="W626" s="6">
        <v>552322</v>
      </c>
      <c r="Y626" s="6">
        <v>651902</v>
      </c>
      <c r="AA626" s="6">
        <v>5176685</v>
      </c>
      <c r="AC626" s="6">
        <v>2868760</v>
      </c>
      <c r="AE626" s="6">
        <v>231466</v>
      </c>
      <c r="AG626" s="10" t="s">
        <v>884</v>
      </c>
      <c r="AH626" s="10"/>
      <c r="AI626" s="10" t="s">
        <v>114</v>
      </c>
      <c r="AJ626" s="11"/>
      <c r="AK626" s="6">
        <v>0</v>
      </c>
      <c r="AM626" s="6">
        <v>2184210</v>
      </c>
      <c r="AO626" s="6">
        <v>716946</v>
      </c>
      <c r="AQ626" s="6">
        <v>2329031</v>
      </c>
      <c r="AU626" s="6">
        <v>0</v>
      </c>
      <c r="AW626" s="6">
        <f t="shared" ref="AW626" si="62">SUM(E626:AV626)</f>
        <v>53836998</v>
      </c>
      <c r="AY626" s="6">
        <f>+'St of Activites - GA Rev'!AG626-'St of Activities - GA Exp'!AW626</f>
        <v>1241522</v>
      </c>
      <c r="BA626" s="6">
        <v>37273650</v>
      </c>
      <c r="BC626" s="6">
        <f t="shared" ref="BC626" si="63">+AY626+BA626</f>
        <v>38515172</v>
      </c>
      <c r="BE626" s="6">
        <f>+'St of Net Assets - GA'!Y626-'St of Activities - GA Exp'!BC626</f>
        <v>0</v>
      </c>
    </row>
    <row r="627" spans="1:57">
      <c r="A627" s="11" t="s">
        <v>783</v>
      </c>
      <c r="B627" s="11"/>
      <c r="C627" s="11" t="s">
        <v>114</v>
      </c>
      <c r="E627" s="6">
        <v>3447459</v>
      </c>
      <c r="G627" s="6">
        <v>967308</v>
      </c>
      <c r="I627" s="6">
        <v>0</v>
      </c>
      <c r="K627" s="6">
        <v>0</v>
      </c>
      <c r="M627" s="6">
        <f>7004+240642</f>
        <v>247646</v>
      </c>
      <c r="O627" s="6">
        <v>436052</v>
      </c>
      <c r="Q627" s="6">
        <v>437585</v>
      </c>
      <c r="S627" s="6">
        <v>33951</v>
      </c>
      <c r="U627" s="6">
        <v>799880</v>
      </c>
      <c r="W627" s="6">
        <v>362538</v>
      </c>
      <c r="Y627" s="6">
        <v>11582</v>
      </c>
      <c r="AA627" s="6">
        <v>789764</v>
      </c>
      <c r="AC627" s="6">
        <v>221725</v>
      </c>
      <c r="AE627" s="6">
        <v>50382</v>
      </c>
      <c r="AG627" s="11" t="s">
        <v>783</v>
      </c>
      <c r="AH627" s="11"/>
      <c r="AI627" s="11" t="s">
        <v>114</v>
      </c>
      <c r="AJ627" s="11"/>
      <c r="AK627" s="6">
        <v>0</v>
      </c>
      <c r="AM627" s="6">
        <v>265278</v>
      </c>
      <c r="AO627" s="6">
        <v>283853</v>
      </c>
      <c r="AQ627" s="6">
        <v>392626</v>
      </c>
      <c r="AU627" s="6">
        <v>0</v>
      </c>
      <c r="AW627" s="6">
        <f t="shared" si="60"/>
        <v>8747629</v>
      </c>
      <c r="AY627" s="6">
        <f>+'St of Activites - GA Rev'!AG627-'St of Activities - GA Exp'!AW627</f>
        <v>297463</v>
      </c>
      <c r="BA627" s="6">
        <v>3640087</v>
      </c>
      <c r="BC627" s="6">
        <f t="shared" si="61"/>
        <v>3937550</v>
      </c>
      <c r="BE627" s="6">
        <f>+'St of Net Assets - GA'!Y627-'St of Activities - GA Exp'!BC627</f>
        <v>0</v>
      </c>
    </row>
    <row r="628" spans="1:57">
      <c r="A628" s="11" t="s">
        <v>409</v>
      </c>
      <c r="B628" s="11"/>
      <c r="C628" s="11" t="s">
        <v>45</v>
      </c>
      <c r="E628" s="6">
        <v>62536337</v>
      </c>
      <c r="G628" s="6">
        <v>15085053</v>
      </c>
      <c r="I628" s="6">
        <v>2676606</v>
      </c>
      <c r="K628" s="6">
        <v>744914</v>
      </c>
      <c r="M628" s="6">
        <v>634325</v>
      </c>
      <c r="O628" s="6">
        <v>6436086</v>
      </c>
      <c r="Q628" s="6">
        <v>10656711</v>
      </c>
      <c r="S628" s="6">
        <v>473079</v>
      </c>
      <c r="U628" s="6">
        <v>7141076</v>
      </c>
      <c r="W628" s="6">
        <v>1470316</v>
      </c>
      <c r="Y628" s="6">
        <v>775245</v>
      </c>
      <c r="AA628" s="6">
        <v>10894266</v>
      </c>
      <c r="AC628" s="6">
        <v>6140511</v>
      </c>
      <c r="AE628" s="6">
        <v>1381888</v>
      </c>
      <c r="AG628" s="11" t="s">
        <v>409</v>
      </c>
      <c r="AH628" s="11"/>
      <c r="AI628" s="11" t="s">
        <v>45</v>
      </c>
      <c r="AJ628" s="11"/>
      <c r="AK628" s="6">
        <v>3244078</v>
      </c>
      <c r="AM628" s="6">
        <v>2273619</v>
      </c>
      <c r="AO628" s="6">
        <v>1029595</v>
      </c>
      <c r="AQ628" s="6">
        <v>1261321</v>
      </c>
      <c r="AU628" s="6">
        <v>0</v>
      </c>
      <c r="AW628" s="6">
        <f t="shared" si="60"/>
        <v>134855026</v>
      </c>
      <c r="AY628" s="6">
        <f>+'St of Activites - GA Rev'!AG628-'St of Activities - GA Exp'!AW628</f>
        <v>-3764217</v>
      </c>
      <c r="BA628" s="6">
        <v>135869340</v>
      </c>
      <c r="BC628" s="6">
        <f t="shared" si="61"/>
        <v>132105123</v>
      </c>
      <c r="BE628" s="6">
        <f>+'St of Net Assets - GA'!Y628-'St of Activities - GA Exp'!BC628</f>
        <v>0</v>
      </c>
    </row>
    <row r="629" spans="1:57">
      <c r="A629" s="11" t="s">
        <v>477</v>
      </c>
      <c r="B629" s="11"/>
      <c r="C629" s="11" t="s">
        <v>58</v>
      </c>
      <c r="E629" s="6">
        <v>7346683</v>
      </c>
      <c r="G629" s="6">
        <v>1533040</v>
      </c>
      <c r="I629" s="6">
        <v>9647</v>
      </c>
      <c r="K629" s="6">
        <v>0</v>
      </c>
      <c r="M629" s="6">
        <v>147180</v>
      </c>
      <c r="O629" s="6">
        <v>626734</v>
      </c>
      <c r="Q629" s="6">
        <v>403282</v>
      </c>
      <c r="S629" s="6">
        <v>124650</v>
      </c>
      <c r="U629" s="6">
        <v>869155</v>
      </c>
      <c r="W629" s="6">
        <v>414246</v>
      </c>
      <c r="Y629" s="6">
        <v>1394204</v>
      </c>
      <c r="AA629" s="6">
        <v>1114225</v>
      </c>
      <c r="AC629" s="6">
        <v>154803</v>
      </c>
      <c r="AE629" s="6">
        <v>0</v>
      </c>
      <c r="AG629" s="11" t="s">
        <v>477</v>
      </c>
      <c r="AH629" s="11"/>
      <c r="AI629" s="11" t="s">
        <v>58</v>
      </c>
      <c r="AJ629" s="11"/>
      <c r="AK629" s="6">
        <v>0</v>
      </c>
      <c r="AM629" s="6">
        <v>561523</v>
      </c>
      <c r="AO629" s="6">
        <v>450714</v>
      </c>
      <c r="AQ629" s="6">
        <v>202793</v>
      </c>
      <c r="AU629" s="6">
        <v>0</v>
      </c>
      <c r="AW629" s="6">
        <f t="shared" si="60"/>
        <v>15352879</v>
      </c>
      <c r="AY629" s="6">
        <f>+'St of Activites - GA Rev'!AG629-'St of Activities - GA Exp'!AW629</f>
        <v>-1520564</v>
      </c>
      <c r="BA629" s="6">
        <v>14453292</v>
      </c>
      <c r="BC629" s="6">
        <f t="shared" si="61"/>
        <v>12932728</v>
      </c>
      <c r="BE629" s="6">
        <f>+'St of Net Assets - GA'!Y629-'St of Activities - GA Exp'!BC629</f>
        <v>0</v>
      </c>
    </row>
    <row r="630" spans="1:57">
      <c r="A630" s="11" t="s">
        <v>448</v>
      </c>
      <c r="B630" s="11"/>
      <c r="C630" s="11" t="s">
        <v>51</v>
      </c>
      <c r="E630" s="6">
        <v>18294491</v>
      </c>
      <c r="G630" s="6">
        <v>8015656</v>
      </c>
      <c r="I630" s="6">
        <v>470970</v>
      </c>
      <c r="K630" s="6">
        <v>0</v>
      </c>
      <c r="M630" s="6">
        <v>145655</v>
      </c>
      <c r="O630" s="6">
        <v>2585687</v>
      </c>
      <c r="Q630" s="6">
        <v>3547576</v>
      </c>
      <c r="S630" s="6">
        <v>145153</v>
      </c>
      <c r="U630" s="6">
        <v>2250224</v>
      </c>
      <c r="W630" s="6">
        <v>613039</v>
      </c>
      <c r="Y630" s="6">
        <v>0</v>
      </c>
      <c r="AA630" s="6">
        <v>3629112</v>
      </c>
      <c r="AC630" s="6">
        <v>1438338</v>
      </c>
      <c r="AE630" s="6">
        <v>680339</v>
      </c>
      <c r="AG630" s="11" t="s">
        <v>448</v>
      </c>
      <c r="AH630" s="11"/>
      <c r="AI630" s="11" t="s">
        <v>51</v>
      </c>
      <c r="AJ630" s="11"/>
      <c r="AK630" s="6">
        <v>2291347</v>
      </c>
      <c r="AM630" s="6">
        <v>404662</v>
      </c>
      <c r="AO630" s="6">
        <v>720526</v>
      </c>
      <c r="AQ630" s="6">
        <v>2820773</v>
      </c>
      <c r="AU630" s="6">
        <v>0</v>
      </c>
      <c r="AW630" s="6">
        <f t="shared" si="60"/>
        <v>48053548</v>
      </c>
      <c r="AY630" s="6">
        <f>+'St of Activites - GA Rev'!AG630-'St of Activities - GA Exp'!AW630</f>
        <v>-3999963</v>
      </c>
      <c r="BA630" s="6">
        <v>72910833</v>
      </c>
      <c r="BC630" s="6">
        <f t="shared" si="61"/>
        <v>68910870</v>
      </c>
      <c r="BE630" s="6">
        <f>+'St of Net Assets - GA'!Y630-'St of Activities - GA Exp'!BC630</f>
        <v>0</v>
      </c>
    </row>
    <row r="631" spans="1:57">
      <c r="A631" s="11"/>
      <c r="B631" s="11"/>
      <c r="C631" s="11"/>
    </row>
    <row r="638" spans="1:57">
      <c r="A638" s="68"/>
      <c r="B638" s="68"/>
      <c r="C638" s="68"/>
      <c r="D638" s="68"/>
      <c r="E638" s="68"/>
      <c r="F638" s="68"/>
      <c r="G638" s="68"/>
      <c r="H638" s="68"/>
      <c r="I638" s="68"/>
      <c r="J638" s="68"/>
      <c r="K638" s="68"/>
      <c r="L638" s="68"/>
      <c r="M638" s="68"/>
      <c r="N638" s="68"/>
      <c r="O638" s="68"/>
    </row>
  </sheetData>
  <mergeCells count="3">
    <mergeCell ref="A1:J1"/>
    <mergeCell ref="A638:O638"/>
    <mergeCell ref="AG1:AR1"/>
  </mergeCells>
  <phoneticPr fontId="3" type="noConversion"/>
  <pageMargins left="0.9" right="0.75" top="0.5" bottom="0.5" header="0.25" footer="0.25"/>
  <pageSetup scale="77" firstPageNumber="44" fitToWidth="4" fitToHeight="18" pageOrder="overThenDown" orientation="portrait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31"/>
  <sheetViews>
    <sheetView view="pageBreakPreview" zoomScaleNormal="100" zoomScaleSheetLayoutView="100" workbookViewId="0">
      <pane xSplit="3" ySplit="9" topLeftCell="D10" activePane="bottomRight" state="frozen"/>
      <selection activeCell="A563" sqref="A563:XFD563"/>
      <selection pane="topRight" activeCell="A563" sqref="A563:XFD563"/>
      <selection pane="bottomLeft" activeCell="A563" sqref="A563:XFD563"/>
      <selection pane="bottomRight" activeCell="D10" sqref="D10"/>
    </sheetView>
  </sheetViews>
  <sheetFormatPr defaultColWidth="9.140625" defaultRowHeight="12"/>
  <cols>
    <col min="1" max="1" width="32" style="6" customWidth="1"/>
    <col min="2" max="2" width="1.7109375" style="6" customWidth="1"/>
    <col min="3" max="3" width="10.140625" style="6" bestFit="1" customWidth="1"/>
    <col min="4" max="4" width="1.7109375" style="6" customWidth="1"/>
    <col min="5" max="5" width="10.140625" style="6" bestFit="1" customWidth="1"/>
    <col min="6" max="6" width="1.7109375" style="6" customWidth="1"/>
    <col min="7" max="7" width="9.28515625" style="6" bestFit="1" customWidth="1"/>
    <col min="8" max="8" width="1.7109375" style="6" customWidth="1"/>
    <col min="9" max="9" width="10.140625" style="6" bestFit="1" customWidth="1"/>
    <col min="10" max="10" width="1.7109375" style="6" customWidth="1"/>
    <col min="11" max="11" width="10.140625" style="6" bestFit="1" customWidth="1"/>
    <col min="12" max="12" width="1.7109375" style="6" customWidth="1"/>
    <col min="13" max="13" width="10.140625" style="6" bestFit="1" customWidth="1"/>
    <col min="14" max="14" width="1.7109375" style="6" customWidth="1"/>
    <col min="15" max="15" width="10.140625" style="6" bestFit="1" customWidth="1"/>
    <col min="16" max="16" width="1.7109375" style="6" customWidth="1"/>
    <col min="17" max="17" width="11.7109375" style="6" customWidth="1"/>
    <col min="18" max="18" width="1.7109375" style="6" customWidth="1"/>
    <col min="19" max="19" width="11.7109375" style="6" customWidth="1"/>
    <col min="20" max="20" width="1.7109375" style="6" customWidth="1"/>
    <col min="21" max="21" width="11.7109375" style="6" customWidth="1"/>
    <col min="22" max="22" width="1.7109375" style="6" customWidth="1"/>
    <col min="23" max="23" width="11.7109375" style="6" customWidth="1"/>
    <col min="24" max="24" width="1.7109375" style="6" customWidth="1"/>
    <col min="25" max="25" width="11.7109375" style="6" customWidth="1"/>
    <col min="26" max="26" width="1.7109375" style="6" customWidth="1"/>
    <col min="27" max="27" width="11.7109375" style="6" customWidth="1"/>
    <col min="28" max="28" width="1.7109375" style="6" customWidth="1"/>
    <col min="29" max="29" width="11.7109375" style="6" customWidth="1"/>
    <col min="30" max="30" width="1.7109375" style="6" customWidth="1"/>
    <col min="31" max="31" width="11.7109375" style="6" hidden="1" customWidth="1"/>
    <col min="32" max="32" width="2.28515625" style="6" hidden="1" customWidth="1"/>
    <col min="33" max="16384" width="9.140625" style="6"/>
  </cols>
  <sheetData>
    <row r="1" spans="1:32">
      <c r="A1" s="24" t="s">
        <v>117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</row>
    <row r="2" spans="1:32">
      <c r="A2" s="24" t="s">
        <v>851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</row>
    <row r="3" spans="1:32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</row>
    <row r="4" spans="1:32">
      <c r="A4" s="13" t="s">
        <v>169</v>
      </c>
      <c r="B4" s="13"/>
      <c r="C4" s="13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AD4" s="9"/>
    </row>
    <row r="5" spans="1:32">
      <c r="A5" s="13"/>
      <c r="O5" s="14" t="s">
        <v>92</v>
      </c>
    </row>
    <row r="6" spans="1:32" s="13" customFormat="1">
      <c r="A6" s="45" t="s">
        <v>727</v>
      </c>
      <c r="B6" s="9"/>
      <c r="C6" s="9"/>
      <c r="D6" s="52"/>
      <c r="E6" s="66" t="s">
        <v>87</v>
      </c>
      <c r="F6" s="66"/>
      <c r="G6" s="66"/>
      <c r="H6" s="66"/>
      <c r="I6" s="66"/>
      <c r="J6" s="52"/>
      <c r="K6" s="52"/>
      <c r="L6" s="52"/>
      <c r="M6" s="53" t="s">
        <v>92</v>
      </c>
      <c r="N6" s="9"/>
      <c r="O6" s="53" t="s">
        <v>598</v>
      </c>
      <c r="P6" s="52"/>
      <c r="Q6" s="52"/>
      <c r="R6" s="52"/>
      <c r="S6" s="66" t="s">
        <v>846</v>
      </c>
      <c r="T6" s="66"/>
      <c r="U6" s="66"/>
      <c r="V6" s="66"/>
      <c r="W6" s="66"/>
      <c r="X6" s="66"/>
      <c r="Y6" s="66"/>
      <c r="Z6" s="66"/>
      <c r="AA6" s="66"/>
    </row>
    <row r="7" spans="1:32">
      <c r="A7" s="13"/>
      <c r="B7" s="13"/>
      <c r="C7" s="13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9"/>
      <c r="AE7" s="14" t="s">
        <v>133</v>
      </c>
      <c r="AF7" s="14"/>
    </row>
    <row r="8" spans="1:32">
      <c r="A8" s="54"/>
      <c r="B8" s="54"/>
      <c r="C8" s="54"/>
      <c r="D8" s="54"/>
      <c r="E8" s="54" t="s">
        <v>88</v>
      </c>
      <c r="F8" s="54"/>
      <c r="G8" s="54" t="s">
        <v>102</v>
      </c>
      <c r="H8" s="54"/>
      <c r="I8" s="54" t="s">
        <v>82</v>
      </c>
      <c r="J8" s="54"/>
      <c r="K8" s="54" t="s">
        <v>3</v>
      </c>
      <c r="L8" s="54"/>
      <c r="M8" s="54"/>
      <c r="N8" s="54"/>
      <c r="O8" s="54" t="s">
        <v>89</v>
      </c>
      <c r="P8" s="54"/>
      <c r="Q8" s="54" t="s">
        <v>3</v>
      </c>
      <c r="R8" s="54"/>
      <c r="S8" s="54" t="s">
        <v>731</v>
      </c>
      <c r="T8" s="54"/>
      <c r="U8" s="54" t="s">
        <v>102</v>
      </c>
      <c r="V8" s="54"/>
      <c r="W8" s="54" t="s">
        <v>732</v>
      </c>
      <c r="X8" s="54"/>
      <c r="Y8" s="54" t="s">
        <v>733</v>
      </c>
      <c r="Z8" s="54"/>
      <c r="AA8" s="54" t="s">
        <v>734</v>
      </c>
      <c r="AB8" s="54"/>
      <c r="AC8" s="54" t="s">
        <v>3</v>
      </c>
      <c r="AD8" s="9"/>
      <c r="AE8" s="14" t="s">
        <v>134</v>
      </c>
      <c r="AF8" s="14"/>
    </row>
    <row r="9" spans="1:32" s="9" customFormat="1">
      <c r="A9" s="53" t="s">
        <v>199</v>
      </c>
      <c r="B9" s="14"/>
      <c r="C9" s="53" t="s">
        <v>4</v>
      </c>
      <c r="D9" s="54"/>
      <c r="E9" s="53" t="s">
        <v>91</v>
      </c>
      <c r="F9" s="54"/>
      <c r="G9" s="53" t="s">
        <v>87</v>
      </c>
      <c r="H9" s="54"/>
      <c r="I9" s="53" t="s">
        <v>87</v>
      </c>
      <c r="J9" s="54"/>
      <c r="K9" s="53" t="s">
        <v>87</v>
      </c>
      <c r="L9" s="54"/>
      <c r="M9" s="53" t="s">
        <v>92</v>
      </c>
      <c r="N9" s="54"/>
      <c r="O9" s="53" t="s">
        <v>8</v>
      </c>
      <c r="P9" s="54"/>
      <c r="Q9" s="53" t="s">
        <v>92</v>
      </c>
      <c r="R9" s="54"/>
      <c r="S9" s="53" t="s">
        <v>93</v>
      </c>
      <c r="T9" s="54"/>
      <c r="U9" s="53" t="s">
        <v>93</v>
      </c>
      <c r="V9" s="54"/>
      <c r="W9" s="53" t="s">
        <v>93</v>
      </c>
      <c r="X9" s="54"/>
      <c r="Y9" s="53" t="s">
        <v>93</v>
      </c>
      <c r="Z9" s="54"/>
      <c r="AA9" s="53" t="s">
        <v>93</v>
      </c>
      <c r="AB9" s="54"/>
      <c r="AC9" s="53" t="s">
        <v>93</v>
      </c>
      <c r="AE9" s="53" t="s">
        <v>135</v>
      </c>
      <c r="AF9" s="54"/>
    </row>
    <row r="10" spans="1:32">
      <c r="A10" s="11"/>
      <c r="B10" s="11"/>
      <c r="C10" s="11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9"/>
    </row>
    <row r="11" spans="1:32" hidden="1">
      <c r="A11" s="11" t="s">
        <v>862</v>
      </c>
      <c r="B11" s="11"/>
      <c r="C11" s="11" t="s">
        <v>339</v>
      </c>
      <c r="I11" s="2">
        <f t="shared" ref="I11" si="0">+K11-G11-E11</f>
        <v>0</v>
      </c>
      <c r="M11" s="2">
        <f t="shared" ref="M11" si="1">+Q11-O11</f>
        <v>0</v>
      </c>
      <c r="AC11" s="12">
        <f t="shared" ref="AC11" si="2">+W11+U11++S11+Y11+AA11</f>
        <v>0</v>
      </c>
      <c r="AE11" s="6">
        <f t="shared" ref="AE11" si="3">+E11+G11+I11-M11-O11-W11-U11-S11-Y11-AA11</f>
        <v>0</v>
      </c>
    </row>
    <row r="12" spans="1:32" s="28" customFormat="1">
      <c r="A12" s="27" t="s">
        <v>788</v>
      </c>
      <c r="B12" s="27"/>
      <c r="C12" s="27" t="s">
        <v>200</v>
      </c>
      <c r="D12" s="55"/>
      <c r="E12" s="28">
        <v>7391697</v>
      </c>
      <c r="G12" s="28">
        <v>10038</v>
      </c>
      <c r="I12" s="30">
        <f>+K12-G12-E12</f>
        <v>7720269</v>
      </c>
      <c r="K12" s="28">
        <v>15122004</v>
      </c>
      <c r="M12" s="30">
        <f>+Q12-O12</f>
        <v>3022749</v>
      </c>
      <c r="O12" s="28">
        <v>6624302</v>
      </c>
      <c r="Q12" s="28">
        <v>9647051</v>
      </c>
      <c r="S12" s="28">
        <v>0</v>
      </c>
      <c r="U12" s="28">
        <v>0</v>
      </c>
      <c r="W12" s="28">
        <v>208466</v>
      </c>
      <c r="Y12" s="28">
        <v>134435</v>
      </c>
      <c r="AA12" s="28">
        <v>5132052</v>
      </c>
      <c r="AC12" s="37">
        <f>+W12+U12++S12+Y12+AA12</f>
        <v>5474953</v>
      </c>
      <c r="AE12" s="28">
        <f>+E12+G12+I12-M12-O12-W12-U12-S12-Y12-AA12</f>
        <v>0</v>
      </c>
    </row>
    <row r="13" spans="1:32">
      <c r="A13" s="11" t="s">
        <v>587</v>
      </c>
      <c r="B13" s="11"/>
      <c r="C13" s="11" t="s">
        <v>58</v>
      </c>
      <c r="E13" s="6">
        <v>4948749</v>
      </c>
      <c r="G13" s="6">
        <v>18692</v>
      </c>
      <c r="I13" s="2">
        <f t="shared" ref="I13:I83" si="4">+K13-G13-E13</f>
        <v>2280696</v>
      </c>
      <c r="K13" s="6">
        <v>7248137</v>
      </c>
      <c r="M13" s="2">
        <f t="shared" ref="M13:M81" si="5">+Q13-O13</f>
        <v>1022034</v>
      </c>
      <c r="O13" s="6">
        <v>1896310</v>
      </c>
      <c r="Q13" s="6">
        <v>2918344</v>
      </c>
      <c r="S13" s="6">
        <v>0</v>
      </c>
      <c r="U13" s="6">
        <v>18692</v>
      </c>
      <c r="W13" s="6">
        <v>143241</v>
      </c>
      <c r="Y13" s="6">
        <v>150484</v>
      </c>
      <c r="AA13" s="6">
        <v>4017376</v>
      </c>
      <c r="AC13" s="12">
        <f t="shared" ref="AC13:AC81" si="6">+W13+U13++S13+Y13+AA13</f>
        <v>4329793</v>
      </c>
      <c r="AE13" s="6">
        <f t="shared" ref="AE13:AE81" si="7">+E13+G13+I13-M13-O13-W13-U13-S13-Y13-AA13</f>
        <v>0</v>
      </c>
    </row>
    <row r="14" spans="1:32">
      <c r="A14" s="11" t="s">
        <v>506</v>
      </c>
      <c r="B14" s="11"/>
      <c r="C14" s="11" t="s">
        <v>63</v>
      </c>
      <c r="E14" s="6">
        <f>4149354+20252320+5000</f>
        <v>24406674</v>
      </c>
      <c r="G14" s="6">
        <v>0</v>
      </c>
      <c r="I14" s="2">
        <f t="shared" si="4"/>
        <v>118632772</v>
      </c>
      <c r="K14" s="6">
        <v>143039446</v>
      </c>
      <c r="M14" s="2">
        <f t="shared" si="5"/>
        <v>24495414</v>
      </c>
      <c r="O14" s="6">
        <v>107583486</v>
      </c>
      <c r="Q14" s="6">
        <v>132078900</v>
      </c>
      <c r="S14" s="6">
        <v>126583</v>
      </c>
      <c r="U14" s="6">
        <v>0</v>
      </c>
      <c r="W14" s="6">
        <v>111747</v>
      </c>
      <c r="Y14" s="6">
        <v>1812144</v>
      </c>
      <c r="AA14" s="6">
        <v>8910072</v>
      </c>
      <c r="AC14" s="12">
        <f t="shared" si="6"/>
        <v>10960546</v>
      </c>
      <c r="AE14" s="6">
        <f t="shared" si="7"/>
        <v>0</v>
      </c>
    </row>
    <row r="15" spans="1:32" hidden="1">
      <c r="A15" s="11" t="s">
        <v>617</v>
      </c>
      <c r="B15" s="11"/>
      <c r="C15" s="11" t="s">
        <v>13</v>
      </c>
      <c r="I15" s="2">
        <f t="shared" si="4"/>
        <v>0</v>
      </c>
      <c r="M15" s="2">
        <f t="shared" si="5"/>
        <v>0</v>
      </c>
      <c r="AC15" s="12">
        <f t="shared" si="6"/>
        <v>0</v>
      </c>
      <c r="AE15" s="6">
        <f t="shared" si="7"/>
        <v>0</v>
      </c>
    </row>
    <row r="16" spans="1:32" hidden="1">
      <c r="A16" s="11" t="s">
        <v>864</v>
      </c>
      <c r="B16" s="11"/>
      <c r="C16" s="11" t="s">
        <v>10</v>
      </c>
      <c r="D16" s="54"/>
      <c r="I16" s="2">
        <f t="shared" ref="I16" si="8">+K16-G16-E16</f>
        <v>0</v>
      </c>
      <c r="M16" s="2">
        <f t="shared" ref="M16" si="9">+Q16-O16</f>
        <v>0</v>
      </c>
      <c r="AC16" s="12">
        <f t="shared" ref="AC16" si="10">+W16+U16++S16+Y16+AA16</f>
        <v>0</v>
      </c>
      <c r="AE16" s="6">
        <f t="shared" ref="AE16" si="11">+E16+G16+I16-M16-O16-W16-U16-S16-Y16-AA16</f>
        <v>0</v>
      </c>
    </row>
    <row r="17" spans="1:31">
      <c r="A17" s="11" t="s">
        <v>493</v>
      </c>
      <c r="B17" s="11"/>
      <c r="C17" s="11" t="s">
        <v>62</v>
      </c>
      <c r="E17" s="6">
        <f>5903232</f>
        <v>5903232</v>
      </c>
      <c r="G17" s="6">
        <v>300868</v>
      </c>
      <c r="I17" s="2">
        <f t="shared" si="4"/>
        <v>7939265</v>
      </c>
      <c r="K17" s="6">
        <v>14143365</v>
      </c>
      <c r="M17" s="2">
        <f t="shared" si="5"/>
        <v>3854085</v>
      </c>
      <c r="O17" s="6">
        <v>7349625</v>
      </c>
      <c r="Q17" s="6">
        <v>11203710</v>
      </c>
      <c r="S17" s="6">
        <v>60234</v>
      </c>
      <c r="U17" s="6">
        <v>300868</v>
      </c>
      <c r="W17" s="6">
        <v>133067</v>
      </c>
      <c r="Y17" s="6">
        <v>2180295</v>
      </c>
      <c r="AA17" s="6">
        <v>265191</v>
      </c>
      <c r="AC17" s="12">
        <f t="shared" si="6"/>
        <v>2939655</v>
      </c>
      <c r="AE17" s="6">
        <f t="shared" si="7"/>
        <v>0</v>
      </c>
    </row>
    <row r="18" spans="1:31">
      <c r="A18" s="11" t="s">
        <v>292</v>
      </c>
      <c r="B18" s="11"/>
      <c r="C18" s="11" t="s">
        <v>25</v>
      </c>
      <c r="E18" s="6">
        <v>3386037</v>
      </c>
      <c r="G18" s="6">
        <v>0</v>
      </c>
      <c r="I18" s="2">
        <f t="shared" si="4"/>
        <v>3532682</v>
      </c>
      <c r="K18" s="6">
        <v>6918719</v>
      </c>
      <c r="M18" s="2">
        <f t="shared" si="5"/>
        <v>1450806</v>
      </c>
      <c r="O18" s="6">
        <v>3011635</v>
      </c>
      <c r="Q18" s="6">
        <v>4462441</v>
      </c>
      <c r="S18" s="6">
        <v>0</v>
      </c>
      <c r="U18" s="6">
        <v>0</v>
      </c>
      <c r="W18" s="6">
        <v>0</v>
      </c>
      <c r="Y18" s="6">
        <v>142810</v>
      </c>
      <c r="AA18" s="6">
        <v>2313468</v>
      </c>
      <c r="AC18" s="12">
        <f t="shared" si="6"/>
        <v>2456278</v>
      </c>
      <c r="AE18" s="6">
        <f t="shared" si="7"/>
        <v>0</v>
      </c>
    </row>
    <row r="19" spans="1:31">
      <c r="A19" s="11" t="s">
        <v>749</v>
      </c>
      <c r="B19" s="11"/>
      <c r="C19" s="11" t="s">
        <v>44</v>
      </c>
      <c r="D19" s="54"/>
      <c r="E19" s="6">
        <f>5926322+750083</f>
        <v>6676405</v>
      </c>
      <c r="G19" s="6">
        <v>442773</v>
      </c>
      <c r="I19" s="2">
        <f t="shared" si="4"/>
        <v>15544033</v>
      </c>
      <c r="K19" s="6">
        <v>22663211</v>
      </c>
      <c r="M19" s="2">
        <f t="shared" si="5"/>
        <v>4671356</v>
      </c>
      <c r="O19" s="6">
        <v>13699868</v>
      </c>
      <c r="Q19" s="6">
        <v>18371224</v>
      </c>
      <c r="S19" s="6">
        <v>0</v>
      </c>
      <c r="U19" s="6">
        <v>449466</v>
      </c>
      <c r="W19" s="6">
        <v>0</v>
      </c>
      <c r="Y19" s="6">
        <v>399705</v>
      </c>
      <c r="AA19" s="6">
        <v>3442816</v>
      </c>
      <c r="AC19" s="12">
        <f t="shared" si="6"/>
        <v>4291987</v>
      </c>
      <c r="AE19" s="6">
        <f t="shared" si="7"/>
        <v>0</v>
      </c>
    </row>
    <row r="20" spans="1:31">
      <c r="A20" s="11" t="s">
        <v>804</v>
      </c>
      <c r="B20" s="11"/>
      <c r="C20" s="11" t="s">
        <v>61</v>
      </c>
      <c r="E20" s="6">
        <v>3085696</v>
      </c>
      <c r="G20" s="6">
        <v>70953</v>
      </c>
      <c r="I20" s="2">
        <f t="shared" si="4"/>
        <v>3536283</v>
      </c>
      <c r="K20" s="6">
        <v>6692932</v>
      </c>
      <c r="M20" s="2">
        <f t="shared" si="5"/>
        <v>991650</v>
      </c>
      <c r="O20" s="6">
        <v>2744313</v>
      </c>
      <c r="Q20" s="6">
        <v>3735963</v>
      </c>
      <c r="S20" s="6">
        <v>0</v>
      </c>
      <c r="U20" s="6">
        <v>70953</v>
      </c>
      <c r="W20" s="6">
        <v>0</v>
      </c>
      <c r="Y20" s="6">
        <v>169926</v>
      </c>
      <c r="AA20" s="6">
        <v>2716090</v>
      </c>
      <c r="AC20" s="12">
        <f t="shared" si="6"/>
        <v>2956969</v>
      </c>
      <c r="AE20" s="6">
        <f t="shared" si="7"/>
        <v>0</v>
      </c>
    </row>
    <row r="21" spans="1:31" hidden="1">
      <c r="A21" s="11" t="s">
        <v>691</v>
      </c>
      <c r="B21" s="11"/>
      <c r="C21" s="11" t="s">
        <v>603</v>
      </c>
      <c r="I21" s="2">
        <f t="shared" si="4"/>
        <v>0</v>
      </c>
      <c r="M21" s="2">
        <f t="shared" si="5"/>
        <v>0</v>
      </c>
      <c r="AC21" s="12">
        <f t="shared" si="6"/>
        <v>0</v>
      </c>
      <c r="AE21" s="6">
        <f t="shared" si="7"/>
        <v>0</v>
      </c>
    </row>
    <row r="22" spans="1:31">
      <c r="A22" s="11" t="s">
        <v>390</v>
      </c>
      <c r="B22" s="11"/>
      <c r="C22" s="11" t="s">
        <v>115</v>
      </c>
      <c r="E22" s="6">
        <v>7755838</v>
      </c>
      <c r="G22" s="6">
        <v>0</v>
      </c>
      <c r="I22" s="2">
        <f t="shared" si="4"/>
        <v>21270000</v>
      </c>
      <c r="K22" s="6">
        <v>29025838</v>
      </c>
      <c r="M22" s="2">
        <f t="shared" si="5"/>
        <v>4847183</v>
      </c>
      <c r="O22" s="6">
        <f>580073+19582626</f>
        <v>20162699</v>
      </c>
      <c r="Q22" s="6">
        <v>25009882</v>
      </c>
      <c r="S22" s="6">
        <f>64596+2425</f>
        <v>67021</v>
      </c>
      <c r="U22" s="6">
        <v>0</v>
      </c>
      <c r="W22" s="6">
        <v>0</v>
      </c>
      <c r="Y22" s="6">
        <f>131475+247498+350+99193+1497+2068358</f>
        <v>2548371</v>
      </c>
      <c r="AA22" s="6">
        <v>1400564</v>
      </c>
      <c r="AC22" s="12">
        <f t="shared" si="6"/>
        <v>4015956</v>
      </c>
      <c r="AE22" s="6">
        <f t="shared" si="7"/>
        <v>0</v>
      </c>
    </row>
    <row r="23" spans="1:31" hidden="1">
      <c r="A23" s="11" t="s">
        <v>865</v>
      </c>
      <c r="B23" s="11"/>
      <c r="C23" s="11" t="s">
        <v>450</v>
      </c>
      <c r="I23" s="2">
        <f t="shared" ref="I23" si="12">+K23-G23-E23</f>
        <v>0</v>
      </c>
      <c r="M23" s="2">
        <f t="shared" ref="M23" si="13">+Q23-O23</f>
        <v>0</v>
      </c>
      <c r="AC23" s="12">
        <f t="shared" ref="AC23" si="14">+W23+U23++S23+Y23+AA23</f>
        <v>0</v>
      </c>
      <c r="AE23" s="6">
        <f t="shared" ref="AE23" si="15">+E23+G23+I23-M23-O23-W23-U23-S23-Y23-AA23</f>
        <v>0</v>
      </c>
    </row>
    <row r="24" spans="1:31">
      <c r="A24" s="11" t="s">
        <v>334</v>
      </c>
      <c r="B24" s="11"/>
      <c r="C24" s="11" t="s">
        <v>33</v>
      </c>
      <c r="E24" s="6">
        <v>3850094</v>
      </c>
      <c r="G24" s="6">
        <v>61510</v>
      </c>
      <c r="I24" s="2">
        <f t="shared" si="4"/>
        <v>2505325</v>
      </c>
      <c r="K24" s="6">
        <v>6416929</v>
      </c>
      <c r="M24" s="2">
        <f t="shared" si="5"/>
        <v>580509</v>
      </c>
      <c r="O24" s="6">
        <v>1920265</v>
      </c>
      <c r="Q24" s="6">
        <v>2500774</v>
      </c>
      <c r="S24" s="6">
        <v>9785</v>
      </c>
      <c r="U24" s="6">
        <v>61510</v>
      </c>
      <c r="W24" s="6">
        <v>0</v>
      </c>
      <c r="Y24" s="6">
        <v>53100</v>
      </c>
      <c r="AA24" s="6">
        <v>3791760</v>
      </c>
      <c r="AC24" s="12">
        <f t="shared" si="6"/>
        <v>3916155</v>
      </c>
      <c r="AE24" s="6">
        <f t="shared" si="7"/>
        <v>0</v>
      </c>
    </row>
    <row r="25" spans="1:31" hidden="1">
      <c r="A25" s="11" t="s">
        <v>670</v>
      </c>
      <c r="B25" s="11"/>
      <c r="C25" s="11" t="s">
        <v>21</v>
      </c>
      <c r="I25" s="2">
        <f t="shared" si="4"/>
        <v>0</v>
      </c>
      <c r="M25" s="2">
        <f t="shared" si="5"/>
        <v>0</v>
      </c>
      <c r="AC25" s="12">
        <f t="shared" si="6"/>
        <v>0</v>
      </c>
      <c r="AE25" s="6">
        <f t="shared" si="7"/>
        <v>0</v>
      </c>
    </row>
    <row r="26" spans="1:31">
      <c r="A26" s="11" t="s">
        <v>866</v>
      </c>
      <c r="B26" s="11"/>
      <c r="C26" s="11" t="s">
        <v>28</v>
      </c>
      <c r="E26" s="6">
        <v>4701410</v>
      </c>
      <c r="G26" s="6">
        <v>0</v>
      </c>
      <c r="I26" s="2">
        <f t="shared" si="4"/>
        <v>6115424</v>
      </c>
      <c r="K26" s="6">
        <v>10816834</v>
      </c>
      <c r="M26" s="2">
        <f t="shared" si="5"/>
        <v>1171085</v>
      </c>
      <c r="O26" s="6">
        <v>5802077</v>
      </c>
      <c r="Q26" s="6">
        <v>6973162</v>
      </c>
      <c r="S26" s="6">
        <v>0</v>
      </c>
      <c r="U26" s="6">
        <v>0</v>
      </c>
      <c r="W26" s="6">
        <v>0</v>
      </c>
      <c r="Y26" s="6">
        <v>49472</v>
      </c>
      <c r="AA26" s="6">
        <v>3794200</v>
      </c>
      <c r="AC26" s="12">
        <f t="shared" si="6"/>
        <v>3843672</v>
      </c>
      <c r="AE26" s="6">
        <f t="shared" si="7"/>
        <v>0</v>
      </c>
    </row>
    <row r="27" spans="1:31">
      <c r="A27" s="11" t="s">
        <v>335</v>
      </c>
      <c r="B27" s="11"/>
      <c r="C27" s="11" t="s">
        <v>33</v>
      </c>
      <c r="E27" s="6">
        <v>1702504</v>
      </c>
      <c r="G27" s="6">
        <v>381530</v>
      </c>
      <c r="I27" s="2">
        <f t="shared" si="4"/>
        <v>1762253</v>
      </c>
      <c r="K27" s="6">
        <v>3846287</v>
      </c>
      <c r="M27" s="2">
        <f t="shared" si="5"/>
        <v>671562</v>
      </c>
      <c r="O27" s="6">
        <v>1191061</v>
      </c>
      <c r="Q27" s="6">
        <v>1862623</v>
      </c>
      <c r="S27" s="6">
        <v>33871</v>
      </c>
      <c r="U27" s="6">
        <v>381530</v>
      </c>
      <c r="W27" s="6">
        <v>7334</v>
      </c>
      <c r="Y27" s="6">
        <v>75812</v>
      </c>
      <c r="AA27" s="6">
        <v>1485117</v>
      </c>
      <c r="AC27" s="12">
        <f t="shared" si="6"/>
        <v>1983664</v>
      </c>
      <c r="AE27" s="6">
        <f t="shared" si="7"/>
        <v>0</v>
      </c>
    </row>
    <row r="28" spans="1:31">
      <c r="A28" s="11" t="s">
        <v>203</v>
      </c>
      <c r="B28" s="11"/>
      <c r="C28" s="11" t="s">
        <v>11</v>
      </c>
      <c r="E28" s="6">
        <v>5864631</v>
      </c>
      <c r="G28" s="6">
        <v>0</v>
      </c>
      <c r="I28" s="2">
        <f t="shared" si="4"/>
        <v>15048603</v>
      </c>
      <c r="K28" s="6">
        <v>20913234</v>
      </c>
      <c r="M28" s="2">
        <f t="shared" si="5"/>
        <v>3625672</v>
      </c>
      <c r="O28" s="6">
        <v>11949239</v>
      </c>
      <c r="Q28" s="6">
        <v>15574911</v>
      </c>
      <c r="S28" s="6">
        <v>10487</v>
      </c>
      <c r="U28" s="6">
        <v>0</v>
      </c>
      <c r="W28" s="6">
        <v>0</v>
      </c>
      <c r="Y28" s="6">
        <v>1565551</v>
      </c>
      <c r="AA28" s="6">
        <v>3762285</v>
      </c>
      <c r="AC28" s="12">
        <f t="shared" si="6"/>
        <v>5338323</v>
      </c>
      <c r="AE28" s="6">
        <f t="shared" si="7"/>
        <v>0</v>
      </c>
    </row>
    <row r="29" spans="1:31">
      <c r="A29" s="11" t="s">
        <v>669</v>
      </c>
      <c r="B29" s="11"/>
      <c r="C29" s="11" t="s">
        <v>12</v>
      </c>
      <c r="E29" s="6">
        <v>662396</v>
      </c>
      <c r="G29" s="6">
        <v>0</v>
      </c>
      <c r="I29" s="2">
        <f t="shared" si="4"/>
        <v>9733724</v>
      </c>
      <c r="K29" s="6">
        <v>10396120</v>
      </c>
      <c r="M29" s="2">
        <f t="shared" si="5"/>
        <v>4058042</v>
      </c>
      <c r="O29" s="6">
        <v>5393222</v>
      </c>
      <c r="Q29" s="6">
        <v>9451264</v>
      </c>
      <c r="S29" s="6">
        <v>146679</v>
      </c>
      <c r="U29" s="6">
        <v>22000</v>
      </c>
      <c r="W29" s="6">
        <v>0</v>
      </c>
      <c r="Y29" s="6">
        <v>304027</v>
      </c>
      <c r="AA29" s="6">
        <v>472150</v>
      </c>
      <c r="AC29" s="12">
        <f t="shared" si="6"/>
        <v>944856</v>
      </c>
      <c r="AE29" s="6">
        <f t="shared" si="7"/>
        <v>0</v>
      </c>
    </row>
    <row r="30" spans="1:31">
      <c r="A30" s="11" t="s">
        <v>210</v>
      </c>
      <c r="B30" s="11"/>
      <c r="C30" s="11" t="s">
        <v>13</v>
      </c>
      <c r="E30" s="6">
        <v>8157785</v>
      </c>
      <c r="G30" s="6">
        <v>0</v>
      </c>
      <c r="I30" s="2">
        <f t="shared" si="4"/>
        <v>15521795</v>
      </c>
      <c r="K30" s="6">
        <v>23679580</v>
      </c>
      <c r="M30" s="2">
        <f t="shared" si="5"/>
        <v>3098090</v>
      </c>
      <c r="O30" s="6">
        <v>13010692</v>
      </c>
      <c r="Q30" s="6">
        <v>16108782</v>
      </c>
      <c r="S30" s="6">
        <v>108633</v>
      </c>
      <c r="U30" s="6">
        <v>0</v>
      </c>
      <c r="W30" s="6">
        <v>0</v>
      </c>
      <c r="Y30" s="6">
        <v>566558</v>
      </c>
      <c r="AA30" s="6">
        <v>6895607</v>
      </c>
      <c r="AC30" s="12">
        <f t="shared" si="6"/>
        <v>7570798</v>
      </c>
      <c r="AE30" s="6">
        <f t="shared" si="7"/>
        <v>0</v>
      </c>
    </row>
    <row r="31" spans="1:31">
      <c r="A31" s="11" t="s">
        <v>459</v>
      </c>
      <c r="B31" s="11"/>
      <c r="C31" s="11" t="s">
        <v>56</v>
      </c>
      <c r="E31" s="6">
        <v>3692136</v>
      </c>
      <c r="G31" s="6">
        <v>0</v>
      </c>
      <c r="I31" s="2">
        <f t="shared" si="4"/>
        <v>20899475</v>
      </c>
      <c r="K31" s="6">
        <v>24591611</v>
      </c>
      <c r="M31" s="2">
        <f t="shared" si="5"/>
        <v>3161329</v>
      </c>
      <c r="O31" s="6">
        <v>19118586</v>
      </c>
      <c r="Q31" s="6">
        <v>22279915</v>
      </c>
      <c r="S31" s="6">
        <v>0</v>
      </c>
      <c r="U31" s="6">
        <v>0</v>
      </c>
      <c r="W31" s="6">
        <v>0</v>
      </c>
      <c r="Y31" s="6">
        <v>2311696</v>
      </c>
      <c r="AA31" s="6">
        <v>0</v>
      </c>
      <c r="AC31" s="12">
        <f t="shared" si="6"/>
        <v>2311696</v>
      </c>
      <c r="AE31" s="6">
        <f t="shared" si="7"/>
        <v>0</v>
      </c>
    </row>
    <row r="32" spans="1:31">
      <c r="A32" s="11" t="s">
        <v>401</v>
      </c>
      <c r="B32" s="11"/>
      <c r="C32" s="11" t="s">
        <v>45</v>
      </c>
      <c r="E32" s="6">
        <v>6603727</v>
      </c>
      <c r="G32" s="6">
        <v>8395</v>
      </c>
      <c r="I32" s="2">
        <f t="shared" si="4"/>
        <v>18380794</v>
      </c>
      <c r="K32" s="6">
        <v>24992916</v>
      </c>
      <c r="M32" s="2">
        <f t="shared" si="5"/>
        <v>4881880</v>
      </c>
      <c r="O32" s="6">
        <f>2593529+15615000</f>
        <v>18208529</v>
      </c>
      <c r="Q32" s="6">
        <v>23090409</v>
      </c>
      <c r="S32" s="6">
        <v>35745</v>
      </c>
      <c r="U32" s="6">
        <v>8395</v>
      </c>
      <c r="W32" s="6">
        <v>0</v>
      </c>
      <c r="Y32" s="6">
        <v>1858367</v>
      </c>
      <c r="AA32" s="6">
        <v>0</v>
      </c>
      <c r="AC32" s="12">
        <f t="shared" si="6"/>
        <v>1902507</v>
      </c>
      <c r="AE32" s="6">
        <f t="shared" si="7"/>
        <v>0</v>
      </c>
    </row>
    <row r="33" spans="1:31">
      <c r="A33" s="11" t="s">
        <v>380</v>
      </c>
      <c r="B33" s="11"/>
      <c r="C33" s="11" t="s">
        <v>44</v>
      </c>
      <c r="E33" s="6">
        <v>10011591</v>
      </c>
      <c r="G33" s="6">
        <v>113990</v>
      </c>
      <c r="I33" s="2">
        <f t="shared" si="4"/>
        <v>27633357</v>
      </c>
      <c r="K33" s="6">
        <v>37758938</v>
      </c>
      <c r="M33" s="2">
        <f t="shared" si="5"/>
        <v>4928620</v>
      </c>
      <c r="O33" s="6">
        <v>23572551</v>
      </c>
      <c r="Q33" s="6">
        <v>28501171</v>
      </c>
      <c r="S33" s="6">
        <v>45491</v>
      </c>
      <c r="U33" s="6">
        <v>0</v>
      </c>
      <c r="W33" s="6">
        <v>113990</v>
      </c>
      <c r="Y33" s="6">
        <v>2359708</v>
      </c>
      <c r="AA33" s="6">
        <v>6738578</v>
      </c>
      <c r="AC33" s="12">
        <f t="shared" si="6"/>
        <v>9257767</v>
      </c>
      <c r="AE33" s="6">
        <f t="shared" si="7"/>
        <v>0</v>
      </c>
    </row>
    <row r="34" spans="1:31">
      <c r="A34" s="11" t="s">
        <v>381</v>
      </c>
      <c r="B34" s="11"/>
      <c r="C34" s="11" t="s">
        <v>44</v>
      </c>
      <c r="E34" s="6">
        <v>12309018</v>
      </c>
      <c r="G34" s="6">
        <v>0</v>
      </c>
      <c r="I34" s="2">
        <f t="shared" si="4"/>
        <v>24145056</v>
      </c>
      <c r="K34" s="6">
        <v>36454074</v>
      </c>
      <c r="M34" s="2">
        <f t="shared" si="5"/>
        <v>3836238</v>
      </c>
      <c r="O34" s="6">
        <v>21081946</v>
      </c>
      <c r="Q34" s="6">
        <v>24918184</v>
      </c>
      <c r="S34" s="6">
        <v>0</v>
      </c>
      <c r="U34" s="6">
        <v>0</v>
      </c>
      <c r="W34" s="6">
        <v>0</v>
      </c>
      <c r="Y34" s="6">
        <v>501891</v>
      </c>
      <c r="AA34" s="6">
        <v>11033999</v>
      </c>
      <c r="AC34" s="12">
        <f t="shared" si="6"/>
        <v>11535890</v>
      </c>
      <c r="AE34" s="6">
        <f t="shared" si="7"/>
        <v>0</v>
      </c>
    </row>
    <row r="35" spans="1:31">
      <c r="A35" s="11" t="s">
        <v>283</v>
      </c>
      <c r="B35" s="11"/>
      <c r="C35" s="11" t="s">
        <v>22</v>
      </c>
      <c r="E35" s="6">
        <v>4178319</v>
      </c>
      <c r="G35" s="6">
        <v>1056</v>
      </c>
      <c r="I35" s="2">
        <f t="shared" si="4"/>
        <v>2775425</v>
      </c>
      <c r="K35" s="6">
        <v>6954800</v>
      </c>
      <c r="M35" s="2">
        <f t="shared" si="5"/>
        <v>911600</v>
      </c>
      <c r="O35" s="6">
        <v>2119393</v>
      </c>
      <c r="Q35" s="6">
        <v>3030993</v>
      </c>
      <c r="S35" s="6">
        <f>31554+12887</f>
        <v>44441</v>
      </c>
      <c r="U35" s="6">
        <v>0</v>
      </c>
      <c r="W35" s="6">
        <f>82254+217888</f>
        <v>300142</v>
      </c>
      <c r="Y35" s="6">
        <f>71676+65891+4933</f>
        <v>142500</v>
      </c>
      <c r="AA35" s="6">
        <v>3436724</v>
      </c>
      <c r="AC35" s="12">
        <f t="shared" si="6"/>
        <v>3923807</v>
      </c>
      <c r="AE35" s="6">
        <f t="shared" si="7"/>
        <v>0</v>
      </c>
    </row>
    <row r="36" spans="1:31">
      <c r="A36" s="11" t="s">
        <v>507</v>
      </c>
      <c r="B36" s="11"/>
      <c r="C36" s="11" t="s">
        <v>63</v>
      </c>
      <c r="E36" s="6">
        <v>5949658</v>
      </c>
      <c r="G36" s="6">
        <v>0</v>
      </c>
      <c r="I36" s="2">
        <f t="shared" si="4"/>
        <v>12895146</v>
      </c>
      <c r="K36" s="6">
        <v>18844804</v>
      </c>
      <c r="M36" s="2">
        <f t="shared" si="5"/>
        <v>4512025</v>
      </c>
      <c r="O36" s="6">
        <f>1866332+9282494</f>
        <v>11148826</v>
      </c>
      <c r="Q36" s="6">
        <v>15660851</v>
      </c>
      <c r="S36" s="6">
        <v>79756</v>
      </c>
      <c r="U36" s="6">
        <v>0</v>
      </c>
      <c r="W36" s="6">
        <v>0</v>
      </c>
      <c r="Y36" s="6">
        <f>150185+183219+936397+4693+1609052+227734</f>
        <v>3111280</v>
      </c>
      <c r="AA36" s="6">
        <v>-7083</v>
      </c>
      <c r="AC36" s="12">
        <f t="shared" si="6"/>
        <v>3183953</v>
      </c>
      <c r="AE36" s="6">
        <f t="shared" si="7"/>
        <v>0</v>
      </c>
    </row>
    <row r="37" spans="1:31">
      <c r="A37" s="11" t="s">
        <v>750</v>
      </c>
      <c r="B37" s="11"/>
      <c r="C37" s="11" t="s">
        <v>15</v>
      </c>
      <c r="E37" s="6">
        <v>3410397</v>
      </c>
      <c r="G37" s="6">
        <v>0</v>
      </c>
      <c r="I37" s="2">
        <f t="shared" si="4"/>
        <v>4269820</v>
      </c>
      <c r="K37" s="6">
        <v>7680217</v>
      </c>
      <c r="M37" s="2">
        <f t="shared" si="5"/>
        <v>896024</v>
      </c>
      <c r="O37" s="6">
        <v>3756294</v>
      </c>
      <c r="Q37" s="6">
        <v>4652318</v>
      </c>
      <c r="S37" s="6">
        <f>16951+299639</f>
        <v>316590</v>
      </c>
      <c r="U37" s="6">
        <v>0</v>
      </c>
      <c r="W37" s="6">
        <v>206350</v>
      </c>
      <c r="Y37" s="6">
        <v>315320</v>
      </c>
      <c r="AA37" s="6">
        <v>2189639</v>
      </c>
      <c r="AC37" s="12">
        <f t="shared" si="6"/>
        <v>3027899</v>
      </c>
      <c r="AE37" s="6">
        <f t="shared" si="7"/>
        <v>0</v>
      </c>
    </row>
    <row r="38" spans="1:31">
      <c r="A38" s="11" t="s">
        <v>237</v>
      </c>
      <c r="B38" s="11"/>
      <c r="C38" s="11" t="s">
        <v>113</v>
      </c>
      <c r="E38" s="6">
        <v>604620</v>
      </c>
      <c r="G38" s="6">
        <v>78607</v>
      </c>
      <c r="I38" s="2">
        <f t="shared" si="4"/>
        <v>7071636</v>
      </c>
      <c r="K38" s="6">
        <v>7754863</v>
      </c>
      <c r="M38" s="2">
        <f t="shared" si="5"/>
        <v>1778350</v>
      </c>
      <c r="O38" s="6">
        <v>6114675</v>
      </c>
      <c r="Q38" s="6">
        <v>7893025</v>
      </c>
      <c r="S38" s="6">
        <v>0</v>
      </c>
      <c r="U38" s="6">
        <v>78607</v>
      </c>
      <c r="W38" s="6">
        <v>328</v>
      </c>
      <c r="Y38" s="6">
        <v>765558</v>
      </c>
      <c r="AA38" s="6">
        <v>-982655</v>
      </c>
      <c r="AC38" s="12">
        <f t="shared" si="6"/>
        <v>-138162</v>
      </c>
      <c r="AE38" s="6">
        <f t="shared" si="7"/>
        <v>0</v>
      </c>
    </row>
    <row r="39" spans="1:31" hidden="1">
      <c r="A39" s="11" t="s">
        <v>671</v>
      </c>
      <c r="B39" s="11"/>
      <c r="C39" s="11" t="s">
        <v>10</v>
      </c>
      <c r="I39" s="2">
        <f t="shared" si="4"/>
        <v>0</v>
      </c>
      <c r="M39" s="2">
        <f t="shared" si="5"/>
        <v>0</v>
      </c>
      <c r="AC39" s="12">
        <f t="shared" si="6"/>
        <v>0</v>
      </c>
      <c r="AE39" s="6">
        <f t="shared" si="7"/>
        <v>0</v>
      </c>
    </row>
    <row r="40" spans="1:31">
      <c r="A40" s="11" t="s">
        <v>634</v>
      </c>
      <c r="B40" s="11"/>
      <c r="C40" s="11" t="s">
        <v>20</v>
      </c>
      <c r="E40" s="6">
        <v>9267100</v>
      </c>
      <c r="G40" s="6">
        <v>0</v>
      </c>
      <c r="I40" s="2">
        <f t="shared" si="4"/>
        <v>23272171</v>
      </c>
      <c r="K40" s="6">
        <v>32539271</v>
      </c>
      <c r="M40" s="2">
        <f t="shared" si="5"/>
        <v>3540298</v>
      </c>
      <c r="O40" s="6">
        <v>20401148</v>
      </c>
      <c r="Q40" s="6">
        <v>23941446</v>
      </c>
      <c r="S40" s="6">
        <v>28527</v>
      </c>
      <c r="U40" s="6">
        <v>70491</v>
      </c>
      <c r="W40" s="6">
        <v>0</v>
      </c>
      <c r="Y40" s="6">
        <v>1546549</v>
      </c>
      <c r="AA40" s="6">
        <v>6952258</v>
      </c>
      <c r="AC40" s="12">
        <f t="shared" si="6"/>
        <v>8597825</v>
      </c>
      <c r="AE40" s="6">
        <f t="shared" si="7"/>
        <v>0</v>
      </c>
    </row>
    <row r="41" spans="1:31">
      <c r="A41" s="11" t="s">
        <v>261</v>
      </c>
      <c r="B41" s="11"/>
      <c r="C41" s="11" t="s">
        <v>20</v>
      </c>
      <c r="E41" s="6">
        <f>16734716+134873</f>
        <v>16869589</v>
      </c>
      <c r="G41" s="6">
        <v>0</v>
      </c>
      <c r="I41" s="2">
        <f t="shared" si="4"/>
        <v>25360974</v>
      </c>
      <c r="K41" s="6">
        <v>42230563</v>
      </c>
      <c r="M41" s="2">
        <f t="shared" si="5"/>
        <v>3195632</v>
      </c>
      <c r="O41" s="6">
        <v>20083426</v>
      </c>
      <c r="Q41" s="6">
        <v>23279058</v>
      </c>
      <c r="S41" s="6">
        <v>77423</v>
      </c>
      <c r="U41" s="6">
        <v>134873</v>
      </c>
      <c r="W41" s="6">
        <v>312464</v>
      </c>
      <c r="Y41" s="6">
        <v>2412549</v>
      </c>
      <c r="AA41" s="6">
        <v>16014196</v>
      </c>
      <c r="AC41" s="12">
        <f t="shared" si="6"/>
        <v>18951505</v>
      </c>
      <c r="AE41" s="6">
        <f t="shared" si="7"/>
        <v>0</v>
      </c>
    </row>
    <row r="42" spans="1:31">
      <c r="A42" s="11" t="s">
        <v>246</v>
      </c>
      <c r="B42" s="11"/>
      <c r="C42" s="11" t="s">
        <v>112</v>
      </c>
      <c r="E42" s="6">
        <v>944341</v>
      </c>
      <c r="G42" s="6">
        <v>0</v>
      </c>
      <c r="I42" s="2">
        <f t="shared" si="4"/>
        <v>6539227</v>
      </c>
      <c r="K42" s="6">
        <v>7483568</v>
      </c>
      <c r="M42" s="2">
        <f t="shared" si="5"/>
        <v>1713767</v>
      </c>
      <c r="O42" s="6">
        <v>6324009</v>
      </c>
      <c r="Q42" s="6">
        <v>8037776</v>
      </c>
      <c r="S42" s="6">
        <v>29349</v>
      </c>
      <c r="U42" s="6">
        <v>0</v>
      </c>
      <c r="W42" s="6">
        <v>0</v>
      </c>
      <c r="Y42" s="6">
        <v>209091</v>
      </c>
      <c r="AA42" s="6">
        <v>-792648</v>
      </c>
      <c r="AC42" s="12">
        <f t="shared" si="6"/>
        <v>-554208</v>
      </c>
      <c r="AE42" s="6">
        <f t="shared" si="7"/>
        <v>0</v>
      </c>
    </row>
    <row r="43" spans="1:31">
      <c r="A43" s="11" t="s">
        <v>317</v>
      </c>
      <c r="B43" s="11"/>
      <c r="C43" s="11" t="s">
        <v>114</v>
      </c>
      <c r="E43" s="6">
        <v>26582196</v>
      </c>
      <c r="G43" s="6">
        <v>0</v>
      </c>
      <c r="I43" s="2">
        <f t="shared" si="4"/>
        <v>45790828</v>
      </c>
      <c r="K43" s="6">
        <v>72373024</v>
      </c>
      <c r="M43" s="2">
        <f t="shared" si="5"/>
        <v>9003919</v>
      </c>
      <c r="O43" s="6">
        <v>41107090</v>
      </c>
      <c r="Q43" s="6">
        <v>50111009</v>
      </c>
      <c r="S43" s="6">
        <v>8679</v>
      </c>
      <c r="U43" s="6">
        <v>0</v>
      </c>
      <c r="W43" s="6">
        <v>0</v>
      </c>
      <c r="Y43" s="6">
        <v>419622</v>
      </c>
      <c r="AA43" s="6">
        <v>21833714</v>
      </c>
      <c r="AC43" s="12">
        <f t="shared" si="6"/>
        <v>22262015</v>
      </c>
      <c r="AE43" s="6">
        <f t="shared" si="7"/>
        <v>0</v>
      </c>
    </row>
    <row r="44" spans="1:31">
      <c r="A44" s="11" t="s">
        <v>262</v>
      </c>
      <c r="B44" s="11"/>
      <c r="C44" s="11" t="s">
        <v>20</v>
      </c>
      <c r="E44" s="6">
        <v>19240047</v>
      </c>
      <c r="G44" s="6">
        <v>0</v>
      </c>
      <c r="I44" s="2">
        <f t="shared" si="4"/>
        <v>31160471</v>
      </c>
      <c r="K44" s="6">
        <v>50400518</v>
      </c>
      <c r="M44" s="2">
        <f t="shared" si="5"/>
        <v>5009187</v>
      </c>
      <c r="O44" s="6">
        <f>21925237+4335993</f>
        <v>26261230</v>
      </c>
      <c r="Q44" s="6">
        <f>5009187+26261230</f>
        <v>31270417</v>
      </c>
      <c r="S44" s="6">
        <v>438142</v>
      </c>
      <c r="U44" s="6">
        <v>75118</v>
      </c>
      <c r="W44" s="6">
        <v>10475</v>
      </c>
      <c r="Y44" s="6">
        <v>574438</v>
      </c>
      <c r="AA44" s="6">
        <v>18031928</v>
      </c>
      <c r="AC44" s="12">
        <f t="shared" si="6"/>
        <v>19130101</v>
      </c>
      <c r="AE44" s="6">
        <f t="shared" si="7"/>
        <v>0</v>
      </c>
    </row>
    <row r="45" spans="1:31">
      <c r="A45" s="11" t="s">
        <v>215</v>
      </c>
      <c r="B45" s="11"/>
      <c r="C45" s="11" t="s">
        <v>15</v>
      </c>
      <c r="E45" s="6">
        <v>0</v>
      </c>
      <c r="G45" s="6">
        <v>0</v>
      </c>
      <c r="I45" s="2">
        <f t="shared" si="4"/>
        <v>2782746</v>
      </c>
      <c r="K45" s="6">
        <v>2782746</v>
      </c>
      <c r="M45" s="2">
        <f t="shared" si="5"/>
        <v>3638587</v>
      </c>
      <c r="O45" s="6">
        <v>2510374</v>
      </c>
      <c r="Q45" s="6">
        <v>6148961</v>
      </c>
      <c r="S45" s="6">
        <f>61230+2681</f>
        <v>63911</v>
      </c>
      <c r="U45" s="6">
        <v>5562</v>
      </c>
      <c r="W45" s="6">
        <v>0</v>
      </c>
      <c r="Y45" s="6">
        <v>0</v>
      </c>
      <c r="AA45" s="6">
        <v>-3435688</v>
      </c>
      <c r="AC45" s="12">
        <f t="shared" si="6"/>
        <v>-3366215</v>
      </c>
      <c r="AE45" s="6">
        <f t="shared" si="7"/>
        <v>0</v>
      </c>
    </row>
    <row r="46" spans="1:31">
      <c r="A46" s="11" t="s">
        <v>735</v>
      </c>
      <c r="B46" s="11"/>
      <c r="C46" s="11" t="s">
        <v>114</v>
      </c>
      <c r="E46" s="6">
        <v>2604053</v>
      </c>
      <c r="G46" s="6">
        <v>0</v>
      </c>
      <c r="I46" s="2">
        <f t="shared" si="4"/>
        <v>14718191</v>
      </c>
      <c r="K46" s="6">
        <v>17322244</v>
      </c>
      <c r="M46" s="2">
        <f t="shared" si="5"/>
        <v>3002907</v>
      </c>
      <c r="O46" s="6">
        <v>13103241</v>
      </c>
      <c r="Q46" s="6">
        <v>16106148</v>
      </c>
      <c r="S46" s="6">
        <v>0</v>
      </c>
      <c r="U46" s="6">
        <v>0</v>
      </c>
      <c r="W46" s="6">
        <v>330126</v>
      </c>
      <c r="Y46" s="6">
        <v>102093</v>
      </c>
      <c r="AA46" s="6">
        <v>783877</v>
      </c>
      <c r="AC46" s="12">
        <f t="shared" si="6"/>
        <v>1216096</v>
      </c>
      <c r="AE46" s="6">
        <f t="shared" si="7"/>
        <v>0</v>
      </c>
    </row>
    <row r="47" spans="1:31" hidden="1">
      <c r="A47" s="11" t="s">
        <v>885</v>
      </c>
      <c r="B47" s="11"/>
      <c r="C47" s="11" t="s">
        <v>43</v>
      </c>
      <c r="I47" s="2">
        <f t="shared" ref="I47" si="16">+K47-G47-E47</f>
        <v>0</v>
      </c>
      <c r="M47" s="2">
        <f t="shared" ref="M47" si="17">+Q47-O47</f>
        <v>0</v>
      </c>
      <c r="AC47" s="12">
        <f t="shared" ref="AC47" si="18">+W47+U47++S47+Y47+AA47</f>
        <v>0</v>
      </c>
      <c r="AE47" s="6">
        <f t="shared" ref="AE47" si="19">+E47+G47+I47-M47-O47-W47-U47-S47-Y47-AA47</f>
        <v>0</v>
      </c>
    </row>
    <row r="48" spans="1:31">
      <c r="A48" s="11" t="s">
        <v>355</v>
      </c>
      <c r="B48" s="11"/>
      <c r="C48" s="11" t="s">
        <v>37</v>
      </c>
      <c r="E48" s="6">
        <v>5073241</v>
      </c>
      <c r="G48" s="6">
        <v>0</v>
      </c>
      <c r="I48" s="2">
        <f t="shared" si="4"/>
        <v>7675800</v>
      </c>
      <c r="K48" s="6">
        <v>12749041</v>
      </c>
      <c r="M48" s="2">
        <f t="shared" si="5"/>
        <v>2367717</v>
      </c>
      <c r="O48" s="6">
        <f>631292+5256139</f>
        <v>5887431</v>
      </c>
      <c r="Q48" s="6">
        <v>8255148</v>
      </c>
      <c r="S48" s="6">
        <f>50587+15630</f>
        <v>66217</v>
      </c>
      <c r="U48" s="6">
        <v>0</v>
      </c>
      <c r="W48" s="6">
        <v>0</v>
      </c>
      <c r="Y48" s="6">
        <f>80023+264315+927053+552+18928</f>
        <v>1290871</v>
      </c>
      <c r="AA48" s="6">
        <v>3136805</v>
      </c>
      <c r="AC48" s="12">
        <f t="shared" si="6"/>
        <v>4493893</v>
      </c>
      <c r="AE48" s="6">
        <f t="shared" si="7"/>
        <v>0</v>
      </c>
    </row>
    <row r="49" spans="1:31">
      <c r="A49" s="11" t="s">
        <v>547</v>
      </c>
      <c r="B49" s="11"/>
      <c r="C49" s="11" t="s">
        <v>70</v>
      </c>
      <c r="E49" s="6">
        <v>1610809</v>
      </c>
      <c r="G49" s="6">
        <v>5944</v>
      </c>
      <c r="I49" s="2">
        <f t="shared" si="4"/>
        <v>3947783</v>
      </c>
      <c r="K49" s="6">
        <v>5564536</v>
      </c>
      <c r="M49" s="2">
        <f t="shared" si="5"/>
        <v>943228</v>
      </c>
      <c r="O49" s="6">
        <f>487981+3245136</f>
        <v>3733117</v>
      </c>
      <c r="Q49" s="6">
        <v>4676345</v>
      </c>
      <c r="S49" s="6">
        <v>27922</v>
      </c>
      <c r="U49" s="6">
        <f>1842+5944</f>
        <v>7786</v>
      </c>
      <c r="W49" s="6">
        <v>116369</v>
      </c>
      <c r="Y49" s="6">
        <f>9564+107983+226243+17958+2+2388</f>
        <v>364138</v>
      </c>
      <c r="AA49" s="6">
        <v>371976</v>
      </c>
      <c r="AC49" s="12">
        <f t="shared" si="6"/>
        <v>888191</v>
      </c>
      <c r="AE49" s="6">
        <f t="shared" si="7"/>
        <v>0</v>
      </c>
    </row>
    <row r="50" spans="1:31" hidden="1">
      <c r="A50" s="11" t="s">
        <v>886</v>
      </c>
      <c r="B50" s="11"/>
      <c r="C50" s="11" t="s">
        <v>43</v>
      </c>
      <c r="I50" s="2">
        <f t="shared" ref="I50" si="20">+K50-G50-E50</f>
        <v>0</v>
      </c>
      <c r="M50" s="2">
        <f t="shared" ref="M50" si="21">+Q50-O50</f>
        <v>0</v>
      </c>
      <c r="AC50" s="12">
        <f t="shared" ref="AC50" si="22">+W50+U50++S50+Y50+AA50</f>
        <v>0</v>
      </c>
      <c r="AE50" s="6">
        <f t="shared" ref="AE50" si="23">+E50+G50+I50-M50-O50-W50-U50-S50-Y50-AA50</f>
        <v>0</v>
      </c>
    </row>
    <row r="51" spans="1:31" hidden="1">
      <c r="A51" s="11" t="s">
        <v>869</v>
      </c>
      <c r="B51" s="11"/>
      <c r="C51" s="11" t="s">
        <v>53</v>
      </c>
      <c r="I51" s="2">
        <f t="shared" si="4"/>
        <v>0</v>
      </c>
      <c r="M51" s="2">
        <f t="shared" si="5"/>
        <v>0</v>
      </c>
      <c r="AC51" s="12">
        <f t="shared" si="6"/>
        <v>0</v>
      </c>
      <c r="AE51" s="6">
        <f t="shared" si="7"/>
        <v>0</v>
      </c>
    </row>
    <row r="52" spans="1:31">
      <c r="A52" s="11" t="s">
        <v>263</v>
      </c>
      <c r="B52" s="11"/>
      <c r="C52" s="11" t="s">
        <v>20</v>
      </c>
      <c r="E52" s="6">
        <v>10625583</v>
      </c>
      <c r="G52" s="6">
        <v>99686</v>
      </c>
      <c r="I52" s="2">
        <f t="shared" si="4"/>
        <v>56199423</v>
      </c>
      <c r="K52" s="6">
        <v>66924692</v>
      </c>
      <c r="M52" s="2">
        <f t="shared" si="5"/>
        <v>8946953</v>
      </c>
      <c r="O52" s="6">
        <v>49037016</v>
      </c>
      <c r="Q52" s="6">
        <v>57983969</v>
      </c>
      <c r="S52" s="6">
        <v>176481</v>
      </c>
      <c r="U52" s="6">
        <v>110683</v>
      </c>
      <c r="W52" s="6">
        <v>0</v>
      </c>
      <c r="Y52" s="6">
        <v>0</v>
      </c>
      <c r="AA52" s="6">
        <v>8653559</v>
      </c>
      <c r="AC52" s="12">
        <f t="shared" si="6"/>
        <v>8940723</v>
      </c>
      <c r="AE52" s="6">
        <f t="shared" si="7"/>
        <v>0</v>
      </c>
    </row>
    <row r="53" spans="1:31">
      <c r="A53" s="11" t="s">
        <v>639</v>
      </c>
      <c r="B53" s="11"/>
      <c r="C53" s="11" t="s">
        <v>30</v>
      </c>
      <c r="E53" s="6">
        <v>2357944</v>
      </c>
      <c r="G53" s="6">
        <v>39468</v>
      </c>
      <c r="I53" s="2">
        <f t="shared" si="4"/>
        <v>4671787</v>
      </c>
      <c r="K53" s="6">
        <v>7069199</v>
      </c>
      <c r="M53" s="2">
        <f t="shared" si="5"/>
        <v>1395451</v>
      </c>
      <c r="O53" s="6">
        <v>3705310</v>
      </c>
      <c r="Q53" s="6">
        <v>5100761</v>
      </c>
      <c r="S53" s="6">
        <v>2017</v>
      </c>
      <c r="U53" s="6">
        <v>41614</v>
      </c>
      <c r="W53" s="6">
        <v>105012</v>
      </c>
      <c r="Y53" s="6">
        <v>1137370</v>
      </c>
      <c r="AA53" s="6">
        <v>682425</v>
      </c>
      <c r="AC53" s="12">
        <f t="shared" si="6"/>
        <v>1968438</v>
      </c>
      <c r="AE53" s="6">
        <f t="shared" si="7"/>
        <v>0</v>
      </c>
    </row>
    <row r="54" spans="1:31" hidden="1">
      <c r="A54" s="11" t="s">
        <v>285</v>
      </c>
      <c r="B54" s="11"/>
      <c r="C54" s="11" t="s">
        <v>24</v>
      </c>
      <c r="I54" s="2">
        <f t="shared" si="4"/>
        <v>0</v>
      </c>
      <c r="M54" s="2">
        <f t="shared" si="5"/>
        <v>0</v>
      </c>
      <c r="AC54" s="12">
        <f t="shared" si="6"/>
        <v>0</v>
      </c>
      <c r="AE54" s="6">
        <f t="shared" si="7"/>
        <v>0</v>
      </c>
    </row>
    <row r="55" spans="1:31" hidden="1">
      <c r="A55" s="11" t="s">
        <v>792</v>
      </c>
      <c r="B55" s="11"/>
      <c r="C55" s="11" t="s">
        <v>25</v>
      </c>
      <c r="I55" s="2">
        <f t="shared" si="4"/>
        <v>0</v>
      </c>
      <c r="M55" s="2">
        <f t="shared" si="5"/>
        <v>0</v>
      </c>
      <c r="AC55" s="12">
        <f t="shared" si="6"/>
        <v>0</v>
      </c>
      <c r="AE55" s="6">
        <f t="shared" si="7"/>
        <v>0</v>
      </c>
    </row>
    <row r="56" spans="1:31">
      <c r="A56" s="11" t="s">
        <v>423</v>
      </c>
      <c r="B56" s="11"/>
      <c r="C56" s="11" t="s">
        <v>48</v>
      </c>
      <c r="E56" s="6">
        <v>630709</v>
      </c>
      <c r="G56" s="6">
        <v>0</v>
      </c>
      <c r="I56" s="2">
        <f t="shared" si="4"/>
        <v>3342941</v>
      </c>
      <c r="K56" s="6">
        <v>3973650</v>
      </c>
      <c r="M56" s="2">
        <f t="shared" si="5"/>
        <v>747171</v>
      </c>
      <c r="O56" s="6">
        <v>2422040</v>
      </c>
      <c r="Q56" s="6">
        <v>3169211</v>
      </c>
      <c r="S56" s="6">
        <v>3510</v>
      </c>
      <c r="U56" s="6">
        <v>0</v>
      </c>
      <c r="W56" s="6">
        <v>0</v>
      </c>
      <c r="Y56" s="6">
        <f>87294+52215</f>
        <v>139509</v>
      </c>
      <c r="AA56" s="6">
        <v>661420</v>
      </c>
      <c r="AC56" s="12">
        <f t="shared" si="6"/>
        <v>804439</v>
      </c>
      <c r="AE56" s="6">
        <f t="shared" si="7"/>
        <v>0</v>
      </c>
    </row>
    <row r="57" spans="1:31">
      <c r="A57" s="11" t="s">
        <v>238</v>
      </c>
      <c r="B57" s="11"/>
      <c r="C57" s="11" t="s">
        <v>113</v>
      </c>
      <c r="E57" s="6">
        <v>2827576</v>
      </c>
      <c r="G57" s="6">
        <v>0</v>
      </c>
      <c r="I57" s="2">
        <f t="shared" si="4"/>
        <v>3216457</v>
      </c>
      <c r="K57" s="6">
        <v>6044033</v>
      </c>
      <c r="M57" s="2">
        <f t="shared" si="5"/>
        <v>1418057</v>
      </c>
      <c r="O57" s="6">
        <v>2799360</v>
      </c>
      <c r="Q57" s="6">
        <v>4217417</v>
      </c>
      <c r="S57" s="6">
        <v>0</v>
      </c>
      <c r="U57" s="6">
        <v>0</v>
      </c>
      <c r="W57" s="6">
        <v>0</v>
      </c>
      <c r="Y57" s="6">
        <v>227079</v>
      </c>
      <c r="AA57" s="6">
        <v>1599537</v>
      </c>
      <c r="AC57" s="12">
        <f t="shared" si="6"/>
        <v>1826616</v>
      </c>
      <c r="AE57" s="6">
        <f t="shared" si="7"/>
        <v>0</v>
      </c>
    </row>
    <row r="58" spans="1:31" hidden="1">
      <c r="A58" s="11" t="s">
        <v>672</v>
      </c>
      <c r="B58" s="11"/>
      <c r="C58" s="11" t="s">
        <v>60</v>
      </c>
      <c r="I58" s="2">
        <f t="shared" si="4"/>
        <v>0</v>
      </c>
      <c r="M58" s="2">
        <f t="shared" si="5"/>
        <v>0</v>
      </c>
      <c r="AC58" s="12">
        <f t="shared" si="6"/>
        <v>0</v>
      </c>
      <c r="AE58" s="6">
        <f t="shared" si="7"/>
        <v>0</v>
      </c>
    </row>
    <row r="59" spans="1:31">
      <c r="A59" s="11" t="s">
        <v>299</v>
      </c>
      <c r="B59" s="11"/>
      <c r="C59" s="11" t="s">
        <v>27</v>
      </c>
      <c r="E59" s="6">
        <v>19234854</v>
      </c>
      <c r="G59" s="6">
        <v>0</v>
      </c>
      <c r="I59" s="2">
        <f t="shared" si="4"/>
        <v>21399300</v>
      </c>
      <c r="K59" s="6">
        <v>40634154</v>
      </c>
      <c r="M59" s="2">
        <f t="shared" si="5"/>
        <v>4459867</v>
      </c>
      <c r="O59" s="6">
        <v>12302196</v>
      </c>
      <c r="Q59" s="6">
        <v>16762063</v>
      </c>
      <c r="S59" s="6">
        <v>39441</v>
      </c>
      <c r="U59" s="6">
        <v>0</v>
      </c>
      <c r="W59" s="6">
        <v>0</v>
      </c>
      <c r="Y59" s="6">
        <v>376720</v>
      </c>
      <c r="AA59" s="6">
        <v>23455930</v>
      </c>
      <c r="AC59" s="12">
        <f t="shared" si="6"/>
        <v>23872091</v>
      </c>
      <c r="AE59" s="6">
        <f t="shared" si="7"/>
        <v>0</v>
      </c>
    </row>
    <row r="60" spans="1:31">
      <c r="A60" s="11" t="s">
        <v>635</v>
      </c>
      <c r="B60" s="11"/>
      <c r="C60" s="11" t="s">
        <v>23</v>
      </c>
      <c r="E60" s="6">
        <v>6450598</v>
      </c>
      <c r="G60" s="6">
        <v>0</v>
      </c>
      <c r="I60" s="2">
        <f t="shared" si="4"/>
        <v>19427385</v>
      </c>
      <c r="K60" s="6">
        <v>25877983</v>
      </c>
      <c r="M60" s="2">
        <f t="shared" si="5"/>
        <v>3290335</v>
      </c>
      <c r="O60" s="6">
        <v>14688036</v>
      </c>
      <c r="Q60" s="6">
        <v>17978371</v>
      </c>
      <c r="S60" s="6">
        <v>49462</v>
      </c>
      <c r="U60" s="6">
        <v>29</v>
      </c>
      <c r="W60" s="6">
        <v>0</v>
      </c>
      <c r="Y60" s="6">
        <v>97243</v>
      </c>
      <c r="AA60" s="6">
        <v>7752878</v>
      </c>
      <c r="AC60" s="12">
        <f t="shared" si="6"/>
        <v>7899612</v>
      </c>
      <c r="AE60" s="6">
        <f t="shared" si="7"/>
        <v>0</v>
      </c>
    </row>
    <row r="61" spans="1:31">
      <c r="A61" s="11" t="s">
        <v>414</v>
      </c>
      <c r="B61" s="11"/>
      <c r="C61" s="11" t="s">
        <v>47</v>
      </c>
      <c r="E61" s="6">
        <v>81131</v>
      </c>
      <c r="G61" s="6">
        <v>0</v>
      </c>
      <c r="I61" s="2">
        <f t="shared" si="4"/>
        <v>4062296</v>
      </c>
      <c r="K61" s="6">
        <v>4143427</v>
      </c>
      <c r="M61" s="2">
        <f t="shared" si="5"/>
        <v>1307640</v>
      </c>
      <c r="O61" s="6">
        <f>3152485+415120</f>
        <v>3567605</v>
      </c>
      <c r="Q61" s="6">
        <v>4875245</v>
      </c>
      <c r="S61" s="6">
        <f>33273+2155</f>
        <v>35428</v>
      </c>
      <c r="U61" s="6">
        <v>0</v>
      </c>
      <c r="W61" s="6">
        <v>0</v>
      </c>
      <c r="Y61" s="6">
        <v>0</v>
      </c>
      <c r="AA61" s="6">
        <v>-767246</v>
      </c>
      <c r="AC61" s="12">
        <f t="shared" si="6"/>
        <v>-731818</v>
      </c>
      <c r="AE61" s="6">
        <f t="shared" si="7"/>
        <v>0</v>
      </c>
    </row>
    <row r="62" spans="1:31">
      <c r="A62" s="11" t="s">
        <v>242</v>
      </c>
      <c r="B62" s="11"/>
      <c r="C62" s="11" t="s">
        <v>18</v>
      </c>
      <c r="E62" s="6">
        <v>3482253</v>
      </c>
      <c r="G62" s="6">
        <v>0</v>
      </c>
      <c r="I62" s="2">
        <f t="shared" si="4"/>
        <v>3119310</v>
      </c>
      <c r="K62" s="6">
        <v>6601563</v>
      </c>
      <c r="M62" s="2">
        <f t="shared" si="5"/>
        <v>1274440</v>
      </c>
      <c r="O62" s="6">
        <v>2706635</v>
      </c>
      <c r="Q62" s="6">
        <v>3981075</v>
      </c>
      <c r="S62" s="6">
        <v>0</v>
      </c>
      <c r="U62" s="6">
        <v>0</v>
      </c>
      <c r="W62" s="6">
        <v>11000</v>
      </c>
      <c r="Y62" s="6">
        <v>739494</v>
      </c>
      <c r="AA62" s="6">
        <v>1869994</v>
      </c>
      <c r="AC62" s="12">
        <f t="shared" si="6"/>
        <v>2620488</v>
      </c>
      <c r="AE62" s="6">
        <f t="shared" si="7"/>
        <v>0</v>
      </c>
    </row>
    <row r="63" spans="1:31">
      <c r="A63" s="11" t="s">
        <v>293</v>
      </c>
      <c r="B63" s="11"/>
      <c r="C63" s="11" t="s">
        <v>25</v>
      </c>
      <c r="E63" s="6">
        <v>1522492</v>
      </c>
      <c r="G63" s="6">
        <v>0</v>
      </c>
      <c r="I63" s="2">
        <f t="shared" si="4"/>
        <v>7845541</v>
      </c>
      <c r="K63" s="6">
        <v>9368033</v>
      </c>
      <c r="M63" s="2">
        <f t="shared" si="5"/>
        <v>2002181</v>
      </c>
      <c r="O63" s="6">
        <v>6385826</v>
      </c>
      <c r="Q63" s="6">
        <v>8388007</v>
      </c>
      <c r="S63" s="6">
        <v>7632</v>
      </c>
      <c r="U63" s="6">
        <v>0</v>
      </c>
      <c r="W63" s="6">
        <v>0</v>
      </c>
      <c r="Y63" s="6">
        <v>135534</v>
      </c>
      <c r="AA63" s="6">
        <v>836860</v>
      </c>
      <c r="AC63" s="12">
        <f t="shared" si="6"/>
        <v>980026</v>
      </c>
      <c r="AE63" s="6">
        <f t="shared" si="7"/>
        <v>0</v>
      </c>
    </row>
    <row r="64" spans="1:31">
      <c r="A64" s="11" t="s">
        <v>518</v>
      </c>
      <c r="B64" s="11"/>
      <c r="C64" s="11" t="s">
        <v>64</v>
      </c>
      <c r="E64" s="6">
        <v>504902</v>
      </c>
      <c r="G64" s="6">
        <v>2716</v>
      </c>
      <c r="I64" s="2">
        <f t="shared" si="4"/>
        <v>1500886</v>
      </c>
      <c r="K64" s="6">
        <v>2008504</v>
      </c>
      <c r="M64" s="2">
        <f t="shared" si="5"/>
        <v>341314</v>
      </c>
      <c r="O64" s="6">
        <f>325799+1163300</f>
        <v>1489099</v>
      </c>
      <c r="Q64" s="6">
        <v>1830413</v>
      </c>
      <c r="S64" s="6">
        <v>3523</v>
      </c>
      <c r="U64" s="6">
        <v>2716</v>
      </c>
      <c r="W64" s="6">
        <v>0</v>
      </c>
      <c r="Y64" s="6">
        <f>656+1501+169695</f>
        <v>171852</v>
      </c>
      <c r="AA64" s="6">
        <v>0</v>
      </c>
      <c r="AC64" s="12">
        <f t="shared" si="6"/>
        <v>178091</v>
      </c>
      <c r="AE64" s="6">
        <f t="shared" si="7"/>
        <v>0</v>
      </c>
    </row>
    <row r="65" spans="1:31">
      <c r="A65" s="11" t="s">
        <v>479</v>
      </c>
      <c r="B65" s="11"/>
      <c r="C65" s="11" t="s">
        <v>59</v>
      </c>
      <c r="E65" s="6">
        <v>1455046</v>
      </c>
      <c r="G65" s="6">
        <v>19186</v>
      </c>
      <c r="I65" s="2">
        <f t="shared" ref="I65" si="24">+K65-G65-E65</f>
        <v>1675304</v>
      </c>
      <c r="K65" s="6">
        <v>3149536</v>
      </c>
      <c r="M65" s="2">
        <f t="shared" ref="M65" si="25">+Q65-O65</f>
        <v>781352</v>
      </c>
      <c r="O65" s="6">
        <v>1304558</v>
      </c>
      <c r="Q65" s="6">
        <v>2085910</v>
      </c>
      <c r="S65" s="6">
        <v>19060</v>
      </c>
      <c r="U65" s="6">
        <v>16158</v>
      </c>
      <c r="W65" s="6">
        <v>0</v>
      </c>
      <c r="Y65" s="6">
        <v>140752</v>
      </c>
      <c r="AA65" s="6">
        <v>887656</v>
      </c>
      <c r="AC65" s="12">
        <f t="shared" si="6"/>
        <v>1063626</v>
      </c>
      <c r="AE65" s="6">
        <f t="shared" si="7"/>
        <v>0</v>
      </c>
    </row>
    <row r="66" spans="1:31" hidden="1">
      <c r="A66" s="11" t="s">
        <v>887</v>
      </c>
      <c r="B66" s="11"/>
      <c r="C66" s="11" t="s">
        <v>10</v>
      </c>
      <c r="I66" s="2">
        <f t="shared" si="4"/>
        <v>0</v>
      </c>
      <c r="M66" s="2">
        <f t="shared" si="5"/>
        <v>0</v>
      </c>
      <c r="AC66" s="12">
        <f t="shared" si="6"/>
        <v>0</v>
      </c>
      <c r="AE66" s="6">
        <f t="shared" si="7"/>
        <v>0</v>
      </c>
    </row>
    <row r="67" spans="1:31">
      <c r="A67" s="11" t="s">
        <v>402</v>
      </c>
      <c r="B67" s="11"/>
      <c r="C67" s="11" t="s">
        <v>45</v>
      </c>
      <c r="E67" s="6">
        <v>7724212</v>
      </c>
      <c r="G67" s="6">
        <v>233898</v>
      </c>
      <c r="I67" s="2">
        <f t="shared" si="4"/>
        <v>33531622</v>
      </c>
      <c r="K67" s="6">
        <v>41489732</v>
      </c>
      <c r="M67" s="2">
        <f t="shared" si="5"/>
        <v>6206926</v>
      </c>
      <c r="O67" s="6">
        <v>32454098</v>
      </c>
      <c r="Q67" s="6">
        <v>38661024</v>
      </c>
      <c r="S67" s="6">
        <v>69156</v>
      </c>
      <c r="U67" s="6">
        <v>0</v>
      </c>
      <c r="W67" s="6">
        <v>719610</v>
      </c>
      <c r="Y67" s="6">
        <v>1078447</v>
      </c>
      <c r="AA67" s="6">
        <v>961495</v>
      </c>
      <c r="AC67" s="12">
        <f t="shared" si="6"/>
        <v>2828708</v>
      </c>
      <c r="AE67" s="6">
        <f t="shared" si="7"/>
        <v>0</v>
      </c>
    </row>
    <row r="68" spans="1:31">
      <c r="A68" s="11" t="s">
        <v>489</v>
      </c>
      <c r="B68" s="11"/>
      <c r="C68" s="11" t="s">
        <v>61</v>
      </c>
      <c r="E68" s="6">
        <v>2853562</v>
      </c>
      <c r="G68" s="6">
        <v>4033</v>
      </c>
      <c r="I68" s="2">
        <f t="shared" si="4"/>
        <v>1157802</v>
      </c>
      <c r="K68" s="6">
        <v>4015397</v>
      </c>
      <c r="M68" s="2">
        <f t="shared" si="5"/>
        <v>493210</v>
      </c>
      <c r="O68" s="6">
        <v>860728</v>
      </c>
      <c r="Q68" s="6">
        <v>1353938</v>
      </c>
      <c r="S68" s="6">
        <v>42325</v>
      </c>
      <c r="U68" s="6">
        <v>4033</v>
      </c>
      <c r="W68" s="6">
        <v>55995</v>
      </c>
      <c r="Y68" s="6">
        <v>1436133</v>
      </c>
      <c r="AA68" s="6">
        <v>1122973</v>
      </c>
      <c r="AC68" s="12">
        <f t="shared" si="6"/>
        <v>2661459</v>
      </c>
      <c r="AE68" s="6">
        <f t="shared" si="7"/>
        <v>0</v>
      </c>
    </row>
    <row r="69" spans="1:31">
      <c r="A69" s="11" t="s">
        <v>554</v>
      </c>
      <c r="B69" s="11"/>
      <c r="C69" s="11" t="s">
        <v>72</v>
      </c>
      <c r="E69" s="6">
        <f>299342+3000</f>
        <v>302342</v>
      </c>
      <c r="G69" s="6">
        <v>0</v>
      </c>
      <c r="I69" s="2">
        <f t="shared" si="4"/>
        <v>23588335</v>
      </c>
      <c r="K69" s="6">
        <v>23890677</v>
      </c>
      <c r="M69" s="2">
        <f t="shared" si="5"/>
        <v>2881375</v>
      </c>
      <c r="O69" s="6">
        <v>13896241</v>
      </c>
      <c r="Q69" s="6">
        <v>16777616</v>
      </c>
      <c r="S69" s="6">
        <v>198247</v>
      </c>
      <c r="U69" s="6">
        <v>0</v>
      </c>
      <c r="W69" s="6">
        <v>823613</v>
      </c>
      <c r="Y69" s="6">
        <v>3813971</v>
      </c>
      <c r="AA69" s="6">
        <v>2277230</v>
      </c>
      <c r="AC69" s="12">
        <f t="shared" si="6"/>
        <v>7113061</v>
      </c>
      <c r="AE69" s="6">
        <f t="shared" si="7"/>
        <v>0</v>
      </c>
    </row>
    <row r="70" spans="1:31" hidden="1">
      <c r="A70" s="11" t="s">
        <v>888</v>
      </c>
      <c r="B70" s="11"/>
      <c r="C70" s="11" t="s">
        <v>48</v>
      </c>
      <c r="I70" s="2">
        <f t="shared" si="4"/>
        <v>0</v>
      </c>
      <c r="M70" s="2">
        <f t="shared" si="5"/>
        <v>0</v>
      </c>
      <c r="AC70" s="12">
        <f t="shared" si="6"/>
        <v>0</v>
      </c>
      <c r="AE70" s="6">
        <f t="shared" si="7"/>
        <v>0</v>
      </c>
    </row>
    <row r="71" spans="1:31">
      <c r="A71" s="11" t="s">
        <v>785</v>
      </c>
      <c r="B71" s="11"/>
      <c r="C71" s="11" t="s">
        <v>20</v>
      </c>
      <c r="E71" s="6">
        <v>11377444</v>
      </c>
      <c r="G71" s="6">
        <v>0</v>
      </c>
      <c r="I71" s="2">
        <f t="shared" si="4"/>
        <v>31628317</v>
      </c>
      <c r="K71" s="6">
        <v>43005761</v>
      </c>
      <c r="M71" s="2">
        <f t="shared" si="5"/>
        <v>5760625</v>
      </c>
      <c r="O71" s="6">
        <v>27822450</v>
      </c>
      <c r="Q71" s="6">
        <v>33583075</v>
      </c>
      <c r="S71" s="6">
        <v>8834</v>
      </c>
      <c r="U71" s="6">
        <v>0</v>
      </c>
      <c r="W71" s="6">
        <v>0</v>
      </c>
      <c r="Y71" s="6">
        <v>362329</v>
      </c>
      <c r="AA71" s="6">
        <v>9051523</v>
      </c>
      <c r="AC71" s="12">
        <f t="shared" si="6"/>
        <v>9422686</v>
      </c>
      <c r="AE71" s="6">
        <f t="shared" si="7"/>
        <v>0</v>
      </c>
    </row>
    <row r="72" spans="1:31">
      <c r="A72" s="11" t="s">
        <v>751</v>
      </c>
      <c r="B72" s="11"/>
      <c r="C72" s="11" t="s">
        <v>15</v>
      </c>
      <c r="E72" s="6">
        <v>1167024</v>
      </c>
      <c r="G72" s="6">
        <v>0</v>
      </c>
      <c r="I72" s="2">
        <f t="shared" si="4"/>
        <v>1928801</v>
      </c>
      <c r="K72" s="6">
        <v>3095825</v>
      </c>
      <c r="M72" s="2">
        <f t="shared" si="5"/>
        <v>750363</v>
      </c>
      <c r="O72" s="6">
        <f>406543+1270902</f>
        <v>1677445</v>
      </c>
      <c r="Q72" s="6">
        <v>2427808</v>
      </c>
      <c r="S72" s="6">
        <f>3078+25003</f>
        <v>28081</v>
      </c>
      <c r="U72" s="6">
        <v>0</v>
      </c>
      <c r="W72" s="6">
        <v>0</v>
      </c>
      <c r="Y72" s="6">
        <f>57385+34982+391082</f>
        <v>483449</v>
      </c>
      <c r="AA72" s="6">
        <v>156487</v>
      </c>
      <c r="AC72" s="12">
        <f t="shared" si="6"/>
        <v>668017</v>
      </c>
      <c r="AE72" s="6">
        <f t="shared" si="7"/>
        <v>0</v>
      </c>
    </row>
    <row r="73" spans="1:31" hidden="1">
      <c r="A73" s="11" t="s">
        <v>793</v>
      </c>
      <c r="B73" s="11"/>
      <c r="C73" s="11" t="s">
        <v>348</v>
      </c>
      <c r="I73" s="2">
        <f t="shared" si="4"/>
        <v>0</v>
      </c>
      <c r="M73" s="2">
        <f t="shared" si="5"/>
        <v>0</v>
      </c>
      <c r="AC73" s="12">
        <f t="shared" si="6"/>
        <v>0</v>
      </c>
      <c r="AE73" s="6">
        <f t="shared" si="7"/>
        <v>0</v>
      </c>
    </row>
    <row r="74" spans="1:31">
      <c r="A74" s="11" t="s">
        <v>519</v>
      </c>
      <c r="B74" s="11"/>
      <c r="C74" s="11" t="s">
        <v>64</v>
      </c>
      <c r="E74" s="6">
        <v>2152285</v>
      </c>
      <c r="G74" s="6">
        <v>0</v>
      </c>
      <c r="I74" s="2">
        <f t="shared" si="4"/>
        <v>2750142</v>
      </c>
      <c r="K74" s="6">
        <v>4902427</v>
      </c>
      <c r="M74" s="2">
        <f t="shared" si="5"/>
        <v>585332</v>
      </c>
      <c r="O74" s="6">
        <f>492258+2334479</f>
        <v>2826737</v>
      </c>
      <c r="Q74" s="6">
        <v>3412069</v>
      </c>
      <c r="S74" s="6">
        <v>10496</v>
      </c>
      <c r="U74" s="6">
        <v>0</v>
      </c>
      <c r="W74" s="6">
        <v>0</v>
      </c>
      <c r="Y74" s="6">
        <f>28716+55691+126+510+1818+618118+68</f>
        <v>705047</v>
      </c>
      <c r="AA74" s="6">
        <v>774815</v>
      </c>
      <c r="AC74" s="12">
        <f t="shared" si="6"/>
        <v>1490358</v>
      </c>
      <c r="AE74" s="6">
        <f t="shared" si="7"/>
        <v>0</v>
      </c>
    </row>
    <row r="75" spans="1:31">
      <c r="A75" s="11" t="s">
        <v>673</v>
      </c>
      <c r="B75" s="11"/>
      <c r="C75" s="11" t="s">
        <v>64</v>
      </c>
      <c r="E75" s="6">
        <v>27208</v>
      </c>
      <c r="G75" s="6">
        <v>0</v>
      </c>
      <c r="I75" s="2">
        <f t="shared" si="4"/>
        <v>3385497</v>
      </c>
      <c r="K75" s="6">
        <v>3412705</v>
      </c>
      <c r="M75" s="2">
        <f t="shared" si="5"/>
        <v>1901644</v>
      </c>
      <c r="O75" s="6">
        <f>758105+2588753</f>
        <v>3346858</v>
      </c>
      <c r="Q75" s="6">
        <v>5248502</v>
      </c>
      <c r="S75" s="6">
        <v>0</v>
      </c>
      <c r="U75" s="6">
        <v>0</v>
      </c>
      <c r="W75" s="6">
        <v>0</v>
      </c>
      <c r="Y75" s="6">
        <f>19114+8005</f>
        <v>27119</v>
      </c>
      <c r="AA75" s="6">
        <v>-1862916</v>
      </c>
      <c r="AC75" s="12">
        <f t="shared" si="6"/>
        <v>-1835797</v>
      </c>
      <c r="AE75" s="6">
        <f t="shared" si="7"/>
        <v>0</v>
      </c>
    </row>
    <row r="76" spans="1:31">
      <c r="A76" s="11" t="s">
        <v>264</v>
      </c>
      <c r="B76" s="11"/>
      <c r="C76" s="11" t="s">
        <v>20</v>
      </c>
      <c r="E76" s="6">
        <v>4240991</v>
      </c>
      <c r="G76" s="6">
        <v>25071</v>
      </c>
      <c r="I76" s="2">
        <f t="shared" si="4"/>
        <v>13276865</v>
      </c>
      <c r="K76" s="6">
        <v>17542927</v>
      </c>
      <c r="M76" s="2">
        <f t="shared" si="5"/>
        <v>1422729</v>
      </c>
      <c r="O76" s="6">
        <v>11438613</v>
      </c>
      <c r="Q76" s="6">
        <v>12861342</v>
      </c>
      <c r="S76" s="6">
        <v>43850</v>
      </c>
      <c r="U76" s="6">
        <v>9715</v>
      </c>
      <c r="W76" s="6">
        <v>0</v>
      </c>
      <c r="Y76" s="6">
        <v>454</v>
      </c>
      <c r="AA76" s="6">
        <v>4627566</v>
      </c>
      <c r="AC76" s="12">
        <f t="shared" si="6"/>
        <v>4681585</v>
      </c>
      <c r="AE76" s="6">
        <f t="shared" si="7"/>
        <v>0</v>
      </c>
    </row>
    <row r="77" spans="1:31">
      <c r="A77" s="11" t="s">
        <v>428</v>
      </c>
      <c r="B77" s="11"/>
      <c r="C77" s="11" t="s">
        <v>50</v>
      </c>
      <c r="E77" s="6">
        <v>4342375</v>
      </c>
      <c r="G77" s="6">
        <v>0</v>
      </c>
      <c r="I77" s="2">
        <f t="shared" si="4"/>
        <v>5146918</v>
      </c>
      <c r="K77" s="6">
        <v>9489293</v>
      </c>
      <c r="M77" s="2">
        <f t="shared" si="5"/>
        <v>1609562</v>
      </c>
      <c r="O77" s="6">
        <v>4703389</v>
      </c>
      <c r="Q77" s="6">
        <v>6312951</v>
      </c>
      <c r="S77" s="6">
        <v>53879</v>
      </c>
      <c r="U77" s="6">
        <v>0</v>
      </c>
      <c r="W77" s="6">
        <v>17316</v>
      </c>
      <c r="Y77" s="6">
        <v>228809</v>
      </c>
      <c r="AA77" s="6">
        <v>2876338</v>
      </c>
      <c r="AC77" s="12">
        <f t="shared" si="6"/>
        <v>3176342</v>
      </c>
      <c r="AE77" s="6">
        <f t="shared" si="7"/>
        <v>0</v>
      </c>
    </row>
    <row r="78" spans="1:31">
      <c r="A78" s="11" t="s">
        <v>227</v>
      </c>
      <c r="B78" s="11"/>
      <c r="C78" s="11" t="s">
        <v>16</v>
      </c>
      <c r="E78" s="6">
        <v>2816577</v>
      </c>
      <c r="G78" s="6">
        <v>0</v>
      </c>
      <c r="I78" s="2">
        <f t="shared" si="4"/>
        <v>2769404</v>
      </c>
      <c r="K78" s="6">
        <v>5585981</v>
      </c>
      <c r="M78" s="2">
        <f t="shared" si="5"/>
        <v>539385</v>
      </c>
      <c r="O78" s="6">
        <v>1834454</v>
      </c>
      <c r="Q78" s="6">
        <v>2373839</v>
      </c>
      <c r="S78" s="6">
        <v>0</v>
      </c>
      <c r="U78" s="6">
        <v>0</v>
      </c>
      <c r="W78" s="6">
        <v>144902</v>
      </c>
      <c r="Y78" s="6">
        <v>15507</v>
      </c>
      <c r="AA78" s="6">
        <v>3051733</v>
      </c>
      <c r="AC78" s="12">
        <f t="shared" si="6"/>
        <v>3212142</v>
      </c>
      <c r="AE78" s="6">
        <f t="shared" si="7"/>
        <v>0</v>
      </c>
    </row>
    <row r="79" spans="1:31">
      <c r="A79" s="11" t="s">
        <v>415</v>
      </c>
      <c r="B79" s="11"/>
      <c r="C79" s="11" t="s">
        <v>47</v>
      </c>
      <c r="E79" s="6">
        <v>8437294</v>
      </c>
      <c r="G79" s="6">
        <v>0</v>
      </c>
      <c r="I79" s="2">
        <f t="shared" si="4"/>
        <v>34654268</v>
      </c>
      <c r="K79" s="6">
        <v>43091562</v>
      </c>
      <c r="M79" s="2">
        <f t="shared" si="5"/>
        <v>8770155</v>
      </c>
      <c r="O79" s="6">
        <v>30147249</v>
      </c>
      <c r="Q79" s="6">
        <v>38917404</v>
      </c>
      <c r="S79" s="6">
        <v>432404</v>
      </c>
      <c r="U79" s="6">
        <v>0</v>
      </c>
      <c r="W79" s="6">
        <v>22750</v>
      </c>
      <c r="Y79" s="6">
        <v>3448504</v>
      </c>
      <c r="AA79" s="6">
        <v>270500</v>
      </c>
      <c r="AC79" s="12">
        <f t="shared" si="6"/>
        <v>4174158</v>
      </c>
      <c r="AE79" s="6">
        <f t="shared" si="7"/>
        <v>0</v>
      </c>
    </row>
    <row r="80" spans="1:31" hidden="1">
      <c r="A80" s="11" t="s">
        <v>674</v>
      </c>
      <c r="B80" s="11"/>
      <c r="C80" s="11" t="s">
        <v>552</v>
      </c>
      <c r="I80" s="2">
        <f t="shared" si="4"/>
        <v>0</v>
      </c>
      <c r="M80" s="2">
        <f t="shared" si="5"/>
        <v>0</v>
      </c>
      <c r="AC80" s="12">
        <f t="shared" si="6"/>
        <v>0</v>
      </c>
      <c r="AE80" s="6">
        <f t="shared" si="7"/>
        <v>0</v>
      </c>
    </row>
    <row r="81" spans="1:31">
      <c r="A81" s="11" t="s">
        <v>256</v>
      </c>
      <c r="B81" s="11"/>
      <c r="C81" s="11" t="s">
        <v>111</v>
      </c>
      <c r="E81" s="6">
        <v>2701311</v>
      </c>
      <c r="G81" s="6">
        <v>0</v>
      </c>
      <c r="I81" s="2">
        <f t="shared" si="4"/>
        <v>2401534</v>
      </c>
      <c r="K81" s="6">
        <v>5102845</v>
      </c>
      <c r="M81" s="2">
        <f t="shared" si="5"/>
        <v>855910</v>
      </c>
      <c r="O81" s="6">
        <f>1647208+112721</f>
        <v>1759929</v>
      </c>
      <c r="Q81" s="6">
        <v>2615839</v>
      </c>
      <c r="S81" s="6">
        <v>11893</v>
      </c>
      <c r="U81" s="6">
        <v>0</v>
      </c>
      <c r="W81" s="6">
        <v>10000</v>
      </c>
      <c r="Y81" s="6">
        <f>70310+157179+1222+280400+6387+2410</f>
        <v>517908</v>
      </c>
      <c r="AA81" s="6">
        <v>1947205</v>
      </c>
      <c r="AC81" s="12">
        <f t="shared" si="6"/>
        <v>2487006</v>
      </c>
      <c r="AE81" s="6">
        <f t="shared" si="7"/>
        <v>0</v>
      </c>
    </row>
    <row r="82" spans="1:31">
      <c r="A82" s="11" t="s">
        <v>206</v>
      </c>
      <c r="B82" s="11"/>
      <c r="C82" s="11" t="s">
        <v>12</v>
      </c>
      <c r="E82" s="6">
        <v>5897921</v>
      </c>
      <c r="G82" s="6">
        <v>0</v>
      </c>
      <c r="I82" s="2">
        <f t="shared" si="4"/>
        <v>6793074</v>
      </c>
      <c r="K82" s="6">
        <v>12690995</v>
      </c>
      <c r="M82" s="2">
        <f t="shared" ref="M82:M145" si="26">+Q82-O82</f>
        <v>2013639</v>
      </c>
      <c r="O82" s="6">
        <v>3990302</v>
      </c>
      <c r="Q82" s="6">
        <v>6003941</v>
      </c>
      <c r="S82" s="6">
        <v>142754</v>
      </c>
      <c r="U82" s="6">
        <v>0</v>
      </c>
      <c r="W82" s="6">
        <v>462377</v>
      </c>
      <c r="Y82" s="6">
        <v>269856</v>
      </c>
      <c r="AA82" s="6">
        <v>5812067</v>
      </c>
      <c r="AC82" s="12">
        <f t="shared" ref="AC82:AC145" si="27">+W82+U82++S82+Y82+AA82</f>
        <v>6687054</v>
      </c>
      <c r="AE82" s="6">
        <f t="shared" ref="AE82:AE145" si="28">+E82+G82+I82-M82-O82-W82-U82-S82-Y82-AA82</f>
        <v>0</v>
      </c>
    </row>
    <row r="83" spans="1:31">
      <c r="A83" s="11" t="s">
        <v>206</v>
      </c>
      <c r="B83" s="11"/>
      <c r="C83" s="11" t="s">
        <v>39</v>
      </c>
      <c r="E83" s="6">
        <f>1162731+302504</f>
        <v>1465235</v>
      </c>
      <c r="G83" s="6">
        <v>121920</v>
      </c>
      <c r="I83" s="2">
        <f t="shared" si="4"/>
        <v>6912131</v>
      </c>
      <c r="K83" s="6">
        <v>8499286</v>
      </c>
      <c r="M83" s="2">
        <f t="shared" si="26"/>
        <v>2120609</v>
      </c>
      <c r="O83" s="6">
        <v>6574247</v>
      </c>
      <c r="Q83" s="6">
        <v>8694856</v>
      </c>
      <c r="S83" s="6">
        <f>52815+1386</f>
        <v>54201</v>
      </c>
      <c r="U83" s="6">
        <f>5959+115961</f>
        <v>121920</v>
      </c>
      <c r="W83" s="6">
        <v>0</v>
      </c>
      <c r="Y83" s="6">
        <v>0</v>
      </c>
      <c r="AA83" s="6">
        <v>-371691</v>
      </c>
      <c r="AC83" s="12">
        <f t="shared" si="27"/>
        <v>-195570</v>
      </c>
      <c r="AE83" s="6">
        <f t="shared" si="28"/>
        <v>0</v>
      </c>
    </row>
    <row r="84" spans="1:31">
      <c r="A84" s="11" t="s">
        <v>675</v>
      </c>
      <c r="B84" s="11"/>
      <c r="C84" s="11" t="s">
        <v>47</v>
      </c>
      <c r="E84" s="6">
        <v>821623</v>
      </c>
      <c r="G84" s="6">
        <v>0</v>
      </c>
      <c r="I84" s="2">
        <f t="shared" ref="I84:I147" si="29">+K84-G84-E84</f>
        <v>8843612</v>
      </c>
      <c r="K84" s="6">
        <v>9665235</v>
      </c>
      <c r="M84" s="2">
        <f t="shared" si="26"/>
        <v>2632769</v>
      </c>
      <c r="O84" s="6">
        <v>7843196</v>
      </c>
      <c r="Q84" s="6">
        <v>10475965</v>
      </c>
      <c r="S84" s="6">
        <v>148833</v>
      </c>
      <c r="U84" s="6">
        <v>0</v>
      </c>
      <c r="W84" s="6">
        <v>212</v>
      </c>
      <c r="Y84" s="6">
        <v>267206</v>
      </c>
      <c r="AA84" s="6">
        <v>-1226981</v>
      </c>
      <c r="AC84" s="12">
        <f t="shared" si="27"/>
        <v>-810730</v>
      </c>
      <c r="AE84" s="6">
        <f t="shared" si="28"/>
        <v>0</v>
      </c>
    </row>
    <row r="85" spans="1:31" hidden="1">
      <c r="A85" s="42" t="s">
        <v>794</v>
      </c>
      <c r="B85" s="11"/>
      <c r="C85" s="11" t="s">
        <v>112</v>
      </c>
      <c r="I85" s="2">
        <f t="shared" si="29"/>
        <v>0</v>
      </c>
      <c r="M85" s="2">
        <f t="shared" si="26"/>
        <v>0</v>
      </c>
      <c r="AC85" s="12">
        <f t="shared" si="27"/>
        <v>0</v>
      </c>
      <c r="AE85" s="6">
        <f t="shared" si="28"/>
        <v>0</v>
      </c>
    </row>
    <row r="86" spans="1:31">
      <c r="A86" s="11" t="s">
        <v>636</v>
      </c>
      <c r="B86" s="11"/>
      <c r="C86" s="11" t="s">
        <v>23</v>
      </c>
      <c r="E86" s="6">
        <v>4025665</v>
      </c>
      <c r="G86" s="6">
        <v>0</v>
      </c>
      <c r="I86" s="2">
        <f t="shared" si="29"/>
        <v>11806073</v>
      </c>
      <c r="K86" s="6">
        <v>15831738</v>
      </c>
      <c r="M86" s="2">
        <f t="shared" si="26"/>
        <v>2237904</v>
      </c>
      <c r="O86" s="6">
        <f>856659+7684571</f>
        <v>8541230</v>
      </c>
      <c r="Q86" s="6">
        <v>10779134</v>
      </c>
      <c r="S86" s="6">
        <f>3101+5926</f>
        <v>9027</v>
      </c>
      <c r="U86" s="6">
        <v>0</v>
      </c>
      <c r="W86" s="6">
        <v>0</v>
      </c>
      <c r="Y86" s="6">
        <f>96594+253114+25958+125071+15274</f>
        <v>516011</v>
      </c>
      <c r="AA86" s="6">
        <v>4527566</v>
      </c>
      <c r="AC86" s="12">
        <f t="shared" si="27"/>
        <v>5052604</v>
      </c>
      <c r="AE86" s="6">
        <f t="shared" si="28"/>
        <v>0</v>
      </c>
    </row>
    <row r="87" spans="1:31">
      <c r="A87" s="11" t="s">
        <v>257</v>
      </c>
      <c r="B87" s="11"/>
      <c r="C87" s="11" t="s">
        <v>111</v>
      </c>
      <c r="E87" s="6">
        <v>4715165</v>
      </c>
      <c r="G87" s="6">
        <v>5605</v>
      </c>
      <c r="I87" s="2">
        <f t="shared" si="29"/>
        <v>5360853</v>
      </c>
      <c r="K87" s="6">
        <v>10081623</v>
      </c>
      <c r="M87" s="2">
        <f t="shared" si="26"/>
        <v>1630150</v>
      </c>
      <c r="O87" s="6">
        <v>2837339</v>
      </c>
      <c r="Q87" s="6">
        <v>4467489</v>
      </c>
      <c r="S87" s="6">
        <v>44314</v>
      </c>
      <c r="U87" s="6">
        <v>5605</v>
      </c>
      <c r="W87" s="6">
        <v>0</v>
      </c>
      <c r="Y87" s="6">
        <v>156833</v>
      </c>
      <c r="AA87" s="6">
        <v>5407382</v>
      </c>
      <c r="AC87" s="12">
        <f t="shared" si="27"/>
        <v>5614134</v>
      </c>
      <c r="AE87" s="6">
        <f t="shared" si="28"/>
        <v>0</v>
      </c>
    </row>
    <row r="88" spans="1:31">
      <c r="A88" s="11" t="s">
        <v>752</v>
      </c>
      <c r="B88" s="11"/>
      <c r="C88" s="11" t="s">
        <v>52</v>
      </c>
      <c r="E88" s="6">
        <v>935789</v>
      </c>
      <c r="G88" s="6">
        <v>29182</v>
      </c>
      <c r="I88" s="2">
        <f t="shared" si="29"/>
        <v>2793169</v>
      </c>
      <c r="K88" s="6">
        <v>3758140</v>
      </c>
      <c r="M88" s="2">
        <f t="shared" si="26"/>
        <v>948792</v>
      </c>
      <c r="O88" s="6">
        <v>2760268</v>
      </c>
      <c r="Q88" s="6">
        <v>3709060</v>
      </c>
      <c r="S88" s="6">
        <v>17149</v>
      </c>
      <c r="U88" s="6">
        <v>29037</v>
      </c>
      <c r="W88" s="6">
        <v>0</v>
      </c>
      <c r="Y88" s="6">
        <v>138644</v>
      </c>
      <c r="AA88" s="6">
        <v>-135750</v>
      </c>
      <c r="AC88" s="12">
        <f t="shared" si="27"/>
        <v>49080</v>
      </c>
      <c r="AE88" s="6">
        <f t="shared" si="28"/>
        <v>0</v>
      </c>
    </row>
    <row r="89" spans="1:31">
      <c r="A89" s="11" t="s">
        <v>319</v>
      </c>
      <c r="B89" s="11"/>
      <c r="C89" s="11" t="s">
        <v>31</v>
      </c>
      <c r="E89" s="6">
        <f>1723267+15078</f>
        <v>1738345</v>
      </c>
      <c r="G89" s="6">
        <v>12869</v>
      </c>
      <c r="I89" s="2">
        <f t="shared" si="29"/>
        <v>7032439</v>
      </c>
      <c r="K89" s="6">
        <v>8783653</v>
      </c>
      <c r="M89" s="2">
        <f t="shared" si="26"/>
        <v>2452945</v>
      </c>
      <c r="O89" s="6">
        <v>5210341</v>
      </c>
      <c r="Q89" s="6">
        <v>7663286</v>
      </c>
      <c r="S89" s="6">
        <f>53153+68653+12869</f>
        <v>134675</v>
      </c>
      <c r="U89" s="6">
        <v>0</v>
      </c>
      <c r="W89" s="6">
        <v>53980</v>
      </c>
      <c r="Y89" s="6">
        <f>300638+604503+26571</f>
        <v>931712</v>
      </c>
      <c r="AA89" s="6">
        <v>0</v>
      </c>
      <c r="AC89" s="12">
        <f t="shared" si="27"/>
        <v>1120367</v>
      </c>
      <c r="AE89" s="6">
        <f t="shared" si="28"/>
        <v>0</v>
      </c>
    </row>
    <row r="90" spans="1:31">
      <c r="A90" s="11" t="s">
        <v>647</v>
      </c>
      <c r="B90" s="11"/>
      <c r="C90" s="11" t="s">
        <v>45</v>
      </c>
      <c r="E90" s="6">
        <v>963255</v>
      </c>
      <c r="G90" s="6">
        <v>80192</v>
      </c>
      <c r="I90" s="2">
        <f t="shared" si="29"/>
        <v>2708227</v>
      </c>
      <c r="K90" s="6">
        <v>3751674</v>
      </c>
      <c r="M90" s="2">
        <f t="shared" si="26"/>
        <v>1734339</v>
      </c>
      <c r="O90" s="6">
        <v>2660568</v>
      </c>
      <c r="Q90" s="6">
        <v>4394907</v>
      </c>
      <c r="S90" s="6">
        <v>0</v>
      </c>
      <c r="U90" s="6">
        <v>81309</v>
      </c>
      <c r="W90" s="6">
        <v>0</v>
      </c>
      <c r="Y90" s="6">
        <v>4493</v>
      </c>
      <c r="AA90" s="6">
        <v>-729035</v>
      </c>
      <c r="AC90" s="12">
        <f t="shared" si="27"/>
        <v>-643233</v>
      </c>
      <c r="AE90" s="6">
        <f t="shared" si="28"/>
        <v>0</v>
      </c>
    </row>
    <row r="91" spans="1:31">
      <c r="A91" s="11" t="s">
        <v>300</v>
      </c>
      <c r="B91" s="11"/>
      <c r="C91" s="11" t="s">
        <v>27</v>
      </c>
      <c r="E91" s="6">
        <v>7176635</v>
      </c>
      <c r="G91" s="6">
        <v>0</v>
      </c>
      <c r="I91" s="2">
        <f t="shared" si="29"/>
        <v>19251973</v>
      </c>
      <c r="K91" s="6">
        <v>26428608</v>
      </c>
      <c r="M91" s="2">
        <f t="shared" si="26"/>
        <v>3601142</v>
      </c>
      <c r="O91" s="6">
        <f>1598443+11437459</f>
        <v>13035902</v>
      </c>
      <c r="Q91" s="6">
        <v>16637044</v>
      </c>
      <c r="S91" s="6">
        <v>0</v>
      </c>
      <c r="U91" s="6">
        <v>0</v>
      </c>
      <c r="W91" s="6">
        <v>0</v>
      </c>
      <c r="Y91" s="6">
        <f>171763+403894+895+589845</f>
        <v>1166397</v>
      </c>
      <c r="AA91" s="6">
        <v>8625167</v>
      </c>
      <c r="AC91" s="12">
        <f t="shared" si="27"/>
        <v>9791564</v>
      </c>
      <c r="AE91" s="6">
        <f t="shared" si="28"/>
        <v>0</v>
      </c>
    </row>
    <row r="92" spans="1:31">
      <c r="A92" s="11" t="s">
        <v>403</v>
      </c>
      <c r="B92" s="11"/>
      <c r="C92" s="11" t="s">
        <v>45</v>
      </c>
      <c r="E92" s="6">
        <v>5388332</v>
      </c>
      <c r="G92" s="6">
        <v>0</v>
      </c>
      <c r="I92" s="2">
        <f t="shared" si="29"/>
        <v>16347794</v>
      </c>
      <c r="K92" s="6">
        <v>21736126</v>
      </c>
      <c r="M92" s="2">
        <f t="shared" si="26"/>
        <v>2359313</v>
      </c>
      <c r="O92" s="6">
        <v>16245021</v>
      </c>
      <c r="Q92" s="6">
        <v>18604334</v>
      </c>
      <c r="S92" s="6">
        <v>69302</v>
      </c>
      <c r="U92" s="6">
        <v>0</v>
      </c>
      <c r="W92" s="6">
        <v>101849</v>
      </c>
      <c r="Y92" s="6">
        <v>25678</v>
      </c>
      <c r="AA92" s="6">
        <v>2934963</v>
      </c>
      <c r="AC92" s="12">
        <f t="shared" si="27"/>
        <v>3131792</v>
      </c>
      <c r="AE92" s="6">
        <f t="shared" si="28"/>
        <v>0</v>
      </c>
    </row>
    <row r="93" spans="1:31">
      <c r="A93" s="11" t="s">
        <v>494</v>
      </c>
      <c r="B93" s="11"/>
      <c r="C93" s="11" t="s">
        <v>62</v>
      </c>
      <c r="E93" s="6">
        <v>16151000</v>
      </c>
      <c r="G93" s="6">
        <v>0</v>
      </c>
      <c r="I93" s="2">
        <f>+K93-G93-E93</f>
        <v>35248000</v>
      </c>
      <c r="K93" s="6">
        <v>51399000</v>
      </c>
      <c r="M93" s="2">
        <f>+Q93-O93</f>
        <v>13669000</v>
      </c>
      <c r="O93" s="6">
        <f>6980000+25656000</f>
        <v>32636000</v>
      </c>
      <c r="Q93" s="6">
        <v>46305000</v>
      </c>
      <c r="S93" s="6">
        <f>489000+56000</f>
        <v>545000</v>
      </c>
      <c r="U93" s="6">
        <v>0</v>
      </c>
      <c r="W93" s="6">
        <v>0</v>
      </c>
      <c r="Y93" s="6">
        <f>2160000+707000+786000+4000+29000+98000</f>
        <v>3784000</v>
      </c>
      <c r="AA93" s="6">
        <v>765000</v>
      </c>
      <c r="AC93" s="12">
        <f>+W93+U93++S93+Y93+AA93</f>
        <v>5094000</v>
      </c>
      <c r="AE93" s="6">
        <f>+E93+G93+I93-M93-O93-W93-U93-S93-Y93-AA93</f>
        <v>0</v>
      </c>
    </row>
    <row r="94" spans="1:31">
      <c r="A94" s="11" t="s">
        <v>495</v>
      </c>
      <c r="B94" s="11"/>
      <c r="C94" s="11" t="s">
        <v>62</v>
      </c>
      <c r="E94" s="6">
        <v>2378928</v>
      </c>
      <c r="G94" s="6">
        <v>0</v>
      </c>
      <c r="I94" s="2">
        <f t="shared" si="29"/>
        <v>8066004</v>
      </c>
      <c r="K94" s="6">
        <v>10444932</v>
      </c>
      <c r="M94" s="2">
        <f t="shared" si="26"/>
        <v>2791476</v>
      </c>
      <c r="O94" s="6">
        <f>6789154+653843</f>
        <v>7442997</v>
      </c>
      <c r="Q94" s="6">
        <v>10234473</v>
      </c>
      <c r="S94" s="6">
        <v>0</v>
      </c>
      <c r="U94" s="6">
        <v>0</v>
      </c>
      <c r="W94" s="6">
        <v>0</v>
      </c>
      <c r="Y94" s="6">
        <f>91226+64613+33153+6200+15267</f>
        <v>210459</v>
      </c>
      <c r="AA94" s="6">
        <v>0</v>
      </c>
      <c r="AC94" s="12">
        <f t="shared" si="27"/>
        <v>210459</v>
      </c>
      <c r="AE94" s="6">
        <f t="shared" si="28"/>
        <v>0</v>
      </c>
    </row>
    <row r="95" spans="1:31">
      <c r="A95" s="11" t="s">
        <v>648</v>
      </c>
      <c r="B95" s="11"/>
      <c r="C95" s="11" t="s">
        <v>30</v>
      </c>
      <c r="E95" s="6">
        <v>245134</v>
      </c>
      <c r="G95" s="6">
        <v>0</v>
      </c>
      <c r="I95" s="2">
        <f t="shared" si="29"/>
        <v>5252184</v>
      </c>
      <c r="K95" s="6">
        <v>5497318</v>
      </c>
      <c r="M95" s="2">
        <f t="shared" si="26"/>
        <v>1458265</v>
      </c>
      <c r="O95" s="6">
        <v>4425701</v>
      </c>
      <c r="Q95" s="6">
        <v>5883966</v>
      </c>
      <c r="S95" s="6">
        <v>74911</v>
      </c>
      <c r="U95" s="6">
        <v>0</v>
      </c>
      <c r="W95" s="6">
        <v>0</v>
      </c>
      <c r="Y95" s="6">
        <v>85509</v>
      </c>
      <c r="AA95" s="6">
        <v>-547068</v>
      </c>
      <c r="AC95" s="12">
        <f t="shared" si="27"/>
        <v>-386648</v>
      </c>
      <c r="AE95" s="6">
        <f t="shared" si="28"/>
        <v>0</v>
      </c>
    </row>
    <row r="96" spans="1:31">
      <c r="A96" s="11" t="s">
        <v>441</v>
      </c>
      <c r="B96" s="11"/>
      <c r="C96" s="11" t="s">
        <v>78</v>
      </c>
      <c r="E96" s="6">
        <v>347015</v>
      </c>
      <c r="G96" s="6">
        <v>0</v>
      </c>
      <c r="I96" s="2">
        <f t="shared" si="29"/>
        <v>2956315</v>
      </c>
      <c r="K96" s="6">
        <v>3303330</v>
      </c>
      <c r="M96" s="2">
        <f t="shared" si="26"/>
        <v>1343310</v>
      </c>
      <c r="O96" s="6">
        <f>1695312+291465</f>
        <v>1986777</v>
      </c>
      <c r="Q96" s="6">
        <v>3330087</v>
      </c>
      <c r="S96" s="6">
        <v>0</v>
      </c>
      <c r="U96" s="6">
        <v>0</v>
      </c>
      <c r="W96" s="6">
        <v>0</v>
      </c>
      <c r="Y96" s="6">
        <v>0</v>
      </c>
      <c r="AA96" s="6">
        <v>-26757</v>
      </c>
      <c r="AC96" s="12">
        <f t="shared" si="27"/>
        <v>-26757</v>
      </c>
      <c r="AE96" s="6">
        <f t="shared" si="28"/>
        <v>0</v>
      </c>
    </row>
    <row r="97" spans="1:31" hidden="1">
      <c r="A97" s="11" t="s">
        <v>867</v>
      </c>
      <c r="B97" s="11"/>
      <c r="C97" s="11" t="s">
        <v>558</v>
      </c>
      <c r="I97" s="2">
        <f t="shared" si="29"/>
        <v>0</v>
      </c>
      <c r="M97" s="2">
        <f t="shared" si="26"/>
        <v>0</v>
      </c>
      <c r="AC97" s="12">
        <f t="shared" si="27"/>
        <v>0</v>
      </c>
      <c r="AE97" s="6">
        <f t="shared" si="28"/>
        <v>0</v>
      </c>
    </row>
    <row r="98" spans="1:31">
      <c r="A98" s="11" t="s">
        <v>543</v>
      </c>
      <c r="B98" s="11"/>
      <c r="C98" s="11" t="s">
        <v>69</v>
      </c>
      <c r="E98" s="6">
        <v>528489</v>
      </c>
      <c r="G98" s="6">
        <v>0</v>
      </c>
      <c r="I98" s="2">
        <f t="shared" si="29"/>
        <v>5050459</v>
      </c>
      <c r="K98" s="6">
        <v>5578948</v>
      </c>
      <c r="M98" s="2">
        <f t="shared" si="26"/>
        <v>2130235</v>
      </c>
      <c r="O98" s="6">
        <v>4105206</v>
      </c>
      <c r="Q98" s="6">
        <v>6235441</v>
      </c>
      <c r="S98" s="6">
        <v>0</v>
      </c>
      <c r="U98" s="6">
        <v>0</v>
      </c>
      <c r="W98" s="6">
        <v>0</v>
      </c>
      <c r="Y98" s="6">
        <v>64089</v>
      </c>
      <c r="AA98" s="6">
        <v>-720582</v>
      </c>
      <c r="AC98" s="12">
        <f t="shared" si="27"/>
        <v>-656493</v>
      </c>
      <c r="AE98" s="6">
        <f t="shared" si="28"/>
        <v>0</v>
      </c>
    </row>
    <row r="99" spans="1:31" s="28" customFormat="1">
      <c r="A99" s="27" t="s">
        <v>753</v>
      </c>
      <c r="B99" s="27"/>
      <c r="C99" s="27" t="s">
        <v>16</v>
      </c>
      <c r="E99" s="28">
        <v>5111345</v>
      </c>
      <c r="G99" s="28">
        <v>0</v>
      </c>
      <c r="I99" s="30">
        <f t="shared" si="29"/>
        <v>6602397</v>
      </c>
      <c r="K99" s="28">
        <v>11713742</v>
      </c>
      <c r="M99" s="30">
        <f t="shared" si="26"/>
        <v>2382576</v>
      </c>
      <c r="O99" s="28">
        <v>4749585</v>
      </c>
      <c r="Q99" s="28">
        <v>7132161</v>
      </c>
      <c r="S99" s="28">
        <v>50904</v>
      </c>
      <c r="U99" s="28">
        <v>0</v>
      </c>
      <c r="W99" s="28">
        <v>0</v>
      </c>
      <c r="Y99" s="28">
        <v>2353905</v>
      </c>
      <c r="AA99" s="28">
        <v>2176772</v>
      </c>
      <c r="AC99" s="37">
        <f t="shared" si="27"/>
        <v>4581581</v>
      </c>
      <c r="AE99" s="28">
        <f t="shared" si="28"/>
        <v>0</v>
      </c>
    </row>
    <row r="100" spans="1:31">
      <c r="A100" s="11" t="s">
        <v>649</v>
      </c>
      <c r="B100" s="11"/>
      <c r="C100" s="11" t="s">
        <v>114</v>
      </c>
      <c r="E100" s="6">
        <v>2497225</v>
      </c>
      <c r="G100" s="6">
        <v>0</v>
      </c>
      <c r="I100" s="2">
        <f t="shared" si="29"/>
        <v>2236920</v>
      </c>
      <c r="K100" s="6">
        <v>4734145</v>
      </c>
      <c r="M100" s="2">
        <f t="shared" si="26"/>
        <v>595997</v>
      </c>
      <c r="O100" s="6">
        <v>1703334</v>
      </c>
      <c r="Q100" s="6">
        <v>2299331</v>
      </c>
      <c r="S100" s="6">
        <v>10338</v>
      </c>
      <c r="U100" s="6">
        <v>0</v>
      </c>
      <c r="W100" s="6">
        <v>0</v>
      </c>
      <c r="Y100" s="6">
        <v>47057</v>
      </c>
      <c r="AA100" s="6">
        <v>2377419</v>
      </c>
      <c r="AC100" s="12">
        <f t="shared" si="27"/>
        <v>2434814</v>
      </c>
      <c r="AE100" s="6">
        <f t="shared" si="28"/>
        <v>0</v>
      </c>
    </row>
    <row r="101" spans="1:31" hidden="1">
      <c r="A101" s="11" t="s">
        <v>618</v>
      </c>
      <c r="B101" s="11"/>
      <c r="C101" s="11" t="s">
        <v>422</v>
      </c>
      <c r="I101" s="2">
        <f t="shared" si="29"/>
        <v>0</v>
      </c>
      <c r="M101" s="2">
        <f t="shared" si="26"/>
        <v>0</v>
      </c>
      <c r="AC101" s="12">
        <f t="shared" si="27"/>
        <v>0</v>
      </c>
      <c r="AE101" s="6">
        <f t="shared" si="28"/>
        <v>0</v>
      </c>
    </row>
    <row r="102" spans="1:31" hidden="1">
      <c r="A102" s="11" t="s">
        <v>868</v>
      </c>
      <c r="B102" s="11"/>
      <c r="C102" s="11" t="s">
        <v>40</v>
      </c>
      <c r="E102" s="6">
        <v>0</v>
      </c>
      <c r="G102" s="6">
        <v>0</v>
      </c>
      <c r="I102" s="2">
        <f t="shared" si="29"/>
        <v>0</v>
      </c>
      <c r="K102" s="6">
        <v>0</v>
      </c>
      <c r="M102" s="2">
        <f t="shared" si="26"/>
        <v>0</v>
      </c>
      <c r="O102" s="6">
        <v>0</v>
      </c>
      <c r="Q102" s="6">
        <v>0</v>
      </c>
      <c r="S102" s="6">
        <v>0</v>
      </c>
      <c r="U102" s="6">
        <v>0</v>
      </c>
      <c r="W102" s="6">
        <v>0</v>
      </c>
      <c r="Y102" s="6">
        <v>0</v>
      </c>
      <c r="AA102" s="6">
        <v>0</v>
      </c>
      <c r="AC102" s="12">
        <f t="shared" si="27"/>
        <v>0</v>
      </c>
      <c r="AE102" s="6">
        <f t="shared" si="28"/>
        <v>0</v>
      </c>
    </row>
    <row r="103" spans="1:31">
      <c r="A103" s="11" t="s">
        <v>650</v>
      </c>
      <c r="B103" s="11"/>
      <c r="C103" s="11" t="s">
        <v>50</v>
      </c>
      <c r="E103" s="6">
        <v>20477989</v>
      </c>
      <c r="G103" s="6">
        <v>141886</v>
      </c>
      <c r="I103" s="2">
        <f t="shared" si="29"/>
        <v>57579594</v>
      </c>
      <c r="K103" s="6">
        <v>78199469</v>
      </c>
      <c r="M103" s="2">
        <f t="shared" si="26"/>
        <v>8125129</v>
      </c>
      <c r="O103" s="6">
        <v>54190978</v>
      </c>
      <c r="Q103" s="6">
        <v>62316107</v>
      </c>
      <c r="S103" s="6">
        <v>0</v>
      </c>
      <c r="U103" s="6">
        <v>0</v>
      </c>
      <c r="W103" s="6">
        <v>0</v>
      </c>
      <c r="Y103" s="6">
        <v>5122612</v>
      </c>
      <c r="AA103" s="6">
        <v>10760750</v>
      </c>
      <c r="AC103" s="12">
        <f t="shared" si="27"/>
        <v>15883362</v>
      </c>
      <c r="AE103" s="6">
        <f t="shared" si="28"/>
        <v>0</v>
      </c>
    </row>
    <row r="104" spans="1:31" hidden="1">
      <c r="A104" s="11" t="s">
        <v>736</v>
      </c>
      <c r="B104" s="11"/>
      <c r="C104" s="11" t="s">
        <v>22</v>
      </c>
      <c r="I104" s="2">
        <f t="shared" si="29"/>
        <v>0</v>
      </c>
      <c r="M104" s="2">
        <f t="shared" si="26"/>
        <v>0</v>
      </c>
      <c r="AC104" s="12">
        <f t="shared" si="27"/>
        <v>0</v>
      </c>
      <c r="AE104" s="6">
        <f t="shared" si="28"/>
        <v>0</v>
      </c>
    </row>
    <row r="105" spans="1:31">
      <c r="A105" s="11" t="s">
        <v>754</v>
      </c>
      <c r="B105" s="11"/>
      <c r="C105" s="11" t="s">
        <v>20</v>
      </c>
      <c r="E105" s="6">
        <v>7054726</v>
      </c>
      <c r="G105" s="6">
        <v>0</v>
      </c>
      <c r="I105" s="2">
        <f t="shared" si="29"/>
        <v>20516434</v>
      </c>
      <c r="K105" s="6">
        <v>27571160</v>
      </c>
      <c r="M105" s="2">
        <f t="shared" si="26"/>
        <v>2963859</v>
      </c>
      <c r="O105" s="6">
        <v>17965787</v>
      </c>
      <c r="Q105" s="6">
        <v>20929646</v>
      </c>
      <c r="S105" s="6">
        <v>0</v>
      </c>
      <c r="U105" s="6">
        <v>0</v>
      </c>
      <c r="W105" s="6">
        <v>0</v>
      </c>
      <c r="Y105" s="6">
        <v>2068948</v>
      </c>
      <c r="AA105" s="6">
        <v>4572566</v>
      </c>
      <c r="AC105" s="12">
        <f t="shared" si="27"/>
        <v>6641514</v>
      </c>
      <c r="AE105" s="6">
        <f t="shared" si="28"/>
        <v>0</v>
      </c>
    </row>
    <row r="106" spans="1:31">
      <c r="A106" s="11" t="s">
        <v>520</v>
      </c>
      <c r="B106" s="11"/>
      <c r="C106" s="11" t="s">
        <v>64</v>
      </c>
      <c r="E106" s="6">
        <v>951068</v>
      </c>
      <c r="G106" s="6">
        <v>0</v>
      </c>
      <c r="I106" s="2">
        <f t="shared" si="29"/>
        <v>6026954</v>
      </c>
      <c r="K106" s="6">
        <v>6978022</v>
      </c>
      <c r="M106" s="2">
        <f t="shared" si="26"/>
        <v>1440279</v>
      </c>
      <c r="O106" s="6">
        <f>4612958+1337277</f>
        <v>5950235</v>
      </c>
      <c r="Q106" s="6">
        <v>7390514</v>
      </c>
      <c r="S106" s="6">
        <f>9306+40109</f>
        <v>49415</v>
      </c>
      <c r="U106" s="6">
        <v>0</v>
      </c>
      <c r="W106" s="6">
        <v>0</v>
      </c>
      <c r="Y106" s="6">
        <f>40757+78673+19863+14379</f>
        <v>153672</v>
      </c>
      <c r="AA106" s="6">
        <v>-615579</v>
      </c>
      <c r="AC106" s="12">
        <f t="shared" si="27"/>
        <v>-412492</v>
      </c>
      <c r="AE106" s="6">
        <f t="shared" si="28"/>
        <v>0</v>
      </c>
    </row>
    <row r="107" spans="1:31" hidden="1">
      <c r="A107" s="11" t="s">
        <v>737</v>
      </c>
      <c r="B107" s="11"/>
      <c r="C107" s="11" t="s">
        <v>30</v>
      </c>
      <c r="I107" s="2">
        <f t="shared" si="29"/>
        <v>0</v>
      </c>
      <c r="M107" s="2">
        <f t="shared" si="26"/>
        <v>0</v>
      </c>
      <c r="AC107" s="12">
        <f t="shared" si="27"/>
        <v>0</v>
      </c>
      <c r="AE107" s="6">
        <f t="shared" si="28"/>
        <v>0</v>
      </c>
    </row>
    <row r="108" spans="1:31">
      <c r="A108" s="11" t="s">
        <v>755</v>
      </c>
      <c r="B108" s="11"/>
      <c r="C108" s="11" t="s">
        <v>366</v>
      </c>
      <c r="E108" s="6">
        <v>1789286</v>
      </c>
      <c r="G108" s="6">
        <v>55362</v>
      </c>
      <c r="I108" s="2">
        <f t="shared" si="29"/>
        <v>2365756</v>
      </c>
      <c r="K108" s="6">
        <v>4210404</v>
      </c>
      <c r="M108" s="2">
        <f t="shared" si="26"/>
        <v>1243840</v>
      </c>
      <c r="O108" s="6">
        <v>2109203</v>
      </c>
      <c r="Q108" s="6">
        <v>3353043</v>
      </c>
      <c r="S108" s="6">
        <v>0</v>
      </c>
      <c r="U108" s="6">
        <v>55362</v>
      </c>
      <c r="W108" s="6">
        <v>215383</v>
      </c>
      <c r="Y108" s="6">
        <v>84839</v>
      </c>
      <c r="AA108" s="6">
        <v>501777</v>
      </c>
      <c r="AC108" s="12">
        <f t="shared" si="27"/>
        <v>857361</v>
      </c>
      <c r="AE108" s="6">
        <f t="shared" si="28"/>
        <v>0</v>
      </c>
    </row>
    <row r="109" spans="1:31">
      <c r="A109" s="11" t="s">
        <v>473</v>
      </c>
      <c r="B109" s="11"/>
      <c r="C109" s="11" t="s">
        <v>58</v>
      </c>
      <c r="E109" s="6">
        <v>1932672</v>
      </c>
      <c r="G109" s="6">
        <v>492</v>
      </c>
      <c r="I109" s="2">
        <f t="shared" si="29"/>
        <v>10159998</v>
      </c>
      <c r="K109" s="6">
        <v>12093162</v>
      </c>
      <c r="M109" s="2">
        <f t="shared" si="26"/>
        <v>2753952</v>
      </c>
      <c r="O109" s="6">
        <v>9235751</v>
      </c>
      <c r="Q109" s="6">
        <v>11989703</v>
      </c>
      <c r="S109" s="6">
        <v>0</v>
      </c>
      <c r="U109" s="6">
        <v>492</v>
      </c>
      <c r="W109" s="6">
        <f>49531+114865</f>
        <v>164396</v>
      </c>
      <c r="Y109" s="6">
        <f>31144+78768</f>
        <v>109912</v>
      </c>
      <c r="AA109" s="6">
        <v>-171341</v>
      </c>
      <c r="AC109" s="12">
        <f t="shared" si="27"/>
        <v>103459</v>
      </c>
      <c r="AE109" s="6">
        <f t="shared" si="28"/>
        <v>0</v>
      </c>
    </row>
    <row r="110" spans="1:31">
      <c r="A110" s="11" t="s">
        <v>551</v>
      </c>
      <c r="B110" s="11"/>
      <c r="C110" s="11" t="s">
        <v>71</v>
      </c>
      <c r="E110" s="6">
        <v>6525262</v>
      </c>
      <c r="G110" s="6">
        <v>0</v>
      </c>
      <c r="I110" s="2">
        <f t="shared" si="29"/>
        <v>4530774</v>
      </c>
      <c r="K110" s="6">
        <v>11056036</v>
      </c>
      <c r="M110" s="2">
        <f t="shared" si="26"/>
        <v>1194796</v>
      </c>
      <c r="O110" s="6">
        <f>190846+3244669</f>
        <v>3435515</v>
      </c>
      <c r="Q110" s="6">
        <v>4630311</v>
      </c>
      <c r="S110" s="6">
        <v>40790</v>
      </c>
      <c r="U110" s="6">
        <v>0</v>
      </c>
      <c r="W110" s="6">
        <v>0</v>
      </c>
      <c r="Y110" s="6">
        <f>9148+136307+55514+1058115+8208</f>
        <v>1267292</v>
      </c>
      <c r="AA110" s="6">
        <v>5117643</v>
      </c>
      <c r="AC110" s="12">
        <f t="shared" si="27"/>
        <v>6425725</v>
      </c>
      <c r="AE110" s="6">
        <f t="shared" si="28"/>
        <v>0</v>
      </c>
    </row>
    <row r="111" spans="1:31">
      <c r="A111" s="11" t="s">
        <v>652</v>
      </c>
      <c r="B111" s="11"/>
      <c r="C111" s="11" t="s">
        <v>32</v>
      </c>
      <c r="E111" s="6">
        <v>119003476</v>
      </c>
      <c r="G111" s="6">
        <v>8309709</v>
      </c>
      <c r="I111" s="2">
        <f t="shared" si="29"/>
        <v>300595779</v>
      </c>
      <c r="K111" s="6">
        <v>427908964</v>
      </c>
      <c r="M111" s="2">
        <f t="shared" si="26"/>
        <v>34565001</v>
      </c>
      <c r="O111" s="6">
        <f>254518399+15509</f>
        <v>254533908</v>
      </c>
      <c r="Q111" s="6">
        <v>289098909</v>
      </c>
      <c r="S111" s="6">
        <v>190019</v>
      </c>
      <c r="U111" s="6">
        <v>0</v>
      </c>
      <c r="W111" s="6">
        <v>0</v>
      </c>
      <c r="Y111" s="6">
        <v>5338695</v>
      </c>
      <c r="AA111" s="6">
        <v>133281341</v>
      </c>
      <c r="AC111" s="12">
        <f t="shared" si="27"/>
        <v>138810055</v>
      </c>
      <c r="AE111" s="6">
        <f t="shared" si="28"/>
        <v>0</v>
      </c>
    </row>
    <row r="112" spans="1:31">
      <c r="A112" s="11" t="s">
        <v>452</v>
      </c>
      <c r="B112" s="11"/>
      <c r="C112" s="11" t="s">
        <v>54</v>
      </c>
      <c r="E112" s="6">
        <f>14996383+5</f>
        <v>14996388</v>
      </c>
      <c r="G112" s="6">
        <v>22253</v>
      </c>
      <c r="I112" s="2">
        <f t="shared" si="29"/>
        <v>9430878</v>
      </c>
      <c r="K112" s="6">
        <v>24449519</v>
      </c>
      <c r="M112" s="2">
        <f t="shared" si="26"/>
        <v>2286093</v>
      </c>
      <c r="O112" s="6">
        <f>550992+7373991</f>
        <v>7924983</v>
      </c>
      <c r="Q112" s="6">
        <v>10211076</v>
      </c>
      <c r="S112" s="6">
        <f>40759+24437</f>
        <v>65196</v>
      </c>
      <c r="U112" s="6">
        <v>22253</v>
      </c>
      <c r="W112" s="6">
        <f>113517+55940</f>
        <v>169457</v>
      </c>
      <c r="Y112" s="6">
        <f>63506+412701+225+452688</f>
        <v>929120</v>
      </c>
      <c r="AA112" s="6">
        <v>13052417</v>
      </c>
      <c r="AC112" s="12">
        <f t="shared" si="27"/>
        <v>14238443</v>
      </c>
      <c r="AE112" s="6">
        <f t="shared" si="28"/>
        <v>0</v>
      </c>
    </row>
    <row r="113" spans="1:31">
      <c r="A113" s="11" t="s">
        <v>231</v>
      </c>
      <c r="B113" s="11"/>
      <c r="C113" s="11" t="s">
        <v>17</v>
      </c>
      <c r="E113" s="6">
        <v>1880594</v>
      </c>
      <c r="G113" s="6">
        <v>28770</v>
      </c>
      <c r="I113" s="2">
        <f t="shared" si="29"/>
        <v>8941357</v>
      </c>
      <c r="K113" s="6">
        <v>10850721</v>
      </c>
      <c r="M113" s="2">
        <f t="shared" si="26"/>
        <v>2108658</v>
      </c>
      <c r="O113" s="6">
        <v>7757095</v>
      </c>
      <c r="Q113" s="6">
        <v>9865753</v>
      </c>
      <c r="S113" s="6">
        <v>41738</v>
      </c>
      <c r="U113" s="6">
        <v>28770</v>
      </c>
      <c r="W113" s="6">
        <v>11000</v>
      </c>
      <c r="Y113" s="6">
        <v>352420</v>
      </c>
      <c r="AA113" s="6">
        <v>551040</v>
      </c>
      <c r="AC113" s="12">
        <f t="shared" si="27"/>
        <v>984968</v>
      </c>
      <c r="AE113" s="6">
        <f t="shared" si="28"/>
        <v>0</v>
      </c>
    </row>
    <row r="114" spans="1:31">
      <c r="A114" s="11" t="s">
        <v>480</v>
      </c>
      <c r="B114" s="11"/>
      <c r="C114" s="11" t="s">
        <v>59</v>
      </c>
      <c r="E114" s="6">
        <v>395266</v>
      </c>
      <c r="G114" s="6">
        <v>0</v>
      </c>
      <c r="I114" s="2">
        <f t="shared" si="29"/>
        <v>1119183</v>
      </c>
      <c r="K114" s="6">
        <v>1514449</v>
      </c>
      <c r="M114" s="2">
        <f t="shared" si="26"/>
        <v>597305</v>
      </c>
      <c r="O114" s="6">
        <v>1010279</v>
      </c>
      <c r="Q114" s="6">
        <v>1607584</v>
      </c>
      <c r="S114" s="6">
        <v>17259</v>
      </c>
      <c r="U114" s="6">
        <v>0</v>
      </c>
      <c r="W114" s="6">
        <v>0</v>
      </c>
      <c r="Y114" s="6">
        <v>280629</v>
      </c>
      <c r="AA114" s="6">
        <v>-391023</v>
      </c>
      <c r="AC114" s="12">
        <f t="shared" si="27"/>
        <v>-93135</v>
      </c>
      <c r="AE114" s="6">
        <f t="shared" si="28"/>
        <v>0</v>
      </c>
    </row>
    <row r="115" spans="1:31">
      <c r="A115" s="11" t="s">
        <v>533</v>
      </c>
      <c r="B115" s="11"/>
      <c r="C115" s="11" t="s">
        <v>65</v>
      </c>
      <c r="E115" s="6">
        <v>3058251</v>
      </c>
      <c r="G115" s="6">
        <v>0</v>
      </c>
      <c r="I115" s="2">
        <f t="shared" si="29"/>
        <v>3771388</v>
      </c>
      <c r="K115" s="6">
        <v>6829639</v>
      </c>
      <c r="M115" s="2">
        <f t="shared" si="26"/>
        <v>1749998</v>
      </c>
      <c r="O115" s="6">
        <f>558712+2687283</f>
        <v>3245995</v>
      </c>
      <c r="Q115" s="6">
        <v>4995993</v>
      </c>
      <c r="S115" s="6">
        <v>11275</v>
      </c>
      <c r="U115" s="6">
        <v>0</v>
      </c>
      <c r="W115" s="6">
        <v>0</v>
      </c>
      <c r="Y115" s="6">
        <f>44206+202295+6830+77298</f>
        <v>330629</v>
      </c>
      <c r="AA115" s="6">
        <v>1491742</v>
      </c>
      <c r="AC115" s="12">
        <f t="shared" si="27"/>
        <v>1833646</v>
      </c>
      <c r="AE115" s="6">
        <f t="shared" si="28"/>
        <v>0</v>
      </c>
    </row>
    <row r="116" spans="1:31">
      <c r="A116" s="11" t="s">
        <v>468</v>
      </c>
      <c r="B116" s="11"/>
      <c r="C116" s="11" t="s">
        <v>110</v>
      </c>
      <c r="E116" s="6">
        <f>6495282+1042</f>
        <v>6496324</v>
      </c>
      <c r="G116" s="6">
        <v>0</v>
      </c>
      <c r="I116" s="2">
        <f t="shared" si="29"/>
        <v>3882129</v>
      </c>
      <c r="K116" s="6">
        <v>10378453</v>
      </c>
      <c r="M116" s="2">
        <f t="shared" si="26"/>
        <v>1238290</v>
      </c>
      <c r="O116" s="6">
        <f>2683043+247488</f>
        <v>2930531</v>
      </c>
      <c r="Q116" s="6">
        <v>4168821</v>
      </c>
      <c r="S116" s="6">
        <f>34013+242892</f>
        <v>276905</v>
      </c>
      <c r="U116" s="6">
        <v>0</v>
      </c>
      <c r="W116" s="6">
        <v>13090</v>
      </c>
      <c r="Y116" s="6">
        <f>1373+726197+286+10281</f>
        <v>738137</v>
      </c>
      <c r="AA116" s="6">
        <v>5181500</v>
      </c>
      <c r="AC116" s="12">
        <f t="shared" si="27"/>
        <v>6209632</v>
      </c>
      <c r="AE116" s="6">
        <f t="shared" si="28"/>
        <v>0</v>
      </c>
    </row>
    <row r="117" spans="1:31">
      <c r="A117" s="11" t="s">
        <v>382</v>
      </c>
      <c r="B117" s="11"/>
      <c r="C117" s="11" t="s">
        <v>44</v>
      </c>
      <c r="E117" s="6">
        <v>134803</v>
      </c>
      <c r="G117" s="6">
        <v>0</v>
      </c>
      <c r="I117" s="2">
        <f t="shared" si="29"/>
        <v>3256092</v>
      </c>
      <c r="K117" s="6">
        <v>3390895</v>
      </c>
      <c r="M117" s="2">
        <f t="shared" si="26"/>
        <v>1864286</v>
      </c>
      <c r="O117" s="6">
        <v>2920461</v>
      </c>
      <c r="Q117" s="6">
        <v>4784747</v>
      </c>
      <c r="S117" s="6">
        <v>0</v>
      </c>
      <c r="U117" s="6">
        <v>0</v>
      </c>
      <c r="W117" s="6">
        <v>0</v>
      </c>
      <c r="Y117" s="6">
        <v>81367</v>
      </c>
      <c r="AA117" s="6">
        <v>-1475219</v>
      </c>
      <c r="AC117" s="12">
        <f t="shared" si="27"/>
        <v>-1393852</v>
      </c>
      <c r="AE117" s="6">
        <f t="shared" si="28"/>
        <v>0</v>
      </c>
    </row>
    <row r="118" spans="1:31">
      <c r="A118" s="11" t="s">
        <v>653</v>
      </c>
      <c r="B118" s="11"/>
      <c r="C118" s="11" t="s">
        <v>113</v>
      </c>
      <c r="E118" s="6">
        <v>509970</v>
      </c>
      <c r="G118" s="6">
        <v>0</v>
      </c>
      <c r="I118" s="2">
        <f t="shared" si="29"/>
        <v>7116567</v>
      </c>
      <c r="K118" s="6">
        <v>7626537</v>
      </c>
      <c r="M118" s="2">
        <f t="shared" si="26"/>
        <v>1344657</v>
      </c>
      <c r="O118" s="6">
        <v>5308362</v>
      </c>
      <c r="Q118" s="6">
        <v>6653019</v>
      </c>
      <c r="S118" s="6">
        <v>0</v>
      </c>
      <c r="U118" s="6">
        <v>0</v>
      </c>
      <c r="W118" s="6">
        <v>231740</v>
      </c>
      <c r="Y118" s="6">
        <v>117904</v>
      </c>
      <c r="AA118" s="6">
        <v>623874</v>
      </c>
      <c r="AC118" s="12">
        <f t="shared" si="27"/>
        <v>973518</v>
      </c>
      <c r="AE118" s="6">
        <f t="shared" si="28"/>
        <v>0</v>
      </c>
    </row>
    <row r="119" spans="1:31">
      <c r="A119" s="11" t="s">
        <v>651</v>
      </c>
      <c r="B119" s="11"/>
      <c r="C119" s="11" t="s">
        <v>20</v>
      </c>
      <c r="E119" s="6">
        <v>29470827</v>
      </c>
      <c r="G119" s="6">
        <v>0</v>
      </c>
      <c r="I119" s="2">
        <f t="shared" si="29"/>
        <v>88248701</v>
      </c>
      <c r="K119" s="6">
        <v>117719528</v>
      </c>
      <c r="M119" s="2">
        <f t="shared" si="26"/>
        <v>6469813</v>
      </c>
      <c r="O119" s="6">
        <v>66144041</v>
      </c>
      <c r="Q119" s="6">
        <v>72613854</v>
      </c>
      <c r="S119" s="6">
        <v>388565</v>
      </c>
      <c r="U119" s="6">
        <v>0</v>
      </c>
      <c r="W119" s="6">
        <v>16583</v>
      </c>
      <c r="Y119" s="6">
        <v>2823863</v>
      </c>
      <c r="AA119" s="6">
        <v>41876663</v>
      </c>
      <c r="AC119" s="12">
        <f t="shared" si="27"/>
        <v>45105674</v>
      </c>
      <c r="AE119" s="6">
        <f t="shared" si="28"/>
        <v>0</v>
      </c>
    </row>
    <row r="120" spans="1:31">
      <c r="A120" s="11" t="s">
        <v>265</v>
      </c>
      <c r="B120" s="11"/>
      <c r="C120" s="11" t="s">
        <v>20</v>
      </c>
      <c r="E120" s="6">
        <v>44443742</v>
      </c>
      <c r="G120" s="6">
        <v>0</v>
      </c>
      <c r="I120" s="2">
        <f t="shared" si="29"/>
        <v>255439463</v>
      </c>
      <c r="K120" s="6">
        <v>299883205</v>
      </c>
      <c r="M120" s="2">
        <f t="shared" si="26"/>
        <v>57488136</v>
      </c>
      <c r="O120" s="6">
        <v>227215875</v>
      </c>
      <c r="Q120" s="6">
        <v>284704011</v>
      </c>
      <c r="S120" s="6">
        <v>4920465</v>
      </c>
      <c r="U120" s="6">
        <v>0</v>
      </c>
      <c r="W120" s="6">
        <v>7802251</v>
      </c>
      <c r="Y120" s="6">
        <v>0</v>
      </c>
      <c r="AA120" s="6">
        <v>2456478</v>
      </c>
      <c r="AC120" s="12">
        <f t="shared" si="27"/>
        <v>15179194</v>
      </c>
      <c r="AE120" s="6">
        <f t="shared" si="28"/>
        <v>0</v>
      </c>
    </row>
    <row r="121" spans="1:31">
      <c r="A121" s="11" t="s">
        <v>243</v>
      </c>
      <c r="B121" s="11"/>
      <c r="C121" s="11" t="s">
        <v>18</v>
      </c>
      <c r="E121" s="6">
        <v>3354195</v>
      </c>
      <c r="G121" s="6">
        <v>0</v>
      </c>
      <c r="I121" s="2">
        <f t="shared" si="29"/>
        <v>4915477</v>
      </c>
      <c r="K121" s="6">
        <v>8269672</v>
      </c>
      <c r="M121" s="2">
        <f t="shared" si="26"/>
        <v>1314460</v>
      </c>
      <c r="O121" s="6">
        <v>4565632</v>
      </c>
      <c r="Q121" s="6">
        <v>5880092</v>
      </c>
      <c r="S121" s="6">
        <v>0</v>
      </c>
      <c r="U121" s="6">
        <v>0</v>
      </c>
      <c r="W121" s="6">
        <v>0</v>
      </c>
      <c r="Y121" s="6">
        <v>92629</v>
      </c>
      <c r="AA121" s="6">
        <v>2296951</v>
      </c>
      <c r="AC121" s="12">
        <f t="shared" si="27"/>
        <v>2389580</v>
      </c>
      <c r="AE121" s="6">
        <f t="shared" si="28"/>
        <v>0</v>
      </c>
    </row>
    <row r="122" spans="1:31">
      <c r="A122" s="11" t="s">
        <v>416</v>
      </c>
      <c r="B122" s="11"/>
      <c r="C122" s="11" t="s">
        <v>47</v>
      </c>
      <c r="E122" s="6">
        <v>1250948</v>
      </c>
      <c r="G122" s="6">
        <v>0</v>
      </c>
      <c r="I122" s="2">
        <f t="shared" si="29"/>
        <v>14879483</v>
      </c>
      <c r="K122" s="6">
        <v>16130431</v>
      </c>
      <c r="M122" s="2">
        <f t="shared" si="26"/>
        <v>3665655</v>
      </c>
      <c r="O122" s="6">
        <f>11753590+820924</f>
        <v>12574514</v>
      </c>
      <c r="Q122" s="6">
        <v>16240169</v>
      </c>
      <c r="S122" s="6">
        <v>31430</v>
      </c>
      <c r="U122" s="6">
        <v>0</v>
      </c>
      <c r="W122" s="6">
        <v>0</v>
      </c>
      <c r="Y122" s="6">
        <v>0</v>
      </c>
      <c r="AA122" s="6">
        <v>-141168</v>
      </c>
      <c r="AC122" s="12">
        <f t="shared" si="27"/>
        <v>-109738</v>
      </c>
      <c r="AE122" s="6">
        <f t="shared" si="28"/>
        <v>0</v>
      </c>
    </row>
    <row r="123" spans="1:31">
      <c r="A123" s="11" t="s">
        <v>756</v>
      </c>
      <c r="B123" s="11"/>
      <c r="C123" s="11" t="s">
        <v>79</v>
      </c>
      <c r="E123" s="6">
        <v>2527038</v>
      </c>
      <c r="G123" s="6">
        <v>0</v>
      </c>
      <c r="I123" s="2">
        <f t="shared" si="29"/>
        <v>7698800</v>
      </c>
      <c r="K123" s="6">
        <v>10225838</v>
      </c>
      <c r="M123" s="2">
        <f t="shared" si="26"/>
        <v>1984025</v>
      </c>
      <c r="O123" s="6">
        <f>554273+5375138</f>
        <v>5929411</v>
      </c>
      <c r="Q123" s="6">
        <v>7913436</v>
      </c>
      <c r="S123" s="6">
        <f>18697+71947</f>
        <v>90644</v>
      </c>
      <c r="U123" s="6">
        <v>972375</v>
      </c>
      <c r="W123" s="6">
        <v>0</v>
      </c>
      <c r="Y123" s="6">
        <f>15575+27941+44795+12283</f>
        <v>100594</v>
      </c>
      <c r="AA123" s="6">
        <v>1148789</v>
      </c>
      <c r="AC123" s="12">
        <f t="shared" si="27"/>
        <v>2312402</v>
      </c>
      <c r="AE123" s="6">
        <f t="shared" si="28"/>
        <v>0</v>
      </c>
    </row>
    <row r="124" spans="1:31" hidden="1">
      <c r="A124" s="11" t="s">
        <v>654</v>
      </c>
      <c r="B124" s="11"/>
      <c r="C124" s="11" t="s">
        <v>422</v>
      </c>
      <c r="I124" s="2">
        <f t="shared" si="29"/>
        <v>0</v>
      </c>
      <c r="M124" s="2">
        <f t="shared" si="26"/>
        <v>0</v>
      </c>
      <c r="AC124" s="12">
        <f t="shared" si="27"/>
        <v>0</v>
      </c>
      <c r="AE124" s="6">
        <f t="shared" si="28"/>
        <v>0</v>
      </c>
    </row>
    <row r="125" spans="1:31" hidden="1">
      <c r="A125" s="11" t="s">
        <v>610</v>
      </c>
      <c r="B125" s="11"/>
      <c r="C125" s="11" t="s">
        <v>57</v>
      </c>
      <c r="I125" s="2">
        <f t="shared" si="29"/>
        <v>0</v>
      </c>
      <c r="M125" s="2">
        <f t="shared" si="26"/>
        <v>0</v>
      </c>
      <c r="AC125" s="12">
        <f t="shared" si="27"/>
        <v>0</v>
      </c>
      <c r="AE125" s="6">
        <f t="shared" si="28"/>
        <v>0</v>
      </c>
    </row>
    <row r="126" spans="1:31">
      <c r="A126" s="11" t="s">
        <v>258</v>
      </c>
      <c r="B126" s="11"/>
      <c r="C126" s="11" t="s">
        <v>111</v>
      </c>
      <c r="E126" s="6">
        <v>1637527</v>
      </c>
      <c r="G126" s="6">
        <v>0</v>
      </c>
      <c r="I126" s="2">
        <f t="shared" si="29"/>
        <v>3272053</v>
      </c>
      <c r="K126" s="6">
        <v>4909580</v>
      </c>
      <c r="M126" s="2">
        <f t="shared" si="26"/>
        <v>1210910</v>
      </c>
      <c r="O126" s="6">
        <f>257792+1384816</f>
        <v>1642608</v>
      </c>
      <c r="Q126" s="6">
        <v>2853518</v>
      </c>
      <c r="S126" s="6">
        <v>14016</v>
      </c>
      <c r="U126" s="6">
        <v>0</v>
      </c>
      <c r="W126" s="6">
        <v>69128</v>
      </c>
      <c r="Y126" s="6">
        <f>2858+107801+1759+627043+1350</f>
        <v>740811</v>
      </c>
      <c r="AA126" s="6">
        <v>1232107</v>
      </c>
      <c r="AC126" s="12">
        <f t="shared" si="27"/>
        <v>2056062</v>
      </c>
      <c r="AE126" s="6">
        <f t="shared" si="28"/>
        <v>0</v>
      </c>
    </row>
    <row r="127" spans="1:31">
      <c r="A127" s="11" t="s">
        <v>383</v>
      </c>
      <c r="B127" s="11"/>
      <c r="C127" s="11" t="s">
        <v>44</v>
      </c>
      <c r="E127" s="6">
        <v>373117</v>
      </c>
      <c r="G127" s="6">
        <v>0</v>
      </c>
      <c r="I127" s="2">
        <f t="shared" si="29"/>
        <v>5761684</v>
      </c>
      <c r="K127" s="6">
        <v>6134801</v>
      </c>
      <c r="M127" s="2">
        <f t="shared" si="26"/>
        <v>1328575</v>
      </c>
      <c r="O127" s="6">
        <f>15220+5183859</f>
        <v>5199079</v>
      </c>
      <c r="Q127" s="6">
        <v>6527654</v>
      </c>
      <c r="S127" s="6">
        <v>0</v>
      </c>
      <c r="U127" s="6">
        <v>0</v>
      </c>
      <c r="W127" s="6">
        <v>0</v>
      </c>
      <c r="Y127" s="6">
        <v>0</v>
      </c>
      <c r="AA127" s="6">
        <v>-392853</v>
      </c>
      <c r="AC127" s="12">
        <f t="shared" si="27"/>
        <v>-392853</v>
      </c>
      <c r="AE127" s="6">
        <f t="shared" si="28"/>
        <v>0</v>
      </c>
    </row>
    <row r="128" spans="1:31">
      <c r="A128" s="11" t="s">
        <v>757</v>
      </c>
      <c r="B128" s="11"/>
      <c r="C128" s="11" t="s">
        <v>112</v>
      </c>
      <c r="E128" s="6">
        <f>2115995+26586</f>
        <v>2142581</v>
      </c>
      <c r="G128" s="6">
        <v>0</v>
      </c>
      <c r="I128" s="2">
        <f t="shared" si="29"/>
        <v>4467857</v>
      </c>
      <c r="K128" s="6">
        <v>6610438</v>
      </c>
      <c r="M128" s="2">
        <f t="shared" si="26"/>
        <v>746619</v>
      </c>
      <c r="O128" s="6">
        <v>3551082</v>
      </c>
      <c r="Q128" s="6">
        <v>4297701</v>
      </c>
      <c r="S128" s="6">
        <v>0</v>
      </c>
      <c r="U128" s="6">
        <v>0</v>
      </c>
      <c r="W128" s="6">
        <v>0</v>
      </c>
      <c r="Y128" s="6">
        <v>52490</v>
      </c>
      <c r="AA128" s="6">
        <v>2260247</v>
      </c>
      <c r="AC128" s="12">
        <f t="shared" si="27"/>
        <v>2312737</v>
      </c>
      <c r="AE128" s="6">
        <f t="shared" si="28"/>
        <v>0</v>
      </c>
    </row>
    <row r="129" spans="1:31">
      <c r="A129" s="11" t="s">
        <v>301</v>
      </c>
      <c r="B129" s="11"/>
      <c r="C129" s="11" t="s">
        <v>27</v>
      </c>
      <c r="E129" s="6">
        <v>253923611</v>
      </c>
      <c r="G129" s="6">
        <v>0</v>
      </c>
      <c r="I129" s="2">
        <f t="shared" si="29"/>
        <v>395205028</v>
      </c>
      <c r="K129" s="6">
        <v>649128639</v>
      </c>
      <c r="M129" s="2">
        <f t="shared" si="26"/>
        <v>100876966</v>
      </c>
      <c r="O129" s="6">
        <v>305010847</v>
      </c>
      <c r="Q129" s="6">
        <v>405887813</v>
      </c>
      <c r="S129" s="6">
        <v>240424</v>
      </c>
      <c r="U129" s="6">
        <v>0</v>
      </c>
      <c r="W129" s="6">
        <v>870347</v>
      </c>
      <c r="Y129" s="6">
        <v>5471665</v>
      </c>
      <c r="AA129" s="6">
        <v>236658390</v>
      </c>
      <c r="AC129" s="12">
        <f t="shared" si="27"/>
        <v>243240826</v>
      </c>
      <c r="AE129" s="6">
        <f t="shared" si="28"/>
        <v>0</v>
      </c>
    </row>
    <row r="130" spans="1:31" hidden="1">
      <c r="A130" s="11" t="s">
        <v>611</v>
      </c>
      <c r="B130" s="11"/>
      <c r="C130" s="11" t="s">
        <v>467</v>
      </c>
      <c r="I130" s="2">
        <f t="shared" si="29"/>
        <v>0</v>
      </c>
      <c r="M130" s="2">
        <f t="shared" si="26"/>
        <v>0</v>
      </c>
      <c r="AC130" s="12">
        <f t="shared" si="27"/>
        <v>0</v>
      </c>
      <c r="AE130" s="6">
        <f t="shared" si="28"/>
        <v>0</v>
      </c>
    </row>
    <row r="131" spans="1:31">
      <c r="A131" s="11" t="s">
        <v>207</v>
      </c>
      <c r="B131" s="11"/>
      <c r="C131" s="11" t="s">
        <v>12</v>
      </c>
      <c r="E131" s="6">
        <v>4349804</v>
      </c>
      <c r="G131" s="6">
        <v>0</v>
      </c>
      <c r="I131" s="2">
        <f t="shared" si="29"/>
        <v>3926952</v>
      </c>
      <c r="K131" s="6">
        <v>8276756</v>
      </c>
      <c r="M131" s="2">
        <f t="shared" si="26"/>
        <v>1850147</v>
      </c>
      <c r="O131" s="6">
        <v>2405924</v>
      </c>
      <c r="Q131" s="6">
        <v>4256071</v>
      </c>
      <c r="S131" s="6">
        <v>48712</v>
      </c>
      <c r="U131" s="6">
        <v>0</v>
      </c>
      <c r="W131" s="6">
        <v>0</v>
      </c>
      <c r="Y131" s="6">
        <v>3539498</v>
      </c>
      <c r="AA131" s="6">
        <v>432475</v>
      </c>
      <c r="AC131" s="12">
        <f t="shared" si="27"/>
        <v>4020685</v>
      </c>
      <c r="AE131" s="6">
        <f t="shared" si="28"/>
        <v>0</v>
      </c>
    </row>
    <row r="132" spans="1:31">
      <c r="A132" s="11" t="s">
        <v>342</v>
      </c>
      <c r="B132" s="11"/>
      <c r="C132" s="11" t="s">
        <v>343</v>
      </c>
      <c r="E132" s="6">
        <v>463696</v>
      </c>
      <c r="G132" s="6">
        <v>0</v>
      </c>
      <c r="I132" s="2">
        <f t="shared" si="29"/>
        <v>2072457</v>
      </c>
      <c r="K132" s="6">
        <v>2536153</v>
      </c>
      <c r="M132" s="2">
        <f t="shared" si="26"/>
        <v>528058</v>
      </c>
      <c r="O132" s="6">
        <f>205857+1485267</f>
        <v>1691124</v>
      </c>
      <c r="Q132" s="6">
        <v>2219182</v>
      </c>
      <c r="S132" s="6">
        <v>31570</v>
      </c>
      <c r="U132" s="6">
        <v>0</v>
      </c>
      <c r="W132" s="6">
        <v>0</v>
      </c>
      <c r="Y132" s="6">
        <f>978+1143+6530+276750</f>
        <v>285401</v>
      </c>
      <c r="AA132" s="6">
        <v>0</v>
      </c>
      <c r="AC132" s="12">
        <f t="shared" si="27"/>
        <v>316971</v>
      </c>
      <c r="AE132" s="6">
        <f t="shared" si="28"/>
        <v>0</v>
      </c>
    </row>
    <row r="133" spans="1:31" hidden="1">
      <c r="A133" s="11" t="s">
        <v>676</v>
      </c>
      <c r="B133" s="11"/>
      <c r="C133" s="11" t="s">
        <v>467</v>
      </c>
      <c r="I133" s="2">
        <f t="shared" si="29"/>
        <v>0</v>
      </c>
      <c r="M133" s="2">
        <f t="shared" si="26"/>
        <v>0</v>
      </c>
      <c r="AC133" s="12">
        <f t="shared" si="27"/>
        <v>0</v>
      </c>
      <c r="AE133" s="6">
        <f t="shared" si="28"/>
        <v>0</v>
      </c>
    </row>
    <row r="134" spans="1:31">
      <c r="A134" s="11" t="s">
        <v>508</v>
      </c>
      <c r="B134" s="11"/>
      <c r="C134" s="11" t="s">
        <v>63</v>
      </c>
      <c r="E134" s="6">
        <v>10025773</v>
      </c>
      <c r="G134" s="6">
        <v>0</v>
      </c>
      <c r="I134" s="2">
        <f t="shared" si="29"/>
        <v>27213319</v>
      </c>
      <c r="K134" s="6">
        <v>37239092</v>
      </c>
      <c r="M134" s="2">
        <f t="shared" si="26"/>
        <v>3382440</v>
      </c>
      <c r="O134" s="6">
        <v>24130945</v>
      </c>
      <c r="Q134" s="6">
        <v>27513385</v>
      </c>
      <c r="S134" s="6">
        <v>14987</v>
      </c>
      <c r="U134" s="6">
        <v>0</v>
      </c>
      <c r="W134" s="6">
        <v>0</v>
      </c>
      <c r="Y134" s="6">
        <v>3572978</v>
      </c>
      <c r="AA134" s="6">
        <v>6137742</v>
      </c>
      <c r="AC134" s="12">
        <f t="shared" si="27"/>
        <v>9725707</v>
      </c>
      <c r="AE134" s="6">
        <f t="shared" si="28"/>
        <v>0</v>
      </c>
    </row>
    <row r="135" spans="1:31">
      <c r="A135" s="11" t="s">
        <v>336</v>
      </c>
      <c r="B135" s="11"/>
      <c r="C135" s="11" t="s">
        <v>33</v>
      </c>
      <c r="E135" s="6">
        <v>623067</v>
      </c>
      <c r="G135" s="6">
        <v>0</v>
      </c>
      <c r="I135" s="2">
        <f t="shared" si="29"/>
        <v>2376067</v>
      </c>
      <c r="K135" s="6">
        <v>2999134</v>
      </c>
      <c r="M135" s="2">
        <f t="shared" si="26"/>
        <v>870362</v>
      </c>
      <c r="O135" s="6">
        <v>1721581</v>
      </c>
      <c r="Q135" s="6">
        <v>2591943</v>
      </c>
      <c r="S135" s="6">
        <v>27762</v>
      </c>
      <c r="U135" s="6">
        <v>6920</v>
      </c>
      <c r="W135" s="6">
        <v>0</v>
      </c>
      <c r="Y135" s="6">
        <v>125929</v>
      </c>
      <c r="AA135" s="6">
        <v>246580</v>
      </c>
      <c r="AC135" s="12">
        <f t="shared" si="27"/>
        <v>407191</v>
      </c>
      <c r="AE135" s="6">
        <f t="shared" si="28"/>
        <v>0</v>
      </c>
    </row>
    <row r="136" spans="1:31">
      <c r="A136" s="11" t="s">
        <v>253</v>
      </c>
      <c r="B136" s="11"/>
      <c r="C136" s="11" t="s">
        <v>19</v>
      </c>
      <c r="E136" s="6">
        <v>2211316</v>
      </c>
      <c r="G136" s="6">
        <f>55311+1000</f>
        <v>56311</v>
      </c>
      <c r="I136" s="2">
        <f t="shared" si="29"/>
        <v>5365688</v>
      </c>
      <c r="K136" s="6">
        <v>7633315</v>
      </c>
      <c r="M136" s="2">
        <f t="shared" si="26"/>
        <v>1485654</v>
      </c>
      <c r="O136" s="6">
        <v>4429469</v>
      </c>
      <c r="Q136" s="6">
        <v>5915123</v>
      </c>
      <c r="S136" s="6">
        <v>5763</v>
      </c>
      <c r="U136" s="6">
        <v>55311</v>
      </c>
      <c r="W136" s="6">
        <v>0</v>
      </c>
      <c r="Y136" s="6">
        <v>295399</v>
      </c>
      <c r="AA136" s="6">
        <v>1361719</v>
      </c>
      <c r="AC136" s="12">
        <f t="shared" si="27"/>
        <v>1718192</v>
      </c>
      <c r="AE136" s="6">
        <f t="shared" si="28"/>
        <v>0</v>
      </c>
    </row>
    <row r="137" spans="1:31">
      <c r="A137" s="11" t="s">
        <v>604</v>
      </c>
      <c r="B137" s="11"/>
      <c r="C137" s="11" t="s">
        <v>63</v>
      </c>
      <c r="E137" s="6">
        <v>260884</v>
      </c>
      <c r="G137" s="6">
        <v>0</v>
      </c>
      <c r="I137" s="2">
        <f t="shared" si="29"/>
        <v>10821044</v>
      </c>
      <c r="K137" s="6">
        <v>11081928</v>
      </c>
      <c r="M137" s="2">
        <f t="shared" si="26"/>
        <v>3854421</v>
      </c>
      <c r="O137" s="6">
        <v>9737100</v>
      </c>
      <c r="Q137" s="6">
        <v>13591521</v>
      </c>
      <c r="S137" s="6">
        <v>0</v>
      </c>
      <c r="U137" s="6">
        <v>0</v>
      </c>
      <c r="W137" s="6">
        <v>0</v>
      </c>
      <c r="Y137" s="6">
        <v>11000</v>
      </c>
      <c r="AA137" s="6">
        <v>-2520593</v>
      </c>
      <c r="AC137" s="12">
        <f t="shared" si="27"/>
        <v>-2509593</v>
      </c>
      <c r="AE137" s="6">
        <f t="shared" si="28"/>
        <v>0</v>
      </c>
    </row>
    <row r="138" spans="1:31">
      <c r="A138" s="11" t="s">
        <v>758</v>
      </c>
      <c r="B138" s="11"/>
      <c r="C138" s="11" t="s">
        <v>48</v>
      </c>
      <c r="E138" s="6">
        <v>1216564</v>
      </c>
      <c r="G138" s="6">
        <v>4620</v>
      </c>
      <c r="I138" s="2">
        <f t="shared" si="29"/>
        <v>2362038</v>
      </c>
      <c r="K138" s="6">
        <v>3583222</v>
      </c>
      <c r="M138" s="2">
        <f t="shared" si="26"/>
        <v>755350</v>
      </c>
      <c r="O138" s="6">
        <f>1414914+41471</f>
        <v>1456385</v>
      </c>
      <c r="Q138" s="6">
        <v>2211735</v>
      </c>
      <c r="S138" s="6">
        <v>5891</v>
      </c>
      <c r="U138" s="6">
        <v>4620</v>
      </c>
      <c r="W138" s="6">
        <v>0</v>
      </c>
      <c r="Y138" s="6">
        <f>733+7394+402959</f>
        <v>411086</v>
      </c>
      <c r="AA138" s="6">
        <v>949890</v>
      </c>
      <c r="AC138" s="12">
        <f t="shared" si="27"/>
        <v>1371487</v>
      </c>
      <c r="AE138" s="6">
        <f t="shared" si="28"/>
        <v>0</v>
      </c>
    </row>
    <row r="139" spans="1:31" hidden="1">
      <c r="A139" s="11" t="s">
        <v>831</v>
      </c>
      <c r="B139" s="11"/>
      <c r="C139" s="11" t="s">
        <v>111</v>
      </c>
      <c r="I139" s="2">
        <f t="shared" si="29"/>
        <v>0</v>
      </c>
      <c r="M139" s="2">
        <f t="shared" si="26"/>
        <v>0</v>
      </c>
      <c r="AC139" s="12">
        <f t="shared" si="27"/>
        <v>0</v>
      </c>
      <c r="AE139" s="6">
        <f t="shared" si="28"/>
        <v>0</v>
      </c>
    </row>
    <row r="140" spans="1:31" ht="11.25" customHeight="1">
      <c r="A140" s="11" t="s">
        <v>247</v>
      </c>
      <c r="B140" s="11"/>
      <c r="C140" s="11" t="s">
        <v>112</v>
      </c>
      <c r="E140" s="6">
        <v>1306998</v>
      </c>
      <c r="G140" s="6">
        <v>0</v>
      </c>
      <c r="I140" s="2">
        <f t="shared" si="29"/>
        <v>2698093</v>
      </c>
      <c r="K140" s="6">
        <v>4005091</v>
      </c>
      <c r="M140" s="2">
        <f t="shared" si="26"/>
        <v>1172781</v>
      </c>
      <c r="O140" s="6">
        <v>1935616</v>
      </c>
      <c r="Q140" s="6">
        <v>3108397</v>
      </c>
      <c r="S140" s="6">
        <v>38482</v>
      </c>
      <c r="U140" s="6">
        <v>0</v>
      </c>
      <c r="W140" s="6">
        <v>0</v>
      </c>
      <c r="Y140" s="6">
        <v>160076</v>
      </c>
      <c r="AA140" s="6">
        <v>698136</v>
      </c>
      <c r="AC140" s="12">
        <f t="shared" si="27"/>
        <v>896694</v>
      </c>
      <c r="AE140" s="6">
        <f t="shared" si="28"/>
        <v>0</v>
      </c>
    </row>
    <row r="141" spans="1:31">
      <c r="A141" s="11" t="s">
        <v>247</v>
      </c>
      <c r="B141" s="11"/>
      <c r="C141" s="11" t="s">
        <v>110</v>
      </c>
      <c r="E141" s="6">
        <v>5962494</v>
      </c>
      <c r="G141" s="6">
        <v>1198</v>
      </c>
      <c r="I141" s="2">
        <f t="shared" si="29"/>
        <v>2319247</v>
      </c>
      <c r="K141" s="6">
        <v>8282939</v>
      </c>
      <c r="M141" s="2">
        <f t="shared" si="26"/>
        <v>918769</v>
      </c>
      <c r="O141" s="6">
        <f>1673365+153262</f>
        <v>1826627</v>
      </c>
      <c r="Q141" s="6">
        <v>2745396</v>
      </c>
      <c r="S141" s="6">
        <f>14783+55045</f>
        <v>69828</v>
      </c>
      <c r="U141" s="6">
        <v>1198</v>
      </c>
      <c r="W141" s="6">
        <v>8540</v>
      </c>
      <c r="Y141" s="6">
        <f>16692+28852+863+25+430000+607</f>
        <v>477039</v>
      </c>
      <c r="AA141" s="6">
        <v>4980938</v>
      </c>
      <c r="AC141" s="12">
        <f t="shared" si="27"/>
        <v>5537543</v>
      </c>
      <c r="AE141" s="6">
        <f t="shared" si="28"/>
        <v>0</v>
      </c>
    </row>
    <row r="142" spans="1:31" hidden="1">
      <c r="A142" s="11" t="s">
        <v>655</v>
      </c>
      <c r="B142" s="11"/>
      <c r="C142" s="11" t="s">
        <v>67</v>
      </c>
      <c r="I142" s="2">
        <f t="shared" si="29"/>
        <v>0</v>
      </c>
      <c r="M142" s="2">
        <f t="shared" si="26"/>
        <v>0</v>
      </c>
      <c r="AC142" s="12">
        <f t="shared" si="27"/>
        <v>0</v>
      </c>
      <c r="AE142" s="6">
        <f t="shared" si="28"/>
        <v>0</v>
      </c>
    </row>
    <row r="143" spans="1:31">
      <c r="A143" s="11" t="s">
        <v>718</v>
      </c>
      <c r="B143" s="11"/>
      <c r="C143" s="11" t="s">
        <v>56</v>
      </c>
      <c r="E143" s="6">
        <v>2647788</v>
      </c>
      <c r="G143" s="6">
        <v>0</v>
      </c>
      <c r="I143" s="2">
        <f t="shared" si="29"/>
        <v>6415000</v>
      </c>
      <c r="K143" s="6">
        <v>9062788</v>
      </c>
      <c r="M143" s="2">
        <f t="shared" si="26"/>
        <v>2395070</v>
      </c>
      <c r="O143" s="6">
        <v>5811374</v>
      </c>
      <c r="Q143" s="6">
        <v>8206444</v>
      </c>
      <c r="S143" s="6">
        <v>17479</v>
      </c>
      <c r="U143" s="6">
        <v>0</v>
      </c>
      <c r="W143" s="6">
        <v>11000</v>
      </c>
      <c r="Y143" s="6">
        <v>826815</v>
      </c>
      <c r="AA143" s="6">
        <v>1050</v>
      </c>
      <c r="AC143" s="12">
        <f t="shared" si="27"/>
        <v>856344</v>
      </c>
      <c r="AE143" s="6">
        <f t="shared" si="28"/>
        <v>0</v>
      </c>
    </row>
    <row r="144" spans="1:31">
      <c r="A144" s="11" t="s">
        <v>759</v>
      </c>
      <c r="B144" s="11"/>
      <c r="C144" s="11" t="s">
        <v>451</v>
      </c>
      <c r="E144" s="6">
        <v>601469</v>
      </c>
      <c r="G144" s="6">
        <v>0</v>
      </c>
      <c r="I144" s="2">
        <f t="shared" si="29"/>
        <v>2903154</v>
      </c>
      <c r="K144" s="6">
        <v>3504623</v>
      </c>
      <c r="M144" s="2">
        <f t="shared" si="26"/>
        <v>949482</v>
      </c>
      <c r="O144" s="6">
        <v>2591505</v>
      </c>
      <c r="Q144" s="6">
        <v>3540987</v>
      </c>
      <c r="S144" s="6">
        <v>96990</v>
      </c>
      <c r="U144" s="6">
        <v>0</v>
      </c>
      <c r="W144" s="6">
        <v>0</v>
      </c>
      <c r="Y144" s="6">
        <v>111082</v>
      </c>
      <c r="AA144" s="6">
        <v>-244436</v>
      </c>
      <c r="AC144" s="12">
        <f t="shared" si="27"/>
        <v>-36364</v>
      </c>
      <c r="AE144" s="6">
        <f t="shared" si="28"/>
        <v>0</v>
      </c>
    </row>
    <row r="145" spans="1:31">
      <c r="A145" s="11" t="s">
        <v>656</v>
      </c>
      <c r="B145" s="11"/>
      <c r="C145" s="11" t="s">
        <v>63</v>
      </c>
      <c r="E145" s="6">
        <v>4431910</v>
      </c>
      <c r="G145" s="6">
        <v>0</v>
      </c>
      <c r="I145" s="2">
        <f t="shared" si="29"/>
        <v>28322081</v>
      </c>
      <c r="K145" s="6">
        <v>32753991</v>
      </c>
      <c r="M145" s="2">
        <f t="shared" si="26"/>
        <v>4946851</v>
      </c>
      <c r="O145" s="6">
        <f>24460268+894759</f>
        <v>25355027</v>
      </c>
      <c r="Q145" s="6">
        <v>30301878</v>
      </c>
      <c r="S145" s="6">
        <f>55156+23086+1369</f>
        <v>79611</v>
      </c>
      <c r="U145" s="6">
        <v>0</v>
      </c>
      <c r="W145" s="6">
        <v>11000</v>
      </c>
      <c r="Y145" s="6">
        <f>36670+30580+600+109104+6089+91762</f>
        <v>274805</v>
      </c>
      <c r="AA145" s="6">
        <v>2086697</v>
      </c>
      <c r="AC145" s="12">
        <f t="shared" si="27"/>
        <v>2452113</v>
      </c>
      <c r="AE145" s="6">
        <f t="shared" si="28"/>
        <v>0</v>
      </c>
    </row>
    <row r="146" spans="1:31">
      <c r="A146" s="11" t="s">
        <v>719</v>
      </c>
      <c r="B146" s="11"/>
      <c r="C146" s="11" t="s">
        <v>20</v>
      </c>
      <c r="E146" s="6">
        <v>1158033</v>
      </c>
      <c r="G146" s="6">
        <v>45676</v>
      </c>
      <c r="I146" s="2">
        <f t="shared" si="29"/>
        <v>9587966</v>
      </c>
      <c r="K146" s="6">
        <v>10791675</v>
      </c>
      <c r="M146" s="2">
        <f t="shared" ref="M146:M210" si="30">+Q146-O146</f>
        <v>1467304</v>
      </c>
      <c r="O146" s="6">
        <v>8693775</v>
      </c>
      <c r="Q146" s="6">
        <v>10161079</v>
      </c>
      <c r="S146" s="6">
        <v>8993</v>
      </c>
      <c r="U146" s="6">
        <v>45676</v>
      </c>
      <c r="W146" s="6">
        <v>0</v>
      </c>
      <c r="Y146" s="6">
        <v>205713</v>
      </c>
      <c r="AA146" s="6">
        <v>370214</v>
      </c>
      <c r="AC146" s="12">
        <f t="shared" ref="AC146:AC210" si="31">+W146+U146++S146+Y146+AA146</f>
        <v>630596</v>
      </c>
      <c r="AE146" s="6">
        <f t="shared" ref="AE146:AE210" si="32">+E146+G146+I146-M146-O146-W146-U146-S146-Y146-AA146</f>
        <v>0</v>
      </c>
    </row>
    <row r="147" spans="1:31">
      <c r="A147" s="11" t="s">
        <v>609</v>
      </c>
      <c r="B147" s="11"/>
      <c r="C147" s="11" t="s">
        <v>71</v>
      </c>
      <c r="E147" s="6">
        <v>916448</v>
      </c>
      <c r="G147" s="6">
        <v>0</v>
      </c>
      <c r="I147" s="2">
        <f t="shared" si="29"/>
        <v>2961012</v>
      </c>
      <c r="K147" s="6">
        <v>3877460</v>
      </c>
      <c r="M147" s="2">
        <f t="shared" si="30"/>
        <v>882817</v>
      </c>
      <c r="O147" s="6">
        <f>30234+2317640</f>
        <v>2347874</v>
      </c>
      <c r="Q147" s="6">
        <v>3230691</v>
      </c>
      <c r="S147" s="6">
        <v>413</v>
      </c>
      <c r="U147" s="6">
        <v>0</v>
      </c>
      <c r="W147" s="6">
        <v>0</v>
      </c>
      <c r="Y147" s="6">
        <f>197+21592+144990</f>
        <v>166779</v>
      </c>
      <c r="AA147" s="6">
        <v>479577</v>
      </c>
      <c r="AC147" s="12">
        <f t="shared" si="31"/>
        <v>646769</v>
      </c>
      <c r="AE147" s="6">
        <f t="shared" si="32"/>
        <v>0</v>
      </c>
    </row>
    <row r="148" spans="1:31" hidden="1">
      <c r="A148" s="11" t="s">
        <v>741</v>
      </c>
      <c r="B148" s="11"/>
      <c r="C148" s="11" t="s">
        <v>53</v>
      </c>
      <c r="I148" s="2">
        <f t="shared" ref="I148:I212" si="33">+K148-G148-E148</f>
        <v>0</v>
      </c>
      <c r="M148" s="2">
        <f t="shared" si="30"/>
        <v>0</v>
      </c>
      <c r="AC148" s="12">
        <f t="shared" si="31"/>
        <v>0</v>
      </c>
      <c r="AE148" s="6">
        <f t="shared" si="32"/>
        <v>0</v>
      </c>
    </row>
    <row r="149" spans="1:31" hidden="1">
      <c r="A149" s="11" t="s">
        <v>657</v>
      </c>
      <c r="B149" s="11"/>
      <c r="C149" s="11" t="s">
        <v>40</v>
      </c>
      <c r="I149" s="2">
        <f t="shared" si="33"/>
        <v>0</v>
      </c>
      <c r="M149" s="2">
        <f t="shared" si="30"/>
        <v>0</v>
      </c>
      <c r="AC149" s="12">
        <f t="shared" si="31"/>
        <v>0</v>
      </c>
      <c r="AE149" s="6">
        <f t="shared" si="32"/>
        <v>0</v>
      </c>
    </row>
    <row r="150" spans="1:31">
      <c r="A150" s="11" t="s">
        <v>367</v>
      </c>
      <c r="B150" s="11"/>
      <c r="C150" s="11" t="s">
        <v>366</v>
      </c>
      <c r="E150" s="6">
        <v>3802008</v>
      </c>
      <c r="G150" s="6">
        <v>0</v>
      </c>
      <c r="I150" s="2">
        <f t="shared" si="33"/>
        <v>1727449</v>
      </c>
      <c r="K150" s="6">
        <v>5529457</v>
      </c>
      <c r="M150" s="2">
        <f t="shared" si="30"/>
        <v>1270077</v>
      </c>
      <c r="O150" s="6">
        <v>1141904</v>
      </c>
      <c r="Q150" s="6">
        <v>2411981</v>
      </c>
      <c r="S150" s="6">
        <v>7888</v>
      </c>
      <c r="U150" s="6">
        <v>0</v>
      </c>
      <c r="W150" s="6">
        <v>12034</v>
      </c>
      <c r="Y150" s="6">
        <v>184106</v>
      </c>
      <c r="AA150" s="6">
        <v>2913448</v>
      </c>
      <c r="AC150" s="12">
        <f t="shared" si="31"/>
        <v>3117476</v>
      </c>
      <c r="AE150" s="6">
        <f t="shared" si="32"/>
        <v>0</v>
      </c>
    </row>
    <row r="151" spans="1:31">
      <c r="A151" s="11" t="s">
        <v>429</v>
      </c>
      <c r="B151" s="11"/>
      <c r="C151" s="11" t="s">
        <v>50</v>
      </c>
      <c r="E151" s="6">
        <v>21064974</v>
      </c>
      <c r="G151" s="6">
        <v>0</v>
      </c>
      <c r="I151" s="2">
        <f t="shared" si="33"/>
        <v>90726327</v>
      </c>
      <c r="K151" s="6">
        <v>111791301</v>
      </c>
      <c r="M151" s="2">
        <f t="shared" si="30"/>
        <v>13068878</v>
      </c>
      <c r="O151" s="6">
        <v>80786606</v>
      </c>
      <c r="Q151" s="6">
        <v>93855484</v>
      </c>
      <c r="S151" s="6">
        <v>1120782</v>
      </c>
      <c r="U151" s="6">
        <v>0</v>
      </c>
      <c r="W151" s="6">
        <v>0</v>
      </c>
      <c r="Y151" s="6">
        <v>2791751</v>
      </c>
      <c r="AA151" s="6">
        <v>14023284</v>
      </c>
      <c r="AC151" s="12">
        <f t="shared" si="31"/>
        <v>17935817</v>
      </c>
      <c r="AE151" s="6">
        <f t="shared" si="32"/>
        <v>0</v>
      </c>
    </row>
    <row r="152" spans="1:31">
      <c r="A152" s="11" t="s">
        <v>889</v>
      </c>
      <c r="B152" s="11"/>
      <c r="C152" s="11" t="s">
        <v>32</v>
      </c>
      <c r="E152" s="6">
        <v>5422626</v>
      </c>
      <c r="G152" s="6">
        <v>50000</v>
      </c>
      <c r="I152" s="2">
        <f t="shared" si="33"/>
        <v>8450323</v>
      </c>
      <c r="K152" s="6">
        <v>13922949</v>
      </c>
      <c r="M152" s="2">
        <f t="shared" si="30"/>
        <v>1293076</v>
      </c>
      <c r="O152" s="6">
        <v>5207539</v>
      </c>
      <c r="Q152" s="6">
        <v>6500615</v>
      </c>
      <c r="S152" s="6">
        <v>0</v>
      </c>
      <c r="U152" s="6">
        <v>0</v>
      </c>
      <c r="W152" s="6">
        <v>0</v>
      </c>
      <c r="Y152" s="6">
        <v>3992803</v>
      </c>
      <c r="AA152" s="6">
        <v>3429531</v>
      </c>
      <c r="AC152" s="12">
        <f t="shared" si="31"/>
        <v>7422334</v>
      </c>
      <c r="AE152" s="6">
        <f t="shared" si="32"/>
        <v>0</v>
      </c>
    </row>
    <row r="153" spans="1:31" hidden="1">
      <c r="A153" s="11" t="s">
        <v>658</v>
      </c>
      <c r="B153" s="11"/>
      <c r="C153" s="11" t="s">
        <v>22</v>
      </c>
      <c r="I153" s="2">
        <f t="shared" si="33"/>
        <v>0</v>
      </c>
      <c r="M153" s="2">
        <f t="shared" si="30"/>
        <v>0</v>
      </c>
      <c r="AC153" s="12">
        <f t="shared" si="31"/>
        <v>0</v>
      </c>
      <c r="AE153" s="6">
        <f t="shared" si="32"/>
        <v>0</v>
      </c>
    </row>
    <row r="154" spans="1:31">
      <c r="A154" s="11" t="s">
        <v>742</v>
      </c>
      <c r="B154" s="11"/>
      <c r="C154" s="11" t="s">
        <v>23</v>
      </c>
      <c r="E154" s="6">
        <v>5070738</v>
      </c>
      <c r="G154" s="6">
        <v>0</v>
      </c>
      <c r="I154" s="2">
        <f t="shared" si="33"/>
        <v>29808820</v>
      </c>
      <c r="K154" s="6">
        <v>34879558</v>
      </c>
      <c r="M154" s="2">
        <f t="shared" si="30"/>
        <v>5565626</v>
      </c>
      <c r="O154" s="6">
        <v>23909636</v>
      </c>
      <c r="Q154" s="6">
        <v>29475262</v>
      </c>
      <c r="S154" s="6">
        <v>221327</v>
      </c>
      <c r="U154" s="6">
        <v>0</v>
      </c>
      <c r="W154" s="6">
        <v>0</v>
      </c>
      <c r="Y154" s="6">
        <v>329579</v>
      </c>
      <c r="AA154" s="6">
        <v>4853390</v>
      </c>
      <c r="AC154" s="12">
        <f t="shared" si="31"/>
        <v>5404296</v>
      </c>
      <c r="AE154" s="6">
        <f t="shared" si="32"/>
        <v>0</v>
      </c>
    </row>
    <row r="155" spans="1:31">
      <c r="A155" s="11" t="s">
        <v>201</v>
      </c>
      <c r="B155" s="11"/>
      <c r="C155" s="11" t="s">
        <v>10</v>
      </c>
      <c r="E155" s="6">
        <v>295717</v>
      </c>
      <c r="G155" s="6">
        <v>0</v>
      </c>
      <c r="I155" s="2">
        <f t="shared" si="33"/>
        <v>4245186</v>
      </c>
      <c r="K155" s="6">
        <v>4540903</v>
      </c>
      <c r="M155" s="2">
        <f t="shared" si="30"/>
        <v>840454</v>
      </c>
      <c r="O155" s="6">
        <v>3836604</v>
      </c>
      <c r="Q155" s="6">
        <v>4677058</v>
      </c>
      <c r="S155" s="6">
        <v>32937</v>
      </c>
      <c r="U155" s="6">
        <v>4628</v>
      </c>
      <c r="W155" s="6">
        <v>0</v>
      </c>
      <c r="Y155" s="6">
        <v>98081</v>
      </c>
      <c r="AA155" s="6">
        <v>-271801</v>
      </c>
      <c r="AC155" s="12">
        <f t="shared" si="31"/>
        <v>-136155</v>
      </c>
      <c r="AE155" s="6">
        <f t="shared" si="32"/>
        <v>0</v>
      </c>
    </row>
    <row r="156" spans="1:31">
      <c r="A156" s="11" t="s">
        <v>534</v>
      </c>
      <c r="B156" s="11"/>
      <c r="C156" s="11" t="s">
        <v>65</v>
      </c>
      <c r="E156" s="6">
        <v>9019379</v>
      </c>
      <c r="G156" s="6">
        <v>0</v>
      </c>
      <c r="I156" s="2">
        <f t="shared" si="33"/>
        <v>11767361</v>
      </c>
      <c r="K156" s="6">
        <v>20786740</v>
      </c>
      <c r="M156" s="2">
        <f t="shared" si="30"/>
        <v>3164925</v>
      </c>
      <c r="O156" s="6">
        <v>10072259</v>
      </c>
      <c r="Q156" s="6">
        <v>13237184</v>
      </c>
      <c r="S156" s="6">
        <v>0</v>
      </c>
      <c r="U156" s="6">
        <v>0</v>
      </c>
      <c r="W156" s="6">
        <v>0</v>
      </c>
      <c r="Y156" s="6">
        <v>589481</v>
      </c>
      <c r="AA156" s="6">
        <v>6960075</v>
      </c>
      <c r="AC156" s="12">
        <f t="shared" si="31"/>
        <v>7549556</v>
      </c>
      <c r="AE156" s="6">
        <f t="shared" si="32"/>
        <v>0</v>
      </c>
    </row>
    <row r="157" spans="1:31">
      <c r="A157" s="11" t="s">
        <v>302</v>
      </c>
      <c r="B157" s="11"/>
      <c r="C157" s="11" t="s">
        <v>27</v>
      </c>
      <c r="E157" s="6">
        <v>39335345</v>
      </c>
      <c r="G157" s="6">
        <v>0</v>
      </c>
      <c r="I157" s="2">
        <f t="shared" si="33"/>
        <v>206417937</v>
      </c>
      <c r="K157" s="6">
        <v>245753282</v>
      </c>
      <c r="M157" s="2">
        <f t="shared" si="30"/>
        <v>18968184</v>
      </c>
      <c r="O157" s="6">
        <v>162368019</v>
      </c>
      <c r="Q157" s="6">
        <v>181336203</v>
      </c>
      <c r="S157" s="6">
        <v>141500</v>
      </c>
      <c r="U157" s="6">
        <v>0</v>
      </c>
      <c r="W157" s="6">
        <v>0</v>
      </c>
      <c r="Y157" s="6">
        <f>39156431+1122362+154095+167249+404915+149167</f>
        <v>41154219</v>
      </c>
      <c r="AA157" s="6">
        <v>23121360</v>
      </c>
      <c r="AC157" s="12">
        <f t="shared" si="31"/>
        <v>64417079</v>
      </c>
      <c r="AE157" s="6">
        <f t="shared" si="32"/>
        <v>0</v>
      </c>
    </row>
    <row r="158" spans="1:31">
      <c r="A158" s="11" t="s">
        <v>266</v>
      </c>
      <c r="B158" s="11"/>
      <c r="C158" s="11" t="s">
        <v>20</v>
      </c>
      <c r="E158" s="6">
        <f>29717931+4347</f>
        <v>29722278</v>
      </c>
      <c r="G158" s="6">
        <v>359021</v>
      </c>
      <c r="I158" s="2">
        <f t="shared" si="33"/>
        <v>18347570</v>
      </c>
      <c r="K158" s="6">
        <v>48428869</v>
      </c>
      <c r="M158" s="2">
        <f t="shared" si="30"/>
        <v>4421706</v>
      </c>
      <c r="O158" s="6">
        <v>15774574</v>
      </c>
      <c r="Q158" s="6">
        <v>20196280</v>
      </c>
      <c r="S158" s="6">
        <v>359021</v>
      </c>
      <c r="U158" s="6">
        <v>0</v>
      </c>
      <c r="W158" s="6">
        <v>0</v>
      </c>
      <c r="Y158" s="6">
        <v>6095688</v>
      </c>
      <c r="AA158" s="6">
        <v>21777880</v>
      </c>
      <c r="AC158" s="12">
        <f t="shared" si="31"/>
        <v>28232589</v>
      </c>
      <c r="AE158" s="6">
        <f t="shared" si="32"/>
        <v>0</v>
      </c>
    </row>
    <row r="159" spans="1:31">
      <c r="A159" s="11" t="s">
        <v>244</v>
      </c>
      <c r="B159" s="11"/>
      <c r="C159" s="11" t="s">
        <v>18</v>
      </c>
      <c r="E159" s="6">
        <v>2892595</v>
      </c>
      <c r="G159" s="6">
        <v>0</v>
      </c>
      <c r="I159" s="2">
        <f t="shared" si="33"/>
        <v>2747167</v>
      </c>
      <c r="K159" s="6">
        <v>5639762</v>
      </c>
      <c r="M159" s="2">
        <f t="shared" si="30"/>
        <v>1194096</v>
      </c>
      <c r="O159" s="6">
        <v>2523402</v>
      </c>
      <c r="Q159" s="6">
        <v>3717498</v>
      </c>
      <c r="S159" s="6">
        <v>0</v>
      </c>
      <c r="U159" s="6">
        <v>0</v>
      </c>
      <c r="W159" s="6">
        <v>21377</v>
      </c>
      <c r="Y159" s="6">
        <v>514582</v>
      </c>
      <c r="AA159" s="6">
        <v>1386305</v>
      </c>
      <c r="AC159" s="12">
        <f t="shared" si="31"/>
        <v>1922264</v>
      </c>
      <c r="AE159" s="6">
        <f t="shared" si="32"/>
        <v>0</v>
      </c>
    </row>
    <row r="160" spans="1:31">
      <c r="A160" s="11" t="s">
        <v>320</v>
      </c>
      <c r="B160" s="11"/>
      <c r="C160" s="11" t="s">
        <v>31</v>
      </c>
      <c r="E160" s="6">
        <v>3494788</v>
      </c>
      <c r="G160" s="6">
        <v>0</v>
      </c>
      <c r="I160" s="2">
        <f t="shared" si="33"/>
        <v>2838408</v>
      </c>
      <c r="K160" s="6">
        <v>6333196</v>
      </c>
      <c r="M160" s="2">
        <f t="shared" si="30"/>
        <v>978689</v>
      </c>
      <c r="O160" s="6">
        <v>1938867</v>
      </c>
      <c r="Q160" s="6">
        <v>2917556</v>
      </c>
      <c r="S160" s="6">
        <f>49246+155099</f>
        <v>204345</v>
      </c>
      <c r="U160" s="6">
        <v>0</v>
      </c>
      <c r="W160" s="6">
        <v>0</v>
      </c>
      <c r="Y160" s="6">
        <v>900585</v>
      </c>
      <c r="AA160" s="6">
        <v>2310710</v>
      </c>
      <c r="AC160" s="12">
        <f t="shared" si="31"/>
        <v>3415640</v>
      </c>
      <c r="AE160" s="6">
        <f t="shared" si="32"/>
        <v>0</v>
      </c>
    </row>
    <row r="161" spans="1:31">
      <c r="A161" s="11" t="s">
        <v>353</v>
      </c>
      <c r="B161" s="11"/>
      <c r="C161" s="11" t="s">
        <v>36</v>
      </c>
      <c r="E161" s="6">
        <v>4616483</v>
      </c>
      <c r="G161" s="6">
        <v>0</v>
      </c>
      <c r="I161" s="2">
        <f t="shared" si="33"/>
        <v>7026987</v>
      </c>
      <c r="K161" s="6">
        <v>11643470</v>
      </c>
      <c r="M161" s="2">
        <f t="shared" si="30"/>
        <v>1842637</v>
      </c>
      <c r="O161" s="6">
        <v>6558050</v>
      </c>
      <c r="Q161" s="6">
        <v>8400687</v>
      </c>
      <c r="S161" s="6">
        <v>108367</v>
      </c>
      <c r="U161" s="6">
        <v>0</v>
      </c>
      <c r="W161" s="6">
        <v>0</v>
      </c>
      <c r="Y161" s="6">
        <v>675622</v>
      </c>
      <c r="AA161" s="6">
        <v>2458794</v>
      </c>
      <c r="AC161" s="12">
        <f t="shared" si="31"/>
        <v>3242783</v>
      </c>
      <c r="AE161" s="6">
        <f t="shared" si="32"/>
        <v>0</v>
      </c>
    </row>
    <row r="162" spans="1:31" hidden="1">
      <c r="A162" s="11" t="s">
        <v>659</v>
      </c>
      <c r="B162" s="11"/>
      <c r="C162" s="11" t="s">
        <v>40</v>
      </c>
      <c r="I162" s="2">
        <f t="shared" si="33"/>
        <v>0</v>
      </c>
      <c r="M162" s="2">
        <f t="shared" si="30"/>
        <v>0</v>
      </c>
      <c r="AC162" s="12">
        <f t="shared" si="31"/>
        <v>0</v>
      </c>
      <c r="AE162" s="6">
        <f t="shared" si="32"/>
        <v>0</v>
      </c>
    </row>
    <row r="163" spans="1:31">
      <c r="A163" s="11" t="s">
        <v>248</v>
      </c>
      <c r="B163" s="11"/>
      <c r="C163" s="11" t="s">
        <v>112</v>
      </c>
      <c r="E163" s="6">
        <v>5722034</v>
      </c>
      <c r="G163" s="6">
        <v>0</v>
      </c>
      <c r="I163" s="2">
        <f t="shared" si="33"/>
        <v>4735953</v>
      </c>
      <c r="K163" s="6">
        <v>10457987</v>
      </c>
      <c r="M163" s="2">
        <f t="shared" si="30"/>
        <v>2451174</v>
      </c>
      <c r="O163" s="6">
        <v>4368651</v>
      </c>
      <c r="Q163" s="6">
        <v>6819825</v>
      </c>
      <c r="S163" s="6">
        <v>0</v>
      </c>
      <c r="U163" s="6">
        <v>0</v>
      </c>
      <c r="W163" s="6">
        <v>366028</v>
      </c>
      <c r="Y163" s="6">
        <v>1305403</v>
      </c>
      <c r="AA163" s="6">
        <v>1966731</v>
      </c>
      <c r="AC163" s="12">
        <f t="shared" si="31"/>
        <v>3638162</v>
      </c>
      <c r="AE163" s="6">
        <f t="shared" si="32"/>
        <v>0</v>
      </c>
    </row>
    <row r="164" spans="1:31">
      <c r="A164" s="11" t="s">
        <v>443</v>
      </c>
      <c r="B164" s="11"/>
      <c r="C164" s="11" t="s">
        <v>51</v>
      </c>
      <c r="E164" s="6">
        <v>4995598</v>
      </c>
      <c r="G164" s="6">
        <v>2258</v>
      </c>
      <c r="I164" s="2">
        <f t="shared" si="33"/>
        <v>7846490</v>
      </c>
      <c r="K164" s="6">
        <v>12844346</v>
      </c>
      <c r="M164" s="2">
        <f t="shared" si="30"/>
        <v>2066129</v>
      </c>
      <c r="O164" s="6">
        <v>5451861</v>
      </c>
      <c r="Q164" s="6">
        <v>7517990</v>
      </c>
      <c r="S164" s="6">
        <f>133016+28718+2258</f>
        <v>163992</v>
      </c>
      <c r="U164" s="6">
        <v>0</v>
      </c>
      <c r="W164" s="6">
        <v>4680</v>
      </c>
      <c r="Y164" s="6">
        <f>111763+23540+65543</f>
        <v>200846</v>
      </c>
      <c r="AA164" s="6">
        <v>4956838</v>
      </c>
      <c r="AC164" s="12">
        <f t="shared" si="31"/>
        <v>5326356</v>
      </c>
      <c r="AE164" s="6">
        <f t="shared" si="32"/>
        <v>0</v>
      </c>
    </row>
    <row r="165" spans="1:31">
      <c r="A165" s="11" t="s">
        <v>249</v>
      </c>
      <c r="B165" s="11"/>
      <c r="C165" s="11" t="s">
        <v>112</v>
      </c>
      <c r="E165" s="6">
        <f>1199262+17733</f>
        <v>1216995</v>
      </c>
      <c r="G165" s="6">
        <v>0</v>
      </c>
      <c r="I165" s="2">
        <f t="shared" si="33"/>
        <v>2473407</v>
      </c>
      <c r="K165" s="6">
        <v>3690402</v>
      </c>
      <c r="M165" s="2">
        <f t="shared" si="30"/>
        <v>999030</v>
      </c>
      <c r="O165" s="6">
        <v>2343943</v>
      </c>
      <c r="Q165" s="6">
        <v>3342973</v>
      </c>
      <c r="S165" s="6">
        <v>0</v>
      </c>
      <c r="U165" s="6">
        <v>0</v>
      </c>
      <c r="W165" s="6">
        <v>0</v>
      </c>
      <c r="Y165" s="6">
        <v>335094</v>
      </c>
      <c r="AA165" s="6">
        <v>12335</v>
      </c>
      <c r="AC165" s="12">
        <f t="shared" si="31"/>
        <v>347429</v>
      </c>
      <c r="AE165" s="6">
        <f t="shared" si="32"/>
        <v>0</v>
      </c>
    </row>
    <row r="166" spans="1:31">
      <c r="A166" s="11" t="s">
        <v>218</v>
      </c>
      <c r="B166" s="11"/>
      <c r="C166" s="11" t="s">
        <v>77</v>
      </c>
      <c r="E166" s="6">
        <v>1847725</v>
      </c>
      <c r="G166" s="6">
        <v>0</v>
      </c>
      <c r="I166" s="2">
        <f t="shared" si="33"/>
        <v>3507594</v>
      </c>
      <c r="K166" s="6">
        <v>5355319</v>
      </c>
      <c r="M166" s="2">
        <f t="shared" si="30"/>
        <v>1149227</v>
      </c>
      <c r="O166" s="6">
        <v>2946153</v>
      </c>
      <c r="Q166" s="6">
        <v>4095380</v>
      </c>
      <c r="S166" s="6">
        <v>0</v>
      </c>
      <c r="U166" s="6">
        <v>0</v>
      </c>
      <c r="W166" s="6">
        <v>0</v>
      </c>
      <c r="Y166" s="6">
        <v>282979</v>
      </c>
      <c r="AA166" s="6">
        <v>976960</v>
      </c>
      <c r="AC166" s="12">
        <f t="shared" si="31"/>
        <v>1259939</v>
      </c>
      <c r="AE166" s="6">
        <f t="shared" si="32"/>
        <v>0</v>
      </c>
    </row>
    <row r="167" spans="1:31">
      <c r="A167" s="11" t="s">
        <v>218</v>
      </c>
      <c r="B167" s="11"/>
      <c r="C167" s="11" t="s">
        <v>420</v>
      </c>
      <c r="E167" s="6">
        <v>1091624</v>
      </c>
      <c r="G167" s="6">
        <v>52866</v>
      </c>
      <c r="I167" s="2">
        <f t="shared" si="33"/>
        <v>1758657</v>
      </c>
      <c r="K167" s="6">
        <v>2903147</v>
      </c>
      <c r="M167" s="2">
        <f t="shared" si="30"/>
        <v>873453</v>
      </c>
      <c r="O167" s="6">
        <v>1047948</v>
      </c>
      <c r="Q167" s="6">
        <v>1921401</v>
      </c>
      <c r="S167" s="6">
        <v>0</v>
      </c>
      <c r="U167" s="6">
        <v>52866</v>
      </c>
      <c r="W167" s="6">
        <v>0</v>
      </c>
      <c r="Y167" s="6">
        <v>134210</v>
      </c>
      <c r="AA167" s="6">
        <v>794670</v>
      </c>
      <c r="AC167" s="12">
        <f t="shared" si="31"/>
        <v>981746</v>
      </c>
      <c r="AE167" s="6">
        <f t="shared" si="32"/>
        <v>0</v>
      </c>
    </row>
    <row r="168" spans="1:31" hidden="1">
      <c r="A168" s="11" t="s">
        <v>660</v>
      </c>
      <c r="B168" s="11"/>
      <c r="C168" s="11" t="s">
        <v>55</v>
      </c>
      <c r="I168" s="2">
        <f t="shared" si="33"/>
        <v>0</v>
      </c>
      <c r="M168" s="2">
        <f t="shared" si="30"/>
        <v>0</v>
      </c>
      <c r="AC168" s="12">
        <f t="shared" si="31"/>
        <v>0</v>
      </c>
      <c r="AE168" s="6">
        <f t="shared" si="32"/>
        <v>0</v>
      </c>
    </row>
    <row r="169" spans="1:31">
      <c r="A169" s="11" t="s">
        <v>555</v>
      </c>
      <c r="B169" s="11"/>
      <c r="C169" s="11" t="s">
        <v>72</v>
      </c>
      <c r="E169" s="6">
        <v>7250934</v>
      </c>
      <c r="G169" s="6">
        <v>0</v>
      </c>
      <c r="I169" s="2">
        <f t="shared" si="33"/>
        <v>5822272</v>
      </c>
      <c r="K169" s="6">
        <v>13073206</v>
      </c>
      <c r="M169" s="2">
        <f t="shared" si="30"/>
        <v>1642711</v>
      </c>
      <c r="O169" s="6">
        <v>4047713</v>
      </c>
      <c r="Q169" s="6">
        <v>5690424</v>
      </c>
      <c r="S169" s="6">
        <v>136143</v>
      </c>
      <c r="U169" s="6">
        <v>0</v>
      </c>
      <c r="W169" s="6">
        <v>0</v>
      </c>
      <c r="Y169" s="6">
        <v>1015274</v>
      </c>
      <c r="AA169" s="6">
        <v>6231365</v>
      </c>
      <c r="AC169" s="12">
        <f t="shared" si="31"/>
        <v>7382782</v>
      </c>
      <c r="AE169" s="6">
        <f t="shared" si="32"/>
        <v>0</v>
      </c>
    </row>
    <row r="170" spans="1:31" hidden="1">
      <c r="A170" s="10" t="s">
        <v>870</v>
      </c>
      <c r="B170" s="11"/>
      <c r="C170" s="11" t="s">
        <v>57</v>
      </c>
      <c r="E170" s="6">
        <v>0</v>
      </c>
      <c r="G170" s="6">
        <v>0</v>
      </c>
      <c r="I170" s="2">
        <f t="shared" si="33"/>
        <v>0</v>
      </c>
      <c r="K170" s="6">
        <v>0</v>
      </c>
      <c r="M170" s="2">
        <f t="shared" si="30"/>
        <v>0</v>
      </c>
      <c r="O170" s="6">
        <v>0</v>
      </c>
      <c r="Q170" s="6">
        <v>0</v>
      </c>
      <c r="S170" s="6">
        <v>0</v>
      </c>
      <c r="U170" s="6">
        <v>0</v>
      </c>
      <c r="W170" s="6">
        <v>0</v>
      </c>
      <c r="Y170" s="6">
        <v>0</v>
      </c>
      <c r="AA170" s="6">
        <v>0</v>
      </c>
      <c r="AC170" s="12">
        <f t="shared" si="31"/>
        <v>0</v>
      </c>
      <c r="AE170" s="6">
        <f t="shared" si="32"/>
        <v>0</v>
      </c>
    </row>
    <row r="171" spans="1:31" hidden="1">
      <c r="A171" s="11" t="s">
        <v>661</v>
      </c>
      <c r="B171" s="11"/>
      <c r="C171" s="11" t="s">
        <v>552</v>
      </c>
      <c r="I171" s="2">
        <f t="shared" si="33"/>
        <v>0</v>
      </c>
      <c r="M171" s="2">
        <f t="shared" si="30"/>
        <v>0</v>
      </c>
      <c r="AC171" s="12">
        <f t="shared" si="31"/>
        <v>0</v>
      </c>
      <c r="AE171" s="6">
        <f t="shared" si="32"/>
        <v>0</v>
      </c>
    </row>
    <row r="172" spans="1:31">
      <c r="A172" s="11" t="s">
        <v>662</v>
      </c>
      <c r="B172" s="11"/>
      <c r="C172" s="11" t="s">
        <v>221</v>
      </c>
      <c r="E172" s="6">
        <v>3864917</v>
      </c>
      <c r="G172" s="6">
        <v>0</v>
      </c>
      <c r="I172" s="2">
        <f t="shared" si="33"/>
        <v>12974752</v>
      </c>
      <c r="K172" s="6">
        <v>16839669</v>
      </c>
      <c r="M172" s="2">
        <f t="shared" si="30"/>
        <v>3700235</v>
      </c>
      <c r="O172" s="6">
        <f>306729+12373413</f>
        <v>12680142</v>
      </c>
      <c r="Q172" s="6">
        <v>16380377</v>
      </c>
      <c r="S172" s="6">
        <v>682</v>
      </c>
      <c r="U172" s="6">
        <v>0</v>
      </c>
      <c r="W172" s="6">
        <v>0</v>
      </c>
      <c r="Y172" s="6">
        <f>5530+198537+7801+105333+3830</f>
        <v>321031</v>
      </c>
      <c r="AA172" s="6">
        <v>137579</v>
      </c>
      <c r="AC172" s="12">
        <f t="shared" si="31"/>
        <v>459292</v>
      </c>
      <c r="AE172" s="6">
        <f t="shared" si="32"/>
        <v>0</v>
      </c>
    </row>
    <row r="173" spans="1:31">
      <c r="A173" s="11" t="s">
        <v>362</v>
      </c>
      <c r="B173" s="11"/>
      <c r="C173" s="11" t="s">
        <v>24</v>
      </c>
      <c r="E173" s="6">
        <v>3170521</v>
      </c>
      <c r="G173" s="6">
        <v>0</v>
      </c>
      <c r="I173" s="2">
        <f t="shared" ref="I173" si="34">+K173-G173-E173</f>
        <v>5343499</v>
      </c>
      <c r="K173" s="6">
        <v>8514020</v>
      </c>
      <c r="M173" s="2">
        <f t="shared" ref="M173" si="35">+Q173-O173</f>
        <v>1530720</v>
      </c>
      <c r="O173" s="6">
        <f>296522+4049449</f>
        <v>4345971</v>
      </c>
      <c r="Q173" s="6">
        <v>5876691</v>
      </c>
      <c r="S173" s="6">
        <f>18992+60651</f>
        <v>79643</v>
      </c>
      <c r="U173" s="6">
        <v>0</v>
      </c>
      <c r="W173" s="6">
        <v>37594</v>
      </c>
      <c r="Y173" s="6">
        <f>63016+250162+84682+1797436+211</f>
        <v>2195507</v>
      </c>
      <c r="AA173" s="6">
        <v>324585</v>
      </c>
      <c r="AC173" s="12">
        <f t="shared" ref="AC173" si="36">+W173+U173++S173+Y173+AA173</f>
        <v>2637329</v>
      </c>
      <c r="AE173" s="6">
        <f t="shared" ref="AE173" si="37">+E173+G173+I173-M173-O173-W173-U173-S173-Y173-AA173</f>
        <v>0</v>
      </c>
    </row>
    <row r="174" spans="1:31">
      <c r="A174" s="11" t="s">
        <v>362</v>
      </c>
      <c r="B174" s="11"/>
      <c r="C174" s="11" t="s">
        <v>39</v>
      </c>
      <c r="E174" s="6">
        <v>639327</v>
      </c>
      <c r="G174" s="6">
        <v>62989</v>
      </c>
      <c r="I174" s="2">
        <f t="shared" si="33"/>
        <v>8478679</v>
      </c>
      <c r="K174" s="6">
        <v>9180995</v>
      </c>
      <c r="M174" s="2">
        <f t="shared" si="30"/>
        <v>1879575</v>
      </c>
      <c r="O174" s="6">
        <f>7336184+705582</f>
        <v>8041766</v>
      </c>
      <c r="Q174" s="6">
        <v>9921341</v>
      </c>
      <c r="S174" s="6">
        <v>90199</v>
      </c>
      <c r="U174" s="6">
        <v>62989</v>
      </c>
      <c r="W174" s="6">
        <v>0</v>
      </c>
      <c r="Y174" s="6">
        <v>0</v>
      </c>
      <c r="AA174" s="6">
        <v>-893534</v>
      </c>
      <c r="AC174" s="12">
        <f t="shared" si="31"/>
        <v>-740346</v>
      </c>
      <c r="AE174" s="6">
        <f t="shared" si="32"/>
        <v>0</v>
      </c>
    </row>
    <row r="175" spans="1:31" hidden="1">
      <c r="A175" s="11" t="s">
        <v>871</v>
      </c>
      <c r="B175" s="11"/>
      <c r="C175" s="11" t="s">
        <v>552</v>
      </c>
      <c r="I175" s="2">
        <f t="shared" si="33"/>
        <v>0</v>
      </c>
      <c r="M175" s="2">
        <f t="shared" si="30"/>
        <v>0</v>
      </c>
      <c r="AC175" s="12">
        <f t="shared" si="31"/>
        <v>0</v>
      </c>
      <c r="AE175" s="6">
        <f t="shared" si="32"/>
        <v>0</v>
      </c>
    </row>
    <row r="176" spans="1:31">
      <c r="A176" s="11" t="s">
        <v>677</v>
      </c>
      <c r="B176" s="11"/>
      <c r="C176" s="11" t="s">
        <v>46</v>
      </c>
      <c r="E176" s="6">
        <v>4090855</v>
      </c>
      <c r="G176" s="6">
        <v>0</v>
      </c>
      <c r="I176" s="2">
        <f t="shared" ref="I176" si="38">+K176-G176-E176</f>
        <v>4367285</v>
      </c>
      <c r="K176" s="6">
        <v>8458140</v>
      </c>
      <c r="M176" s="2">
        <f t="shared" ref="M176" si="39">+Q176-O176</f>
        <v>1343014</v>
      </c>
      <c r="O176" s="6">
        <v>2465091</v>
      </c>
      <c r="Q176" s="6">
        <v>3808105</v>
      </c>
      <c r="S176" s="6">
        <v>57284</v>
      </c>
      <c r="U176" s="6">
        <v>5625</v>
      </c>
      <c r="W176" s="6">
        <v>76925</v>
      </c>
      <c r="Y176" s="6">
        <v>128968</v>
      </c>
      <c r="AA176" s="6">
        <v>4381233</v>
      </c>
      <c r="AC176" s="12">
        <f t="shared" ref="AC176" si="40">+W176+U176++S176+Y176+AA176</f>
        <v>4650035</v>
      </c>
      <c r="AE176" s="6">
        <f t="shared" ref="AE176" si="41">+E176+G176+I176-M176-O176-W176-U176-S176-Y176-AA176</f>
        <v>0</v>
      </c>
    </row>
    <row r="177" spans="1:31" hidden="1">
      <c r="A177" s="11" t="s">
        <v>663</v>
      </c>
      <c r="B177" s="11"/>
      <c r="C177" s="11" t="s">
        <v>10</v>
      </c>
      <c r="I177" s="2">
        <f t="shared" si="33"/>
        <v>0</v>
      </c>
      <c r="M177" s="2">
        <f t="shared" si="30"/>
        <v>0</v>
      </c>
      <c r="AC177" s="12">
        <f t="shared" si="31"/>
        <v>0</v>
      </c>
      <c r="AE177" s="6">
        <f t="shared" si="32"/>
        <v>0</v>
      </c>
    </row>
    <row r="178" spans="1:31" hidden="1">
      <c r="A178" s="11" t="s">
        <v>692</v>
      </c>
      <c r="B178" s="11"/>
      <c r="C178" s="11" t="s">
        <v>72</v>
      </c>
      <c r="I178" s="2">
        <f t="shared" si="33"/>
        <v>0</v>
      </c>
      <c r="M178" s="2">
        <f t="shared" si="30"/>
        <v>0</v>
      </c>
      <c r="AC178" s="12">
        <f t="shared" si="31"/>
        <v>0</v>
      </c>
      <c r="AE178" s="6">
        <f t="shared" si="32"/>
        <v>0</v>
      </c>
    </row>
    <row r="179" spans="1:31">
      <c r="A179" s="11" t="s">
        <v>384</v>
      </c>
      <c r="B179" s="11"/>
      <c r="C179" s="11" t="s">
        <v>44</v>
      </c>
      <c r="E179" s="6">
        <v>6268431</v>
      </c>
      <c r="G179" s="6">
        <v>0</v>
      </c>
      <c r="I179" s="2">
        <f t="shared" si="33"/>
        <v>35654181</v>
      </c>
      <c r="K179" s="6">
        <v>41922612</v>
      </c>
      <c r="M179" s="2">
        <f t="shared" si="30"/>
        <v>8167209</v>
      </c>
      <c r="O179" s="6">
        <v>29690413</v>
      </c>
      <c r="Q179" s="6">
        <v>37857622</v>
      </c>
      <c r="S179" s="6">
        <v>5349</v>
      </c>
      <c r="U179" s="6">
        <v>0</v>
      </c>
      <c r="W179" s="6">
        <v>0</v>
      </c>
      <c r="Y179" s="6">
        <v>1304617</v>
      </c>
      <c r="AA179" s="6">
        <v>2755024</v>
      </c>
      <c r="AC179" s="12">
        <f t="shared" si="31"/>
        <v>4064990</v>
      </c>
      <c r="AE179" s="6">
        <f t="shared" si="32"/>
        <v>0</v>
      </c>
    </row>
    <row r="180" spans="1:31">
      <c r="A180" s="11" t="s">
        <v>267</v>
      </c>
      <c r="B180" s="11"/>
      <c r="C180" s="11" t="s">
        <v>20</v>
      </c>
      <c r="E180" s="6">
        <f>3154303+4950</f>
        <v>3159253</v>
      </c>
      <c r="G180" s="6">
        <v>0</v>
      </c>
      <c r="I180" s="2">
        <f t="shared" si="33"/>
        <v>40869493</v>
      </c>
      <c r="K180" s="6">
        <v>44028746</v>
      </c>
      <c r="M180" s="2">
        <f t="shared" si="30"/>
        <v>8362815</v>
      </c>
      <c r="O180" s="6">
        <v>34663174</v>
      </c>
      <c r="Q180" s="6">
        <v>43025989</v>
      </c>
      <c r="S180" s="6">
        <v>108660</v>
      </c>
      <c r="U180" s="6">
        <v>0</v>
      </c>
      <c r="W180" s="6">
        <v>247764</v>
      </c>
      <c r="Y180" s="6">
        <v>48109</v>
      </c>
      <c r="AA180" s="6">
        <v>598224</v>
      </c>
      <c r="AC180" s="12">
        <f t="shared" si="31"/>
        <v>1002757</v>
      </c>
      <c r="AE180" s="6">
        <f t="shared" si="32"/>
        <v>0</v>
      </c>
    </row>
    <row r="181" spans="1:31" hidden="1">
      <c r="A181" s="11" t="s">
        <v>619</v>
      </c>
      <c r="B181" s="11"/>
      <c r="C181" s="11" t="s">
        <v>28</v>
      </c>
      <c r="I181" s="2">
        <f t="shared" si="33"/>
        <v>0</v>
      </c>
      <c r="M181" s="2">
        <f t="shared" si="30"/>
        <v>0</v>
      </c>
      <c r="AC181" s="12">
        <f t="shared" si="31"/>
        <v>0</v>
      </c>
      <c r="AE181" s="6">
        <f t="shared" si="32"/>
        <v>0</v>
      </c>
    </row>
    <row r="182" spans="1:31">
      <c r="A182" s="11" t="s">
        <v>539</v>
      </c>
      <c r="B182" s="11"/>
      <c r="C182" s="11" t="s">
        <v>66</v>
      </c>
      <c r="E182" s="6">
        <v>2811137</v>
      </c>
      <c r="G182" s="6">
        <v>0</v>
      </c>
      <c r="I182" s="2">
        <f t="shared" si="33"/>
        <v>5582563</v>
      </c>
      <c r="K182" s="6">
        <v>8393700</v>
      </c>
      <c r="M182" s="2">
        <f t="shared" si="30"/>
        <v>1150924</v>
      </c>
      <c r="O182" s="6">
        <f>378065+4208667</f>
        <v>4586732</v>
      </c>
      <c r="Q182" s="6">
        <v>5737656</v>
      </c>
      <c r="S182" s="6">
        <v>0</v>
      </c>
      <c r="U182" s="6">
        <v>0</v>
      </c>
      <c r="W182" s="6">
        <v>0</v>
      </c>
      <c r="Y182" s="6">
        <f>2337+43109+17712+738956+1990</f>
        <v>804104</v>
      </c>
      <c r="AA182" s="6">
        <v>1851940</v>
      </c>
      <c r="AC182" s="12">
        <f t="shared" si="31"/>
        <v>2656044</v>
      </c>
      <c r="AE182" s="6">
        <f t="shared" si="32"/>
        <v>0</v>
      </c>
    </row>
    <row r="183" spans="1:31">
      <c r="A183" s="11" t="s">
        <v>626</v>
      </c>
      <c r="B183" s="11"/>
      <c r="C183" s="11" t="s">
        <v>114</v>
      </c>
      <c r="E183" s="6">
        <v>4605429</v>
      </c>
      <c r="G183" s="6">
        <v>0</v>
      </c>
      <c r="I183" s="2">
        <f t="shared" si="33"/>
        <v>17942008</v>
      </c>
      <c r="K183" s="6">
        <v>22547437</v>
      </c>
      <c r="M183" s="2">
        <f t="shared" si="30"/>
        <v>3998773</v>
      </c>
      <c r="O183" s="6">
        <v>14770253</v>
      </c>
      <c r="Q183" s="6">
        <v>18769026</v>
      </c>
      <c r="S183" s="6">
        <v>0</v>
      </c>
      <c r="U183" s="6">
        <v>0</v>
      </c>
      <c r="W183" s="6">
        <v>484204</v>
      </c>
      <c r="Y183" s="6">
        <v>340274</v>
      </c>
      <c r="AA183" s="6">
        <v>2953933</v>
      </c>
      <c r="AC183" s="12">
        <f t="shared" si="31"/>
        <v>3778411</v>
      </c>
      <c r="AE183" s="6">
        <f t="shared" si="32"/>
        <v>0</v>
      </c>
    </row>
    <row r="184" spans="1:31">
      <c r="A184" s="11" t="s">
        <v>222</v>
      </c>
      <c r="B184" s="11"/>
      <c r="C184" s="11" t="s">
        <v>221</v>
      </c>
      <c r="E184" s="6">
        <f>13982628+203843</f>
        <v>14186471</v>
      </c>
      <c r="G184" s="6">
        <v>0</v>
      </c>
      <c r="I184" s="2">
        <f t="shared" si="33"/>
        <v>54274112</v>
      </c>
      <c r="K184" s="6">
        <v>68460583</v>
      </c>
      <c r="M184" s="2">
        <f t="shared" si="30"/>
        <v>8378299</v>
      </c>
      <c r="O184" s="6">
        <v>52191579</v>
      </c>
      <c r="Q184" s="6">
        <v>60569878</v>
      </c>
      <c r="S184" s="6">
        <v>0</v>
      </c>
      <c r="U184" s="6">
        <v>0</v>
      </c>
      <c r="W184" s="6">
        <v>0</v>
      </c>
      <c r="Y184" s="6">
        <v>807142</v>
      </c>
      <c r="AA184" s="6">
        <v>7083563</v>
      </c>
      <c r="AC184" s="12">
        <f t="shared" si="31"/>
        <v>7890705</v>
      </c>
      <c r="AE184" s="6">
        <f t="shared" si="32"/>
        <v>0</v>
      </c>
    </row>
    <row r="185" spans="1:31">
      <c r="A185" s="11" t="s">
        <v>349</v>
      </c>
      <c r="B185" s="11"/>
      <c r="C185" s="11" t="s">
        <v>348</v>
      </c>
      <c r="E185" s="6">
        <v>2057403</v>
      </c>
      <c r="G185" s="6">
        <v>0</v>
      </c>
      <c r="I185" s="2">
        <f t="shared" si="33"/>
        <v>1458378</v>
      </c>
      <c r="K185" s="6">
        <v>3515781</v>
      </c>
      <c r="M185" s="2">
        <f t="shared" si="30"/>
        <v>624948</v>
      </c>
      <c r="O185" s="6">
        <v>1400761</v>
      </c>
      <c r="Q185" s="6">
        <v>2025709</v>
      </c>
      <c r="S185" s="6">
        <v>0</v>
      </c>
      <c r="U185" s="6">
        <v>0</v>
      </c>
      <c r="W185" s="6">
        <v>0</v>
      </c>
      <c r="Y185" s="6">
        <v>107335</v>
      </c>
      <c r="AA185" s="6">
        <v>1382737</v>
      </c>
      <c r="AC185" s="12">
        <f t="shared" si="31"/>
        <v>1490072</v>
      </c>
      <c r="AE185" s="6">
        <f t="shared" si="32"/>
        <v>0</v>
      </c>
    </row>
    <row r="186" spans="1:31">
      <c r="A186" s="11" t="s">
        <v>294</v>
      </c>
      <c r="B186" s="11"/>
      <c r="C186" s="11" t="s">
        <v>25</v>
      </c>
      <c r="E186" s="6">
        <v>5816316</v>
      </c>
      <c r="G186" s="6">
        <v>0</v>
      </c>
      <c r="I186" s="2">
        <f t="shared" si="33"/>
        <v>6408680</v>
      </c>
      <c r="K186" s="6">
        <v>12224996</v>
      </c>
      <c r="M186" s="2">
        <f t="shared" si="30"/>
        <v>2092587</v>
      </c>
      <c r="O186" s="6">
        <f>4006110+575049</f>
        <v>4581159</v>
      </c>
      <c r="Q186" s="6">
        <v>6673746</v>
      </c>
      <c r="S186" s="6">
        <v>109670</v>
      </c>
      <c r="U186" s="6">
        <v>0</v>
      </c>
      <c r="W186" s="6">
        <v>0</v>
      </c>
      <c r="Y186" s="6">
        <f>87005+266058+2000</f>
        <v>355063</v>
      </c>
      <c r="AA186" s="6">
        <v>5086517</v>
      </c>
      <c r="AC186" s="12">
        <f t="shared" si="31"/>
        <v>5551250</v>
      </c>
      <c r="AE186" s="6">
        <f t="shared" si="32"/>
        <v>0</v>
      </c>
    </row>
    <row r="187" spans="1:31">
      <c r="A187" s="11" t="s">
        <v>368</v>
      </c>
      <c r="B187" s="11"/>
      <c r="C187" s="11" t="s">
        <v>366</v>
      </c>
      <c r="E187" s="6">
        <v>5606385</v>
      </c>
      <c r="G187" s="6">
        <v>43460</v>
      </c>
      <c r="I187" s="2">
        <f t="shared" si="33"/>
        <v>3310510</v>
      </c>
      <c r="K187" s="6">
        <v>8960355</v>
      </c>
      <c r="M187" s="2">
        <f t="shared" si="30"/>
        <v>1646151</v>
      </c>
      <c r="O187" s="6">
        <v>2905353</v>
      </c>
      <c r="Q187" s="6">
        <v>4551504</v>
      </c>
      <c r="S187" s="6">
        <f>20219+5717</f>
        <v>25936</v>
      </c>
      <c r="U187" s="6">
        <v>5536</v>
      </c>
      <c r="W187" s="6">
        <f>181097+253628+202099</f>
        <v>636824</v>
      </c>
      <c r="Y187" s="6">
        <f>138430+45550+116990+1003459</f>
        <v>1304429</v>
      </c>
      <c r="AA187" s="6">
        <v>2436126</v>
      </c>
      <c r="AC187" s="12">
        <f t="shared" si="31"/>
        <v>4408851</v>
      </c>
      <c r="AE187" s="6">
        <f t="shared" si="32"/>
        <v>0</v>
      </c>
    </row>
    <row r="188" spans="1:31" hidden="1">
      <c r="A188" s="11" t="s">
        <v>620</v>
      </c>
      <c r="B188" s="11"/>
      <c r="C188" s="11" t="s">
        <v>61</v>
      </c>
      <c r="I188" s="2">
        <f t="shared" si="33"/>
        <v>0</v>
      </c>
      <c r="M188" s="2">
        <f t="shared" si="30"/>
        <v>0</v>
      </c>
      <c r="AC188" s="12">
        <f t="shared" si="31"/>
        <v>0</v>
      </c>
      <c r="AE188" s="6">
        <f t="shared" si="32"/>
        <v>0</v>
      </c>
    </row>
    <row r="189" spans="1:31">
      <c r="A189" s="11" t="s">
        <v>496</v>
      </c>
      <c r="B189" s="11"/>
      <c r="C189" s="11" t="s">
        <v>62</v>
      </c>
      <c r="E189" s="6">
        <v>4011061</v>
      </c>
      <c r="G189" s="6">
        <v>0</v>
      </c>
      <c r="I189" s="2">
        <f t="shared" si="33"/>
        <v>5480068</v>
      </c>
      <c r="K189" s="6">
        <v>9491129</v>
      </c>
      <c r="M189" s="2">
        <f t="shared" si="30"/>
        <v>1827239</v>
      </c>
      <c r="O189" s="6">
        <f>4906677+246429</f>
        <v>5153106</v>
      </c>
      <c r="Q189" s="6">
        <v>6980345</v>
      </c>
      <c r="S189" s="6">
        <v>8240</v>
      </c>
      <c r="U189" s="6">
        <v>0</v>
      </c>
      <c r="W189" s="6">
        <v>0</v>
      </c>
      <c r="Y189" s="6">
        <f>180875+63580+1609500+15261</f>
        <v>1869216</v>
      </c>
      <c r="AA189" s="6">
        <v>633328</v>
      </c>
      <c r="AC189" s="12">
        <f t="shared" si="31"/>
        <v>2510784</v>
      </c>
      <c r="AE189" s="6">
        <f t="shared" si="32"/>
        <v>0</v>
      </c>
    </row>
    <row r="190" spans="1:31" hidden="1">
      <c r="A190" s="10" t="s">
        <v>890</v>
      </c>
      <c r="B190" s="11"/>
      <c r="C190" s="11" t="s">
        <v>41</v>
      </c>
      <c r="I190" s="2">
        <f t="shared" si="33"/>
        <v>0</v>
      </c>
      <c r="M190" s="2">
        <f t="shared" si="30"/>
        <v>0</v>
      </c>
      <c r="AC190" s="12">
        <f t="shared" si="31"/>
        <v>0</v>
      </c>
      <c r="AE190" s="6">
        <f t="shared" si="32"/>
        <v>0</v>
      </c>
    </row>
    <row r="191" spans="1:31" s="28" customFormat="1">
      <c r="A191" s="27" t="s">
        <v>268</v>
      </c>
      <c r="B191" s="27"/>
      <c r="C191" s="27" t="s">
        <v>20</v>
      </c>
      <c r="E191" s="28">
        <v>13757744</v>
      </c>
      <c r="G191" s="28">
        <v>0</v>
      </c>
      <c r="I191" s="30">
        <f t="shared" si="33"/>
        <v>15772791</v>
      </c>
      <c r="K191" s="28">
        <v>29530535</v>
      </c>
      <c r="M191" s="30">
        <f t="shared" si="30"/>
        <v>2069871</v>
      </c>
      <c r="O191" s="28">
        <f>12621749+793644</f>
        <v>13415393</v>
      </c>
      <c r="Q191" s="28">
        <v>15485264</v>
      </c>
      <c r="S191" s="28">
        <v>7605</v>
      </c>
      <c r="U191" s="28">
        <v>0</v>
      </c>
      <c r="W191" s="28">
        <v>10234</v>
      </c>
      <c r="Y191" s="28">
        <f>67659+130331+52949+43631</f>
        <v>294570</v>
      </c>
      <c r="AA191" s="28">
        <v>13732862</v>
      </c>
      <c r="AC191" s="37">
        <f t="shared" si="31"/>
        <v>14045271</v>
      </c>
      <c r="AE191" s="28">
        <f t="shared" si="32"/>
        <v>0</v>
      </c>
    </row>
    <row r="192" spans="1:31" hidden="1">
      <c r="A192" s="11" t="s">
        <v>745</v>
      </c>
      <c r="B192" s="11"/>
      <c r="C192" s="11" t="s">
        <v>28</v>
      </c>
      <c r="I192" s="2">
        <f t="shared" si="33"/>
        <v>0</v>
      </c>
      <c r="M192" s="2">
        <f t="shared" si="30"/>
        <v>0</v>
      </c>
      <c r="AC192" s="12">
        <f t="shared" si="31"/>
        <v>0</v>
      </c>
      <c r="AE192" s="6">
        <f t="shared" si="32"/>
        <v>0</v>
      </c>
    </row>
    <row r="193" spans="1:31">
      <c r="A193" s="11" t="s">
        <v>219</v>
      </c>
      <c r="B193" s="11"/>
      <c r="C193" s="11" t="s">
        <v>77</v>
      </c>
      <c r="E193" s="6">
        <v>1466693</v>
      </c>
      <c r="G193" s="6">
        <v>0</v>
      </c>
      <c r="I193" s="2">
        <f t="shared" si="33"/>
        <v>1802400</v>
      </c>
      <c r="K193" s="6">
        <v>3269093</v>
      </c>
      <c r="M193" s="2">
        <f t="shared" si="30"/>
        <v>734494</v>
      </c>
      <c r="O193" s="6">
        <v>1315386</v>
      </c>
      <c r="Q193" s="6">
        <v>2049880</v>
      </c>
      <c r="S193" s="6">
        <v>486</v>
      </c>
      <c r="U193" s="6">
        <v>0</v>
      </c>
      <c r="W193" s="6">
        <v>0</v>
      </c>
      <c r="Y193" s="6">
        <v>376119</v>
      </c>
      <c r="AA193" s="6">
        <v>842608</v>
      </c>
      <c r="AC193" s="12">
        <f t="shared" si="31"/>
        <v>1219213</v>
      </c>
      <c r="AE193" s="6">
        <f t="shared" si="32"/>
        <v>0</v>
      </c>
    </row>
    <row r="194" spans="1:31">
      <c r="A194" s="11" t="s">
        <v>743</v>
      </c>
      <c r="B194" s="11"/>
      <c r="C194" s="11" t="s">
        <v>13</v>
      </c>
      <c r="E194" s="6">
        <v>3075085</v>
      </c>
      <c r="G194" s="6">
        <v>923</v>
      </c>
      <c r="I194" s="2">
        <f t="shared" si="33"/>
        <v>2815688</v>
      </c>
      <c r="K194" s="6">
        <v>5891696</v>
      </c>
      <c r="M194" s="2">
        <f t="shared" si="30"/>
        <v>1031845</v>
      </c>
      <c r="O194" s="6">
        <v>2463998</v>
      </c>
      <c r="Q194" s="6">
        <v>3495843</v>
      </c>
      <c r="S194" s="6">
        <v>24698</v>
      </c>
      <c r="U194" s="6">
        <v>923</v>
      </c>
      <c r="W194" s="6">
        <v>11000</v>
      </c>
      <c r="Y194" s="6">
        <v>181606</v>
      </c>
      <c r="AA194" s="6">
        <v>2177626</v>
      </c>
      <c r="AC194" s="12">
        <f t="shared" si="31"/>
        <v>2395853</v>
      </c>
      <c r="AE194" s="6">
        <f t="shared" si="32"/>
        <v>0</v>
      </c>
    </row>
    <row r="195" spans="1:31">
      <c r="A195" s="11" t="s">
        <v>239</v>
      </c>
      <c r="B195" s="11"/>
      <c r="C195" s="11" t="s">
        <v>113</v>
      </c>
      <c r="E195" s="6">
        <v>1920427</v>
      </c>
      <c r="G195" s="6">
        <v>16666</v>
      </c>
      <c r="I195" s="2">
        <f t="shared" si="33"/>
        <v>1689946</v>
      </c>
      <c r="K195" s="6">
        <v>3627039</v>
      </c>
      <c r="M195" s="2">
        <f t="shared" si="30"/>
        <v>797416</v>
      </c>
      <c r="O195" s="6">
        <v>1525155</v>
      </c>
      <c r="Q195" s="6">
        <v>2322571</v>
      </c>
      <c r="S195" s="6">
        <v>25758</v>
      </c>
      <c r="U195" s="6">
        <v>16666</v>
      </c>
      <c r="W195" s="6">
        <v>0</v>
      </c>
      <c r="Y195" s="6">
        <v>54519</v>
      </c>
      <c r="AA195" s="6">
        <v>1207525</v>
      </c>
      <c r="AC195" s="12">
        <f t="shared" si="31"/>
        <v>1304468</v>
      </c>
      <c r="AE195" s="6">
        <f t="shared" si="32"/>
        <v>0</v>
      </c>
    </row>
    <row r="196" spans="1:31">
      <c r="A196" s="11" t="s">
        <v>720</v>
      </c>
      <c r="B196" s="11"/>
      <c r="C196" s="11" t="s">
        <v>56</v>
      </c>
      <c r="E196" s="6">
        <v>399387</v>
      </c>
      <c r="G196" s="6">
        <v>538018</v>
      </c>
      <c r="I196" s="2">
        <f t="shared" si="33"/>
        <v>9285982</v>
      </c>
      <c r="K196" s="6">
        <v>10223387</v>
      </c>
      <c r="M196" s="2">
        <f t="shared" si="30"/>
        <v>1836785</v>
      </c>
      <c r="O196" s="6">
        <v>8189618</v>
      </c>
      <c r="Q196" s="6">
        <v>10026403</v>
      </c>
      <c r="S196" s="6">
        <v>0</v>
      </c>
      <c r="U196" s="6">
        <v>538018</v>
      </c>
      <c r="W196" s="6">
        <v>11000</v>
      </c>
      <c r="Y196" s="6">
        <v>0</v>
      </c>
      <c r="AA196" s="6">
        <v>-352034</v>
      </c>
      <c r="AC196" s="12">
        <f t="shared" si="31"/>
        <v>196984</v>
      </c>
      <c r="AE196" s="6">
        <f t="shared" si="32"/>
        <v>0</v>
      </c>
    </row>
    <row r="197" spans="1:31">
      <c r="A197" s="11" t="s">
        <v>337</v>
      </c>
      <c r="B197" s="11"/>
      <c r="C197" s="11" t="s">
        <v>33</v>
      </c>
      <c r="E197" s="6">
        <v>11834860</v>
      </c>
      <c r="G197" s="6">
        <v>0</v>
      </c>
      <c r="I197" s="2">
        <f t="shared" si="33"/>
        <v>26216906</v>
      </c>
      <c r="K197" s="6">
        <v>38051766</v>
      </c>
      <c r="M197" s="2">
        <f t="shared" si="30"/>
        <v>5883492</v>
      </c>
      <c r="O197" s="6">
        <f>1499156+20652953</f>
        <v>22152109</v>
      </c>
      <c r="Q197" s="6">
        <v>28035601</v>
      </c>
      <c r="S197" s="6">
        <f>35598+82858</f>
        <v>118456</v>
      </c>
      <c r="U197" s="6">
        <v>0</v>
      </c>
      <c r="W197" s="6">
        <v>0</v>
      </c>
      <c r="Y197" s="6">
        <f>254016+681690+1117+6131+230647+63240</f>
        <v>1236841</v>
      </c>
      <c r="AA197" s="6">
        <v>8660868</v>
      </c>
      <c r="AC197" s="12">
        <f t="shared" si="31"/>
        <v>10016165</v>
      </c>
      <c r="AE197" s="6">
        <f t="shared" si="32"/>
        <v>0</v>
      </c>
    </row>
    <row r="198" spans="1:31">
      <c r="A198" s="11" t="s">
        <v>322</v>
      </c>
      <c r="B198" s="11"/>
      <c r="C198" s="11" t="s">
        <v>32</v>
      </c>
      <c r="E198" s="6">
        <v>2433937</v>
      </c>
      <c r="G198" s="6">
        <v>0</v>
      </c>
      <c r="I198" s="2">
        <f t="shared" si="33"/>
        <v>10658562</v>
      </c>
      <c r="K198" s="6">
        <v>13092499</v>
      </c>
      <c r="M198" s="2">
        <f t="shared" si="30"/>
        <v>2619308</v>
      </c>
      <c r="O198" s="6">
        <v>6660893</v>
      </c>
      <c r="Q198" s="6">
        <v>9280201</v>
      </c>
      <c r="S198" s="6">
        <v>0</v>
      </c>
      <c r="U198" s="6">
        <v>0</v>
      </c>
      <c r="W198" s="6">
        <v>0</v>
      </c>
      <c r="Y198" s="6">
        <v>14609</v>
      </c>
      <c r="AA198" s="6">
        <v>3797689</v>
      </c>
      <c r="AC198" s="12">
        <f t="shared" si="31"/>
        <v>3812298</v>
      </c>
      <c r="AE198" s="6">
        <f t="shared" si="32"/>
        <v>0</v>
      </c>
    </row>
    <row r="199" spans="1:31">
      <c r="A199" s="11" t="s">
        <v>385</v>
      </c>
      <c r="B199" s="11"/>
      <c r="C199" s="11" t="s">
        <v>44</v>
      </c>
      <c r="E199" s="6">
        <v>2340309</v>
      </c>
      <c r="G199" s="6">
        <v>0</v>
      </c>
      <c r="I199" s="2">
        <f t="shared" si="33"/>
        <v>8203322</v>
      </c>
      <c r="K199" s="6">
        <v>10543631</v>
      </c>
      <c r="M199" s="2">
        <f t="shared" si="30"/>
        <v>1893189</v>
      </c>
      <c r="O199" s="6">
        <f>293589+6963736</f>
        <v>7257325</v>
      </c>
      <c r="Q199" s="6">
        <v>9150514</v>
      </c>
      <c r="S199" s="6">
        <v>21021</v>
      </c>
      <c r="U199" s="6">
        <v>0</v>
      </c>
      <c r="W199" s="6">
        <v>101991</v>
      </c>
      <c r="Y199" s="6">
        <f>13483+98801+19+5261</f>
        <v>117564</v>
      </c>
      <c r="AA199" s="6">
        <v>1152541</v>
      </c>
      <c r="AC199" s="12">
        <f t="shared" si="31"/>
        <v>1393117</v>
      </c>
      <c r="AE199" s="6">
        <f t="shared" si="32"/>
        <v>0</v>
      </c>
    </row>
    <row r="200" spans="1:31">
      <c r="A200" s="11" t="s">
        <v>323</v>
      </c>
      <c r="B200" s="11"/>
      <c r="C200" s="11" t="s">
        <v>32</v>
      </c>
      <c r="E200" s="6">
        <v>10146085</v>
      </c>
      <c r="G200" s="6">
        <v>250638</v>
      </c>
      <c r="I200" s="2">
        <f t="shared" si="33"/>
        <v>46706105</v>
      </c>
      <c r="K200" s="6">
        <v>57102828</v>
      </c>
      <c r="M200" s="2">
        <f t="shared" si="30"/>
        <v>8879449</v>
      </c>
      <c r="O200" s="6">
        <v>30431707</v>
      </c>
      <c r="Q200" s="6">
        <v>39311156</v>
      </c>
      <c r="S200" s="6">
        <v>255665</v>
      </c>
      <c r="U200" s="6">
        <v>250638</v>
      </c>
      <c r="W200" s="6">
        <v>11000</v>
      </c>
      <c r="Y200" s="6">
        <v>477577</v>
      </c>
      <c r="AA200" s="6">
        <v>16796792</v>
      </c>
      <c r="AC200" s="12">
        <f t="shared" si="31"/>
        <v>17791672</v>
      </c>
      <c r="AE200" s="6">
        <f t="shared" si="32"/>
        <v>0</v>
      </c>
    </row>
    <row r="201" spans="1:31" hidden="1">
      <c r="A201" s="11" t="s">
        <v>616</v>
      </c>
      <c r="B201" s="11"/>
      <c r="C201" s="11" t="s">
        <v>70</v>
      </c>
      <c r="I201" s="2">
        <f t="shared" si="33"/>
        <v>0</v>
      </c>
      <c r="M201" s="2">
        <f t="shared" si="30"/>
        <v>0</v>
      </c>
      <c r="AC201" s="12">
        <f t="shared" si="31"/>
        <v>0</v>
      </c>
      <c r="AE201" s="6">
        <f t="shared" si="32"/>
        <v>0</v>
      </c>
    </row>
    <row r="202" spans="1:31">
      <c r="A202" s="11" t="s">
        <v>490</v>
      </c>
      <c r="B202" s="11"/>
      <c r="C202" s="11" t="s">
        <v>61</v>
      </c>
      <c r="E202" s="6">
        <v>3222441</v>
      </c>
      <c r="G202" s="6">
        <v>0</v>
      </c>
      <c r="I202" s="2">
        <f t="shared" si="33"/>
        <v>2376914</v>
      </c>
      <c r="K202" s="6">
        <v>5599355</v>
      </c>
      <c r="M202" s="2">
        <f t="shared" si="30"/>
        <v>747837</v>
      </c>
      <c r="O202" s="6">
        <v>1646228</v>
      </c>
      <c r="Q202" s="6">
        <v>2394065</v>
      </c>
      <c r="S202" s="6">
        <v>36967</v>
      </c>
      <c r="U202" s="6">
        <v>0</v>
      </c>
      <c r="W202" s="6">
        <v>0</v>
      </c>
      <c r="Y202" s="6">
        <v>131044</v>
      </c>
      <c r="AA202" s="6">
        <v>3037279</v>
      </c>
      <c r="AC202" s="12">
        <f t="shared" si="31"/>
        <v>3205290</v>
      </c>
      <c r="AE202" s="6">
        <f t="shared" si="32"/>
        <v>0</v>
      </c>
    </row>
    <row r="203" spans="1:31" hidden="1">
      <c r="A203" s="11" t="s">
        <v>764</v>
      </c>
      <c r="B203" s="11"/>
      <c r="C203" s="11" t="s">
        <v>422</v>
      </c>
      <c r="I203" s="2">
        <f t="shared" si="33"/>
        <v>0</v>
      </c>
      <c r="M203" s="2">
        <f t="shared" si="30"/>
        <v>0</v>
      </c>
      <c r="AC203" s="12">
        <f t="shared" si="31"/>
        <v>0</v>
      </c>
      <c r="AE203" s="6">
        <f t="shared" si="32"/>
        <v>0</v>
      </c>
    </row>
    <row r="204" spans="1:31" hidden="1">
      <c r="A204" s="11" t="s">
        <v>747</v>
      </c>
      <c r="B204" s="11"/>
      <c r="C204" s="11" t="s">
        <v>60</v>
      </c>
      <c r="I204" s="2">
        <f t="shared" si="33"/>
        <v>0</v>
      </c>
      <c r="M204" s="2">
        <f t="shared" si="30"/>
        <v>0</v>
      </c>
      <c r="AC204" s="12">
        <f t="shared" si="31"/>
        <v>0</v>
      </c>
      <c r="AE204" s="6">
        <f t="shared" si="32"/>
        <v>0</v>
      </c>
    </row>
    <row r="205" spans="1:31">
      <c r="A205" s="11" t="s">
        <v>544</v>
      </c>
      <c r="B205" s="11"/>
      <c r="C205" s="11" t="s">
        <v>69</v>
      </c>
      <c r="E205" s="6">
        <v>4933770</v>
      </c>
      <c r="G205" s="6">
        <v>0</v>
      </c>
      <c r="I205" s="2">
        <f t="shared" si="33"/>
        <v>17978824</v>
      </c>
      <c r="K205" s="6">
        <v>22912594</v>
      </c>
      <c r="M205" s="2">
        <f t="shared" si="30"/>
        <v>2923675</v>
      </c>
      <c r="O205" s="6">
        <v>17303612</v>
      </c>
      <c r="Q205" s="6">
        <v>20227287</v>
      </c>
      <c r="S205" s="6">
        <v>1462</v>
      </c>
      <c r="U205" s="6">
        <v>0</v>
      </c>
      <c r="W205" s="6">
        <v>0</v>
      </c>
      <c r="Y205" s="6">
        <v>2263374</v>
      </c>
      <c r="AA205" s="6">
        <v>420471</v>
      </c>
      <c r="AC205" s="12">
        <f t="shared" si="31"/>
        <v>2685307</v>
      </c>
      <c r="AE205" s="6">
        <f t="shared" si="32"/>
        <v>0</v>
      </c>
    </row>
    <row r="206" spans="1:31">
      <c r="A206" s="11" t="s">
        <v>444</v>
      </c>
      <c r="B206" s="11"/>
      <c r="C206" s="11" t="s">
        <v>51</v>
      </c>
      <c r="E206" s="6">
        <v>6608731</v>
      </c>
      <c r="G206" s="6">
        <v>605</v>
      </c>
      <c r="I206" s="2">
        <f t="shared" si="33"/>
        <v>7361674</v>
      </c>
      <c r="K206" s="6">
        <v>13971010</v>
      </c>
      <c r="M206" s="2">
        <f t="shared" si="30"/>
        <v>2513622</v>
      </c>
      <c r="O206" s="6">
        <v>3897874</v>
      </c>
      <c r="Q206" s="6">
        <v>6411496</v>
      </c>
      <c r="S206" s="6">
        <v>91984</v>
      </c>
      <c r="U206" s="6">
        <v>0</v>
      </c>
      <c r="W206" s="6">
        <v>250000</v>
      </c>
      <c r="Y206" s="6">
        <v>70641</v>
      </c>
      <c r="AA206" s="6">
        <v>7146889</v>
      </c>
      <c r="AC206" s="12">
        <f t="shared" si="31"/>
        <v>7559514</v>
      </c>
      <c r="AE206" s="6">
        <f t="shared" si="32"/>
        <v>0</v>
      </c>
    </row>
    <row r="207" spans="1:31" hidden="1">
      <c r="A207" s="11" t="s">
        <v>615</v>
      </c>
      <c r="B207" s="11"/>
      <c r="C207" s="11" t="s">
        <v>21</v>
      </c>
      <c r="I207" s="2">
        <f t="shared" si="33"/>
        <v>0</v>
      </c>
      <c r="M207" s="2">
        <f t="shared" si="30"/>
        <v>0</v>
      </c>
      <c r="AC207" s="12">
        <f t="shared" si="31"/>
        <v>0</v>
      </c>
      <c r="AE207" s="6">
        <f t="shared" si="32"/>
        <v>0</v>
      </c>
    </row>
    <row r="208" spans="1:31" hidden="1">
      <c r="A208" s="11" t="s">
        <v>664</v>
      </c>
      <c r="B208" s="11"/>
      <c r="C208" s="11" t="s">
        <v>40</v>
      </c>
      <c r="I208" s="2">
        <f t="shared" si="33"/>
        <v>0</v>
      </c>
      <c r="M208" s="2">
        <f t="shared" si="30"/>
        <v>0</v>
      </c>
      <c r="AC208" s="12">
        <f t="shared" si="31"/>
        <v>0</v>
      </c>
      <c r="AE208" s="6">
        <f t="shared" si="32"/>
        <v>0</v>
      </c>
    </row>
    <row r="209" spans="1:31">
      <c r="A209" s="11" t="s">
        <v>644</v>
      </c>
      <c r="B209" s="11"/>
      <c r="C209" s="11" t="s">
        <v>79</v>
      </c>
      <c r="E209" s="6">
        <v>11598611</v>
      </c>
      <c r="G209" s="6">
        <v>0</v>
      </c>
      <c r="I209" s="2">
        <f t="shared" si="33"/>
        <v>13922812</v>
      </c>
      <c r="K209" s="6">
        <v>25521423</v>
      </c>
      <c r="M209" s="2">
        <f t="shared" si="30"/>
        <v>3105148</v>
      </c>
      <c r="O209" s="6">
        <v>9251336</v>
      </c>
      <c r="Q209" s="6">
        <v>12356484</v>
      </c>
      <c r="S209" s="6">
        <v>0</v>
      </c>
      <c r="U209" s="6">
        <v>0</v>
      </c>
      <c r="W209" s="6">
        <v>4668240</v>
      </c>
      <c r="Y209" s="6">
        <v>1791709</v>
      </c>
      <c r="AA209" s="6">
        <v>6704990</v>
      </c>
      <c r="AC209" s="12">
        <f t="shared" si="31"/>
        <v>13164939</v>
      </c>
      <c r="AE209" s="6">
        <f t="shared" si="32"/>
        <v>0</v>
      </c>
    </row>
    <row r="210" spans="1:31">
      <c r="A210" s="11" t="s">
        <v>548</v>
      </c>
      <c r="B210" s="11"/>
      <c r="C210" s="11" t="s">
        <v>70</v>
      </c>
      <c r="E210" s="6">
        <v>1605657</v>
      </c>
      <c r="G210" s="6">
        <v>0</v>
      </c>
      <c r="I210" s="2">
        <f t="shared" si="33"/>
        <v>1349482</v>
      </c>
      <c r="K210" s="6">
        <v>2955139</v>
      </c>
      <c r="M210" s="2">
        <f t="shared" si="30"/>
        <v>796773</v>
      </c>
      <c r="O210" s="6">
        <f>89447+1200603</f>
        <v>1290050</v>
      </c>
      <c r="Q210" s="6">
        <v>2086823</v>
      </c>
      <c r="S210" s="6">
        <v>0</v>
      </c>
      <c r="U210" s="6">
        <v>0</v>
      </c>
      <c r="W210" s="6">
        <v>173894</v>
      </c>
      <c r="Y210" s="6">
        <f>11039+5715+3663+7</f>
        <v>20424</v>
      </c>
      <c r="AA210" s="6">
        <v>673998</v>
      </c>
      <c r="AC210" s="12">
        <f t="shared" si="31"/>
        <v>868316</v>
      </c>
      <c r="AE210" s="6">
        <f t="shared" si="32"/>
        <v>0</v>
      </c>
    </row>
    <row r="211" spans="1:31">
      <c r="A211" s="11" t="s">
        <v>641</v>
      </c>
      <c r="B211" s="11"/>
      <c r="C211" s="11" t="s">
        <v>27</v>
      </c>
      <c r="E211" s="6">
        <v>7963310</v>
      </c>
      <c r="G211" s="6">
        <v>1021342</v>
      </c>
      <c r="I211" s="2">
        <f t="shared" si="33"/>
        <v>85753853</v>
      </c>
      <c r="K211" s="6">
        <v>94738505</v>
      </c>
      <c r="M211" s="2">
        <f t="shared" ref="M211:M276" si="42">+Q211-O211</f>
        <v>9236547</v>
      </c>
      <c r="O211" s="6">
        <v>63978774</v>
      </c>
      <c r="Q211" s="6">
        <v>73215321</v>
      </c>
      <c r="S211" s="6">
        <v>75181</v>
      </c>
      <c r="U211" s="6">
        <v>21039</v>
      </c>
      <c r="W211" s="6">
        <v>0</v>
      </c>
      <c r="Y211" s="6">
        <f>119947+2346251+17212244+90592</f>
        <v>19769034</v>
      </c>
      <c r="AA211" s="6">
        <v>1657930</v>
      </c>
      <c r="AC211" s="12">
        <f t="shared" ref="AC211:AC276" si="43">+W211+U211++S211+Y211+AA211</f>
        <v>21523184</v>
      </c>
      <c r="AE211" s="6">
        <f t="shared" ref="AE211:AE276" si="44">+E211+G211+I211-M211-O211-W211-U211-S211-Y211-AA211</f>
        <v>0</v>
      </c>
    </row>
    <row r="212" spans="1:31">
      <c r="A212" s="11" t="s">
        <v>259</v>
      </c>
      <c r="B212" s="11"/>
      <c r="C212" s="11" t="s">
        <v>111</v>
      </c>
      <c r="E212" s="6">
        <v>1234065</v>
      </c>
      <c r="G212" s="6">
        <v>1353</v>
      </c>
      <c r="I212" s="2">
        <f t="shared" si="33"/>
        <v>5113458</v>
      </c>
      <c r="K212" s="6">
        <v>6348876</v>
      </c>
      <c r="M212" s="2">
        <f t="shared" si="42"/>
        <v>2029212</v>
      </c>
      <c r="O212" s="6">
        <v>3214709</v>
      </c>
      <c r="Q212" s="6">
        <v>5243921</v>
      </c>
      <c r="S212" s="6">
        <v>2552</v>
      </c>
      <c r="U212" s="6">
        <v>0</v>
      </c>
      <c r="W212" s="6">
        <v>0</v>
      </c>
      <c r="Y212" s="6">
        <v>205066</v>
      </c>
      <c r="AA212" s="6">
        <v>897337</v>
      </c>
      <c r="AC212" s="12">
        <f t="shared" si="43"/>
        <v>1104955</v>
      </c>
      <c r="AE212" s="6">
        <f t="shared" si="44"/>
        <v>0</v>
      </c>
    </row>
    <row r="213" spans="1:31">
      <c r="A213" s="11" t="s">
        <v>642</v>
      </c>
      <c r="B213" s="11"/>
      <c r="C213" s="11" t="s">
        <v>29</v>
      </c>
      <c r="E213" s="6">
        <v>5818541</v>
      </c>
      <c r="G213" s="6">
        <v>0</v>
      </c>
      <c r="I213" s="2">
        <f t="shared" ref="I213:I278" si="45">+K213-G213-E213</f>
        <v>9904682</v>
      </c>
      <c r="K213" s="6">
        <v>15723223</v>
      </c>
      <c r="M213" s="2">
        <f t="shared" si="42"/>
        <v>2005300</v>
      </c>
      <c r="O213" s="6">
        <v>9408354</v>
      </c>
      <c r="Q213" s="6">
        <v>11413654</v>
      </c>
      <c r="S213" s="6">
        <v>0</v>
      </c>
      <c r="U213" s="6">
        <v>0</v>
      </c>
      <c r="W213" s="6">
        <v>0</v>
      </c>
      <c r="Y213" s="6">
        <v>425545</v>
      </c>
      <c r="AA213" s="6">
        <v>3884024</v>
      </c>
      <c r="AC213" s="12">
        <f t="shared" si="43"/>
        <v>4309569</v>
      </c>
      <c r="AE213" s="6">
        <f t="shared" si="44"/>
        <v>0</v>
      </c>
    </row>
    <row r="214" spans="1:31">
      <c r="A214" s="11" t="s">
        <v>313</v>
      </c>
      <c r="B214" s="11"/>
      <c r="C214" s="11" t="s">
        <v>29</v>
      </c>
      <c r="E214" s="6">
        <v>1659785</v>
      </c>
      <c r="G214" s="6">
        <v>0</v>
      </c>
      <c r="I214" s="2">
        <f t="shared" si="45"/>
        <v>5654960</v>
      </c>
      <c r="K214" s="6">
        <v>7314745</v>
      </c>
      <c r="M214" s="2">
        <f t="shared" si="42"/>
        <v>1562108</v>
      </c>
      <c r="O214" s="6">
        <f>443101+4881398</f>
        <v>5324499</v>
      </c>
      <c r="Q214" s="6">
        <v>6886607</v>
      </c>
      <c r="S214" s="6">
        <f>123453+35875</f>
        <v>159328</v>
      </c>
      <c r="U214" s="6">
        <v>0</v>
      </c>
      <c r="W214" s="6">
        <v>66354</v>
      </c>
      <c r="Y214" s="6">
        <f>166304+13055+23097</f>
        <v>202456</v>
      </c>
      <c r="AA214" s="6">
        <v>0</v>
      </c>
      <c r="AC214" s="12">
        <f t="shared" si="43"/>
        <v>428138</v>
      </c>
      <c r="AE214" s="6">
        <f t="shared" si="44"/>
        <v>0</v>
      </c>
    </row>
    <row r="215" spans="1:31">
      <c r="A215" s="11" t="s">
        <v>535</v>
      </c>
      <c r="B215" s="11"/>
      <c r="C215" s="11" t="s">
        <v>65</v>
      </c>
      <c r="E215" s="6">
        <v>2937927</v>
      </c>
      <c r="G215" s="6">
        <v>0</v>
      </c>
      <c r="I215" s="2">
        <f t="shared" si="45"/>
        <v>5652453</v>
      </c>
      <c r="K215" s="6">
        <v>8590380</v>
      </c>
      <c r="M215" s="2">
        <f t="shared" si="42"/>
        <v>1459471</v>
      </c>
      <c r="O215" s="6">
        <f>4874252+538212</f>
        <v>5412464</v>
      </c>
      <c r="Q215" s="6">
        <v>6871935</v>
      </c>
      <c r="S215" s="6">
        <v>950</v>
      </c>
      <c r="U215" s="6">
        <v>0</v>
      </c>
      <c r="W215" s="6">
        <v>0</v>
      </c>
      <c r="Y215" s="6">
        <f>13800+25996+1022247</f>
        <v>1062043</v>
      </c>
      <c r="AA215" s="6">
        <v>655452</v>
      </c>
      <c r="AC215" s="12">
        <f t="shared" si="43"/>
        <v>1718445</v>
      </c>
      <c r="AE215" s="6">
        <f t="shared" si="44"/>
        <v>0</v>
      </c>
    </row>
    <row r="216" spans="1:31">
      <c r="A216" s="11" t="s">
        <v>678</v>
      </c>
      <c r="B216" s="11"/>
      <c r="C216" s="11" t="s">
        <v>20</v>
      </c>
      <c r="E216" s="6">
        <f>1286082+1073786</f>
        <v>2359868</v>
      </c>
      <c r="G216" s="6">
        <v>0</v>
      </c>
      <c r="I216" s="2">
        <f t="shared" si="45"/>
        <v>19076838</v>
      </c>
      <c r="K216" s="6">
        <v>21436706</v>
      </c>
      <c r="M216" s="2">
        <f t="shared" si="42"/>
        <v>4056476</v>
      </c>
      <c r="O216" s="6">
        <v>15819007</v>
      </c>
      <c r="Q216" s="6">
        <v>19875483</v>
      </c>
      <c r="S216" s="6">
        <v>0</v>
      </c>
      <c r="U216" s="6">
        <v>3318</v>
      </c>
      <c r="W216" s="6">
        <v>0</v>
      </c>
      <c r="Y216" s="6">
        <v>353395</v>
      </c>
      <c r="AA216" s="6">
        <v>1204510</v>
      </c>
      <c r="AC216" s="12">
        <f t="shared" si="43"/>
        <v>1561223</v>
      </c>
      <c r="AE216" s="6">
        <f t="shared" si="44"/>
        <v>0</v>
      </c>
    </row>
    <row r="217" spans="1:31">
      <c r="A217" s="11" t="s">
        <v>643</v>
      </c>
      <c r="B217" s="11"/>
      <c r="C217" s="11" t="s">
        <v>12</v>
      </c>
      <c r="E217" s="6">
        <v>1892936</v>
      </c>
      <c r="G217" s="6">
        <v>0</v>
      </c>
      <c r="I217" s="2">
        <f t="shared" si="45"/>
        <v>7379028</v>
      </c>
      <c r="K217" s="6">
        <v>9271964</v>
      </c>
      <c r="M217" s="2">
        <f t="shared" si="42"/>
        <v>2330267</v>
      </c>
      <c r="O217" s="6">
        <v>4546547</v>
      </c>
      <c r="Q217" s="6">
        <v>6876814</v>
      </c>
      <c r="S217" s="6">
        <v>64357</v>
      </c>
      <c r="U217" s="6">
        <v>0</v>
      </c>
      <c r="W217" s="6">
        <v>0</v>
      </c>
      <c r="Y217" s="6">
        <v>728762</v>
      </c>
      <c r="AA217" s="6">
        <v>1602031</v>
      </c>
      <c r="AC217" s="12">
        <f t="shared" si="43"/>
        <v>2395150</v>
      </c>
      <c r="AE217" s="6">
        <f t="shared" si="44"/>
        <v>0</v>
      </c>
    </row>
    <row r="218" spans="1:31" hidden="1">
      <c r="A218" s="11" t="s">
        <v>832</v>
      </c>
      <c r="B218" s="11"/>
      <c r="C218" s="11" t="s">
        <v>53</v>
      </c>
      <c r="I218" s="2">
        <f t="shared" si="45"/>
        <v>0</v>
      </c>
      <c r="M218" s="2">
        <f t="shared" si="42"/>
        <v>0</v>
      </c>
      <c r="AC218" s="12">
        <f t="shared" si="43"/>
        <v>0</v>
      </c>
      <c r="AE218" s="6">
        <f t="shared" si="44"/>
        <v>0</v>
      </c>
    </row>
    <row r="219" spans="1:31" hidden="1">
      <c r="A219" s="11" t="s">
        <v>665</v>
      </c>
      <c r="B219" s="11"/>
      <c r="C219" s="11" t="s">
        <v>77</v>
      </c>
      <c r="I219" s="2">
        <f t="shared" si="45"/>
        <v>0</v>
      </c>
      <c r="M219" s="2">
        <f t="shared" si="42"/>
        <v>0</v>
      </c>
      <c r="AC219" s="12">
        <f t="shared" si="43"/>
        <v>0</v>
      </c>
      <c r="AE219" s="6">
        <f t="shared" si="44"/>
        <v>0</v>
      </c>
    </row>
    <row r="220" spans="1:31">
      <c r="A220" s="11" t="s">
        <v>748</v>
      </c>
      <c r="B220" s="11"/>
      <c r="C220" s="11" t="s">
        <v>79</v>
      </c>
      <c r="E220" s="6">
        <v>1794126</v>
      </c>
      <c r="G220" s="6">
        <v>52124</v>
      </c>
      <c r="I220" s="2">
        <f t="shared" si="45"/>
        <v>2152034</v>
      </c>
      <c r="K220" s="6">
        <v>3998284</v>
      </c>
      <c r="M220" s="2">
        <f t="shared" si="42"/>
        <v>1094214</v>
      </c>
      <c r="O220" s="6">
        <f>163045+1686443</f>
        <v>1849488</v>
      </c>
      <c r="Q220" s="6">
        <v>2943702</v>
      </c>
      <c r="S220" s="6">
        <v>11454</v>
      </c>
      <c r="U220" s="6">
        <v>52124</v>
      </c>
      <c r="W220" s="6">
        <v>0</v>
      </c>
      <c r="Y220" s="6">
        <f>647+30651+3501+835517+165</f>
        <v>870481</v>
      </c>
      <c r="AA220" s="6">
        <v>120523</v>
      </c>
      <c r="AC220" s="12">
        <f t="shared" si="43"/>
        <v>1054582</v>
      </c>
      <c r="AE220" s="6">
        <f t="shared" si="44"/>
        <v>0</v>
      </c>
    </row>
    <row r="221" spans="1:31">
      <c r="A221" s="11" t="s">
        <v>521</v>
      </c>
      <c r="B221" s="11"/>
      <c r="C221" s="11" t="s">
        <v>64</v>
      </c>
      <c r="E221" s="6">
        <v>6569399</v>
      </c>
      <c r="G221" s="6">
        <v>0</v>
      </c>
      <c r="I221" s="2">
        <f t="shared" si="45"/>
        <v>4436094</v>
      </c>
      <c r="K221" s="6">
        <v>11005493</v>
      </c>
      <c r="M221" s="2">
        <f t="shared" si="42"/>
        <v>1243788</v>
      </c>
      <c r="O221" s="6">
        <f>747496+3606957</f>
        <v>4354453</v>
      </c>
      <c r="Q221" s="6">
        <v>5598241</v>
      </c>
      <c r="S221" s="6">
        <v>3088</v>
      </c>
      <c r="U221" s="6">
        <v>0</v>
      </c>
      <c r="W221" s="6">
        <v>0</v>
      </c>
      <c r="Y221" s="6">
        <f>9579+293324+448+2018310</f>
        <v>2321661</v>
      </c>
      <c r="AA221" s="6">
        <v>3082503</v>
      </c>
      <c r="AC221" s="12">
        <f t="shared" si="43"/>
        <v>5407252</v>
      </c>
      <c r="AE221" s="6">
        <f t="shared" si="44"/>
        <v>0</v>
      </c>
    </row>
    <row r="222" spans="1:31" hidden="1">
      <c r="A222" s="11" t="s">
        <v>790</v>
      </c>
      <c r="B222" s="11"/>
      <c r="C222" s="11" t="s">
        <v>28</v>
      </c>
      <c r="I222" s="2">
        <f t="shared" si="45"/>
        <v>0</v>
      </c>
      <c r="M222" s="2">
        <f t="shared" si="42"/>
        <v>0</v>
      </c>
      <c r="AC222" s="12">
        <f t="shared" si="43"/>
        <v>0</v>
      </c>
      <c r="AE222" s="6">
        <f t="shared" si="44"/>
        <v>0</v>
      </c>
    </row>
    <row r="223" spans="1:31">
      <c r="A223" s="11" t="s">
        <v>240</v>
      </c>
      <c r="B223" s="11"/>
      <c r="C223" s="11" t="s">
        <v>113</v>
      </c>
      <c r="E223" s="6">
        <v>2949604</v>
      </c>
      <c r="G223" s="6">
        <v>2132</v>
      </c>
      <c r="I223" s="2">
        <f t="shared" si="45"/>
        <v>6413217</v>
      </c>
      <c r="K223" s="6">
        <v>9364953</v>
      </c>
      <c r="M223" s="2">
        <f t="shared" si="42"/>
        <v>2927338</v>
      </c>
      <c r="O223" s="6">
        <v>3611641</v>
      </c>
      <c r="Q223" s="6">
        <v>6538979</v>
      </c>
      <c r="S223" s="6">
        <v>0</v>
      </c>
      <c r="U223" s="6">
        <v>2132</v>
      </c>
      <c r="W223" s="6">
        <v>11000</v>
      </c>
      <c r="Y223" s="6">
        <v>160237</v>
      </c>
      <c r="AA223" s="6">
        <v>2652605</v>
      </c>
      <c r="AC223" s="12">
        <f t="shared" si="43"/>
        <v>2825974</v>
      </c>
      <c r="AE223" s="6">
        <f t="shared" si="44"/>
        <v>0</v>
      </c>
    </row>
    <row r="224" spans="1:31" hidden="1">
      <c r="A224" s="11" t="s">
        <v>791</v>
      </c>
      <c r="B224" s="11"/>
      <c r="C224" s="11" t="s">
        <v>228</v>
      </c>
      <c r="I224" s="2">
        <f t="shared" si="45"/>
        <v>0</v>
      </c>
      <c r="M224" s="2">
        <f t="shared" si="42"/>
        <v>0</v>
      </c>
      <c r="AC224" s="12">
        <f t="shared" si="43"/>
        <v>0</v>
      </c>
      <c r="AE224" s="6">
        <f t="shared" si="44"/>
        <v>0</v>
      </c>
    </row>
    <row r="225" spans="1:31">
      <c r="A225" s="11" t="s">
        <v>208</v>
      </c>
      <c r="B225" s="11"/>
      <c r="C225" s="11" t="s">
        <v>12</v>
      </c>
      <c r="E225" s="6">
        <v>1319578</v>
      </c>
      <c r="G225" s="6">
        <v>0</v>
      </c>
      <c r="I225" s="2">
        <f t="shared" si="45"/>
        <v>3949995</v>
      </c>
      <c r="K225" s="6">
        <v>5269573</v>
      </c>
      <c r="M225" s="2">
        <f t="shared" si="42"/>
        <v>1146051</v>
      </c>
      <c r="O225" s="6">
        <v>2540523</v>
      </c>
      <c r="Q225" s="6">
        <f>1146051+2540523</f>
        <v>3686574</v>
      </c>
      <c r="S225" s="6">
        <v>42248</v>
      </c>
      <c r="U225" s="6">
        <v>0</v>
      </c>
      <c r="W225" s="6">
        <v>91457</v>
      </c>
      <c r="Y225" s="6">
        <v>190319</v>
      </c>
      <c r="AA225" s="6">
        <v>1258975</v>
      </c>
      <c r="AC225" s="12">
        <f t="shared" si="43"/>
        <v>1582999</v>
      </c>
      <c r="AE225" s="6">
        <f t="shared" si="44"/>
        <v>0</v>
      </c>
    </row>
    <row r="226" spans="1:31">
      <c r="A226" s="11" t="s">
        <v>303</v>
      </c>
      <c r="B226" s="11"/>
      <c r="C226" s="11" t="s">
        <v>27</v>
      </c>
      <c r="E226" s="6">
        <v>6870808</v>
      </c>
      <c r="G226" s="6">
        <v>68902</v>
      </c>
      <c r="I226" s="2">
        <f t="shared" si="45"/>
        <v>11058435</v>
      </c>
      <c r="K226" s="6">
        <v>17998145</v>
      </c>
      <c r="M226" s="2">
        <f t="shared" si="42"/>
        <v>1978840</v>
      </c>
      <c r="O226" s="6">
        <f>8319653+5202</f>
        <v>8324855</v>
      </c>
      <c r="Q226" s="6">
        <v>10303695</v>
      </c>
      <c r="S226" s="6">
        <v>88880</v>
      </c>
      <c r="U226" s="6">
        <v>68902</v>
      </c>
      <c r="W226" s="6">
        <v>750000</v>
      </c>
      <c r="Y226" s="6">
        <v>1600129</v>
      </c>
      <c r="AA226" s="6">
        <v>5186539</v>
      </c>
      <c r="AC226" s="12">
        <f t="shared" si="43"/>
        <v>7694450</v>
      </c>
      <c r="AE226" s="6">
        <f t="shared" si="44"/>
        <v>0</v>
      </c>
    </row>
    <row r="227" spans="1:31">
      <c r="A227" s="11" t="s">
        <v>666</v>
      </c>
      <c r="B227" s="11"/>
      <c r="C227" s="11" t="s">
        <v>42</v>
      </c>
      <c r="E227" s="6">
        <v>2055852</v>
      </c>
      <c r="G227" s="6">
        <v>0</v>
      </c>
      <c r="I227" s="2">
        <f t="shared" si="45"/>
        <v>16608467</v>
      </c>
      <c r="K227" s="6">
        <v>18664319</v>
      </c>
      <c r="M227" s="2">
        <f t="shared" si="42"/>
        <v>3002593</v>
      </c>
      <c r="O227" s="6">
        <v>15816723</v>
      </c>
      <c r="Q227" s="6">
        <v>18819316</v>
      </c>
      <c r="S227" s="6">
        <v>700000</v>
      </c>
      <c r="U227" s="6">
        <v>0</v>
      </c>
      <c r="W227" s="6">
        <v>0</v>
      </c>
      <c r="Y227" s="6">
        <v>73709</v>
      </c>
      <c r="AA227" s="6">
        <v>-928706</v>
      </c>
      <c r="AC227" s="12">
        <f t="shared" si="43"/>
        <v>-154997</v>
      </c>
      <c r="AE227" s="6">
        <f t="shared" si="44"/>
        <v>0</v>
      </c>
    </row>
    <row r="228" spans="1:31">
      <c r="A228" s="11" t="s">
        <v>481</v>
      </c>
      <c r="B228" s="11"/>
      <c r="C228" s="11" t="s">
        <v>59</v>
      </c>
      <c r="E228" s="6">
        <v>1243086</v>
      </c>
      <c r="G228" s="6">
        <v>135084</v>
      </c>
      <c r="I228" s="2">
        <f t="shared" si="45"/>
        <v>1568787</v>
      </c>
      <c r="K228" s="6">
        <v>2946957</v>
      </c>
      <c r="M228" s="2">
        <f t="shared" si="42"/>
        <v>544888</v>
      </c>
      <c r="O228" s="6">
        <v>1416396</v>
      </c>
      <c r="Q228" s="6">
        <v>1961284</v>
      </c>
      <c r="S228" s="6">
        <v>0</v>
      </c>
      <c r="U228" s="6">
        <v>135084</v>
      </c>
      <c r="W228" s="6">
        <v>135296</v>
      </c>
      <c r="Y228" s="6">
        <v>378117</v>
      </c>
      <c r="AA228" s="6">
        <v>337176</v>
      </c>
      <c r="AC228" s="12">
        <f t="shared" si="43"/>
        <v>985673</v>
      </c>
      <c r="AE228" s="6">
        <f t="shared" si="44"/>
        <v>0</v>
      </c>
    </row>
    <row r="229" spans="1:31">
      <c r="A229" s="11" t="s">
        <v>481</v>
      </c>
      <c r="B229" s="11"/>
      <c r="C229" s="11" t="s">
        <v>63</v>
      </c>
      <c r="E229" s="6">
        <v>2051538</v>
      </c>
      <c r="G229" s="6">
        <v>0</v>
      </c>
      <c r="I229" s="2">
        <f t="shared" si="45"/>
        <v>20299224</v>
      </c>
      <c r="K229" s="6">
        <v>22350762</v>
      </c>
      <c r="M229" s="2">
        <f t="shared" si="42"/>
        <v>9121965</v>
      </c>
      <c r="O229" s="6">
        <v>18026508</v>
      </c>
      <c r="Q229" s="6">
        <v>27148473</v>
      </c>
      <c r="S229" s="6">
        <v>0</v>
      </c>
      <c r="U229" s="6">
        <v>0</v>
      </c>
      <c r="W229" s="6">
        <v>0</v>
      </c>
      <c r="Y229" s="6">
        <v>0</v>
      </c>
      <c r="AA229" s="6">
        <v>-4797711</v>
      </c>
      <c r="AC229" s="12">
        <f t="shared" si="43"/>
        <v>-4797711</v>
      </c>
      <c r="AE229" s="6">
        <f t="shared" si="44"/>
        <v>0</v>
      </c>
    </row>
    <row r="230" spans="1:31" hidden="1">
      <c r="A230" s="10" t="s">
        <v>856</v>
      </c>
      <c r="B230" s="11"/>
      <c r="C230" s="11" t="s">
        <v>71</v>
      </c>
      <c r="I230" s="2">
        <f t="shared" si="45"/>
        <v>0</v>
      </c>
      <c r="M230" s="2">
        <f t="shared" si="42"/>
        <v>0</v>
      </c>
      <c r="AC230" s="12">
        <f t="shared" si="43"/>
        <v>0</v>
      </c>
      <c r="AE230" s="6">
        <f t="shared" si="44"/>
        <v>0</v>
      </c>
    </row>
    <row r="231" spans="1:31">
      <c r="A231" s="11" t="s">
        <v>318</v>
      </c>
      <c r="B231" s="11"/>
      <c r="C231" s="11" t="s">
        <v>114</v>
      </c>
      <c r="E231" s="6">
        <v>6802664</v>
      </c>
      <c r="G231" s="6">
        <v>76238</v>
      </c>
      <c r="I231" s="2">
        <f t="shared" si="45"/>
        <v>4562238</v>
      </c>
      <c r="K231" s="6">
        <v>11441140</v>
      </c>
      <c r="M231" s="2">
        <f t="shared" si="42"/>
        <v>1180605</v>
      </c>
      <c r="O231" s="6">
        <v>3450564</v>
      </c>
      <c r="Q231" s="6">
        <v>4631169</v>
      </c>
      <c r="S231" s="6">
        <v>0</v>
      </c>
      <c r="U231" s="6">
        <v>0</v>
      </c>
      <c r="W231" s="6">
        <v>0</v>
      </c>
      <c r="Y231" s="6">
        <v>197430</v>
      </c>
      <c r="AA231" s="6">
        <v>6612541</v>
      </c>
      <c r="AC231" s="12">
        <f t="shared" si="43"/>
        <v>6809971</v>
      </c>
      <c r="AE231" s="6">
        <f t="shared" si="44"/>
        <v>0</v>
      </c>
    </row>
    <row r="232" spans="1:31">
      <c r="A232" s="11" t="s">
        <v>760</v>
      </c>
      <c r="B232" s="11"/>
      <c r="C232" s="11" t="s">
        <v>348</v>
      </c>
      <c r="E232" s="6">
        <v>6119377</v>
      </c>
      <c r="G232" s="6">
        <v>0</v>
      </c>
      <c r="I232" s="2">
        <f t="shared" si="45"/>
        <v>7549245</v>
      </c>
      <c r="K232" s="6">
        <v>13668622</v>
      </c>
      <c r="M232" s="2">
        <f t="shared" si="42"/>
        <v>1701244</v>
      </c>
      <c r="O232" s="6">
        <v>3143575</v>
      </c>
      <c r="Q232" s="6">
        <v>4844819</v>
      </c>
      <c r="S232" s="6">
        <v>0</v>
      </c>
      <c r="U232" s="6">
        <v>359378</v>
      </c>
      <c r="W232" s="6">
        <v>0</v>
      </c>
      <c r="Y232" s="6">
        <v>806441</v>
      </c>
      <c r="AA232" s="6">
        <v>7657984</v>
      </c>
      <c r="AC232" s="12">
        <f t="shared" si="43"/>
        <v>8823803</v>
      </c>
      <c r="AE232" s="6">
        <f t="shared" si="44"/>
        <v>0</v>
      </c>
    </row>
    <row r="233" spans="1:31">
      <c r="A233" s="11" t="s">
        <v>232</v>
      </c>
      <c r="B233" s="11"/>
      <c r="C233" s="11" t="s">
        <v>17</v>
      </c>
      <c r="E233" s="6">
        <v>2707088</v>
      </c>
      <c r="G233" s="6">
        <v>28436</v>
      </c>
      <c r="I233" s="2">
        <f t="shared" si="45"/>
        <v>5847797</v>
      </c>
      <c r="K233" s="6">
        <v>8583321</v>
      </c>
      <c r="M233" s="2">
        <f t="shared" si="42"/>
        <v>1620825</v>
      </c>
      <c r="O233" s="6">
        <v>4838789</v>
      </c>
      <c r="Q233" s="6">
        <v>6459614</v>
      </c>
      <c r="S233" s="6">
        <v>0</v>
      </c>
      <c r="U233" s="6">
        <v>0</v>
      </c>
      <c r="W233" s="6">
        <v>11000</v>
      </c>
      <c r="Y233" s="6">
        <v>87343</v>
      </c>
      <c r="AA233" s="6">
        <v>2025364</v>
      </c>
      <c r="AC233" s="12">
        <f t="shared" si="43"/>
        <v>2123707</v>
      </c>
      <c r="AE233" s="6">
        <f t="shared" si="44"/>
        <v>0</v>
      </c>
    </row>
    <row r="234" spans="1:31">
      <c r="A234" s="11" t="s">
        <v>282</v>
      </c>
      <c r="B234" s="11"/>
      <c r="C234" s="11" t="s">
        <v>21</v>
      </c>
      <c r="E234" s="6">
        <v>6816039</v>
      </c>
      <c r="G234" s="6">
        <v>8028</v>
      </c>
      <c r="I234" s="2">
        <f t="shared" si="45"/>
        <v>11551831</v>
      </c>
      <c r="K234" s="6">
        <v>18375898</v>
      </c>
      <c r="M234" s="2">
        <f t="shared" si="42"/>
        <v>3036368</v>
      </c>
      <c r="O234" s="6">
        <v>8980526</v>
      </c>
      <c r="Q234" s="6">
        <v>12016894</v>
      </c>
      <c r="S234" s="6">
        <v>66792</v>
      </c>
      <c r="U234" s="6">
        <v>0</v>
      </c>
      <c r="W234" s="6">
        <v>0</v>
      </c>
      <c r="Y234" s="6">
        <v>2595322</v>
      </c>
      <c r="AA234" s="6">
        <v>3696890</v>
      </c>
      <c r="AC234" s="12">
        <f t="shared" si="43"/>
        <v>6359004</v>
      </c>
      <c r="AE234" s="6">
        <f t="shared" si="44"/>
        <v>0</v>
      </c>
    </row>
    <row r="235" spans="1:31">
      <c r="A235" s="11" t="s">
        <v>304</v>
      </c>
      <c r="B235" s="11"/>
      <c r="C235" s="11" t="s">
        <v>27</v>
      </c>
      <c r="E235" s="6">
        <v>2375651</v>
      </c>
      <c r="G235" s="6">
        <v>266956</v>
      </c>
      <c r="I235" s="2">
        <f t="shared" si="45"/>
        <v>21773160</v>
      </c>
      <c r="K235" s="6">
        <v>24415767</v>
      </c>
      <c r="M235" s="2">
        <f t="shared" si="42"/>
        <v>7331432</v>
      </c>
      <c r="O235" s="6">
        <v>15657955</v>
      </c>
      <c r="Q235" s="6">
        <v>22989387</v>
      </c>
      <c r="S235" s="6">
        <v>0</v>
      </c>
      <c r="U235" s="6">
        <v>266956</v>
      </c>
      <c r="W235" s="6">
        <v>0</v>
      </c>
      <c r="Y235" s="6">
        <f>67920+44861+1046643</f>
        <v>1159424</v>
      </c>
      <c r="AA235" s="6">
        <v>0</v>
      </c>
      <c r="AC235" s="12">
        <f t="shared" si="43"/>
        <v>1426380</v>
      </c>
      <c r="AE235" s="6">
        <f t="shared" si="44"/>
        <v>0</v>
      </c>
    </row>
    <row r="236" spans="1:31" hidden="1">
      <c r="A236" s="10" t="s">
        <v>857</v>
      </c>
      <c r="B236" s="11"/>
      <c r="C236" s="11" t="s">
        <v>221</v>
      </c>
      <c r="I236" s="2">
        <f t="shared" si="45"/>
        <v>0</v>
      </c>
      <c r="M236" s="2">
        <f t="shared" si="42"/>
        <v>0</v>
      </c>
      <c r="AC236" s="12">
        <f t="shared" si="43"/>
        <v>0</v>
      </c>
      <c r="AE236" s="6">
        <f t="shared" si="44"/>
        <v>0</v>
      </c>
    </row>
    <row r="237" spans="1:31">
      <c r="A237" s="10" t="s">
        <v>802</v>
      </c>
      <c r="B237" s="11"/>
      <c r="C237" s="11" t="s">
        <v>27</v>
      </c>
      <c r="E237" s="6">
        <v>8994614</v>
      </c>
      <c r="G237" s="6">
        <v>0</v>
      </c>
      <c r="I237" s="2">
        <f t="shared" si="45"/>
        <v>7295585</v>
      </c>
      <c r="K237" s="6">
        <v>16290199</v>
      </c>
      <c r="M237" s="2">
        <f t="shared" si="42"/>
        <v>1947449</v>
      </c>
      <c r="O237" s="6">
        <v>5335909</v>
      </c>
      <c r="Q237" s="6">
        <v>7283358</v>
      </c>
      <c r="S237" s="6">
        <v>20456</v>
      </c>
      <c r="U237" s="6">
        <v>0</v>
      </c>
      <c r="W237" s="6">
        <v>0</v>
      </c>
      <c r="Y237" s="6">
        <f>148431+46184+2997308</f>
        <v>3191923</v>
      </c>
      <c r="AA237" s="6">
        <v>5794462</v>
      </c>
      <c r="AC237" s="12">
        <f t="shared" si="43"/>
        <v>9006841</v>
      </c>
      <c r="AE237" s="6">
        <f t="shared" si="44"/>
        <v>0</v>
      </c>
    </row>
    <row r="238" spans="1:31">
      <c r="A238" s="10" t="s">
        <v>340</v>
      </c>
      <c r="B238" s="11"/>
      <c r="C238" s="11" t="s">
        <v>339</v>
      </c>
      <c r="E238" s="6">
        <v>2794074</v>
      </c>
      <c r="G238" s="6">
        <v>17316</v>
      </c>
      <c r="I238" s="2">
        <f t="shared" si="45"/>
        <v>1640042</v>
      </c>
      <c r="K238" s="6">
        <v>4451432</v>
      </c>
      <c r="M238" s="2">
        <f t="shared" si="42"/>
        <v>409756</v>
      </c>
      <c r="O238" s="6">
        <v>1053221</v>
      </c>
      <c r="Q238" s="6">
        <v>1462977</v>
      </c>
      <c r="S238" s="6">
        <v>45678</v>
      </c>
      <c r="U238" s="6">
        <v>249496</v>
      </c>
      <c r="W238" s="6">
        <v>0</v>
      </c>
      <c r="Y238" s="6">
        <v>33174</v>
      </c>
      <c r="AA238" s="6">
        <v>2660107</v>
      </c>
      <c r="AC238" s="12">
        <f t="shared" si="43"/>
        <v>2988455</v>
      </c>
      <c r="AE238" s="6">
        <f t="shared" si="44"/>
        <v>0</v>
      </c>
    </row>
    <row r="239" spans="1:31">
      <c r="A239" s="10" t="s">
        <v>491</v>
      </c>
      <c r="B239" s="11"/>
      <c r="C239" s="11" t="s">
        <v>61</v>
      </c>
      <c r="E239" s="6">
        <v>1843629</v>
      </c>
      <c r="G239" s="6">
        <v>64358</v>
      </c>
      <c r="I239" s="2">
        <f t="shared" si="45"/>
        <v>1993114</v>
      </c>
      <c r="K239" s="6">
        <v>3901101</v>
      </c>
      <c r="M239" s="2">
        <f t="shared" si="42"/>
        <v>672510</v>
      </c>
      <c r="O239" s="6">
        <v>1678885</v>
      </c>
      <c r="Q239" s="6">
        <v>2351395</v>
      </c>
      <c r="S239" s="6">
        <v>0</v>
      </c>
      <c r="U239" s="6">
        <v>64358</v>
      </c>
      <c r="W239" s="6">
        <v>0</v>
      </c>
      <c r="Y239" s="6">
        <v>338005</v>
      </c>
      <c r="AA239" s="6">
        <v>1147343</v>
      </c>
      <c r="AC239" s="12">
        <f t="shared" si="43"/>
        <v>1549706</v>
      </c>
      <c r="AE239" s="6">
        <f t="shared" si="44"/>
        <v>0</v>
      </c>
    </row>
    <row r="240" spans="1:31" hidden="1">
      <c r="A240" s="10" t="s">
        <v>858</v>
      </c>
      <c r="B240" s="11"/>
      <c r="C240" s="11" t="s">
        <v>343</v>
      </c>
      <c r="I240" s="2">
        <f t="shared" si="45"/>
        <v>0</v>
      </c>
      <c r="M240" s="2">
        <f t="shared" si="42"/>
        <v>0</v>
      </c>
      <c r="AC240" s="12">
        <f t="shared" si="43"/>
        <v>0</v>
      </c>
      <c r="AE240" s="6">
        <f t="shared" si="44"/>
        <v>0</v>
      </c>
    </row>
    <row r="241" spans="1:31">
      <c r="A241" s="11" t="s">
        <v>373</v>
      </c>
      <c r="B241" s="11"/>
      <c r="C241" s="11" t="s">
        <v>42</v>
      </c>
      <c r="E241" s="6">
        <f>1435377+1297260</f>
        <v>2732637</v>
      </c>
      <c r="G241" s="6">
        <v>76288</v>
      </c>
      <c r="I241" s="2">
        <f t="shared" si="45"/>
        <v>7840327</v>
      </c>
      <c r="K241" s="6">
        <v>10649252</v>
      </c>
      <c r="M241" s="2">
        <f t="shared" si="42"/>
        <v>1779863</v>
      </c>
      <c r="O241" s="6">
        <f>7299937+527</f>
        <v>7300464</v>
      </c>
      <c r="Q241" s="6">
        <v>9080327</v>
      </c>
      <c r="S241" s="6">
        <v>171764</v>
      </c>
      <c r="U241" s="6">
        <v>94916</v>
      </c>
      <c r="W241" s="6">
        <v>0</v>
      </c>
      <c r="Y241" s="6">
        <v>143303</v>
      </c>
      <c r="AA241" s="6">
        <v>1158942</v>
      </c>
      <c r="AC241" s="12">
        <f t="shared" si="43"/>
        <v>1568925</v>
      </c>
      <c r="AE241" s="6">
        <f t="shared" si="44"/>
        <v>0</v>
      </c>
    </row>
    <row r="242" spans="1:31" hidden="1">
      <c r="A242" s="11" t="s">
        <v>667</v>
      </c>
      <c r="B242" s="11"/>
      <c r="C242" s="11" t="s">
        <v>22</v>
      </c>
      <c r="I242" s="2">
        <f t="shared" si="45"/>
        <v>0</v>
      </c>
      <c r="M242" s="2">
        <f t="shared" si="42"/>
        <v>0</v>
      </c>
      <c r="AC242" s="12">
        <f t="shared" si="43"/>
        <v>0</v>
      </c>
      <c r="AE242" s="6">
        <f t="shared" si="44"/>
        <v>0</v>
      </c>
    </row>
    <row r="243" spans="1:31">
      <c r="A243" s="11" t="s">
        <v>417</v>
      </c>
      <c r="B243" s="11"/>
      <c r="C243" s="11" t="s">
        <v>47</v>
      </c>
      <c r="E243" s="6">
        <v>6997282</v>
      </c>
      <c r="G243" s="6">
        <v>0</v>
      </c>
      <c r="I243" s="2">
        <f t="shared" si="45"/>
        <v>20123315</v>
      </c>
      <c r="K243" s="6">
        <v>27120597</v>
      </c>
      <c r="M243" s="2">
        <f t="shared" si="42"/>
        <v>3197348</v>
      </c>
      <c r="O243" s="6">
        <v>17914340</v>
      </c>
      <c r="Q243" s="6">
        <v>21111688</v>
      </c>
      <c r="S243" s="6">
        <v>90855</v>
      </c>
      <c r="U243" s="6">
        <v>0</v>
      </c>
      <c r="W243" s="6">
        <v>11000</v>
      </c>
      <c r="Y243" s="6">
        <v>991561</v>
      </c>
      <c r="AA243" s="6">
        <v>4915493</v>
      </c>
      <c r="AC243" s="12">
        <f t="shared" si="43"/>
        <v>6008909</v>
      </c>
      <c r="AE243" s="6">
        <f t="shared" si="44"/>
        <v>0</v>
      </c>
    </row>
    <row r="244" spans="1:31">
      <c r="A244" s="11" t="s">
        <v>417</v>
      </c>
      <c r="B244" s="11"/>
      <c r="C244" s="11" t="s">
        <v>78</v>
      </c>
      <c r="E244" s="6">
        <v>3909849</v>
      </c>
      <c r="G244" s="6">
        <v>2170</v>
      </c>
      <c r="I244" s="2">
        <f t="shared" si="45"/>
        <v>4512940</v>
      </c>
      <c r="K244" s="6">
        <v>8424959</v>
      </c>
      <c r="M244" s="2">
        <f t="shared" si="42"/>
        <v>2058151</v>
      </c>
      <c r="O244" s="6">
        <v>3215163</v>
      </c>
      <c r="Q244" s="6">
        <v>5273314</v>
      </c>
      <c r="S244" s="6">
        <v>72145</v>
      </c>
      <c r="U244" s="6">
        <v>2170</v>
      </c>
      <c r="W244" s="6">
        <v>0</v>
      </c>
      <c r="Y244" s="6">
        <v>52538</v>
      </c>
      <c r="AA244" s="6">
        <v>3024792</v>
      </c>
      <c r="AC244" s="12">
        <f t="shared" si="43"/>
        <v>3151645</v>
      </c>
      <c r="AE244" s="6">
        <f t="shared" si="44"/>
        <v>0</v>
      </c>
    </row>
    <row r="245" spans="1:31">
      <c r="A245" s="11" t="s">
        <v>305</v>
      </c>
      <c r="B245" s="11"/>
      <c r="C245" s="11" t="s">
        <v>27</v>
      </c>
      <c r="E245" s="6">
        <f>5144281+13004331</f>
        <v>18148612</v>
      </c>
      <c r="G245" s="6">
        <v>0</v>
      </c>
      <c r="I245" s="2">
        <f t="shared" si="45"/>
        <v>114315223</v>
      </c>
      <c r="K245" s="6">
        <v>132463835</v>
      </c>
      <c r="M245" s="2">
        <f t="shared" si="42"/>
        <v>17507435</v>
      </c>
      <c r="O245" s="6">
        <v>68763439</v>
      </c>
      <c r="Q245" s="6">
        <v>86270874</v>
      </c>
      <c r="S245" s="6">
        <v>0</v>
      </c>
      <c r="U245" s="6">
        <v>0</v>
      </c>
      <c r="W245" s="6">
        <v>0</v>
      </c>
      <c r="Y245" s="6">
        <v>2422109</v>
      </c>
      <c r="AA245" s="6">
        <v>43770852</v>
      </c>
      <c r="AC245" s="12">
        <f t="shared" si="43"/>
        <v>46192961</v>
      </c>
      <c r="AE245" s="6">
        <f t="shared" si="44"/>
        <v>0</v>
      </c>
    </row>
    <row r="246" spans="1:31">
      <c r="A246" s="11" t="s">
        <v>350</v>
      </c>
      <c r="B246" s="11"/>
      <c r="C246" s="11" t="s">
        <v>348</v>
      </c>
      <c r="E246" s="6">
        <v>5465682</v>
      </c>
      <c r="G246" s="6">
        <v>79023</v>
      </c>
      <c r="I246" s="2">
        <f t="shared" si="45"/>
        <v>6532499</v>
      </c>
      <c r="K246" s="6">
        <v>12077204</v>
      </c>
      <c r="M246" s="2">
        <f t="shared" si="42"/>
        <v>2040382</v>
      </c>
      <c r="O246" s="6">
        <v>5456770</v>
      </c>
      <c r="Q246" s="6">
        <v>7497152</v>
      </c>
      <c r="S246" s="6">
        <v>15000</v>
      </c>
      <c r="U246" s="6">
        <v>79023</v>
      </c>
      <c r="W246" s="6">
        <v>675400</v>
      </c>
      <c r="Y246" s="6">
        <v>140107</v>
      </c>
      <c r="AA246" s="6">
        <v>3670522</v>
      </c>
      <c r="AC246" s="12">
        <f t="shared" si="43"/>
        <v>4580052</v>
      </c>
      <c r="AE246" s="6">
        <f t="shared" si="44"/>
        <v>0</v>
      </c>
    </row>
    <row r="247" spans="1:31">
      <c r="A247" s="11" t="s">
        <v>204</v>
      </c>
      <c r="B247" s="11"/>
      <c r="C247" s="11" t="s">
        <v>11</v>
      </c>
      <c r="E247" s="6">
        <v>648844</v>
      </c>
      <c r="G247" s="6">
        <v>0</v>
      </c>
      <c r="I247" s="2">
        <f t="shared" si="45"/>
        <v>4394985</v>
      </c>
      <c r="K247" s="6">
        <v>5043829</v>
      </c>
      <c r="M247" s="2">
        <f t="shared" si="42"/>
        <v>1045688</v>
      </c>
      <c r="O247" s="6">
        <f>208330+3342517</f>
        <v>3550847</v>
      </c>
      <c r="Q247" s="6">
        <v>4596535</v>
      </c>
      <c r="S247" s="6">
        <f>8411+124345</f>
        <v>132756</v>
      </c>
      <c r="U247" s="6">
        <v>0</v>
      </c>
      <c r="W247" s="6">
        <v>0</v>
      </c>
      <c r="Y247" s="6">
        <f>7941+60397+8788+237412</f>
        <v>314538</v>
      </c>
      <c r="AA247" s="6">
        <v>0</v>
      </c>
      <c r="AC247" s="12">
        <f t="shared" si="43"/>
        <v>447294</v>
      </c>
      <c r="AE247" s="6">
        <f t="shared" si="44"/>
        <v>0</v>
      </c>
    </row>
    <row r="248" spans="1:31">
      <c r="A248" s="11" t="s">
        <v>344</v>
      </c>
      <c r="B248" s="11"/>
      <c r="C248" s="11" t="s">
        <v>34</v>
      </c>
      <c r="E248" s="6">
        <v>2119973</v>
      </c>
      <c r="G248" s="6">
        <v>0</v>
      </c>
      <c r="I248" s="2">
        <f t="shared" si="45"/>
        <v>1412569</v>
      </c>
      <c r="K248" s="6">
        <v>3532542</v>
      </c>
      <c r="M248" s="2">
        <f t="shared" si="42"/>
        <v>499166</v>
      </c>
      <c r="O248" s="6">
        <v>1046899</v>
      </c>
      <c r="Q248" s="6">
        <v>1546065</v>
      </c>
      <c r="S248" s="6">
        <v>9220</v>
      </c>
      <c r="U248" s="6">
        <v>0</v>
      </c>
      <c r="W248" s="6">
        <v>0</v>
      </c>
      <c r="Y248" s="6">
        <v>24973</v>
      </c>
      <c r="AA248" s="6">
        <v>1952284</v>
      </c>
      <c r="AC248" s="12">
        <f t="shared" si="43"/>
        <v>1986477</v>
      </c>
      <c r="AE248" s="6">
        <f t="shared" si="44"/>
        <v>0</v>
      </c>
    </row>
    <row r="249" spans="1:31" hidden="1">
      <c r="A249" s="10" t="s">
        <v>891</v>
      </c>
      <c r="B249" s="10"/>
      <c r="C249" s="10" t="s">
        <v>60</v>
      </c>
      <c r="I249" s="2">
        <f t="shared" ref="I249" si="46">+K249-G249-E249</f>
        <v>0</v>
      </c>
      <c r="M249" s="2">
        <f t="shared" ref="M249" si="47">+Q249-O249</f>
        <v>0</v>
      </c>
      <c r="AC249" s="12">
        <f t="shared" ref="AC249" si="48">+W249+U249++S249+Y249+AA249</f>
        <v>0</v>
      </c>
      <c r="AE249" s="6">
        <f t="shared" ref="AE249" si="49">+E249+G249+I249-M249-O249-W249-U249-S249-Y249-AA249</f>
        <v>0</v>
      </c>
    </row>
    <row r="250" spans="1:31">
      <c r="A250" s="11" t="s">
        <v>522</v>
      </c>
      <c r="B250" s="11"/>
      <c r="C250" s="11" t="s">
        <v>64</v>
      </c>
      <c r="E250" s="6">
        <v>975618</v>
      </c>
      <c r="G250" s="6">
        <v>0</v>
      </c>
      <c r="I250" s="2">
        <f t="shared" si="45"/>
        <v>17437705</v>
      </c>
      <c r="K250" s="6">
        <v>18413323</v>
      </c>
      <c r="M250" s="2">
        <f t="shared" si="42"/>
        <v>3392442</v>
      </c>
      <c r="O250" s="6">
        <f>1603250+15573366</f>
        <v>17176616</v>
      </c>
      <c r="Q250" s="6">
        <v>20569058</v>
      </c>
      <c r="S250" s="6">
        <f>48849+34085</f>
        <v>82934</v>
      </c>
      <c r="U250" s="6">
        <v>0</v>
      </c>
      <c r="W250" s="6">
        <v>0</v>
      </c>
      <c r="Y250" s="6">
        <f>5110+3383+30985+9789+287660+772469+6270</f>
        <v>1115666</v>
      </c>
      <c r="AA250" s="6">
        <v>-3354335</v>
      </c>
      <c r="AC250" s="12">
        <f t="shared" si="43"/>
        <v>-2155735</v>
      </c>
      <c r="AE250" s="6">
        <f t="shared" si="44"/>
        <v>0</v>
      </c>
    </row>
    <row r="251" spans="1:31">
      <c r="A251" s="11" t="s">
        <v>761</v>
      </c>
      <c r="B251" s="11"/>
      <c r="C251" s="11" t="s">
        <v>64</v>
      </c>
      <c r="E251" s="6">
        <v>4557480</v>
      </c>
      <c r="G251" s="6">
        <v>95611</v>
      </c>
      <c r="I251" s="2">
        <f t="shared" si="45"/>
        <v>7544738</v>
      </c>
      <c r="K251" s="6">
        <v>12197829</v>
      </c>
      <c r="M251" s="2">
        <f t="shared" si="42"/>
        <v>1827752</v>
      </c>
      <c r="O251" s="6">
        <v>7364522</v>
      </c>
      <c r="Q251" s="6">
        <v>9192274</v>
      </c>
      <c r="S251" s="6">
        <v>28716</v>
      </c>
      <c r="U251" s="6">
        <v>0</v>
      </c>
      <c r="W251" s="6">
        <v>66895</v>
      </c>
      <c r="Y251" s="6">
        <v>25618</v>
      </c>
      <c r="AA251" s="6">
        <v>2884326</v>
      </c>
      <c r="AC251" s="12">
        <f t="shared" si="43"/>
        <v>3005555</v>
      </c>
      <c r="AE251" s="6">
        <f t="shared" si="44"/>
        <v>0</v>
      </c>
    </row>
    <row r="252" spans="1:31">
      <c r="A252" s="11" t="s">
        <v>430</v>
      </c>
      <c r="B252" s="11"/>
      <c r="C252" s="11" t="s">
        <v>50</v>
      </c>
      <c r="E252" s="6">
        <f>6779613+5009837</f>
        <v>11789450</v>
      </c>
      <c r="G252" s="6">
        <v>0</v>
      </c>
      <c r="I252" s="2">
        <f t="shared" si="45"/>
        <v>26039491</v>
      </c>
      <c r="K252" s="6">
        <v>37828941</v>
      </c>
      <c r="M252" s="2">
        <f t="shared" si="42"/>
        <v>8339665</v>
      </c>
      <c r="O252" s="6">
        <v>23744359</v>
      </c>
      <c r="Q252" s="6">
        <v>32084024</v>
      </c>
      <c r="S252" s="6">
        <v>290757</v>
      </c>
      <c r="U252" s="6">
        <v>0</v>
      </c>
      <c r="W252" s="6">
        <v>11000</v>
      </c>
      <c r="Y252" s="6">
        <v>665515</v>
      </c>
      <c r="AA252" s="6">
        <v>4777645</v>
      </c>
      <c r="AC252" s="12">
        <f t="shared" si="43"/>
        <v>5744917</v>
      </c>
      <c r="AE252" s="6">
        <f t="shared" si="44"/>
        <v>0</v>
      </c>
    </row>
    <row r="253" spans="1:31">
      <c r="A253" s="11" t="s">
        <v>509</v>
      </c>
      <c r="B253" s="11"/>
      <c r="C253" s="11" t="s">
        <v>63</v>
      </c>
      <c r="E253" s="6">
        <v>11957932</v>
      </c>
      <c r="G253" s="6">
        <v>0</v>
      </c>
      <c r="I253" s="2">
        <f t="shared" si="45"/>
        <v>42104463</v>
      </c>
      <c r="K253" s="6">
        <v>54062395</v>
      </c>
      <c r="M253" s="2">
        <f t="shared" si="42"/>
        <v>7451195</v>
      </c>
      <c r="O253" s="6">
        <f>36456655+1750189</f>
        <v>38206844</v>
      </c>
      <c r="Q253" s="6">
        <v>45658039</v>
      </c>
      <c r="S253" s="6">
        <v>35225</v>
      </c>
      <c r="U253" s="6">
        <v>0</v>
      </c>
      <c r="W253" s="6">
        <v>0</v>
      </c>
      <c r="Y253" s="6">
        <f>143853+416618+9980+301136+12499</f>
        <v>884086</v>
      </c>
      <c r="AA253" s="6">
        <v>7485045</v>
      </c>
      <c r="AC253" s="12">
        <f t="shared" si="43"/>
        <v>8404356</v>
      </c>
      <c r="AE253" s="6">
        <f t="shared" si="44"/>
        <v>0</v>
      </c>
    </row>
    <row r="254" spans="1:31">
      <c r="A254" s="11" t="s">
        <v>474</v>
      </c>
      <c r="B254" s="11"/>
      <c r="C254" s="11" t="s">
        <v>58</v>
      </c>
      <c r="E254" s="6">
        <v>4714814</v>
      </c>
      <c r="G254" s="6">
        <v>0</v>
      </c>
      <c r="I254" s="2">
        <f t="shared" si="45"/>
        <v>1783951</v>
      </c>
      <c r="K254" s="6">
        <v>6498765</v>
      </c>
      <c r="M254" s="2">
        <f t="shared" si="42"/>
        <v>1269283</v>
      </c>
      <c r="O254" s="6">
        <v>1334668</v>
      </c>
      <c r="Q254" s="6">
        <v>2603951</v>
      </c>
      <c r="S254" s="6">
        <v>72712</v>
      </c>
      <c r="U254" s="6">
        <v>0</v>
      </c>
      <c r="W254" s="6">
        <v>0</v>
      </c>
      <c r="Y254" s="6">
        <v>222703</v>
      </c>
      <c r="AA254" s="6">
        <v>3599399</v>
      </c>
      <c r="AC254" s="12">
        <f t="shared" si="43"/>
        <v>3894814</v>
      </c>
      <c r="AE254" s="6">
        <f t="shared" si="44"/>
        <v>0</v>
      </c>
    </row>
    <row r="255" spans="1:31">
      <c r="A255" s="11" t="s">
        <v>286</v>
      </c>
      <c r="B255" s="11"/>
      <c r="C255" s="11" t="s">
        <v>24</v>
      </c>
      <c r="E255" s="6">
        <f>7064494+12426</f>
        <v>7076920</v>
      </c>
      <c r="G255" s="6">
        <v>26629</v>
      </c>
      <c r="I255" s="2">
        <f t="shared" si="45"/>
        <v>10440168</v>
      </c>
      <c r="K255" s="6">
        <v>17543717</v>
      </c>
      <c r="M255" s="2">
        <f t="shared" si="42"/>
        <v>1747823</v>
      </c>
      <c r="O255" s="6">
        <f>7710730+817469</f>
        <v>8528199</v>
      </c>
      <c r="Q255" s="6">
        <v>10276022</v>
      </c>
      <c r="S255" s="6">
        <v>5360</v>
      </c>
      <c r="U255" s="6">
        <v>26629</v>
      </c>
      <c r="W255" s="6">
        <v>0</v>
      </c>
      <c r="Y255" s="6">
        <f>109103+120387+4160+30188+3640000+62966</f>
        <v>3966804</v>
      </c>
      <c r="AA255" s="6">
        <v>3268902</v>
      </c>
      <c r="AC255" s="12">
        <f t="shared" si="43"/>
        <v>7267695</v>
      </c>
      <c r="AE255" s="6">
        <f t="shared" si="44"/>
        <v>0</v>
      </c>
    </row>
    <row r="256" spans="1:31">
      <c r="A256" s="11" t="s">
        <v>269</v>
      </c>
      <c r="B256" s="11"/>
      <c r="C256" s="11" t="s">
        <v>20</v>
      </c>
      <c r="E256" s="6">
        <v>2505566</v>
      </c>
      <c r="G256" s="6">
        <v>0</v>
      </c>
      <c r="I256" s="2">
        <f t="shared" si="45"/>
        <v>16631046</v>
      </c>
      <c r="K256" s="6">
        <v>19136612</v>
      </c>
      <c r="M256" s="2">
        <f t="shared" si="42"/>
        <v>1444266</v>
      </c>
      <c r="O256" s="6">
        <v>14910826</v>
      </c>
      <c r="Q256" s="6">
        <v>16355092</v>
      </c>
      <c r="S256" s="6">
        <v>0</v>
      </c>
      <c r="U256" s="6">
        <v>0</v>
      </c>
      <c r="W256" s="6">
        <v>0</v>
      </c>
      <c r="Y256" s="6">
        <v>43383</v>
      </c>
      <c r="AA256" s="6">
        <v>2738137</v>
      </c>
      <c r="AC256" s="12">
        <f t="shared" si="43"/>
        <v>2781520</v>
      </c>
      <c r="AE256" s="6">
        <f t="shared" si="44"/>
        <v>0</v>
      </c>
    </row>
    <row r="257" spans="1:31">
      <c r="A257" s="11" t="s">
        <v>363</v>
      </c>
      <c r="B257" s="11"/>
      <c r="C257" s="11" t="s">
        <v>39</v>
      </c>
      <c r="E257" s="6">
        <v>926402</v>
      </c>
      <c r="G257" s="6">
        <v>0</v>
      </c>
      <c r="I257" s="2">
        <f t="shared" si="45"/>
        <v>8814997</v>
      </c>
      <c r="K257" s="6">
        <v>9741399</v>
      </c>
      <c r="M257" s="2">
        <f t="shared" si="42"/>
        <v>2426058</v>
      </c>
      <c r="O257" s="6">
        <v>8085615</v>
      </c>
      <c r="Q257" s="6">
        <v>10511673</v>
      </c>
      <c r="S257" s="6">
        <v>68085</v>
      </c>
      <c r="U257" s="6">
        <v>0</v>
      </c>
      <c r="W257" s="6">
        <v>76368</v>
      </c>
      <c r="Y257" s="6">
        <v>627583</v>
      </c>
      <c r="AA257" s="6">
        <v>-1542310</v>
      </c>
      <c r="AC257" s="12">
        <f t="shared" si="43"/>
        <v>-770274</v>
      </c>
      <c r="AE257" s="6">
        <f t="shared" si="44"/>
        <v>0</v>
      </c>
    </row>
    <row r="258" spans="1:31">
      <c r="A258" s="11" t="s">
        <v>762</v>
      </c>
      <c r="B258" s="11"/>
      <c r="C258" s="11" t="s">
        <v>32</v>
      </c>
      <c r="E258" s="6">
        <v>29345414</v>
      </c>
      <c r="G258" s="6">
        <v>0</v>
      </c>
      <c r="I258" s="2">
        <f t="shared" si="45"/>
        <v>27680356</v>
      </c>
      <c r="K258" s="6">
        <v>57025770</v>
      </c>
      <c r="M258" s="2">
        <f t="shared" si="42"/>
        <v>2520225</v>
      </c>
      <c r="O258" s="6">
        <f>575084+17354356</f>
        <v>17929440</v>
      </c>
      <c r="Q258" s="6">
        <v>20449665</v>
      </c>
      <c r="S258" s="6">
        <v>0</v>
      </c>
      <c r="U258" s="6">
        <v>0</v>
      </c>
      <c r="W258" s="6">
        <v>1246100</v>
      </c>
      <c r="Y258" s="6">
        <f>6421+87204+2730091+10599+10030</f>
        <v>2844345</v>
      </c>
      <c r="AA258" s="6">
        <v>32485660</v>
      </c>
      <c r="AC258" s="12">
        <f t="shared" si="43"/>
        <v>36576105</v>
      </c>
      <c r="AE258" s="6">
        <f t="shared" si="44"/>
        <v>0</v>
      </c>
    </row>
    <row r="259" spans="1:31" hidden="1">
      <c r="A259" s="11" t="s">
        <v>795</v>
      </c>
      <c r="B259" s="11"/>
      <c r="C259" s="11" t="s">
        <v>43</v>
      </c>
      <c r="I259" s="2">
        <f t="shared" si="45"/>
        <v>0</v>
      </c>
      <c r="M259" s="2">
        <f t="shared" si="42"/>
        <v>0</v>
      </c>
      <c r="AC259" s="12">
        <f t="shared" si="43"/>
        <v>0</v>
      </c>
      <c r="AE259" s="6">
        <f t="shared" si="44"/>
        <v>0</v>
      </c>
    </row>
    <row r="260" spans="1:31">
      <c r="A260" s="11" t="s">
        <v>536</v>
      </c>
      <c r="B260" s="11"/>
      <c r="C260" s="11" t="s">
        <v>65</v>
      </c>
      <c r="E260" s="6">
        <v>3695700</v>
      </c>
      <c r="G260" s="6">
        <v>0</v>
      </c>
      <c r="I260" s="2">
        <f t="shared" si="45"/>
        <v>4224395</v>
      </c>
      <c r="K260" s="6">
        <v>7920095</v>
      </c>
      <c r="M260" s="2">
        <f t="shared" si="42"/>
        <v>2009553</v>
      </c>
      <c r="O260" s="6">
        <v>3696646</v>
      </c>
      <c r="Q260" s="6">
        <v>5706199</v>
      </c>
      <c r="S260" s="6">
        <v>47704</v>
      </c>
      <c r="U260" s="6">
        <v>0</v>
      </c>
      <c r="W260" s="6">
        <v>0</v>
      </c>
      <c r="Y260" s="6">
        <v>758575</v>
      </c>
      <c r="AA260" s="6">
        <v>1407617</v>
      </c>
      <c r="AC260" s="12">
        <f t="shared" si="43"/>
        <v>2213896</v>
      </c>
      <c r="AE260" s="6">
        <f t="shared" si="44"/>
        <v>0</v>
      </c>
    </row>
    <row r="261" spans="1:31">
      <c r="A261" s="11" t="s">
        <v>369</v>
      </c>
      <c r="B261" s="11"/>
      <c r="C261" s="11" t="s">
        <v>366</v>
      </c>
      <c r="E261" s="6">
        <v>2212825</v>
      </c>
      <c r="G261" s="6">
        <v>57339</v>
      </c>
      <c r="I261" s="2">
        <f t="shared" si="45"/>
        <v>2581440</v>
      </c>
      <c r="K261" s="6">
        <v>4851604</v>
      </c>
      <c r="M261" s="2">
        <f t="shared" si="42"/>
        <v>1304979</v>
      </c>
      <c r="O261" s="6">
        <v>2221505</v>
      </c>
      <c r="Q261" s="6">
        <v>3526484</v>
      </c>
      <c r="S261" s="6">
        <v>17551</v>
      </c>
      <c r="U261" s="6">
        <v>39788</v>
      </c>
      <c r="W261" s="6">
        <v>87111</v>
      </c>
      <c r="Y261" s="6">
        <v>719927</v>
      </c>
      <c r="AA261" s="6">
        <v>460743</v>
      </c>
      <c r="AC261" s="12">
        <f t="shared" si="43"/>
        <v>1325120</v>
      </c>
      <c r="AE261" s="6">
        <f t="shared" si="44"/>
        <v>0</v>
      </c>
    </row>
    <row r="262" spans="1:31" hidden="1">
      <c r="A262" s="11" t="s">
        <v>668</v>
      </c>
      <c r="B262" s="11"/>
      <c r="C262" s="11" t="s">
        <v>61</v>
      </c>
      <c r="I262" s="2">
        <f t="shared" si="45"/>
        <v>0</v>
      </c>
      <c r="M262" s="2">
        <f t="shared" si="42"/>
        <v>0</v>
      </c>
      <c r="AC262" s="12">
        <f t="shared" si="43"/>
        <v>0</v>
      </c>
      <c r="AE262" s="6">
        <f t="shared" si="44"/>
        <v>0</v>
      </c>
    </row>
    <row r="263" spans="1:31" hidden="1">
      <c r="A263" s="11" t="s">
        <v>679</v>
      </c>
      <c r="B263" s="11"/>
      <c r="C263" s="11" t="s">
        <v>38</v>
      </c>
      <c r="I263" s="2">
        <f t="shared" si="45"/>
        <v>0</v>
      </c>
      <c r="M263" s="2">
        <f t="shared" si="42"/>
        <v>0</v>
      </c>
      <c r="AC263" s="12">
        <f t="shared" si="43"/>
        <v>0</v>
      </c>
      <c r="AE263" s="6">
        <f t="shared" si="44"/>
        <v>0</v>
      </c>
    </row>
    <row r="264" spans="1:31">
      <c r="A264" s="11" t="s">
        <v>497</v>
      </c>
      <c r="B264" s="11"/>
      <c r="C264" s="11" t="s">
        <v>62</v>
      </c>
      <c r="E264" s="6">
        <v>17311856</v>
      </c>
      <c r="G264" s="6">
        <v>0</v>
      </c>
      <c r="I264" s="2">
        <f t="shared" si="45"/>
        <v>42530932</v>
      </c>
      <c r="K264" s="6">
        <v>59842788</v>
      </c>
      <c r="M264" s="2">
        <f t="shared" si="42"/>
        <v>5583707</v>
      </c>
      <c r="O264" s="6">
        <f>1295308+38886085</f>
        <v>40181393</v>
      </c>
      <c r="Q264" s="6">
        <v>45765100</v>
      </c>
      <c r="S264" s="6">
        <f>156489+67927+16589</f>
        <v>241005</v>
      </c>
      <c r="U264" s="6">
        <v>0</v>
      </c>
      <c r="W264" s="6">
        <v>281217</v>
      </c>
      <c r="Y264" s="6">
        <f>49401+361565+3090+10297+54059+66853</f>
        <v>545265</v>
      </c>
      <c r="AA264" s="6">
        <v>13010201</v>
      </c>
      <c r="AC264" s="12">
        <f t="shared" si="43"/>
        <v>14077688</v>
      </c>
      <c r="AE264" s="6">
        <f t="shared" si="44"/>
        <v>0</v>
      </c>
    </row>
    <row r="265" spans="1:31">
      <c r="A265" s="11" t="s">
        <v>404</v>
      </c>
      <c r="B265" s="11"/>
      <c r="C265" s="11" t="s">
        <v>45</v>
      </c>
      <c r="E265" s="6">
        <v>2773286</v>
      </c>
      <c r="G265" s="6">
        <v>0</v>
      </c>
      <c r="I265" s="2">
        <f t="shared" si="45"/>
        <v>3812477</v>
      </c>
      <c r="K265" s="6">
        <v>6585763</v>
      </c>
      <c r="M265" s="2">
        <f t="shared" si="42"/>
        <v>1100694</v>
      </c>
      <c r="O265" s="6">
        <f>326336+3464373</f>
        <v>3790709</v>
      </c>
      <c r="Q265" s="6">
        <v>4891403</v>
      </c>
      <c r="S265" s="6">
        <v>12236</v>
      </c>
      <c r="U265" s="6">
        <v>0</v>
      </c>
      <c r="W265" s="6">
        <v>0</v>
      </c>
      <c r="Y265" s="6">
        <f>444666+28919+16533</f>
        <v>490118</v>
      </c>
      <c r="AA265" s="6">
        <v>1192006</v>
      </c>
      <c r="AC265" s="12">
        <f t="shared" si="43"/>
        <v>1694360</v>
      </c>
      <c r="AE265" s="6">
        <f t="shared" si="44"/>
        <v>0</v>
      </c>
    </row>
    <row r="266" spans="1:31">
      <c r="A266" s="11" t="s">
        <v>460</v>
      </c>
      <c r="B266" s="11"/>
      <c r="C266" s="11" t="s">
        <v>56</v>
      </c>
      <c r="E266" s="6">
        <v>3034868</v>
      </c>
      <c r="G266" s="6">
        <v>50662</v>
      </c>
      <c r="I266" s="2">
        <f t="shared" si="45"/>
        <v>4502684</v>
      </c>
      <c r="K266" s="6">
        <v>7588214</v>
      </c>
      <c r="M266" s="2">
        <f t="shared" si="42"/>
        <v>1650769</v>
      </c>
      <c r="O266" s="6">
        <f>355173+3667238</f>
        <v>4022411</v>
      </c>
      <c r="Q266" s="6">
        <v>5673180</v>
      </c>
      <c r="S266" s="6">
        <f>52815+27106</f>
        <v>79921</v>
      </c>
      <c r="U266" s="6">
        <v>50662</v>
      </c>
      <c r="W266" s="6">
        <f>50177+11000</f>
        <v>61177</v>
      </c>
      <c r="Y266" s="6">
        <f>10824+73023+67+16759+204265</f>
        <v>304938</v>
      </c>
      <c r="AA266" s="6">
        <v>1418336</v>
      </c>
      <c r="AC266" s="12">
        <f t="shared" si="43"/>
        <v>1915034</v>
      </c>
      <c r="AE266" s="6">
        <f t="shared" si="44"/>
        <v>0</v>
      </c>
    </row>
    <row r="267" spans="1:31">
      <c r="A267" s="11" t="s">
        <v>209</v>
      </c>
      <c r="B267" s="11"/>
      <c r="C267" s="11" t="s">
        <v>12</v>
      </c>
      <c r="E267" s="6">
        <v>2756507</v>
      </c>
      <c r="G267" s="6">
        <v>0</v>
      </c>
      <c r="I267" s="2">
        <f t="shared" si="45"/>
        <v>5801814</v>
      </c>
      <c r="K267" s="6">
        <v>8558321</v>
      </c>
      <c r="M267" s="2">
        <f t="shared" si="42"/>
        <v>1837037</v>
      </c>
      <c r="O267" s="6">
        <v>3688646</v>
      </c>
      <c r="Q267" s="6">
        <v>5525683</v>
      </c>
      <c r="S267" s="6">
        <v>60452</v>
      </c>
      <c r="U267" s="6">
        <v>0</v>
      </c>
      <c r="W267" s="6">
        <v>0</v>
      </c>
      <c r="Y267" s="6">
        <v>236683</v>
      </c>
      <c r="AA267" s="6">
        <v>2735503</v>
      </c>
      <c r="AC267" s="12">
        <f t="shared" si="43"/>
        <v>3032638</v>
      </c>
      <c r="AE267" s="6">
        <f t="shared" si="44"/>
        <v>0</v>
      </c>
    </row>
    <row r="268" spans="1:31">
      <c r="A268" s="11" t="s">
        <v>397</v>
      </c>
      <c r="B268" s="11"/>
      <c r="C268" s="11" t="s">
        <v>398</v>
      </c>
      <c r="E268" s="6">
        <v>5056874</v>
      </c>
      <c r="G268" s="6">
        <v>3882</v>
      </c>
      <c r="I268" s="2">
        <f t="shared" si="45"/>
        <v>5175612</v>
      </c>
      <c r="K268" s="6">
        <v>10236368</v>
      </c>
      <c r="M268" s="2">
        <f t="shared" si="42"/>
        <v>1311532</v>
      </c>
      <c r="O268" s="6">
        <f>298502+2432474</f>
        <v>2730976</v>
      </c>
      <c r="Q268" s="6">
        <v>4042508</v>
      </c>
      <c r="S268" s="6">
        <v>55767</v>
      </c>
      <c r="U268" s="6">
        <v>3882</v>
      </c>
      <c r="W268" s="6">
        <v>0</v>
      </c>
      <c r="Y268" s="6">
        <f>3486+99336+295+35764+30881+1324861</f>
        <v>1494623</v>
      </c>
      <c r="AA268" s="6">
        <v>4639588</v>
      </c>
      <c r="AC268" s="12">
        <f t="shared" si="43"/>
        <v>6193860</v>
      </c>
      <c r="AE268" s="6">
        <f t="shared" si="44"/>
        <v>0</v>
      </c>
    </row>
    <row r="269" spans="1:31">
      <c r="A269" s="11" t="s">
        <v>680</v>
      </c>
      <c r="B269" s="11"/>
      <c r="C269" s="11" t="s">
        <v>50</v>
      </c>
      <c r="E269" s="6">
        <v>2697607</v>
      </c>
      <c r="G269" s="6">
        <v>0</v>
      </c>
      <c r="I269" s="2">
        <f t="shared" si="45"/>
        <v>3723729</v>
      </c>
      <c r="K269" s="6">
        <v>6421336</v>
      </c>
      <c r="M269" s="2">
        <f t="shared" si="42"/>
        <v>493283</v>
      </c>
      <c r="O269" s="6">
        <f>783432+2418005</f>
        <v>3201437</v>
      </c>
      <c r="Q269" s="6">
        <v>3694720</v>
      </c>
      <c r="S269" s="6">
        <f>30880+9263</f>
        <v>40143</v>
      </c>
      <c r="U269" s="6">
        <v>0</v>
      </c>
      <c r="W269" s="6">
        <v>11000</v>
      </c>
      <c r="Y269" s="6">
        <f>20771+86904+9500+9873+3053</f>
        <v>130101</v>
      </c>
      <c r="AA269" s="6">
        <v>2545372</v>
      </c>
      <c r="AC269" s="12">
        <f t="shared" si="43"/>
        <v>2726616</v>
      </c>
      <c r="AE269" s="6">
        <f t="shared" si="44"/>
        <v>0</v>
      </c>
    </row>
    <row r="270" spans="1:31" hidden="1">
      <c r="A270" s="11" t="s">
        <v>872</v>
      </c>
      <c r="B270" s="11"/>
      <c r="C270" s="11" t="s">
        <v>467</v>
      </c>
      <c r="I270" s="2">
        <f t="shared" si="45"/>
        <v>0</v>
      </c>
      <c r="M270" s="2">
        <f t="shared" si="42"/>
        <v>0</v>
      </c>
      <c r="AC270" s="12">
        <f t="shared" si="43"/>
        <v>0</v>
      </c>
      <c r="AE270" s="6">
        <f t="shared" si="44"/>
        <v>0</v>
      </c>
    </row>
    <row r="271" spans="1:31">
      <c r="A271" s="11" t="s">
        <v>374</v>
      </c>
      <c r="B271" s="11"/>
      <c r="C271" s="11" t="s">
        <v>42</v>
      </c>
      <c r="E271" s="6">
        <v>11279416</v>
      </c>
      <c r="G271" s="6">
        <v>0</v>
      </c>
      <c r="I271" s="2">
        <f t="shared" si="45"/>
        <v>8034443</v>
      </c>
      <c r="K271" s="6">
        <v>19313859</v>
      </c>
      <c r="M271" s="2">
        <f t="shared" si="42"/>
        <v>1172079</v>
      </c>
      <c r="O271" s="6">
        <f>861863+5877043</f>
        <v>6738906</v>
      </c>
      <c r="Q271" s="6">
        <v>7910985</v>
      </c>
      <c r="S271" s="6">
        <f>13277+35300</f>
        <v>48577</v>
      </c>
      <c r="U271" s="6">
        <v>0</v>
      </c>
      <c r="W271" s="6">
        <v>0</v>
      </c>
      <c r="Y271" s="6">
        <f>10378+285756+345</f>
        <v>296479</v>
      </c>
      <c r="AA271" s="6">
        <v>11057818</v>
      </c>
      <c r="AC271" s="12">
        <f t="shared" si="43"/>
        <v>11402874</v>
      </c>
      <c r="AE271" s="6">
        <f t="shared" si="44"/>
        <v>0</v>
      </c>
    </row>
    <row r="272" spans="1:31">
      <c r="A272" s="11" t="s">
        <v>399</v>
      </c>
      <c r="B272" s="11"/>
      <c r="C272" s="11" t="s">
        <v>398</v>
      </c>
      <c r="E272" s="6">
        <v>1131053</v>
      </c>
      <c r="G272" s="6">
        <v>0</v>
      </c>
      <c r="I272" s="2">
        <f t="shared" si="45"/>
        <v>6282693</v>
      </c>
      <c r="K272" s="6">
        <v>7413746</v>
      </c>
      <c r="M272" s="2">
        <f t="shared" si="42"/>
        <v>1941310</v>
      </c>
      <c r="O272" s="6">
        <f>542318+3223031</f>
        <v>3765349</v>
      </c>
      <c r="Q272" s="6">
        <v>5706659</v>
      </c>
      <c r="S272" s="6">
        <v>0</v>
      </c>
      <c r="U272" s="6">
        <v>0</v>
      </c>
      <c r="W272" s="6">
        <v>11000</v>
      </c>
      <c r="Y272" s="6">
        <f>20657+14123+70774+546050</f>
        <v>651604</v>
      </c>
      <c r="AA272" s="6">
        <v>1044483</v>
      </c>
      <c r="AC272" s="12">
        <f t="shared" si="43"/>
        <v>1707087</v>
      </c>
      <c r="AE272" s="6">
        <f t="shared" si="44"/>
        <v>0</v>
      </c>
    </row>
    <row r="273" spans="1:31">
      <c r="A273" s="11" t="s">
        <v>523</v>
      </c>
      <c r="B273" s="11"/>
      <c r="C273" s="11" t="s">
        <v>64</v>
      </c>
      <c r="E273" s="6">
        <v>2358730</v>
      </c>
      <c r="G273" s="6">
        <v>36774</v>
      </c>
      <c r="I273" s="2">
        <f t="shared" si="45"/>
        <v>3232193</v>
      </c>
      <c r="K273" s="6">
        <v>5627697</v>
      </c>
      <c r="M273" s="2">
        <f t="shared" si="42"/>
        <v>736251</v>
      </c>
      <c r="O273" s="6">
        <v>3211361</v>
      </c>
      <c r="Q273" s="6">
        <v>3947612</v>
      </c>
      <c r="S273" s="6">
        <v>3418</v>
      </c>
      <c r="U273" s="6">
        <v>33356</v>
      </c>
      <c r="W273" s="6">
        <v>0</v>
      </c>
      <c r="Y273" s="6">
        <v>34139</v>
      </c>
      <c r="AA273" s="6">
        <v>1609172</v>
      </c>
      <c r="AC273" s="12">
        <f t="shared" si="43"/>
        <v>1680085</v>
      </c>
      <c r="AE273" s="6">
        <f t="shared" si="44"/>
        <v>0</v>
      </c>
    </row>
    <row r="274" spans="1:31" hidden="1">
      <c r="A274" s="10" t="s">
        <v>873</v>
      </c>
      <c r="B274" s="10"/>
      <c r="C274" s="10" t="s">
        <v>467</v>
      </c>
      <c r="E274" s="6">
        <v>0</v>
      </c>
      <c r="G274" s="6">
        <v>0</v>
      </c>
      <c r="I274" s="2">
        <f t="shared" ref="I274" si="50">+K274-G274-E274</f>
        <v>0</v>
      </c>
      <c r="K274" s="6">
        <v>0</v>
      </c>
      <c r="M274" s="2">
        <f t="shared" ref="M274" si="51">+Q274-O274</f>
        <v>0</v>
      </c>
      <c r="O274" s="6">
        <v>0</v>
      </c>
      <c r="Q274" s="6">
        <v>0</v>
      </c>
      <c r="S274" s="6">
        <v>0</v>
      </c>
      <c r="U274" s="6">
        <v>0</v>
      </c>
      <c r="W274" s="6">
        <v>0</v>
      </c>
      <c r="Y274" s="6">
        <v>0</v>
      </c>
      <c r="AA274" s="6">
        <v>0</v>
      </c>
      <c r="AC274" s="12">
        <f t="shared" ref="AC274" si="52">+W274+U274++S274+Y274+AA274</f>
        <v>0</v>
      </c>
      <c r="AE274" s="6">
        <f t="shared" ref="AE274" si="53">+E274+G274+I274-M274-O274-W274-U274-S274-Y274-AA274</f>
        <v>0</v>
      </c>
    </row>
    <row r="275" spans="1:31">
      <c r="A275" s="11" t="s">
        <v>287</v>
      </c>
      <c r="B275" s="11"/>
      <c r="C275" s="11" t="s">
        <v>24</v>
      </c>
      <c r="E275" s="6">
        <v>865712</v>
      </c>
      <c r="G275" s="6">
        <v>0</v>
      </c>
      <c r="I275" s="2">
        <f t="shared" si="45"/>
        <v>466601</v>
      </c>
      <c r="K275" s="6">
        <v>1332313</v>
      </c>
      <c r="M275" s="2">
        <f t="shared" si="42"/>
        <v>48815</v>
      </c>
      <c r="O275" s="6">
        <f>18884+367638</f>
        <v>386522</v>
      </c>
      <c r="Q275" s="6">
        <v>435337</v>
      </c>
      <c r="S275" s="6">
        <v>1550</v>
      </c>
      <c r="U275" s="6">
        <v>0</v>
      </c>
      <c r="W275" s="6">
        <v>0</v>
      </c>
      <c r="Y275" s="6">
        <f>41858+6955+846613</f>
        <v>895426</v>
      </c>
      <c r="AA275" s="6">
        <v>0</v>
      </c>
      <c r="AC275" s="12">
        <f t="shared" si="43"/>
        <v>896976</v>
      </c>
      <c r="AE275" s="6">
        <f t="shared" si="44"/>
        <v>0</v>
      </c>
    </row>
    <row r="276" spans="1:31">
      <c r="A276" s="11" t="s">
        <v>314</v>
      </c>
      <c r="B276" s="11"/>
      <c r="C276" s="11" t="s">
        <v>30</v>
      </c>
      <c r="E276" s="6">
        <v>12500794</v>
      </c>
      <c r="G276" s="6">
        <v>0</v>
      </c>
      <c r="I276" s="2">
        <f t="shared" si="45"/>
        <v>25767272</v>
      </c>
      <c r="K276" s="6">
        <v>38268066</v>
      </c>
      <c r="M276" s="2">
        <f t="shared" si="42"/>
        <v>3934010</v>
      </c>
      <c r="O276" s="6">
        <v>21654220</v>
      </c>
      <c r="Q276" s="6">
        <v>25588230</v>
      </c>
      <c r="S276" s="6">
        <v>91796</v>
      </c>
      <c r="U276" s="6">
        <v>0</v>
      </c>
      <c r="W276" s="6">
        <v>0</v>
      </c>
      <c r="Y276" s="6">
        <v>8626626</v>
      </c>
      <c r="AA276" s="6">
        <v>3961414</v>
      </c>
      <c r="AC276" s="12">
        <f t="shared" si="43"/>
        <v>12679836</v>
      </c>
      <c r="AE276" s="6">
        <f t="shared" si="44"/>
        <v>0</v>
      </c>
    </row>
    <row r="277" spans="1:31">
      <c r="A277" s="11" t="s">
        <v>461</v>
      </c>
      <c r="B277" s="11"/>
      <c r="C277" s="11" t="s">
        <v>56</v>
      </c>
      <c r="E277" s="6">
        <v>17214510</v>
      </c>
      <c r="G277" s="6">
        <v>0</v>
      </c>
      <c r="I277" s="2">
        <f t="shared" si="45"/>
        <v>22012354</v>
      </c>
      <c r="K277" s="6">
        <v>39226864</v>
      </c>
      <c r="M277" s="2">
        <f t="shared" ref="M277:M342" si="54">+Q277-O277</f>
        <v>3853847</v>
      </c>
      <c r="O277" s="6">
        <v>19996584</v>
      </c>
      <c r="Q277" s="6">
        <v>23850431</v>
      </c>
      <c r="S277" s="6">
        <v>83333</v>
      </c>
      <c r="U277" s="6">
        <v>0</v>
      </c>
      <c r="W277" s="6">
        <v>0</v>
      </c>
      <c r="Y277" s="6">
        <v>4929396</v>
      </c>
      <c r="AA277" s="6">
        <v>10363704</v>
      </c>
      <c r="AC277" s="12">
        <f t="shared" ref="AC277:AC342" si="55">+W277+U277++S277+Y277+AA277</f>
        <v>15376433</v>
      </c>
      <c r="AE277" s="6">
        <f t="shared" ref="AE277:AE342" si="56">+E277+G277+I277-M277-O277-W277-U277-S277-Y277-AA277</f>
        <v>0</v>
      </c>
    </row>
    <row r="278" spans="1:31">
      <c r="A278" s="11" t="s">
        <v>341</v>
      </c>
      <c r="B278" s="11"/>
      <c r="C278" s="11" t="s">
        <v>339</v>
      </c>
      <c r="E278" s="6">
        <v>2937353</v>
      </c>
      <c r="G278" s="6">
        <v>0</v>
      </c>
      <c r="I278" s="2">
        <f t="shared" si="45"/>
        <v>5272082</v>
      </c>
      <c r="K278" s="6">
        <v>8209435</v>
      </c>
      <c r="M278" s="2">
        <f t="shared" si="54"/>
        <v>1968561</v>
      </c>
      <c r="O278" s="6">
        <v>3435546</v>
      </c>
      <c r="Q278" s="6">
        <v>5404107</v>
      </c>
      <c r="S278" s="6">
        <v>63335</v>
      </c>
      <c r="U278" s="6">
        <v>0</v>
      </c>
      <c r="W278" s="6">
        <v>0</v>
      </c>
      <c r="Y278" s="6">
        <v>163526</v>
      </c>
      <c r="AA278" s="6">
        <v>2578467</v>
      </c>
      <c r="AC278" s="12">
        <f t="shared" si="55"/>
        <v>2805328</v>
      </c>
      <c r="AE278" s="6">
        <f t="shared" si="56"/>
        <v>0</v>
      </c>
    </row>
    <row r="279" spans="1:31">
      <c r="A279" s="11" t="s">
        <v>431</v>
      </c>
      <c r="B279" s="11"/>
      <c r="C279" s="11" t="s">
        <v>50</v>
      </c>
      <c r="E279" s="6">
        <f>3739861+9885366</f>
        <v>13625227</v>
      </c>
      <c r="G279" s="6">
        <v>0</v>
      </c>
      <c r="I279" s="2">
        <f t="shared" ref="I279:I344" si="57">+K279-G279-E279</f>
        <v>53526362</v>
      </c>
      <c r="K279" s="6">
        <v>67151589</v>
      </c>
      <c r="M279" s="2">
        <f t="shared" si="54"/>
        <v>10127938</v>
      </c>
      <c r="O279" s="6">
        <v>49922512</v>
      </c>
      <c r="Q279" s="6">
        <v>60050450</v>
      </c>
      <c r="S279" s="6">
        <v>111440</v>
      </c>
      <c r="U279" s="6">
        <v>0</v>
      </c>
      <c r="W279" s="6">
        <v>0</v>
      </c>
      <c r="Y279" s="6">
        <v>755801</v>
      </c>
      <c r="AA279" s="6">
        <v>6233898</v>
      </c>
      <c r="AC279" s="12">
        <f t="shared" si="55"/>
        <v>7101139</v>
      </c>
      <c r="AE279" s="6">
        <f t="shared" si="56"/>
        <v>0</v>
      </c>
    </row>
    <row r="280" spans="1:31" s="28" customFormat="1">
      <c r="A280" s="27" t="s">
        <v>637</v>
      </c>
      <c r="B280" s="27"/>
      <c r="C280" s="27" t="s">
        <v>44</v>
      </c>
      <c r="E280" s="28">
        <v>5101658</v>
      </c>
      <c r="G280" s="28">
        <v>0</v>
      </c>
      <c r="I280" s="30">
        <f t="shared" si="57"/>
        <v>5592910</v>
      </c>
      <c r="K280" s="28">
        <v>10694568</v>
      </c>
      <c r="M280" s="30">
        <f t="shared" si="54"/>
        <v>1628318</v>
      </c>
      <c r="O280" s="28">
        <f>453424+4463878</f>
        <v>4917302</v>
      </c>
      <c r="Q280" s="28">
        <v>6545620</v>
      </c>
      <c r="S280" s="28">
        <v>15660</v>
      </c>
      <c r="U280" s="28">
        <v>0</v>
      </c>
      <c r="W280" s="28">
        <f>85612+37587</f>
        <v>123199</v>
      </c>
      <c r="Y280" s="28">
        <f>70827+59350+2000+17762+36315+405490+992173</f>
        <v>1583917</v>
      </c>
      <c r="AA280" s="28">
        <v>2426172</v>
      </c>
      <c r="AC280" s="37">
        <f t="shared" si="55"/>
        <v>4148948</v>
      </c>
      <c r="AE280" s="28">
        <f t="shared" si="56"/>
        <v>0</v>
      </c>
    </row>
    <row r="281" spans="1:31">
      <c r="A281" s="11" t="s">
        <v>721</v>
      </c>
      <c r="B281" s="11"/>
      <c r="C281" s="11" t="s">
        <v>69</v>
      </c>
      <c r="E281" s="6">
        <v>9584074</v>
      </c>
      <c r="G281" s="6">
        <v>0</v>
      </c>
      <c r="I281" s="2">
        <f t="shared" si="57"/>
        <v>25098000</v>
      </c>
      <c r="K281" s="6">
        <v>34682074</v>
      </c>
      <c r="M281" s="2">
        <f t="shared" si="54"/>
        <v>3318442</v>
      </c>
      <c r="O281" s="6">
        <v>22988525</v>
      </c>
      <c r="Q281" s="6">
        <v>26306967</v>
      </c>
      <c r="S281" s="6">
        <v>0</v>
      </c>
      <c r="U281" s="6">
        <v>0</v>
      </c>
      <c r="W281" s="6">
        <v>11000</v>
      </c>
      <c r="Y281" s="6">
        <v>404358</v>
      </c>
      <c r="AA281" s="6">
        <v>7959749</v>
      </c>
      <c r="AC281" s="12">
        <f t="shared" si="55"/>
        <v>8375107</v>
      </c>
      <c r="AE281" s="6">
        <f t="shared" si="56"/>
        <v>0</v>
      </c>
    </row>
    <row r="282" spans="1:31" hidden="1">
      <c r="A282" s="11" t="s">
        <v>693</v>
      </c>
      <c r="B282" s="11"/>
      <c r="C282" s="11" t="s">
        <v>41</v>
      </c>
      <c r="E282" s="9"/>
      <c r="G282" s="9"/>
      <c r="I282" s="2">
        <f t="shared" si="57"/>
        <v>0</v>
      </c>
      <c r="K282" s="9"/>
      <c r="M282" s="2">
        <f t="shared" si="54"/>
        <v>0</v>
      </c>
      <c r="O282" s="9"/>
      <c r="Q282" s="9"/>
      <c r="S282" s="9"/>
      <c r="U282" s="9"/>
      <c r="W282" s="9"/>
      <c r="Y282" s="9"/>
      <c r="AA282" s="9"/>
      <c r="AC282" s="12">
        <f t="shared" si="55"/>
        <v>0</v>
      </c>
      <c r="AE282" s="6">
        <f t="shared" si="56"/>
        <v>0</v>
      </c>
    </row>
    <row r="283" spans="1:31">
      <c r="A283" s="11" t="s">
        <v>524</v>
      </c>
      <c r="B283" s="11"/>
      <c r="C283" s="11" t="s">
        <v>64</v>
      </c>
      <c r="E283" s="6">
        <v>3231435</v>
      </c>
      <c r="G283" s="6">
        <v>0</v>
      </c>
      <c r="I283" s="2">
        <f t="shared" si="57"/>
        <v>3745918</v>
      </c>
      <c r="K283" s="6">
        <v>6977353</v>
      </c>
      <c r="M283" s="2">
        <f t="shared" si="54"/>
        <v>1466031</v>
      </c>
      <c r="O283" s="6">
        <f>1259745+2382264</f>
        <v>3642009</v>
      </c>
      <c r="Q283" s="6">
        <v>5108040</v>
      </c>
      <c r="S283" s="6">
        <f>6343+27615</f>
        <v>33958</v>
      </c>
      <c r="U283" s="6">
        <v>0</v>
      </c>
      <c r="W283" s="6">
        <v>0</v>
      </c>
      <c r="Y283" s="6">
        <f>40214+591926+1469+185408</f>
        <v>819017</v>
      </c>
      <c r="AA283" s="6">
        <v>1016338</v>
      </c>
      <c r="AC283" s="12">
        <f t="shared" si="55"/>
        <v>1869313</v>
      </c>
      <c r="AE283" s="6">
        <f t="shared" si="56"/>
        <v>0</v>
      </c>
    </row>
    <row r="284" spans="1:31">
      <c r="A284" s="11" t="s">
        <v>498</v>
      </c>
      <c r="B284" s="11"/>
      <c r="C284" s="11" t="s">
        <v>62</v>
      </c>
      <c r="E284" s="6">
        <v>4830851</v>
      </c>
      <c r="G284" s="6">
        <v>95898</v>
      </c>
      <c r="I284" s="2">
        <f t="shared" si="57"/>
        <v>13409331</v>
      </c>
      <c r="K284" s="6">
        <v>18336080</v>
      </c>
      <c r="M284" s="2">
        <f t="shared" si="54"/>
        <v>4042133</v>
      </c>
      <c r="O284" s="6">
        <v>12464162</v>
      </c>
      <c r="Q284" s="6">
        <v>16506295</v>
      </c>
      <c r="S284" s="6">
        <v>0</v>
      </c>
      <c r="U284" s="6">
        <v>99723</v>
      </c>
      <c r="W284" s="6">
        <v>0</v>
      </c>
      <c r="Y284" s="6">
        <v>490918</v>
      </c>
      <c r="AA284" s="6">
        <v>1239144</v>
      </c>
      <c r="AC284" s="12">
        <f t="shared" si="55"/>
        <v>1829785</v>
      </c>
      <c r="AE284" s="6">
        <f t="shared" si="56"/>
        <v>0</v>
      </c>
    </row>
    <row r="285" spans="1:31" hidden="1">
      <c r="A285" s="11" t="s">
        <v>796</v>
      </c>
      <c r="B285" s="11"/>
      <c r="C285" s="11" t="s">
        <v>72</v>
      </c>
      <c r="I285" s="2">
        <f t="shared" si="57"/>
        <v>0</v>
      </c>
      <c r="M285" s="2">
        <f t="shared" si="54"/>
        <v>0</v>
      </c>
      <c r="AC285" s="12">
        <f t="shared" si="55"/>
        <v>0</v>
      </c>
      <c r="AE285" s="6">
        <f t="shared" si="56"/>
        <v>0</v>
      </c>
    </row>
    <row r="286" spans="1:31">
      <c r="A286" s="11" t="s">
        <v>525</v>
      </c>
      <c r="B286" s="11"/>
      <c r="C286" s="11" t="s">
        <v>64</v>
      </c>
      <c r="E286" s="6">
        <v>1966923</v>
      </c>
      <c r="G286" s="6">
        <v>0</v>
      </c>
      <c r="I286" s="2">
        <f t="shared" si="57"/>
        <v>8012106</v>
      </c>
      <c r="K286" s="6">
        <v>9979029</v>
      </c>
      <c r="M286" s="2">
        <f t="shared" si="54"/>
        <v>1488136</v>
      </c>
      <c r="O286" s="6">
        <v>7902195</v>
      </c>
      <c r="Q286" s="6">
        <v>9390331</v>
      </c>
      <c r="S286" s="6">
        <v>109911</v>
      </c>
      <c r="U286" s="6">
        <v>0</v>
      </c>
      <c r="W286" s="6">
        <v>0</v>
      </c>
      <c r="Y286" s="6">
        <v>49435</v>
      </c>
      <c r="AA286" s="6">
        <v>429352</v>
      </c>
      <c r="AC286" s="12">
        <f t="shared" si="55"/>
        <v>588698</v>
      </c>
      <c r="AE286" s="6">
        <f t="shared" si="56"/>
        <v>0</v>
      </c>
    </row>
    <row r="287" spans="1:31">
      <c r="A287" s="11" t="s">
        <v>270</v>
      </c>
      <c r="B287" s="11"/>
      <c r="C287" s="11" t="s">
        <v>20</v>
      </c>
      <c r="E287" s="6">
        <v>16813918</v>
      </c>
      <c r="G287" s="6">
        <v>0</v>
      </c>
      <c r="I287" s="2">
        <f t="shared" si="57"/>
        <v>43808494</v>
      </c>
      <c r="K287" s="6">
        <v>60622412</v>
      </c>
      <c r="M287" s="2">
        <f t="shared" si="54"/>
        <v>8793048</v>
      </c>
      <c r="O287" s="6">
        <f>31988041+3902967</f>
        <v>35891008</v>
      </c>
      <c r="Q287" s="6">
        <v>44684056</v>
      </c>
      <c r="S287" s="6">
        <v>0</v>
      </c>
      <c r="U287" s="6">
        <v>0</v>
      </c>
      <c r="W287" s="6">
        <v>0</v>
      </c>
      <c r="Y287" s="6">
        <f>94987+533018+4010+2500525+77297</f>
        <v>3209837</v>
      </c>
      <c r="AA287" s="6">
        <v>12728519</v>
      </c>
      <c r="AC287" s="12">
        <f t="shared" si="55"/>
        <v>15938356</v>
      </c>
      <c r="AE287" s="6">
        <f t="shared" si="56"/>
        <v>0</v>
      </c>
    </row>
    <row r="288" spans="1:31">
      <c r="A288" s="11" t="s">
        <v>630</v>
      </c>
      <c r="B288" s="11"/>
      <c r="C288" s="11" t="s">
        <v>42</v>
      </c>
      <c r="E288" s="6">
        <f>2226123+5699734</f>
        <v>7925857</v>
      </c>
      <c r="G288" s="6">
        <v>0</v>
      </c>
      <c r="I288" s="2">
        <f t="shared" si="57"/>
        <v>13994754</v>
      </c>
      <c r="K288" s="6">
        <v>21920611</v>
      </c>
      <c r="M288" s="2">
        <f t="shared" si="54"/>
        <v>2927251</v>
      </c>
      <c r="O288" s="6">
        <f>12962752+6478</f>
        <v>12969230</v>
      </c>
      <c r="Q288" s="6">
        <v>15896481</v>
      </c>
      <c r="S288" s="6">
        <v>229239</v>
      </c>
      <c r="U288" s="6">
        <v>12283</v>
      </c>
      <c r="W288" s="6">
        <v>204164</v>
      </c>
      <c r="Y288" s="6">
        <v>105140</v>
      </c>
      <c r="AA288" s="6">
        <v>5473304</v>
      </c>
      <c r="AC288" s="12">
        <f t="shared" si="55"/>
        <v>6024130</v>
      </c>
      <c r="AE288" s="6">
        <f t="shared" si="56"/>
        <v>0</v>
      </c>
    </row>
    <row r="289" spans="1:31">
      <c r="A289" s="11" t="s">
        <v>223</v>
      </c>
      <c r="B289" s="11"/>
      <c r="C289" s="11" t="s">
        <v>221</v>
      </c>
      <c r="E289" s="6">
        <f>30251389+1976054</f>
        <v>32227443</v>
      </c>
      <c r="G289" s="6">
        <v>0</v>
      </c>
      <c r="I289" s="2">
        <f t="shared" si="57"/>
        <v>86648539</v>
      </c>
      <c r="K289" s="6">
        <v>118875982</v>
      </c>
      <c r="M289" s="2">
        <f t="shared" si="54"/>
        <v>21379375</v>
      </c>
      <c r="O289" s="6">
        <v>84392775</v>
      </c>
      <c r="Q289" s="6">
        <v>105772150</v>
      </c>
      <c r="S289" s="6">
        <v>0</v>
      </c>
      <c r="U289" s="6">
        <v>1976054</v>
      </c>
      <c r="W289" s="6">
        <v>0</v>
      </c>
      <c r="Y289" s="6">
        <v>1340988</v>
      </c>
      <c r="AA289" s="6">
        <v>9786790</v>
      </c>
      <c r="AC289" s="12">
        <f t="shared" si="55"/>
        <v>13103832</v>
      </c>
      <c r="AE289" s="6">
        <f t="shared" si="56"/>
        <v>0</v>
      </c>
    </row>
    <row r="290" spans="1:31" hidden="1">
      <c r="A290" s="11" t="s">
        <v>797</v>
      </c>
      <c r="B290" s="11"/>
      <c r="C290" s="11" t="s">
        <v>79</v>
      </c>
      <c r="I290" s="2">
        <f t="shared" si="57"/>
        <v>0</v>
      </c>
      <c r="M290" s="2">
        <f t="shared" si="54"/>
        <v>0</v>
      </c>
      <c r="AC290" s="12">
        <f t="shared" si="55"/>
        <v>0</v>
      </c>
      <c r="AE290" s="6">
        <f t="shared" si="56"/>
        <v>0</v>
      </c>
    </row>
    <row r="291" spans="1:31">
      <c r="A291" s="11" t="s">
        <v>295</v>
      </c>
      <c r="B291" s="11"/>
      <c r="C291" s="11" t="s">
        <v>25</v>
      </c>
      <c r="E291" s="6">
        <v>30645981</v>
      </c>
      <c r="G291" s="6">
        <v>0</v>
      </c>
      <c r="I291" s="2">
        <f t="shared" si="57"/>
        <v>26842855</v>
      </c>
      <c r="K291" s="6">
        <v>57488836</v>
      </c>
      <c r="M291" s="2">
        <f t="shared" si="54"/>
        <v>6091818</v>
      </c>
      <c r="O291" s="6">
        <v>23164598</v>
      </c>
      <c r="Q291" s="6">
        <v>29256416</v>
      </c>
      <c r="S291" s="6">
        <v>192201</v>
      </c>
      <c r="U291" s="6">
        <v>0</v>
      </c>
      <c r="W291" s="6">
        <v>1487757</v>
      </c>
      <c r="Y291" s="6">
        <v>2663482</v>
      </c>
      <c r="AA291" s="6">
        <v>23888980</v>
      </c>
      <c r="AC291" s="12">
        <f t="shared" si="55"/>
        <v>28232420</v>
      </c>
      <c r="AE291" s="6">
        <f t="shared" si="56"/>
        <v>0</v>
      </c>
    </row>
    <row r="292" spans="1:31" hidden="1">
      <c r="A292" s="11" t="s">
        <v>729</v>
      </c>
      <c r="B292" s="11"/>
      <c r="C292" s="11" t="s">
        <v>69</v>
      </c>
      <c r="I292" s="2">
        <f t="shared" si="57"/>
        <v>0</v>
      </c>
      <c r="M292" s="2">
        <f t="shared" si="54"/>
        <v>0</v>
      </c>
      <c r="AC292" s="12">
        <f t="shared" si="55"/>
        <v>0</v>
      </c>
      <c r="AE292" s="6">
        <f t="shared" si="56"/>
        <v>0</v>
      </c>
    </row>
    <row r="293" spans="1:31">
      <c r="A293" s="11" t="s">
        <v>315</v>
      </c>
      <c r="B293" s="11"/>
      <c r="C293" s="11" t="s">
        <v>30</v>
      </c>
      <c r="E293" s="6">
        <v>177673</v>
      </c>
      <c r="G293" s="6">
        <v>164522</v>
      </c>
      <c r="I293" s="2">
        <f t="shared" si="57"/>
        <v>2444426</v>
      </c>
      <c r="K293" s="6">
        <v>2786621</v>
      </c>
      <c r="M293" s="2">
        <f t="shared" si="54"/>
        <v>3349055</v>
      </c>
      <c r="O293" s="6">
        <v>1742901</v>
      </c>
      <c r="Q293" s="6">
        <v>5091956</v>
      </c>
      <c r="S293" s="6">
        <v>29882</v>
      </c>
      <c r="U293" s="6">
        <v>164522</v>
      </c>
      <c r="W293" s="6">
        <v>0</v>
      </c>
      <c r="Y293" s="6">
        <v>0</v>
      </c>
      <c r="AA293" s="6">
        <v>-2499739</v>
      </c>
      <c r="AC293" s="12">
        <f t="shared" si="55"/>
        <v>-2305335</v>
      </c>
      <c r="AE293" s="6">
        <f t="shared" si="56"/>
        <v>0</v>
      </c>
    </row>
    <row r="294" spans="1:31" hidden="1">
      <c r="A294" s="11" t="s">
        <v>763</v>
      </c>
      <c r="B294" s="11"/>
      <c r="C294" s="11" t="s">
        <v>112</v>
      </c>
      <c r="I294" s="2"/>
      <c r="M294" s="2"/>
      <c r="AC294" s="12"/>
    </row>
    <row r="295" spans="1:31" hidden="1">
      <c r="A295" s="11" t="s">
        <v>681</v>
      </c>
      <c r="B295" s="11"/>
      <c r="C295" s="11" t="s">
        <v>467</v>
      </c>
      <c r="I295" s="2">
        <f t="shared" si="57"/>
        <v>0</v>
      </c>
      <c r="M295" s="2">
        <f t="shared" si="54"/>
        <v>0</v>
      </c>
      <c r="AC295" s="12">
        <f t="shared" si="55"/>
        <v>0</v>
      </c>
      <c r="AE295" s="6">
        <f t="shared" si="56"/>
        <v>0</v>
      </c>
    </row>
    <row r="296" spans="1:31" hidden="1">
      <c r="A296" s="11" t="s">
        <v>798</v>
      </c>
      <c r="B296" s="11"/>
      <c r="C296" s="11" t="s">
        <v>110</v>
      </c>
      <c r="I296" s="2">
        <f t="shared" si="57"/>
        <v>0</v>
      </c>
      <c r="M296" s="2">
        <f t="shared" si="54"/>
        <v>0</v>
      </c>
      <c r="AC296" s="12">
        <f t="shared" si="55"/>
        <v>0</v>
      </c>
      <c r="AE296" s="6">
        <f t="shared" si="56"/>
        <v>0</v>
      </c>
    </row>
    <row r="297" spans="1:31">
      <c r="A297" s="11" t="s">
        <v>799</v>
      </c>
      <c r="B297" s="11"/>
      <c r="C297" s="11" t="s">
        <v>33</v>
      </c>
      <c r="E297" s="6">
        <v>5788293</v>
      </c>
      <c r="G297" s="6">
        <v>0</v>
      </c>
      <c r="I297" s="2">
        <f>+K297-G297-E297</f>
        <v>5056605</v>
      </c>
      <c r="K297" s="6">
        <v>10844898</v>
      </c>
      <c r="M297" s="2">
        <f>+Q297-O297</f>
        <v>1326886</v>
      </c>
      <c r="O297" s="6">
        <v>3636942</v>
      </c>
      <c r="Q297" s="6">
        <v>4963828</v>
      </c>
      <c r="S297" s="6">
        <v>9775</v>
      </c>
      <c r="U297" s="6">
        <v>0</v>
      </c>
      <c r="W297" s="6">
        <v>179156</v>
      </c>
      <c r="Y297" s="6">
        <v>241740</v>
      </c>
      <c r="AA297" s="6">
        <v>5450399</v>
      </c>
      <c r="AC297" s="12">
        <f>+W297+U297++S297+Y297+AA297</f>
        <v>5881070</v>
      </c>
      <c r="AE297" s="6">
        <f>+E297+G297+I297-M297-O297-W297-U297-S297-Y297-AA297</f>
        <v>0</v>
      </c>
    </row>
    <row r="298" spans="1:31">
      <c r="A298" s="11" t="s">
        <v>345</v>
      </c>
      <c r="B298" s="11"/>
      <c r="C298" s="11" t="s">
        <v>34</v>
      </c>
      <c r="E298" s="6">
        <v>5710433</v>
      </c>
      <c r="G298" s="6">
        <v>0</v>
      </c>
      <c r="I298" s="2">
        <f t="shared" si="57"/>
        <v>5489341</v>
      </c>
      <c r="K298" s="6">
        <v>11199774</v>
      </c>
      <c r="M298" s="2">
        <f t="shared" si="54"/>
        <v>1206991</v>
      </c>
      <c r="O298" s="6">
        <v>4389768</v>
      </c>
      <c r="Q298" s="6">
        <v>5596759</v>
      </c>
      <c r="S298" s="6">
        <v>18764</v>
      </c>
      <c r="U298" s="6">
        <v>0</v>
      </c>
      <c r="W298" s="6">
        <v>0</v>
      </c>
      <c r="Y298" s="6">
        <v>211618</v>
      </c>
      <c r="AA298" s="6">
        <v>5372633</v>
      </c>
      <c r="AC298" s="12">
        <f t="shared" si="55"/>
        <v>5603015</v>
      </c>
      <c r="AE298" s="6">
        <f t="shared" si="56"/>
        <v>0</v>
      </c>
    </row>
    <row r="299" spans="1:31">
      <c r="A299" s="11" t="s">
        <v>526</v>
      </c>
      <c r="B299" s="11"/>
      <c r="C299" s="11" t="s">
        <v>64</v>
      </c>
      <c r="E299" s="6">
        <v>779694</v>
      </c>
      <c r="G299" s="6">
        <v>46526</v>
      </c>
      <c r="I299" s="2">
        <f t="shared" si="57"/>
        <v>8656584</v>
      </c>
      <c r="K299" s="6">
        <v>9482804</v>
      </c>
      <c r="M299" s="2">
        <f t="shared" si="54"/>
        <v>5270530</v>
      </c>
      <c r="O299" s="6">
        <v>8530590</v>
      </c>
      <c r="Q299" s="6">
        <f>5270530+8530590</f>
        <v>13801120</v>
      </c>
      <c r="S299" s="6">
        <v>15335</v>
      </c>
      <c r="U299" s="6">
        <v>46526</v>
      </c>
      <c r="W299" s="6">
        <v>0</v>
      </c>
      <c r="Y299" s="6">
        <v>0</v>
      </c>
      <c r="AA299" s="6">
        <v>-4380177</v>
      </c>
      <c r="AC299" s="12">
        <f t="shared" si="55"/>
        <v>-4318316</v>
      </c>
      <c r="AE299" s="6">
        <f t="shared" si="56"/>
        <v>0</v>
      </c>
    </row>
    <row r="300" spans="1:31">
      <c r="A300" s="11" t="s">
        <v>744</v>
      </c>
      <c r="B300" s="11"/>
      <c r="C300" s="11" t="s">
        <v>25</v>
      </c>
      <c r="E300" s="6">
        <v>5254503</v>
      </c>
      <c r="G300" s="6">
        <v>0</v>
      </c>
      <c r="I300" s="2">
        <f t="shared" si="57"/>
        <v>4175498</v>
      </c>
      <c r="K300" s="6">
        <v>9430001</v>
      </c>
      <c r="M300" s="2">
        <f t="shared" si="54"/>
        <v>2022545</v>
      </c>
      <c r="O300" s="6">
        <v>3144622</v>
      </c>
      <c r="Q300" s="6">
        <v>5167167</v>
      </c>
      <c r="S300" s="6">
        <v>0</v>
      </c>
      <c r="U300" s="6">
        <v>0</v>
      </c>
      <c r="W300" s="6">
        <v>0</v>
      </c>
      <c r="Y300" s="6">
        <v>90594</v>
      </c>
      <c r="AA300" s="6">
        <v>4172240</v>
      </c>
      <c r="AC300" s="12">
        <f t="shared" si="55"/>
        <v>4262834</v>
      </c>
      <c r="AE300" s="6">
        <f t="shared" si="56"/>
        <v>0</v>
      </c>
    </row>
    <row r="301" spans="1:31" hidden="1">
      <c r="A301" s="11" t="s">
        <v>874</v>
      </c>
      <c r="B301" s="11"/>
      <c r="C301" s="11" t="s">
        <v>42</v>
      </c>
      <c r="E301" s="6">
        <v>0</v>
      </c>
      <c r="G301" s="6">
        <v>0</v>
      </c>
      <c r="I301" s="2">
        <f t="shared" si="57"/>
        <v>0</v>
      </c>
      <c r="K301" s="6">
        <v>0</v>
      </c>
      <c r="M301" s="2">
        <f t="shared" si="54"/>
        <v>0</v>
      </c>
      <c r="O301" s="6">
        <v>0</v>
      </c>
      <c r="Q301" s="6">
        <v>0</v>
      </c>
      <c r="S301" s="6">
        <v>0</v>
      </c>
      <c r="U301" s="6">
        <v>0</v>
      </c>
      <c r="W301" s="6">
        <v>0</v>
      </c>
      <c r="Y301" s="6">
        <v>0</v>
      </c>
      <c r="AA301" s="6">
        <v>0</v>
      </c>
      <c r="AC301" s="12">
        <f t="shared" si="55"/>
        <v>0</v>
      </c>
      <c r="AE301" s="6">
        <f t="shared" si="56"/>
        <v>0</v>
      </c>
    </row>
    <row r="302" spans="1:31">
      <c r="A302" s="11" t="s">
        <v>375</v>
      </c>
      <c r="B302" s="11"/>
      <c r="C302" s="11" t="s">
        <v>42</v>
      </c>
      <c r="E302" s="6">
        <v>6551966</v>
      </c>
      <c r="G302" s="6">
        <v>1025</v>
      </c>
      <c r="I302" s="2">
        <f t="shared" si="57"/>
        <v>5241967</v>
      </c>
      <c r="K302" s="6">
        <v>11794958</v>
      </c>
      <c r="M302" s="2">
        <f t="shared" si="54"/>
        <v>1787264</v>
      </c>
      <c r="O302" s="6">
        <v>4111927</v>
      </c>
      <c r="Q302" s="6">
        <v>5899191</v>
      </c>
      <c r="S302" s="6">
        <v>261993</v>
      </c>
      <c r="U302" s="6">
        <v>1025</v>
      </c>
      <c r="W302" s="6">
        <v>0</v>
      </c>
      <c r="Y302" s="6">
        <f>41742+426755</f>
        <v>468497</v>
      </c>
      <c r="AA302" s="6">
        <v>5164252</v>
      </c>
      <c r="AC302" s="12">
        <f t="shared" si="55"/>
        <v>5895767</v>
      </c>
      <c r="AE302" s="6">
        <f t="shared" si="56"/>
        <v>0</v>
      </c>
    </row>
    <row r="303" spans="1:31" hidden="1">
      <c r="A303" s="11" t="s">
        <v>682</v>
      </c>
      <c r="B303" s="11"/>
      <c r="C303" s="11" t="s">
        <v>10</v>
      </c>
      <c r="I303" s="2">
        <f t="shared" si="57"/>
        <v>0</v>
      </c>
      <c r="M303" s="2">
        <f t="shared" si="54"/>
        <v>0</v>
      </c>
      <c r="AC303" s="12">
        <f t="shared" si="55"/>
        <v>0</v>
      </c>
      <c r="AE303" s="6">
        <f t="shared" si="56"/>
        <v>0</v>
      </c>
    </row>
    <row r="304" spans="1:31">
      <c r="A304" s="11" t="s">
        <v>541</v>
      </c>
      <c r="B304" s="11"/>
      <c r="C304" s="11" t="s">
        <v>67</v>
      </c>
      <c r="E304" s="6">
        <v>10942259</v>
      </c>
      <c r="G304" s="6">
        <v>0</v>
      </c>
      <c r="I304" s="2">
        <f t="shared" si="57"/>
        <v>2354886</v>
      </c>
      <c r="K304" s="6">
        <v>13297145</v>
      </c>
      <c r="M304" s="2">
        <f t="shared" si="54"/>
        <v>726738</v>
      </c>
      <c r="O304" s="6">
        <f>146053+1999521</f>
        <v>2145574</v>
      </c>
      <c r="Q304" s="6">
        <v>2872312</v>
      </c>
      <c r="S304" s="6">
        <v>8189</v>
      </c>
      <c r="U304" s="6">
        <v>0</v>
      </c>
      <c r="W304" s="6">
        <v>0</v>
      </c>
      <c r="Y304" s="6">
        <f>300+26264+169</f>
        <v>26733</v>
      </c>
      <c r="AA304" s="6">
        <v>10389911</v>
      </c>
      <c r="AC304" s="12">
        <f t="shared" si="55"/>
        <v>10424833</v>
      </c>
      <c r="AE304" s="6">
        <f t="shared" si="56"/>
        <v>0</v>
      </c>
    </row>
    <row r="305" spans="1:31">
      <c r="A305" s="11" t="s">
        <v>766</v>
      </c>
      <c r="B305" s="11"/>
      <c r="C305" s="11" t="s">
        <v>112</v>
      </c>
      <c r="E305" s="6">
        <v>3675231</v>
      </c>
      <c r="G305" s="6">
        <v>0</v>
      </c>
      <c r="I305" s="2">
        <f t="shared" si="57"/>
        <v>1662395</v>
      </c>
      <c r="K305" s="6">
        <v>5337626</v>
      </c>
      <c r="M305" s="2">
        <f t="shared" si="54"/>
        <v>773280</v>
      </c>
      <c r="O305" s="6">
        <v>1585135</v>
      </c>
      <c r="Q305" s="6">
        <v>2358415</v>
      </c>
      <c r="S305" s="6">
        <v>2276</v>
      </c>
      <c r="U305" s="6">
        <v>21374</v>
      </c>
      <c r="W305" s="6">
        <v>0</v>
      </c>
      <c r="Y305" s="6">
        <v>73508</v>
      </c>
      <c r="AA305" s="6">
        <v>2882053</v>
      </c>
      <c r="AC305" s="12">
        <f t="shared" si="55"/>
        <v>2979211</v>
      </c>
      <c r="AE305" s="6">
        <f t="shared" si="56"/>
        <v>0</v>
      </c>
    </row>
    <row r="306" spans="1:31">
      <c r="A306" s="11" t="s">
        <v>545</v>
      </c>
      <c r="B306" s="11"/>
      <c r="C306" s="11" t="s">
        <v>69</v>
      </c>
      <c r="E306" s="6">
        <v>9006495</v>
      </c>
      <c r="G306" s="6">
        <v>0</v>
      </c>
      <c r="I306" s="2">
        <f t="shared" si="57"/>
        <v>28663141</v>
      </c>
      <c r="K306" s="6">
        <v>37669636</v>
      </c>
      <c r="M306" s="2">
        <f t="shared" si="54"/>
        <v>11131015</v>
      </c>
      <c r="O306" s="6">
        <v>27029424</v>
      </c>
      <c r="Q306" s="6">
        <v>38160439</v>
      </c>
      <c r="S306" s="6">
        <v>0</v>
      </c>
      <c r="U306" s="6">
        <v>0</v>
      </c>
      <c r="W306" s="6">
        <v>0</v>
      </c>
      <c r="Y306" s="6">
        <v>915473</v>
      </c>
      <c r="AA306" s="6">
        <v>-1406276</v>
      </c>
      <c r="AC306" s="12">
        <f t="shared" si="55"/>
        <v>-490803</v>
      </c>
      <c r="AE306" s="6">
        <f t="shared" si="56"/>
        <v>0</v>
      </c>
    </row>
    <row r="307" spans="1:31" hidden="1">
      <c r="A307" s="11" t="s">
        <v>800</v>
      </c>
      <c r="B307" s="11"/>
      <c r="C307" s="11" t="s">
        <v>32</v>
      </c>
      <c r="E307" s="6">
        <v>0</v>
      </c>
      <c r="G307" s="6">
        <v>0</v>
      </c>
      <c r="I307" s="2">
        <f t="shared" si="57"/>
        <v>0</v>
      </c>
      <c r="K307" s="6">
        <v>0</v>
      </c>
      <c r="M307" s="2">
        <f t="shared" si="54"/>
        <v>0</v>
      </c>
      <c r="O307" s="6">
        <v>0</v>
      </c>
      <c r="Q307" s="6">
        <v>0</v>
      </c>
      <c r="S307" s="6">
        <v>0</v>
      </c>
      <c r="U307" s="6">
        <v>0</v>
      </c>
      <c r="W307" s="6">
        <v>0</v>
      </c>
      <c r="Y307" s="6">
        <v>0</v>
      </c>
      <c r="AA307" s="6">
        <v>0</v>
      </c>
      <c r="AC307" s="12">
        <f t="shared" si="55"/>
        <v>0</v>
      </c>
      <c r="AE307" s="6">
        <f t="shared" si="56"/>
        <v>0</v>
      </c>
    </row>
    <row r="308" spans="1:31">
      <c r="A308" s="11" t="s">
        <v>453</v>
      </c>
      <c r="B308" s="11"/>
      <c r="C308" s="11" t="s">
        <v>54</v>
      </c>
      <c r="E308" s="6">
        <v>6520349</v>
      </c>
      <c r="G308" s="6">
        <v>0</v>
      </c>
      <c r="I308" s="2">
        <f t="shared" si="57"/>
        <v>8560456</v>
      </c>
      <c r="K308" s="6">
        <v>15080805</v>
      </c>
      <c r="M308" s="2">
        <f t="shared" si="54"/>
        <v>-54868829</v>
      </c>
      <c r="O308" s="6">
        <f>668729+63547966</f>
        <v>64216695</v>
      </c>
      <c r="Q308" s="6">
        <v>9347866</v>
      </c>
      <c r="S308" s="6">
        <v>0</v>
      </c>
      <c r="U308" s="6">
        <v>0</v>
      </c>
      <c r="W308" s="6">
        <v>0</v>
      </c>
      <c r="Y308" s="6">
        <f>25491+31883</f>
        <v>57374</v>
      </c>
      <c r="AA308" s="6">
        <v>5675565</v>
      </c>
      <c r="AC308" s="12">
        <f t="shared" si="55"/>
        <v>5732939</v>
      </c>
      <c r="AE308" s="6">
        <f t="shared" si="56"/>
        <v>0</v>
      </c>
    </row>
    <row r="309" spans="1:31">
      <c r="A309" s="11" t="s">
        <v>352</v>
      </c>
      <c r="B309" s="11"/>
      <c r="C309" s="11" t="s">
        <v>35</v>
      </c>
      <c r="E309" s="6">
        <v>8439482</v>
      </c>
      <c r="G309" s="6">
        <v>0</v>
      </c>
      <c r="I309" s="2">
        <f t="shared" si="57"/>
        <v>10405327</v>
      </c>
      <c r="K309" s="6">
        <v>18844809</v>
      </c>
      <c r="M309" s="2">
        <f t="shared" si="54"/>
        <v>4855619</v>
      </c>
      <c r="O309" s="6">
        <v>8793271</v>
      </c>
      <c r="Q309" s="6">
        <v>13648890</v>
      </c>
      <c r="S309" s="6">
        <v>162859</v>
      </c>
      <c r="U309" s="6">
        <v>0</v>
      </c>
      <c r="W309" s="6">
        <v>0</v>
      </c>
      <c r="Y309" s="6">
        <v>275859</v>
      </c>
      <c r="AA309" s="6">
        <v>4757201</v>
      </c>
      <c r="AC309" s="12">
        <f t="shared" si="55"/>
        <v>5195919</v>
      </c>
      <c r="AE309" s="6">
        <f t="shared" si="56"/>
        <v>0</v>
      </c>
    </row>
    <row r="310" spans="1:31">
      <c r="A310" s="11" t="s">
        <v>400</v>
      </c>
      <c r="B310" s="11"/>
      <c r="C310" s="11" t="s">
        <v>398</v>
      </c>
      <c r="E310" s="6">
        <v>1362600</v>
      </c>
      <c r="G310" s="6">
        <v>0</v>
      </c>
      <c r="I310" s="2">
        <f t="shared" si="57"/>
        <v>7628237</v>
      </c>
      <c r="K310" s="6">
        <v>8990837</v>
      </c>
      <c r="M310" s="2">
        <f t="shared" si="54"/>
        <v>2279956</v>
      </c>
      <c r="O310" s="6">
        <v>3633862</v>
      </c>
      <c r="Q310" s="6">
        <v>5913818</v>
      </c>
      <c r="S310" s="6">
        <v>0</v>
      </c>
      <c r="U310" s="6">
        <v>0</v>
      </c>
      <c r="W310" s="6">
        <v>286400</v>
      </c>
      <c r="Y310" s="6">
        <f>51537+11453+472215</f>
        <v>535205</v>
      </c>
      <c r="AA310" s="6">
        <v>2255414</v>
      </c>
      <c r="AC310" s="12">
        <f t="shared" si="55"/>
        <v>3077019</v>
      </c>
      <c r="AE310" s="6">
        <f t="shared" si="56"/>
        <v>0</v>
      </c>
    </row>
    <row r="311" spans="1:31">
      <c r="A311" s="11" t="s">
        <v>386</v>
      </c>
      <c r="B311" s="11"/>
      <c r="C311" s="11" t="s">
        <v>44</v>
      </c>
      <c r="E311" s="6">
        <f>2706082+4450063</f>
        <v>7156145</v>
      </c>
      <c r="G311" s="6">
        <v>0</v>
      </c>
      <c r="I311" s="2">
        <f t="shared" si="57"/>
        <v>22562554</v>
      </c>
      <c r="K311" s="6">
        <v>29718699</v>
      </c>
      <c r="M311" s="2">
        <f t="shared" si="54"/>
        <v>13388607</v>
      </c>
      <c r="O311" s="6">
        <v>17793354</v>
      </c>
      <c r="Q311" s="6">
        <v>31181961</v>
      </c>
      <c r="S311" s="6">
        <v>49547</v>
      </c>
      <c r="U311" s="6">
        <v>0</v>
      </c>
      <c r="W311" s="6">
        <v>0</v>
      </c>
      <c r="Y311" s="6">
        <v>7629</v>
      </c>
      <c r="AA311" s="6">
        <v>-1520438</v>
      </c>
      <c r="AC311" s="12">
        <f t="shared" si="55"/>
        <v>-1463262</v>
      </c>
      <c r="AE311" s="6">
        <f t="shared" si="56"/>
        <v>0</v>
      </c>
    </row>
    <row r="312" spans="1:31">
      <c r="A312" s="11" t="s">
        <v>527</v>
      </c>
      <c r="B312" s="11"/>
      <c r="C312" s="11" t="s">
        <v>64</v>
      </c>
      <c r="E312" s="6">
        <v>723567</v>
      </c>
      <c r="G312" s="6">
        <v>0</v>
      </c>
      <c r="I312" s="2">
        <f t="shared" si="57"/>
        <v>3589434</v>
      </c>
      <c r="K312" s="6">
        <v>4313001</v>
      </c>
      <c r="M312" s="2">
        <f t="shared" si="54"/>
        <v>638618</v>
      </c>
      <c r="O312" s="6">
        <f>3248157+330832</f>
        <v>3578989</v>
      </c>
      <c r="Q312" s="6">
        <v>4217607</v>
      </c>
      <c r="S312" s="6">
        <v>2221</v>
      </c>
      <c r="U312" s="6">
        <v>0</v>
      </c>
      <c r="W312" s="6">
        <v>0</v>
      </c>
      <c r="Y312" s="6">
        <f>5810+83364+25477+32469+9108+682</f>
        <v>156910</v>
      </c>
      <c r="AA312" s="6">
        <v>-63737</v>
      </c>
      <c r="AC312" s="12">
        <f t="shared" si="55"/>
        <v>95394</v>
      </c>
      <c r="AE312" s="6">
        <f t="shared" si="56"/>
        <v>0</v>
      </c>
    </row>
    <row r="313" spans="1:31">
      <c r="A313" s="11" t="s">
        <v>683</v>
      </c>
      <c r="B313" s="11"/>
      <c r="C313" s="11" t="s">
        <v>11</v>
      </c>
      <c r="E313" s="6">
        <v>2905176</v>
      </c>
      <c r="G313" s="6">
        <v>0</v>
      </c>
      <c r="I313" s="2">
        <f t="shared" si="57"/>
        <v>5359025</v>
      </c>
      <c r="K313" s="6">
        <v>8264201</v>
      </c>
      <c r="M313" s="2">
        <f t="shared" si="54"/>
        <v>1280503</v>
      </c>
      <c r="O313" s="6">
        <f>288683+3676133</f>
        <v>3964816</v>
      </c>
      <c r="Q313" s="6">
        <v>5245319</v>
      </c>
      <c r="S313" s="6">
        <f>45577+1252</f>
        <v>46829</v>
      </c>
      <c r="U313" s="6">
        <v>0</v>
      </c>
      <c r="W313" s="6">
        <f>21837+12017+11000+280351</f>
        <v>325205</v>
      </c>
      <c r="Y313" s="6">
        <f>3027+45018+725250+2290</f>
        <v>775585</v>
      </c>
      <c r="AA313" s="6">
        <v>1871263</v>
      </c>
      <c r="AC313" s="12">
        <f t="shared" si="55"/>
        <v>3018882</v>
      </c>
      <c r="AE313" s="6">
        <f t="shared" si="56"/>
        <v>0</v>
      </c>
    </row>
    <row r="314" spans="1:31">
      <c r="A314" s="11" t="s">
        <v>499</v>
      </c>
      <c r="B314" s="11"/>
      <c r="C314" s="11" t="s">
        <v>62</v>
      </c>
      <c r="E314" s="6">
        <v>2537822</v>
      </c>
      <c r="G314" s="6">
        <v>155763</v>
      </c>
      <c r="I314" s="2">
        <f t="shared" si="57"/>
        <v>6777015</v>
      </c>
      <c r="K314" s="6">
        <v>9470600</v>
      </c>
      <c r="M314" s="2">
        <f t="shared" si="54"/>
        <v>3408491</v>
      </c>
      <c r="O314" s="6">
        <v>6189208</v>
      </c>
      <c r="Q314" s="6">
        <v>9597699</v>
      </c>
      <c r="S314" s="6">
        <v>56914</v>
      </c>
      <c r="U314" s="6">
        <v>152422</v>
      </c>
      <c r="W314" s="6">
        <v>0</v>
      </c>
      <c r="Y314" s="6">
        <v>353287</v>
      </c>
      <c r="AA314" s="6">
        <v>-689722</v>
      </c>
      <c r="AC314" s="12">
        <f t="shared" si="55"/>
        <v>-127099</v>
      </c>
      <c r="AE314" s="6">
        <f t="shared" si="56"/>
        <v>0</v>
      </c>
    </row>
    <row r="315" spans="1:31">
      <c r="A315" s="11" t="s">
        <v>324</v>
      </c>
      <c r="B315" s="11"/>
      <c r="C315" s="11" t="s">
        <v>32</v>
      </c>
      <c r="E315" s="6">
        <v>4467009</v>
      </c>
      <c r="G315" s="6">
        <v>0</v>
      </c>
      <c r="I315" s="2">
        <f t="shared" si="57"/>
        <v>24589013</v>
      </c>
      <c r="K315" s="6">
        <v>29056022</v>
      </c>
      <c r="M315" s="2">
        <f t="shared" si="54"/>
        <v>5616077</v>
      </c>
      <c r="O315" s="6">
        <v>17870051</v>
      </c>
      <c r="Q315" s="6">
        <v>23486128</v>
      </c>
      <c r="S315" s="6">
        <v>0</v>
      </c>
      <c r="U315" s="6">
        <v>0</v>
      </c>
      <c r="W315" s="6">
        <v>0</v>
      </c>
      <c r="Y315" s="6">
        <v>3549098</v>
      </c>
      <c r="AA315" s="6">
        <v>2020796</v>
      </c>
      <c r="AC315" s="12">
        <f t="shared" si="55"/>
        <v>5569894</v>
      </c>
      <c r="AE315" s="6">
        <f t="shared" si="56"/>
        <v>0</v>
      </c>
    </row>
    <row r="316" spans="1:31">
      <c r="A316" s="11" t="s">
        <v>684</v>
      </c>
      <c r="B316" s="11"/>
      <c r="C316" s="11" t="s">
        <v>45</v>
      </c>
      <c r="E316" s="6">
        <v>1841076</v>
      </c>
      <c r="G316" s="6">
        <v>0</v>
      </c>
      <c r="I316" s="2">
        <f t="shared" si="57"/>
        <v>1532267</v>
      </c>
      <c r="K316" s="6">
        <v>3373343</v>
      </c>
      <c r="M316" s="2">
        <f t="shared" si="54"/>
        <v>498042</v>
      </c>
      <c r="O316" s="6">
        <f>108367+701960</f>
        <v>810327</v>
      </c>
      <c r="Q316" s="6">
        <v>1308369</v>
      </c>
      <c r="S316" s="6">
        <v>716957</v>
      </c>
      <c r="U316" s="6">
        <v>0</v>
      </c>
      <c r="W316" s="6">
        <v>298887</v>
      </c>
      <c r="Y316" s="6">
        <f>503+32127+562566+1232+452702</f>
        <v>1049130</v>
      </c>
      <c r="AA316" s="6">
        <v>0</v>
      </c>
      <c r="AC316" s="12">
        <f t="shared" si="55"/>
        <v>2064974</v>
      </c>
      <c r="AE316" s="6">
        <f t="shared" si="56"/>
        <v>0</v>
      </c>
    </row>
    <row r="317" spans="1:31">
      <c r="A317" s="11" t="s">
        <v>801</v>
      </c>
      <c r="B317" s="11"/>
      <c r="C317" s="11" t="s">
        <v>110</v>
      </c>
      <c r="E317" s="6">
        <v>4240433</v>
      </c>
      <c r="G317" s="6">
        <v>0</v>
      </c>
      <c r="I317" s="2">
        <f t="shared" si="57"/>
        <v>2562049</v>
      </c>
      <c r="K317" s="6">
        <v>6802482</v>
      </c>
      <c r="M317" s="2">
        <f t="shared" si="54"/>
        <v>499738</v>
      </c>
      <c r="O317" s="6">
        <f>110508+1861591</f>
        <v>1972099</v>
      </c>
      <c r="Q317" s="6">
        <v>2471837</v>
      </c>
      <c r="S317" s="6">
        <v>27403</v>
      </c>
      <c r="U317" s="6">
        <v>0</v>
      </c>
      <c r="W317" s="6">
        <v>0</v>
      </c>
      <c r="Y317" s="6">
        <f>1906+4883+156689</f>
        <v>163478</v>
      </c>
      <c r="AA317" s="6">
        <v>4139764</v>
      </c>
      <c r="AC317" s="12">
        <f t="shared" si="55"/>
        <v>4330645</v>
      </c>
      <c r="AE317" s="6">
        <f t="shared" si="56"/>
        <v>0</v>
      </c>
    </row>
    <row r="318" spans="1:31">
      <c r="A318" s="11" t="s">
        <v>351</v>
      </c>
      <c r="B318" s="11"/>
      <c r="C318" s="11" t="s">
        <v>348</v>
      </c>
      <c r="E318" s="6">
        <v>7554260</v>
      </c>
      <c r="G318" s="6">
        <v>0</v>
      </c>
      <c r="I318" s="2">
        <f t="shared" si="57"/>
        <v>2083463</v>
      </c>
      <c r="K318" s="6">
        <v>9637723</v>
      </c>
      <c r="M318" s="2">
        <f t="shared" si="54"/>
        <v>1201155</v>
      </c>
      <c r="O318" s="6">
        <v>1961545</v>
      </c>
      <c r="Q318" s="6">
        <v>3162700</v>
      </c>
      <c r="S318" s="6">
        <v>0</v>
      </c>
      <c r="U318" s="6">
        <v>0</v>
      </c>
      <c r="W318" s="6">
        <v>11000</v>
      </c>
      <c r="Y318" s="6">
        <v>309854</v>
      </c>
      <c r="AA318" s="6">
        <v>6154169</v>
      </c>
      <c r="AC318" s="12">
        <f t="shared" si="55"/>
        <v>6475023</v>
      </c>
      <c r="AE318" s="6">
        <f t="shared" si="56"/>
        <v>0</v>
      </c>
    </row>
    <row r="319" spans="1:31">
      <c r="A319" s="11" t="s">
        <v>711</v>
      </c>
      <c r="B319" s="11"/>
      <c r="C319" s="11" t="s">
        <v>50</v>
      </c>
      <c r="E319" s="6">
        <v>10565884</v>
      </c>
      <c r="G319" s="6">
        <v>0</v>
      </c>
      <c r="I319" s="2">
        <f t="shared" si="57"/>
        <v>9989134</v>
      </c>
      <c r="K319" s="6">
        <v>20555018</v>
      </c>
      <c r="M319" s="2">
        <f t="shared" si="54"/>
        <v>4088979</v>
      </c>
      <c r="O319" s="6">
        <v>9030886</v>
      </c>
      <c r="Q319" s="6">
        <v>13119865</v>
      </c>
      <c r="S319" s="6">
        <v>0</v>
      </c>
      <c r="U319" s="6">
        <v>0</v>
      </c>
      <c r="W319" s="6">
        <v>131433</v>
      </c>
      <c r="Y319" s="6">
        <v>541941</v>
      </c>
      <c r="AA319" s="6">
        <v>6761779</v>
      </c>
      <c r="AC319" s="12">
        <f t="shared" si="55"/>
        <v>7435153</v>
      </c>
      <c r="AE319" s="6">
        <f t="shared" si="56"/>
        <v>0</v>
      </c>
    </row>
    <row r="320" spans="1:31">
      <c r="A320" s="11" t="s">
        <v>325</v>
      </c>
      <c r="B320" s="11"/>
      <c r="C320" s="11" t="s">
        <v>32</v>
      </c>
      <c r="E320" s="6">
        <v>6525523</v>
      </c>
      <c r="G320" s="6">
        <v>0</v>
      </c>
      <c r="I320" s="2">
        <f t="shared" si="57"/>
        <v>13530315</v>
      </c>
      <c r="K320" s="6">
        <v>20055838</v>
      </c>
      <c r="M320" s="2">
        <f t="shared" si="54"/>
        <v>2350555</v>
      </c>
      <c r="O320" s="6">
        <v>9098405</v>
      </c>
      <c r="Q320" s="6">
        <v>11448960</v>
      </c>
      <c r="S320" s="6">
        <v>0</v>
      </c>
      <c r="U320" s="6">
        <v>0</v>
      </c>
      <c r="W320" s="6">
        <v>0</v>
      </c>
      <c r="Y320" s="6">
        <v>31563</v>
      </c>
      <c r="AA320" s="6">
        <v>8575315</v>
      </c>
      <c r="AC320" s="12">
        <f t="shared" si="55"/>
        <v>8606878</v>
      </c>
      <c r="AE320" s="6">
        <f t="shared" si="56"/>
        <v>0</v>
      </c>
    </row>
    <row r="321" spans="1:31">
      <c r="A321" s="11" t="s">
        <v>224</v>
      </c>
      <c r="B321" s="11"/>
      <c r="C321" s="11" t="s">
        <v>221</v>
      </c>
      <c r="E321" s="6">
        <v>2148176</v>
      </c>
      <c r="G321" s="6">
        <v>0</v>
      </c>
      <c r="I321" s="2">
        <f t="shared" si="57"/>
        <v>4391351</v>
      </c>
      <c r="K321" s="6">
        <v>6539527</v>
      </c>
      <c r="M321" s="2">
        <f t="shared" si="54"/>
        <v>1309367</v>
      </c>
      <c r="O321" s="6">
        <v>4030064</v>
      </c>
      <c r="Q321" s="6">
        <v>5339431</v>
      </c>
      <c r="S321" s="6">
        <v>0</v>
      </c>
      <c r="U321" s="6">
        <v>18980</v>
      </c>
      <c r="W321" s="6">
        <v>0</v>
      </c>
      <c r="Y321" s="6">
        <v>129467</v>
      </c>
      <c r="AA321" s="6">
        <v>1051649</v>
      </c>
      <c r="AC321" s="12">
        <f t="shared" si="55"/>
        <v>1200096</v>
      </c>
      <c r="AE321" s="6">
        <f t="shared" si="56"/>
        <v>0</v>
      </c>
    </row>
    <row r="322" spans="1:31" hidden="1">
      <c r="A322" s="11" t="s">
        <v>730</v>
      </c>
      <c r="B322" s="11"/>
      <c r="C322" s="11" t="s">
        <v>41</v>
      </c>
      <c r="E322" s="6">
        <v>0</v>
      </c>
      <c r="G322" s="6">
        <v>0</v>
      </c>
      <c r="I322" s="2">
        <f t="shared" si="57"/>
        <v>0</v>
      </c>
      <c r="K322" s="6">
        <v>0</v>
      </c>
      <c r="M322" s="2">
        <f t="shared" si="54"/>
        <v>0</v>
      </c>
      <c r="O322" s="6">
        <v>0</v>
      </c>
      <c r="Q322" s="6">
        <v>0</v>
      </c>
      <c r="S322" s="6">
        <v>0</v>
      </c>
      <c r="U322" s="6">
        <v>0</v>
      </c>
      <c r="W322" s="6">
        <v>0</v>
      </c>
      <c r="Y322" s="6">
        <v>0</v>
      </c>
      <c r="AA322" s="6">
        <v>0</v>
      </c>
      <c r="AC322" s="12">
        <f t="shared" si="55"/>
        <v>0</v>
      </c>
      <c r="AE322" s="6">
        <f t="shared" si="56"/>
        <v>0</v>
      </c>
    </row>
    <row r="323" spans="1:31">
      <c r="A323" s="11" t="s">
        <v>224</v>
      </c>
      <c r="B323" s="11"/>
      <c r="C323" s="11" t="s">
        <v>110</v>
      </c>
      <c r="E323" s="6">
        <v>6405276</v>
      </c>
      <c r="G323" s="6">
        <v>0</v>
      </c>
      <c r="I323" s="2">
        <f t="shared" si="57"/>
        <v>9898461</v>
      </c>
      <c r="K323" s="6">
        <v>16303737</v>
      </c>
      <c r="M323" s="2">
        <f t="shared" si="54"/>
        <v>3156460</v>
      </c>
      <c r="O323" s="6">
        <f>1498805+6856147</f>
        <v>8354952</v>
      </c>
      <c r="Q323" s="6">
        <v>11511412</v>
      </c>
      <c r="S323" s="6">
        <v>0</v>
      </c>
      <c r="U323" s="6">
        <v>0</v>
      </c>
      <c r="W323" s="6">
        <v>0</v>
      </c>
      <c r="Y323" s="6">
        <f>5750+60238+2391566+51483+65130</f>
        <v>2574167</v>
      </c>
      <c r="AA323" s="6">
        <v>2218158</v>
      </c>
      <c r="AC323" s="12">
        <f t="shared" si="55"/>
        <v>4792325</v>
      </c>
      <c r="AE323" s="6">
        <f t="shared" si="56"/>
        <v>0</v>
      </c>
    </row>
    <row r="324" spans="1:31">
      <c r="A324" s="11" t="s">
        <v>694</v>
      </c>
      <c r="B324" s="11"/>
      <c r="C324" s="11" t="s">
        <v>398</v>
      </c>
      <c r="E324" s="6">
        <v>6435154</v>
      </c>
      <c r="G324" s="6">
        <v>0</v>
      </c>
      <c r="I324" s="2">
        <f t="shared" si="57"/>
        <v>5552702</v>
      </c>
      <c r="K324" s="6">
        <v>11987856</v>
      </c>
      <c r="M324" s="2">
        <f t="shared" si="54"/>
        <v>1579012</v>
      </c>
      <c r="O324" s="6">
        <v>4059485</v>
      </c>
      <c r="Q324" s="6">
        <v>5638497</v>
      </c>
      <c r="S324" s="6">
        <v>0</v>
      </c>
      <c r="U324" s="6">
        <v>0</v>
      </c>
      <c r="W324" s="6">
        <v>970</v>
      </c>
      <c r="Y324" s="6">
        <v>288521</v>
      </c>
      <c r="AA324" s="6">
        <v>6059868</v>
      </c>
      <c r="AC324" s="12">
        <f t="shared" si="55"/>
        <v>6349359</v>
      </c>
      <c r="AE324" s="6">
        <f t="shared" si="56"/>
        <v>0</v>
      </c>
    </row>
    <row r="325" spans="1:31">
      <c r="A325" s="11" t="s">
        <v>605</v>
      </c>
      <c r="B325" s="11"/>
      <c r="C325" s="11" t="s">
        <v>200</v>
      </c>
      <c r="E325" s="6">
        <v>4635858</v>
      </c>
      <c r="G325" s="6">
        <v>0</v>
      </c>
      <c r="I325" s="2">
        <f t="shared" si="57"/>
        <v>6910073</v>
      </c>
      <c r="K325" s="6">
        <v>11545931</v>
      </c>
      <c r="M325" s="2">
        <f t="shared" si="54"/>
        <v>851998</v>
      </c>
      <c r="O325" s="6">
        <v>6713926</v>
      </c>
      <c r="Q325" s="6">
        <v>7565924</v>
      </c>
      <c r="S325" s="6">
        <v>47128</v>
      </c>
      <c r="U325" s="6">
        <v>0</v>
      </c>
      <c r="W325" s="6">
        <v>0</v>
      </c>
      <c r="Y325" s="6">
        <v>0</v>
      </c>
      <c r="AA325" s="6">
        <v>3932879</v>
      </c>
      <c r="AC325" s="12">
        <f t="shared" si="55"/>
        <v>3980007</v>
      </c>
      <c r="AE325" s="6">
        <f t="shared" si="56"/>
        <v>0</v>
      </c>
    </row>
    <row r="326" spans="1:31" hidden="1">
      <c r="A326" s="11" t="s">
        <v>805</v>
      </c>
      <c r="B326" s="11"/>
      <c r="C326" s="11" t="s">
        <v>63</v>
      </c>
      <c r="E326" s="6">
        <v>0</v>
      </c>
      <c r="G326" s="6">
        <v>0</v>
      </c>
      <c r="I326" s="2">
        <f t="shared" ref="I326" si="58">+K326-G326-E326</f>
        <v>0</v>
      </c>
      <c r="K326" s="6">
        <v>0</v>
      </c>
      <c r="M326" s="2">
        <f t="shared" ref="M326" si="59">+Q326-O326</f>
        <v>0</v>
      </c>
      <c r="O326" s="6">
        <v>0</v>
      </c>
      <c r="Q326" s="6">
        <v>0</v>
      </c>
      <c r="S326" s="6">
        <v>0</v>
      </c>
      <c r="U326" s="6">
        <v>0</v>
      </c>
      <c r="W326" s="6">
        <v>0</v>
      </c>
      <c r="Y326" s="6">
        <v>0</v>
      </c>
      <c r="AA326" s="6">
        <v>0</v>
      </c>
      <c r="AC326" s="12">
        <f t="shared" ref="AC326" si="60">+W326+U326++S326+Y326+AA326</f>
        <v>0</v>
      </c>
      <c r="AE326" s="6">
        <f t="shared" ref="AE326" si="61">+E326+G326+I326-M326-O326-W326-U326-S326-Y326-AA326</f>
        <v>0</v>
      </c>
    </row>
    <row r="327" spans="1:31">
      <c r="A327" s="11" t="s">
        <v>469</v>
      </c>
      <c r="B327" s="11"/>
      <c r="C327" s="11" t="s">
        <v>110</v>
      </c>
      <c r="E327" s="6">
        <v>2446962</v>
      </c>
      <c r="G327" s="6">
        <v>4982</v>
      </c>
      <c r="I327" s="2">
        <f t="shared" si="57"/>
        <v>21369344</v>
      </c>
      <c r="K327" s="6">
        <v>23821288</v>
      </c>
      <c r="M327" s="2">
        <f t="shared" si="54"/>
        <v>5256431</v>
      </c>
      <c r="O327" s="6">
        <f>13108051+5623095</f>
        <v>18731146</v>
      </c>
      <c r="Q327" s="6">
        <v>23987577</v>
      </c>
      <c r="S327" s="6">
        <f>151325+22415</f>
        <v>173740</v>
      </c>
      <c r="U327" s="6">
        <v>4982</v>
      </c>
      <c r="W327" s="6">
        <v>0</v>
      </c>
      <c r="Y327" s="6">
        <v>0</v>
      </c>
      <c r="AA327" s="6">
        <v>-345011</v>
      </c>
      <c r="AC327" s="12">
        <f t="shared" si="55"/>
        <v>-166289</v>
      </c>
      <c r="AE327" s="6">
        <f t="shared" si="56"/>
        <v>0</v>
      </c>
    </row>
    <row r="328" spans="1:31">
      <c r="A328" s="11" t="s">
        <v>722</v>
      </c>
      <c r="B328" s="11"/>
      <c r="C328" s="11" t="s">
        <v>20</v>
      </c>
      <c r="E328" s="6">
        <v>370730</v>
      </c>
      <c r="G328" s="6">
        <v>0</v>
      </c>
      <c r="I328" s="2">
        <f t="shared" si="57"/>
        <v>16190785</v>
      </c>
      <c r="K328" s="6">
        <v>16561515</v>
      </c>
      <c r="M328" s="2">
        <f t="shared" si="54"/>
        <v>4165149</v>
      </c>
      <c r="O328" s="6">
        <v>13913195</v>
      </c>
      <c r="Q328" s="6">
        <v>18078344</v>
      </c>
      <c r="S328" s="6">
        <v>0</v>
      </c>
      <c r="U328" s="6">
        <v>0</v>
      </c>
      <c r="W328" s="6">
        <v>0</v>
      </c>
      <c r="Y328" s="6">
        <v>59005</v>
      </c>
      <c r="AA328" s="6">
        <v>-1575834</v>
      </c>
      <c r="AC328" s="12">
        <f t="shared" si="55"/>
        <v>-1516829</v>
      </c>
      <c r="AE328" s="6">
        <f t="shared" si="56"/>
        <v>0</v>
      </c>
    </row>
    <row r="329" spans="1:31">
      <c r="A329" s="11" t="s">
        <v>205</v>
      </c>
      <c r="B329" s="11"/>
      <c r="C329" s="11" t="s">
        <v>11</v>
      </c>
      <c r="E329" s="6">
        <f>1765750+5112</f>
        <v>1770862</v>
      </c>
      <c r="G329" s="6">
        <v>0</v>
      </c>
      <c r="I329" s="2">
        <f t="shared" si="57"/>
        <v>2467567</v>
      </c>
      <c r="K329" s="6">
        <v>4238429</v>
      </c>
      <c r="M329" s="2">
        <f t="shared" si="54"/>
        <v>794931</v>
      </c>
      <c r="O329" s="6">
        <f>1728854+197755</f>
        <v>1926609</v>
      </c>
      <c r="Q329" s="6">
        <v>2721540</v>
      </c>
      <c r="S329" s="6">
        <v>6744</v>
      </c>
      <c r="U329" s="6">
        <v>0</v>
      </c>
      <c r="W329" s="6">
        <v>2491</v>
      </c>
      <c r="Y329" s="6">
        <f>4284+2366+2337+13929+449550</f>
        <v>472466</v>
      </c>
      <c r="AA329" s="6">
        <v>1035188</v>
      </c>
      <c r="AC329" s="12">
        <f t="shared" si="55"/>
        <v>1516889</v>
      </c>
      <c r="AE329" s="6">
        <f t="shared" si="56"/>
        <v>0</v>
      </c>
    </row>
    <row r="330" spans="1:31">
      <c r="A330" s="11" t="s">
        <v>528</v>
      </c>
      <c r="B330" s="11"/>
      <c r="C330" s="11" t="s">
        <v>64</v>
      </c>
      <c r="E330" s="6">
        <v>3004546</v>
      </c>
      <c r="G330" s="6">
        <v>0</v>
      </c>
      <c r="I330" s="2">
        <f t="shared" si="57"/>
        <v>2508082</v>
      </c>
      <c r="K330" s="6">
        <v>5512628</v>
      </c>
      <c r="M330" s="2">
        <f t="shared" si="54"/>
        <v>801178</v>
      </c>
      <c r="O330" s="6">
        <v>2490950</v>
      </c>
      <c r="Q330" s="6">
        <v>3292128</v>
      </c>
      <c r="S330" s="6">
        <v>2228</v>
      </c>
      <c r="U330" s="6">
        <v>0</v>
      </c>
      <c r="W330" s="6">
        <v>0</v>
      </c>
      <c r="Y330" s="6">
        <v>36530</v>
      </c>
      <c r="AA330" s="6">
        <v>2181742</v>
      </c>
      <c r="AC330" s="12">
        <f t="shared" si="55"/>
        <v>2220500</v>
      </c>
      <c r="AE330" s="6">
        <f t="shared" si="56"/>
        <v>0</v>
      </c>
    </row>
    <row r="331" spans="1:31">
      <c r="A331" s="11" t="s">
        <v>288</v>
      </c>
      <c r="B331" s="11"/>
      <c r="C331" s="11" t="s">
        <v>24</v>
      </c>
      <c r="E331" s="6">
        <v>1118846</v>
      </c>
      <c r="G331" s="6">
        <v>0</v>
      </c>
      <c r="I331" s="2">
        <f t="shared" si="57"/>
        <v>5983921</v>
      </c>
      <c r="K331" s="6">
        <v>7102767</v>
      </c>
      <c r="M331" s="2">
        <f t="shared" si="54"/>
        <v>1226805</v>
      </c>
      <c r="O331" s="6">
        <f>4662953+461274</f>
        <v>5124227</v>
      </c>
      <c r="Q331" s="6">
        <v>6351032</v>
      </c>
      <c r="S331" s="6">
        <v>0</v>
      </c>
      <c r="U331" s="6">
        <v>0</v>
      </c>
      <c r="W331" s="6">
        <v>0</v>
      </c>
      <c r="Y331" s="6">
        <f>1873+90867</f>
        <v>92740</v>
      </c>
      <c r="AA331" s="6">
        <v>658995</v>
      </c>
      <c r="AC331" s="12">
        <f t="shared" si="55"/>
        <v>751735</v>
      </c>
      <c r="AE331" s="6">
        <f t="shared" si="56"/>
        <v>0</v>
      </c>
    </row>
    <row r="332" spans="1:31">
      <c r="A332" s="11" t="s">
        <v>326</v>
      </c>
      <c r="B332" s="11"/>
      <c r="C332" s="11" t="s">
        <v>32</v>
      </c>
      <c r="E332" s="6">
        <v>4302797</v>
      </c>
      <c r="G332" s="6">
        <v>140000</v>
      </c>
      <c r="I332" s="2">
        <f t="shared" si="57"/>
        <v>17407935</v>
      </c>
      <c r="K332" s="6">
        <v>21850732</v>
      </c>
      <c r="M332" s="2">
        <f t="shared" si="54"/>
        <v>2290780</v>
      </c>
      <c r="O332" s="6">
        <v>8630886</v>
      </c>
      <c r="Q332" s="6">
        <v>10921666</v>
      </c>
      <c r="S332" s="6">
        <v>0</v>
      </c>
      <c r="U332" s="6">
        <v>140000</v>
      </c>
      <c r="W332" s="6">
        <v>161178</v>
      </c>
      <c r="Y332" s="6">
        <v>0</v>
      </c>
      <c r="AA332" s="6">
        <v>10627888</v>
      </c>
      <c r="AC332" s="12">
        <f t="shared" si="55"/>
        <v>10929066</v>
      </c>
      <c r="AE332" s="6">
        <f t="shared" si="56"/>
        <v>0</v>
      </c>
    </row>
    <row r="333" spans="1:31" hidden="1">
      <c r="A333" s="11" t="s">
        <v>612</v>
      </c>
      <c r="B333" s="11"/>
      <c r="C333" s="11" t="s">
        <v>70</v>
      </c>
      <c r="E333" s="6">
        <v>0</v>
      </c>
      <c r="G333" s="6">
        <v>0</v>
      </c>
      <c r="I333" s="2">
        <f t="shared" si="57"/>
        <v>0</v>
      </c>
      <c r="K333" s="6">
        <v>0</v>
      </c>
      <c r="M333" s="2">
        <f t="shared" si="54"/>
        <v>0</v>
      </c>
      <c r="O333" s="6">
        <v>0</v>
      </c>
      <c r="Q333" s="6">
        <v>0</v>
      </c>
      <c r="S333" s="6">
        <v>0</v>
      </c>
      <c r="U333" s="6">
        <v>0</v>
      </c>
      <c r="W333" s="6">
        <v>0</v>
      </c>
      <c r="Y333" s="6">
        <v>0</v>
      </c>
      <c r="AA333" s="6">
        <v>0</v>
      </c>
      <c r="AC333" s="12">
        <f t="shared" si="55"/>
        <v>0</v>
      </c>
      <c r="AE333" s="6">
        <f t="shared" si="56"/>
        <v>0</v>
      </c>
    </row>
    <row r="334" spans="1:31">
      <c r="A334" s="11" t="s">
        <v>410</v>
      </c>
      <c r="B334" s="11"/>
      <c r="C334" s="11" t="s">
        <v>46</v>
      </c>
      <c r="E334" s="6">
        <v>14940214</v>
      </c>
      <c r="G334" s="6">
        <v>0</v>
      </c>
      <c r="I334" s="2">
        <f t="shared" si="57"/>
        <v>12339256</v>
      </c>
      <c r="K334" s="6">
        <v>27279470</v>
      </c>
      <c r="M334" s="2">
        <f t="shared" si="54"/>
        <v>5361055</v>
      </c>
      <c r="O334" s="6">
        <v>8196407</v>
      </c>
      <c r="Q334" s="6">
        <v>13557462</v>
      </c>
      <c r="S334" s="6">
        <v>132937</v>
      </c>
      <c r="U334" s="6">
        <v>0</v>
      </c>
      <c r="W334" s="6">
        <v>0</v>
      </c>
      <c r="Y334" s="6">
        <v>326111</v>
      </c>
      <c r="AA334" s="6">
        <v>13262960</v>
      </c>
      <c r="AC334" s="12">
        <f t="shared" si="55"/>
        <v>13722008</v>
      </c>
      <c r="AE334" s="6">
        <f t="shared" si="56"/>
        <v>0</v>
      </c>
    </row>
    <row r="335" spans="1:31" hidden="1">
      <c r="A335" s="11" t="s">
        <v>685</v>
      </c>
      <c r="B335" s="11"/>
      <c r="C335" s="11" t="s">
        <v>422</v>
      </c>
      <c r="E335" s="6">
        <v>0</v>
      </c>
      <c r="G335" s="6">
        <v>0</v>
      </c>
      <c r="I335" s="2">
        <f t="shared" si="57"/>
        <v>0</v>
      </c>
      <c r="K335" s="6">
        <v>0</v>
      </c>
      <c r="M335" s="2">
        <f t="shared" si="54"/>
        <v>0</v>
      </c>
      <c r="O335" s="6">
        <v>0</v>
      </c>
      <c r="Q335" s="6">
        <v>0</v>
      </c>
      <c r="S335" s="6">
        <v>0</v>
      </c>
      <c r="U335" s="6">
        <v>0</v>
      </c>
      <c r="W335" s="6">
        <v>0</v>
      </c>
      <c r="Y335" s="6">
        <v>0</v>
      </c>
      <c r="AA335" s="6">
        <v>0</v>
      </c>
      <c r="AC335" s="12">
        <f t="shared" si="55"/>
        <v>0</v>
      </c>
      <c r="AE335" s="6">
        <f t="shared" si="56"/>
        <v>0</v>
      </c>
    </row>
    <row r="336" spans="1:31">
      <c r="A336" s="11" t="s">
        <v>500</v>
      </c>
      <c r="B336" s="11"/>
      <c r="C336" s="11" t="s">
        <v>62</v>
      </c>
      <c r="E336" s="6">
        <v>8477155</v>
      </c>
      <c r="G336" s="6">
        <v>0</v>
      </c>
      <c r="I336" s="2">
        <f t="shared" si="57"/>
        <v>8833452</v>
      </c>
      <c r="K336" s="6">
        <v>17310607</v>
      </c>
      <c r="M336" s="2">
        <f t="shared" si="54"/>
        <v>2128217</v>
      </c>
      <c r="O336" s="6">
        <f>7556699+429211</f>
        <v>7985910</v>
      </c>
      <c r="Q336" s="6">
        <v>10114127</v>
      </c>
      <c r="S336" s="6">
        <f>130630+13513</f>
        <v>144143</v>
      </c>
      <c r="U336" s="6">
        <v>0</v>
      </c>
      <c r="W336" s="6">
        <f>342331+10000</f>
        <v>352331</v>
      </c>
      <c r="Y336" s="6">
        <f>299697+121984+4439+1781396</f>
        <v>2207516</v>
      </c>
      <c r="AA336" s="6">
        <v>4492490</v>
      </c>
      <c r="AC336" s="12">
        <f t="shared" si="55"/>
        <v>7196480</v>
      </c>
      <c r="AE336" s="6">
        <f t="shared" si="56"/>
        <v>0</v>
      </c>
    </row>
    <row r="337" spans="1:31">
      <c r="A337" s="11" t="s">
        <v>216</v>
      </c>
      <c r="B337" s="11"/>
      <c r="C337" s="11" t="s">
        <v>15</v>
      </c>
      <c r="E337" s="6">
        <v>280836</v>
      </c>
      <c r="G337" s="6">
        <v>11000</v>
      </c>
      <c r="I337" s="2">
        <f t="shared" si="57"/>
        <v>2973391</v>
      </c>
      <c r="K337" s="6">
        <v>3265227</v>
      </c>
      <c r="M337" s="2">
        <f t="shared" si="54"/>
        <v>1369693</v>
      </c>
      <c r="O337" s="6">
        <v>2580628</v>
      </c>
      <c r="Q337" s="6">
        <v>3950321</v>
      </c>
      <c r="S337" s="6">
        <v>22044</v>
      </c>
      <c r="U337" s="6">
        <v>11000</v>
      </c>
      <c r="W337" s="6">
        <v>0</v>
      </c>
      <c r="Y337" s="6">
        <v>0</v>
      </c>
      <c r="AA337" s="6">
        <v>-718138</v>
      </c>
      <c r="AC337" s="12">
        <f t="shared" si="55"/>
        <v>-685094</v>
      </c>
      <c r="AE337" s="6">
        <f t="shared" si="56"/>
        <v>0</v>
      </c>
    </row>
    <row r="338" spans="1:31">
      <c r="A338" s="11" t="s">
        <v>767</v>
      </c>
      <c r="B338" s="11"/>
      <c r="C338" s="11" t="s">
        <v>66</v>
      </c>
      <c r="E338" s="6">
        <v>3226765</v>
      </c>
      <c r="G338" s="6">
        <v>0</v>
      </c>
      <c r="I338" s="2">
        <f t="shared" si="57"/>
        <v>22225979</v>
      </c>
      <c r="K338" s="6">
        <v>25452744</v>
      </c>
      <c r="M338" s="2">
        <f t="shared" si="54"/>
        <v>7080650</v>
      </c>
      <c r="O338" s="6">
        <f>1192301+19453536</f>
        <v>20645837</v>
      </c>
      <c r="Q338" s="6">
        <v>27726487</v>
      </c>
      <c r="S338" s="6">
        <v>32945</v>
      </c>
      <c r="U338" s="6">
        <v>0</v>
      </c>
      <c r="W338" s="6">
        <v>0</v>
      </c>
      <c r="Y338" s="6">
        <v>0</v>
      </c>
      <c r="AA338" s="6">
        <v>-2306688</v>
      </c>
      <c r="AC338" s="12">
        <f t="shared" si="55"/>
        <v>-2273743</v>
      </c>
      <c r="AE338" s="6">
        <f t="shared" si="56"/>
        <v>0</v>
      </c>
    </row>
    <row r="339" spans="1:31">
      <c r="A339" s="11" t="s">
        <v>546</v>
      </c>
      <c r="B339" s="11"/>
      <c r="C339" s="11" t="s">
        <v>69</v>
      </c>
      <c r="E339" s="6">
        <v>45068652</v>
      </c>
      <c r="G339" s="6">
        <v>85593</v>
      </c>
      <c r="I339" s="2">
        <f t="shared" si="57"/>
        <v>58920153</v>
      </c>
      <c r="K339" s="6">
        <v>104074398</v>
      </c>
      <c r="M339" s="2">
        <f t="shared" si="54"/>
        <v>16738335</v>
      </c>
      <c r="O339" s="6">
        <v>55426035</v>
      </c>
      <c r="Q339" s="6">
        <v>72164370</v>
      </c>
      <c r="S339" s="6">
        <v>0</v>
      </c>
      <c r="U339" s="6">
        <v>0</v>
      </c>
      <c r="W339" s="6">
        <v>0</v>
      </c>
      <c r="Y339" s="6">
        <v>453699</v>
      </c>
      <c r="AA339" s="6">
        <v>31456329</v>
      </c>
      <c r="AC339" s="12">
        <f t="shared" si="55"/>
        <v>31910028</v>
      </c>
      <c r="AE339" s="6">
        <f t="shared" si="56"/>
        <v>0</v>
      </c>
    </row>
    <row r="340" spans="1:31">
      <c r="A340" s="11" t="s">
        <v>501</v>
      </c>
      <c r="B340" s="11"/>
      <c r="C340" s="11" t="s">
        <v>62</v>
      </c>
      <c r="E340" s="6">
        <v>4961732</v>
      </c>
      <c r="G340" s="6">
        <v>0</v>
      </c>
      <c r="I340" s="2">
        <f t="shared" si="57"/>
        <v>14496191</v>
      </c>
      <c r="K340" s="6">
        <v>19457923</v>
      </c>
      <c r="M340" s="2">
        <f t="shared" si="54"/>
        <v>4410400</v>
      </c>
      <c r="O340" s="6">
        <v>13465209</v>
      </c>
      <c r="Q340" s="6">
        <v>17875609</v>
      </c>
      <c r="S340" s="6">
        <v>0</v>
      </c>
      <c r="U340" s="6">
        <v>0</v>
      </c>
      <c r="W340" s="6">
        <v>0</v>
      </c>
      <c r="Y340" s="6">
        <v>485521</v>
      </c>
      <c r="AA340" s="6">
        <v>1096793</v>
      </c>
      <c r="AC340" s="12">
        <f t="shared" si="55"/>
        <v>1582314</v>
      </c>
      <c r="AE340" s="6">
        <f t="shared" si="56"/>
        <v>0</v>
      </c>
    </row>
    <row r="341" spans="1:31">
      <c r="A341" s="11" t="s">
        <v>529</v>
      </c>
      <c r="B341" s="11"/>
      <c r="C341" s="11" t="s">
        <v>64</v>
      </c>
      <c r="E341" s="6">
        <v>1239397</v>
      </c>
      <c r="G341" s="6">
        <v>0</v>
      </c>
      <c r="I341" s="2">
        <f t="shared" si="57"/>
        <v>5075637</v>
      </c>
      <c r="K341" s="6">
        <v>6315034</v>
      </c>
      <c r="M341" s="2">
        <f t="shared" si="54"/>
        <v>1142732</v>
      </c>
      <c r="O341" s="6">
        <f>548023+4448371</f>
        <v>4996394</v>
      </c>
      <c r="Q341" s="6">
        <v>6139126</v>
      </c>
      <c r="S341" s="6">
        <f>40815+11983</f>
        <v>52798</v>
      </c>
      <c r="U341" s="6">
        <v>0</v>
      </c>
      <c r="W341" s="6">
        <v>67068</v>
      </c>
      <c r="Y341" s="6">
        <f>19451+36568+23</f>
        <v>56042</v>
      </c>
      <c r="AA341" s="6">
        <v>0</v>
      </c>
      <c r="AC341" s="12">
        <f t="shared" si="55"/>
        <v>175908</v>
      </c>
      <c r="AE341" s="6">
        <f t="shared" si="56"/>
        <v>0</v>
      </c>
    </row>
    <row r="342" spans="1:31" hidden="1">
      <c r="A342" s="10" t="s">
        <v>878</v>
      </c>
      <c r="B342" s="11"/>
      <c r="C342" s="11" t="s">
        <v>115</v>
      </c>
      <c r="E342" s="6">
        <v>0</v>
      </c>
      <c r="G342" s="6">
        <v>0</v>
      </c>
      <c r="I342" s="2">
        <f t="shared" si="57"/>
        <v>0</v>
      </c>
      <c r="K342" s="6">
        <v>0</v>
      </c>
      <c r="M342" s="2">
        <f t="shared" si="54"/>
        <v>0</v>
      </c>
      <c r="O342" s="6">
        <v>0</v>
      </c>
      <c r="Q342" s="6">
        <v>0</v>
      </c>
      <c r="S342" s="6">
        <v>0</v>
      </c>
      <c r="U342" s="6">
        <v>0</v>
      </c>
      <c r="W342" s="6">
        <v>0</v>
      </c>
      <c r="Y342" s="6">
        <v>0</v>
      </c>
      <c r="AA342" s="6">
        <v>0</v>
      </c>
      <c r="AC342" s="12">
        <f t="shared" si="55"/>
        <v>0</v>
      </c>
      <c r="AE342" s="6">
        <f t="shared" si="56"/>
        <v>0</v>
      </c>
    </row>
    <row r="343" spans="1:31">
      <c r="A343" s="11" t="s">
        <v>723</v>
      </c>
      <c r="B343" s="11"/>
      <c r="C343" s="11" t="s">
        <v>20</v>
      </c>
      <c r="E343" s="6">
        <v>25107576</v>
      </c>
      <c r="G343" s="6">
        <v>0</v>
      </c>
      <c r="I343" s="2">
        <f t="shared" si="57"/>
        <v>54022983</v>
      </c>
      <c r="K343" s="6">
        <v>79130559</v>
      </c>
      <c r="M343" s="2">
        <f t="shared" ref="M343:M409" si="62">+Q343-O343</f>
        <v>6373384</v>
      </c>
      <c r="O343" s="6">
        <v>45279270</v>
      </c>
      <c r="Q343" s="6">
        <v>51652654</v>
      </c>
      <c r="S343" s="6">
        <v>165259</v>
      </c>
      <c r="U343" s="6">
        <v>0</v>
      </c>
      <c r="W343" s="6">
        <v>1306753</v>
      </c>
      <c r="Y343" s="6">
        <v>2952389</v>
      </c>
      <c r="AA343" s="6">
        <v>23053504</v>
      </c>
      <c r="AC343" s="12">
        <f t="shared" ref="AC343:AC409" si="63">+W343+U343++S343+Y343+AA343</f>
        <v>27477905</v>
      </c>
      <c r="AE343" s="6">
        <f t="shared" ref="AE343:AE409" si="64">+E343+G343+I343-M343-O343-W343-U343-S343-Y343-AA343</f>
        <v>0</v>
      </c>
    </row>
    <row r="344" spans="1:31">
      <c r="A344" s="11" t="s">
        <v>445</v>
      </c>
      <c r="B344" s="11"/>
      <c r="C344" s="11" t="s">
        <v>51</v>
      </c>
      <c r="E344" s="6">
        <v>2258332</v>
      </c>
      <c r="G344" s="6">
        <v>0</v>
      </c>
      <c r="I344" s="2">
        <f t="shared" si="57"/>
        <v>3878667</v>
      </c>
      <c r="K344" s="6">
        <v>6136999</v>
      </c>
      <c r="M344" s="2">
        <f t="shared" si="62"/>
        <v>2826904</v>
      </c>
      <c r="O344" s="6">
        <v>2456067</v>
      </c>
      <c r="Q344" s="6">
        <v>5282971</v>
      </c>
      <c r="S344" s="6">
        <v>34778</v>
      </c>
      <c r="U344" s="6">
        <v>0</v>
      </c>
      <c r="W344" s="6">
        <v>0</v>
      </c>
      <c r="Y344" s="6">
        <v>819250</v>
      </c>
      <c r="AA344" s="6">
        <v>0</v>
      </c>
      <c r="AC344" s="12">
        <f t="shared" si="63"/>
        <v>854028</v>
      </c>
      <c r="AE344" s="6">
        <f t="shared" si="64"/>
        <v>0</v>
      </c>
    </row>
    <row r="345" spans="1:31" hidden="1">
      <c r="A345" s="11" t="s">
        <v>806</v>
      </c>
      <c r="B345" s="11"/>
      <c r="C345" s="11" t="s">
        <v>33</v>
      </c>
      <c r="I345" s="2">
        <f t="shared" ref="I345:I411" si="65">+K345-G345-E345</f>
        <v>0</v>
      </c>
      <c r="M345" s="2">
        <f t="shared" si="62"/>
        <v>0</v>
      </c>
      <c r="AC345" s="12">
        <f t="shared" si="63"/>
        <v>0</v>
      </c>
      <c r="AE345" s="6">
        <f t="shared" si="64"/>
        <v>0</v>
      </c>
    </row>
    <row r="346" spans="1:31">
      <c r="A346" s="11" t="s">
        <v>638</v>
      </c>
      <c r="B346" s="11"/>
      <c r="C346" s="11" t="s">
        <v>64</v>
      </c>
      <c r="E346" s="6">
        <v>698603</v>
      </c>
      <c r="G346" s="6">
        <v>21725</v>
      </c>
      <c r="I346" s="2">
        <f t="shared" si="65"/>
        <v>1959806</v>
      </c>
      <c r="K346" s="6">
        <v>2680134</v>
      </c>
      <c r="M346" s="2">
        <f t="shared" si="62"/>
        <v>692724</v>
      </c>
      <c r="O346" s="6">
        <v>1956854</v>
      </c>
      <c r="Q346" s="6">
        <v>2649578</v>
      </c>
      <c r="S346" s="6">
        <v>21725</v>
      </c>
      <c r="U346" s="6">
        <v>0</v>
      </c>
      <c r="W346" s="6">
        <v>17728</v>
      </c>
      <c r="Y346" s="6">
        <v>3254</v>
      </c>
      <c r="AA346" s="6">
        <v>-12151</v>
      </c>
      <c r="AC346" s="12">
        <f t="shared" si="63"/>
        <v>30556</v>
      </c>
      <c r="AE346" s="6">
        <f t="shared" si="64"/>
        <v>0</v>
      </c>
    </row>
    <row r="347" spans="1:31">
      <c r="A347" s="11" t="s">
        <v>768</v>
      </c>
      <c r="B347" s="11"/>
      <c r="C347" s="11" t="s">
        <v>228</v>
      </c>
      <c r="E347" s="6">
        <v>232595</v>
      </c>
      <c r="G347" s="6">
        <v>0</v>
      </c>
      <c r="I347" s="2">
        <f t="shared" si="65"/>
        <v>2743770</v>
      </c>
      <c r="K347" s="6">
        <v>2976365</v>
      </c>
      <c r="M347" s="2">
        <f t="shared" si="62"/>
        <v>1084409</v>
      </c>
      <c r="O347" s="6">
        <f>199128+1693186</f>
        <v>1892314</v>
      </c>
      <c r="Q347" s="6">
        <v>2976723</v>
      </c>
      <c r="S347" s="6">
        <f>3609+119021</f>
        <v>122630</v>
      </c>
      <c r="U347" s="6">
        <v>0</v>
      </c>
      <c r="W347" s="6">
        <v>0</v>
      </c>
      <c r="Y347" s="6">
        <v>0</v>
      </c>
      <c r="AA347" s="6">
        <v>-122988</v>
      </c>
      <c r="AC347" s="12">
        <f t="shared" si="63"/>
        <v>-358</v>
      </c>
      <c r="AE347" s="6">
        <f t="shared" si="64"/>
        <v>0</v>
      </c>
    </row>
    <row r="348" spans="1:31">
      <c r="A348" s="11" t="s">
        <v>418</v>
      </c>
      <c r="B348" s="11"/>
      <c r="C348" s="11" t="s">
        <v>47</v>
      </c>
      <c r="E348" s="6">
        <v>19571739</v>
      </c>
      <c r="G348" s="6">
        <v>0</v>
      </c>
      <c r="I348" s="2">
        <f t="shared" si="65"/>
        <v>45572846</v>
      </c>
      <c r="K348" s="6">
        <v>65144585</v>
      </c>
      <c r="M348" s="2">
        <f t="shared" si="62"/>
        <v>7487448</v>
      </c>
      <c r="O348" s="6">
        <v>41216668</v>
      </c>
      <c r="Q348" s="6">
        <f>41216668+7487448</f>
        <v>48704116</v>
      </c>
      <c r="S348" s="6">
        <v>69792</v>
      </c>
      <c r="U348" s="6">
        <v>0</v>
      </c>
      <c r="W348" s="6">
        <v>0</v>
      </c>
      <c r="Y348" s="6">
        <v>1107297</v>
      </c>
      <c r="AA348" s="6">
        <v>15263380</v>
      </c>
      <c r="AC348" s="12">
        <f t="shared" si="63"/>
        <v>16440469</v>
      </c>
      <c r="AE348" s="6">
        <f t="shared" si="64"/>
        <v>0</v>
      </c>
    </row>
    <row r="349" spans="1:31">
      <c r="A349" s="11" t="s">
        <v>421</v>
      </c>
      <c r="B349" s="11"/>
      <c r="C349" s="11" t="s">
        <v>420</v>
      </c>
      <c r="E349" s="6">
        <v>878340</v>
      </c>
      <c r="G349" s="6">
        <v>68154</v>
      </c>
      <c r="I349" s="2">
        <f t="shared" si="65"/>
        <v>3877081</v>
      </c>
      <c r="K349" s="6">
        <v>4823575</v>
      </c>
      <c r="M349" s="2">
        <f t="shared" si="62"/>
        <v>1689256</v>
      </c>
      <c r="O349" s="6">
        <v>2364358</v>
      </c>
      <c r="Q349" s="6">
        <v>4053614</v>
      </c>
      <c r="S349" s="6">
        <v>85361</v>
      </c>
      <c r="U349" s="6">
        <v>0</v>
      </c>
      <c r="W349" s="6">
        <v>0</v>
      </c>
      <c r="Y349" s="6">
        <v>327107</v>
      </c>
      <c r="AA349" s="6">
        <v>357493</v>
      </c>
      <c r="AC349" s="12">
        <f t="shared" si="63"/>
        <v>769961</v>
      </c>
      <c r="AE349" s="6">
        <f t="shared" si="64"/>
        <v>0</v>
      </c>
    </row>
    <row r="350" spans="1:31">
      <c r="A350" s="11" t="s">
        <v>769</v>
      </c>
      <c r="B350" s="11"/>
      <c r="C350" s="11" t="s">
        <v>41</v>
      </c>
      <c r="E350" s="6">
        <v>57661391</v>
      </c>
      <c r="G350" s="6">
        <v>0</v>
      </c>
      <c r="I350" s="2">
        <f t="shared" si="65"/>
        <v>62043576</v>
      </c>
      <c r="K350" s="6">
        <v>119704967</v>
      </c>
      <c r="M350" s="2">
        <f t="shared" si="62"/>
        <v>11700551</v>
      </c>
      <c r="O350" s="6">
        <v>55778642</v>
      </c>
      <c r="Q350" s="6">
        <v>67479193</v>
      </c>
      <c r="S350" s="6">
        <v>93351</v>
      </c>
      <c r="U350" s="6">
        <v>0</v>
      </c>
      <c r="W350" s="6">
        <v>0</v>
      </c>
      <c r="Y350" s="6">
        <v>13254424</v>
      </c>
      <c r="AA350" s="6">
        <v>38877999</v>
      </c>
      <c r="AC350" s="12">
        <f t="shared" si="63"/>
        <v>52225774</v>
      </c>
      <c r="AE350" s="6">
        <f t="shared" si="64"/>
        <v>0</v>
      </c>
    </row>
    <row r="351" spans="1:31">
      <c r="A351" s="11" t="s">
        <v>424</v>
      </c>
      <c r="B351" s="11"/>
      <c r="C351" s="11" t="s">
        <v>48</v>
      </c>
      <c r="E351" s="6">
        <v>446452</v>
      </c>
      <c r="G351" s="6">
        <v>0</v>
      </c>
      <c r="I351" s="2">
        <f t="shared" si="65"/>
        <v>4828748</v>
      </c>
      <c r="K351" s="6">
        <v>5275200</v>
      </c>
      <c r="M351" s="2">
        <f t="shared" si="62"/>
        <v>1489938</v>
      </c>
      <c r="O351" s="6">
        <f>392838+2812146</f>
        <v>3204984</v>
      </c>
      <c r="Q351" s="6">
        <v>4694922</v>
      </c>
      <c r="S351" s="6">
        <f>53492+5960</f>
        <v>59452</v>
      </c>
      <c r="U351" s="6">
        <v>0</v>
      </c>
      <c r="W351" s="6">
        <v>0</v>
      </c>
      <c r="Y351" s="6">
        <f>3363+46468+932+47941</f>
        <v>98704</v>
      </c>
      <c r="AA351" s="6">
        <v>422122</v>
      </c>
      <c r="AC351" s="12">
        <f t="shared" si="63"/>
        <v>580278</v>
      </c>
      <c r="AE351" s="6">
        <f t="shared" si="64"/>
        <v>0</v>
      </c>
    </row>
    <row r="352" spans="1:31">
      <c r="A352" s="11" t="s">
        <v>297</v>
      </c>
      <c r="B352" s="11"/>
      <c r="C352" s="11" t="s">
        <v>26</v>
      </c>
      <c r="E352" s="6">
        <f>7094682+3581937</f>
        <v>10676619</v>
      </c>
      <c r="G352" s="6">
        <v>151902</v>
      </c>
      <c r="I352" s="2">
        <f t="shared" si="65"/>
        <v>11643013</v>
      </c>
      <c r="K352" s="6">
        <v>22471534</v>
      </c>
      <c r="M352" s="2">
        <f t="shared" si="62"/>
        <v>2495152</v>
      </c>
      <c r="O352" s="6">
        <v>7188870</v>
      </c>
      <c r="Q352" s="6">
        <v>9684022</v>
      </c>
      <c r="S352" s="6">
        <v>0</v>
      </c>
      <c r="U352" s="6">
        <v>0</v>
      </c>
      <c r="W352" s="6">
        <v>151902</v>
      </c>
      <c r="Y352" s="6">
        <v>3385419</v>
      </c>
      <c r="AA352" s="6">
        <v>9250191</v>
      </c>
      <c r="AC352" s="12">
        <f t="shared" si="63"/>
        <v>12787512</v>
      </c>
      <c r="AE352" s="6">
        <f t="shared" si="64"/>
        <v>0</v>
      </c>
    </row>
    <row r="353" spans="1:31">
      <c r="A353" s="11" t="s">
        <v>432</v>
      </c>
      <c r="B353" s="11"/>
      <c r="C353" s="11" t="s">
        <v>50</v>
      </c>
      <c r="E353" s="6">
        <v>7581227</v>
      </c>
      <c r="G353" s="6">
        <v>0</v>
      </c>
      <c r="I353" s="2">
        <f>+K353-G353-E353</f>
        <v>25746827</v>
      </c>
      <c r="K353" s="6">
        <v>33328054</v>
      </c>
      <c r="M353" s="2">
        <f t="shared" si="62"/>
        <v>6007358</v>
      </c>
      <c r="O353" s="6">
        <v>23856895</v>
      </c>
      <c r="Q353" s="6">
        <v>29864253</v>
      </c>
      <c r="S353" s="6">
        <v>0</v>
      </c>
      <c r="U353" s="6">
        <v>0</v>
      </c>
      <c r="W353" s="6">
        <v>11000</v>
      </c>
      <c r="Y353" s="6">
        <v>271609</v>
      </c>
      <c r="AA353" s="6">
        <v>3181192</v>
      </c>
      <c r="AC353" s="12">
        <f t="shared" si="63"/>
        <v>3463801</v>
      </c>
      <c r="AE353" s="6">
        <f>+E353+G353+I353-M353-O353-W353-U353-S353-Y353-AA353</f>
        <v>0</v>
      </c>
    </row>
    <row r="354" spans="1:31" hidden="1">
      <c r="A354" s="11" t="s">
        <v>812</v>
      </c>
      <c r="B354" s="11"/>
      <c r="C354" s="11" t="s">
        <v>53</v>
      </c>
      <c r="I354" s="2">
        <f>+K354-G354-E354</f>
        <v>0</v>
      </c>
      <c r="M354" s="2">
        <f t="shared" si="62"/>
        <v>0</v>
      </c>
      <c r="AC354" s="12">
        <f t="shared" si="63"/>
        <v>0</v>
      </c>
      <c r="AE354" s="6">
        <f>+E354+G354+I354-M354-O354-W354-U354-S354-Y354-AA354</f>
        <v>0</v>
      </c>
    </row>
    <row r="355" spans="1:31">
      <c r="A355" s="11" t="s">
        <v>225</v>
      </c>
      <c r="B355" s="11"/>
      <c r="C355" s="11" t="s">
        <v>221</v>
      </c>
      <c r="E355" s="6">
        <v>1666648</v>
      </c>
      <c r="G355" s="6">
        <v>24610</v>
      </c>
      <c r="I355" s="2">
        <f t="shared" si="65"/>
        <v>36221474</v>
      </c>
      <c r="K355" s="6">
        <v>37912732</v>
      </c>
      <c r="M355" s="2">
        <f t="shared" si="62"/>
        <v>7620747</v>
      </c>
      <c r="O355" s="6">
        <v>34444830</v>
      </c>
      <c r="Q355" s="6">
        <v>42065577</v>
      </c>
      <c r="S355" s="6">
        <v>0</v>
      </c>
      <c r="U355" s="6">
        <v>24610</v>
      </c>
      <c r="W355" s="6">
        <v>0</v>
      </c>
      <c r="Y355" s="6">
        <v>306347</v>
      </c>
      <c r="AA355" s="6">
        <v>-4483802</v>
      </c>
      <c r="AC355" s="12">
        <f t="shared" si="63"/>
        <v>-4152845</v>
      </c>
      <c r="AE355" s="6">
        <f t="shared" si="64"/>
        <v>0</v>
      </c>
    </row>
    <row r="356" spans="1:31">
      <c r="A356" s="11" t="s">
        <v>387</v>
      </c>
      <c r="B356" s="11"/>
      <c r="C356" s="11" t="s">
        <v>44</v>
      </c>
      <c r="E356" s="6">
        <v>5044966</v>
      </c>
      <c r="G356" s="6">
        <v>324889</v>
      </c>
      <c r="I356" s="2">
        <f t="shared" si="65"/>
        <v>11599863</v>
      </c>
      <c r="K356" s="6">
        <v>16969718</v>
      </c>
      <c r="M356" s="2">
        <f t="shared" si="62"/>
        <v>3733141</v>
      </c>
      <c r="O356" s="6">
        <v>9643392</v>
      </c>
      <c r="Q356" s="6">
        <v>13376533</v>
      </c>
      <c r="S356" s="6">
        <v>221116</v>
      </c>
      <c r="U356" s="6">
        <v>422306</v>
      </c>
      <c r="W356" s="6">
        <v>204134</v>
      </c>
      <c r="Y356" s="6">
        <v>424354</v>
      </c>
      <c r="AA356" s="6">
        <v>2321275</v>
      </c>
      <c r="AC356" s="12">
        <f t="shared" si="63"/>
        <v>3593185</v>
      </c>
      <c r="AE356" s="6">
        <f t="shared" si="64"/>
        <v>0</v>
      </c>
    </row>
    <row r="357" spans="1:31">
      <c r="A357" s="11" t="s">
        <v>770</v>
      </c>
      <c r="B357" s="11"/>
      <c r="C357" s="11" t="s">
        <v>113</v>
      </c>
      <c r="E357" s="6">
        <v>15290887</v>
      </c>
      <c r="G357" s="6">
        <v>0</v>
      </c>
      <c r="I357" s="2">
        <f t="shared" si="65"/>
        <v>34184093</v>
      </c>
      <c r="K357" s="6">
        <v>49474980</v>
      </c>
      <c r="M357" s="2">
        <f t="shared" si="62"/>
        <v>5914505</v>
      </c>
      <c r="O357" s="6">
        <v>30167212</v>
      </c>
      <c r="Q357" s="6">
        <v>36081717</v>
      </c>
      <c r="S357" s="6">
        <v>80807</v>
      </c>
      <c r="U357" s="6">
        <v>0</v>
      </c>
      <c r="W357" s="6">
        <v>0</v>
      </c>
      <c r="Y357" s="6">
        <v>2295082</v>
      </c>
      <c r="AA357" s="6">
        <v>11017374</v>
      </c>
      <c r="AC357" s="12">
        <f t="shared" si="63"/>
        <v>13393263</v>
      </c>
      <c r="AE357" s="6">
        <f t="shared" si="64"/>
        <v>0</v>
      </c>
    </row>
    <row r="358" spans="1:31" hidden="1">
      <c r="A358" s="11" t="s">
        <v>613</v>
      </c>
      <c r="B358" s="11"/>
      <c r="C358" s="11" t="s">
        <v>552</v>
      </c>
      <c r="I358" s="2">
        <f t="shared" si="65"/>
        <v>0</v>
      </c>
      <c r="M358" s="2">
        <f t="shared" si="62"/>
        <v>0</v>
      </c>
      <c r="AC358" s="12">
        <f t="shared" si="63"/>
        <v>0</v>
      </c>
      <c r="AE358" s="6">
        <f t="shared" si="64"/>
        <v>0</v>
      </c>
    </row>
    <row r="359" spans="1:31" hidden="1">
      <c r="A359" s="11" t="s">
        <v>892</v>
      </c>
      <c r="B359" s="11"/>
      <c r="C359" s="11" t="s">
        <v>467</v>
      </c>
      <c r="I359" s="2">
        <f t="shared" si="65"/>
        <v>0</v>
      </c>
      <c r="M359" s="2">
        <f t="shared" si="62"/>
        <v>0</v>
      </c>
      <c r="AC359" s="12">
        <f t="shared" si="63"/>
        <v>0</v>
      </c>
      <c r="AE359" s="6">
        <f t="shared" si="64"/>
        <v>0</v>
      </c>
    </row>
    <row r="360" spans="1:31" hidden="1">
      <c r="A360" s="11" t="s">
        <v>807</v>
      </c>
      <c r="B360" s="11"/>
      <c r="C360" s="11" t="s">
        <v>48</v>
      </c>
      <c r="I360" s="2">
        <f t="shared" si="65"/>
        <v>0</v>
      </c>
      <c r="M360" s="2">
        <f t="shared" si="62"/>
        <v>0</v>
      </c>
      <c r="AC360" s="12">
        <f t="shared" si="63"/>
        <v>0</v>
      </c>
      <c r="AE360" s="6">
        <f t="shared" si="64"/>
        <v>0</v>
      </c>
    </row>
    <row r="361" spans="1:31">
      <c r="A361" s="11" t="s">
        <v>502</v>
      </c>
      <c r="B361" s="11"/>
      <c r="C361" s="11" t="s">
        <v>62</v>
      </c>
      <c r="E361" s="6">
        <v>744558</v>
      </c>
      <c r="G361" s="6">
        <v>0</v>
      </c>
      <c r="I361" s="2">
        <f t="shared" si="65"/>
        <v>6113173</v>
      </c>
      <c r="K361" s="6">
        <v>6857731</v>
      </c>
      <c r="M361" s="2">
        <f t="shared" si="62"/>
        <v>2158518</v>
      </c>
      <c r="O361" s="6">
        <v>4704314</v>
      </c>
      <c r="Q361" s="6">
        <v>6862832</v>
      </c>
      <c r="S361" s="6">
        <v>580449</v>
      </c>
      <c r="U361" s="6">
        <v>0</v>
      </c>
      <c r="W361" s="6">
        <v>0</v>
      </c>
      <c r="Y361" s="6">
        <v>5500</v>
      </c>
      <c r="AA361" s="6">
        <v>-591050</v>
      </c>
      <c r="AC361" s="12">
        <f t="shared" si="63"/>
        <v>-5101</v>
      </c>
      <c r="AE361" s="6">
        <f t="shared" si="64"/>
        <v>0</v>
      </c>
    </row>
    <row r="362" spans="1:31">
      <c r="A362" s="11" t="s">
        <v>482</v>
      </c>
      <c r="B362" s="11"/>
      <c r="C362" s="11" t="s">
        <v>59</v>
      </c>
      <c r="E362" s="6">
        <v>1306622</v>
      </c>
      <c r="G362" s="6">
        <v>0</v>
      </c>
      <c r="I362" s="2">
        <f t="shared" si="65"/>
        <v>2206475</v>
      </c>
      <c r="K362" s="6">
        <v>3513097</v>
      </c>
      <c r="M362" s="2">
        <f t="shared" si="62"/>
        <v>1061898</v>
      </c>
      <c r="O362" s="6">
        <v>1991944</v>
      </c>
      <c r="Q362" s="6">
        <v>3053842</v>
      </c>
      <c r="S362" s="6">
        <v>0</v>
      </c>
      <c r="U362" s="6">
        <v>35140</v>
      </c>
      <c r="W362" s="6">
        <v>38709</v>
      </c>
      <c r="Y362" s="6">
        <v>268980</v>
      </c>
      <c r="AA362" s="6">
        <v>116426</v>
      </c>
      <c r="AC362" s="12">
        <f t="shared" si="63"/>
        <v>459255</v>
      </c>
      <c r="AE362" s="6">
        <f t="shared" si="64"/>
        <v>0</v>
      </c>
    </row>
    <row r="363" spans="1:31">
      <c r="A363" s="11" t="s">
        <v>213</v>
      </c>
      <c r="B363" s="11"/>
      <c r="C363" s="11" t="s">
        <v>14</v>
      </c>
      <c r="E363" s="6">
        <v>486444</v>
      </c>
      <c r="G363" s="6">
        <v>10076</v>
      </c>
      <c r="I363" s="2">
        <f t="shared" si="65"/>
        <v>3830204</v>
      </c>
      <c r="K363" s="6">
        <v>4326724</v>
      </c>
      <c r="M363" s="2">
        <f t="shared" si="62"/>
        <v>1069700</v>
      </c>
      <c r="O363" s="6">
        <v>3066135</v>
      </c>
      <c r="Q363" s="6">
        <v>4135835</v>
      </c>
      <c r="S363" s="6">
        <v>35253</v>
      </c>
      <c r="U363" s="6">
        <v>7373</v>
      </c>
      <c r="W363" s="6">
        <v>0</v>
      </c>
      <c r="Y363" s="6">
        <v>68339</v>
      </c>
      <c r="AA363" s="6">
        <v>79924</v>
      </c>
      <c r="AC363" s="12">
        <f t="shared" si="63"/>
        <v>190889</v>
      </c>
      <c r="AE363" s="6">
        <f t="shared" si="64"/>
        <v>0</v>
      </c>
    </row>
    <row r="364" spans="1:31" hidden="1">
      <c r="A364" s="11" t="s">
        <v>640</v>
      </c>
      <c r="B364" s="11"/>
      <c r="C364" s="11" t="s">
        <v>21</v>
      </c>
      <c r="I364" s="2">
        <f t="shared" si="65"/>
        <v>0</v>
      </c>
      <c r="M364" s="2">
        <f t="shared" si="62"/>
        <v>0</v>
      </c>
      <c r="AC364" s="12">
        <f t="shared" si="63"/>
        <v>0</v>
      </c>
      <c r="AE364" s="6">
        <f t="shared" si="64"/>
        <v>0</v>
      </c>
    </row>
    <row r="365" spans="1:31">
      <c r="A365" s="11" t="s">
        <v>510</v>
      </c>
      <c r="B365" s="11"/>
      <c r="C365" s="11" t="s">
        <v>63</v>
      </c>
      <c r="E365" s="6">
        <v>2880411</v>
      </c>
      <c r="G365" s="6">
        <v>38414</v>
      </c>
      <c r="I365" s="2">
        <f t="shared" si="65"/>
        <v>3016682</v>
      </c>
      <c r="K365" s="6">
        <v>5935507</v>
      </c>
      <c r="M365" s="2">
        <f t="shared" si="62"/>
        <v>967622</v>
      </c>
      <c r="O365" s="6">
        <v>2659207</v>
      </c>
      <c r="Q365" s="6">
        <v>3626829</v>
      </c>
      <c r="S365" s="6">
        <v>0</v>
      </c>
      <c r="U365" s="6">
        <v>38414</v>
      </c>
      <c r="W365" s="6">
        <v>0</v>
      </c>
      <c r="Y365" s="6">
        <v>151908</v>
      </c>
      <c r="AA365" s="6">
        <v>2118356</v>
      </c>
      <c r="AC365" s="12">
        <f t="shared" si="63"/>
        <v>2308678</v>
      </c>
      <c r="AE365" s="6">
        <f t="shared" si="64"/>
        <v>0</v>
      </c>
    </row>
    <row r="366" spans="1:31" hidden="1">
      <c r="A366" s="11" t="s">
        <v>621</v>
      </c>
      <c r="B366" s="11"/>
      <c r="C366" s="11" t="s">
        <v>558</v>
      </c>
      <c r="I366" s="2">
        <f t="shared" si="65"/>
        <v>0</v>
      </c>
      <c r="M366" s="2">
        <f t="shared" si="62"/>
        <v>0</v>
      </c>
      <c r="AC366" s="12">
        <f t="shared" si="63"/>
        <v>0</v>
      </c>
      <c r="AE366" s="6">
        <f t="shared" si="64"/>
        <v>0</v>
      </c>
    </row>
    <row r="367" spans="1:31" hidden="1">
      <c r="A367" s="10" t="s">
        <v>879</v>
      </c>
      <c r="B367" s="11"/>
      <c r="C367" s="11" t="s">
        <v>221</v>
      </c>
      <c r="E367" s="6">
        <v>0</v>
      </c>
      <c r="G367" s="6">
        <v>0</v>
      </c>
      <c r="I367" s="2">
        <f t="shared" si="65"/>
        <v>0</v>
      </c>
      <c r="K367" s="6">
        <v>0</v>
      </c>
      <c r="M367" s="2">
        <f t="shared" si="62"/>
        <v>0</v>
      </c>
      <c r="O367" s="6">
        <v>0</v>
      </c>
      <c r="Q367" s="6">
        <v>0</v>
      </c>
      <c r="S367" s="6">
        <v>0</v>
      </c>
      <c r="U367" s="6">
        <v>0</v>
      </c>
      <c r="W367" s="6">
        <v>0</v>
      </c>
      <c r="Y367" s="6">
        <v>0</v>
      </c>
      <c r="AA367" s="6">
        <v>0</v>
      </c>
      <c r="AC367" s="12">
        <f t="shared" si="63"/>
        <v>0</v>
      </c>
      <c r="AE367" s="6">
        <f t="shared" si="64"/>
        <v>0</v>
      </c>
    </row>
    <row r="368" spans="1:31">
      <c r="A368" s="11" t="s">
        <v>356</v>
      </c>
      <c r="B368" s="11"/>
      <c r="C368" s="11" t="s">
        <v>37</v>
      </c>
      <c r="E368" s="6">
        <v>891831</v>
      </c>
      <c r="G368" s="6">
        <v>5235</v>
      </c>
      <c r="I368" s="2">
        <f t="shared" si="65"/>
        <v>2599439</v>
      </c>
      <c r="K368" s="6">
        <v>3496505</v>
      </c>
      <c r="M368" s="2">
        <f t="shared" si="62"/>
        <v>864067</v>
      </c>
      <c r="O368" s="6">
        <f>128911+1741246</f>
        <v>1870157</v>
      </c>
      <c r="Q368" s="6">
        <v>2734224</v>
      </c>
      <c r="S368" s="6">
        <f>3033+648</f>
        <v>3681</v>
      </c>
      <c r="U368" s="6">
        <v>5235</v>
      </c>
      <c r="W368" s="6">
        <v>0</v>
      </c>
      <c r="Y368" s="6">
        <f>2858+59548+1062+21729+9036</f>
        <v>94233</v>
      </c>
      <c r="AA368" s="6">
        <v>659132</v>
      </c>
      <c r="AC368" s="12">
        <f t="shared" si="63"/>
        <v>762281</v>
      </c>
      <c r="AE368" s="6">
        <f t="shared" si="64"/>
        <v>0</v>
      </c>
    </row>
    <row r="369" spans="1:31" hidden="1">
      <c r="A369" s="11" t="s">
        <v>808</v>
      </c>
      <c r="B369" s="11"/>
      <c r="C369" s="11" t="s">
        <v>552</v>
      </c>
      <c r="I369" s="2">
        <f t="shared" si="65"/>
        <v>0</v>
      </c>
      <c r="M369" s="2">
        <f t="shared" si="62"/>
        <v>0</v>
      </c>
      <c r="AC369" s="12">
        <f t="shared" si="63"/>
        <v>0</v>
      </c>
      <c r="AE369" s="6">
        <f t="shared" si="64"/>
        <v>0</v>
      </c>
    </row>
    <row r="370" spans="1:31">
      <c r="A370" s="11" t="s">
        <v>439</v>
      </c>
      <c r="B370" s="11"/>
      <c r="C370" s="11" t="s">
        <v>440</v>
      </c>
      <c r="E370" s="6">
        <v>7723645</v>
      </c>
      <c r="G370" s="6">
        <v>76683</v>
      </c>
      <c r="I370" s="2">
        <f t="shared" si="65"/>
        <v>5070395</v>
      </c>
      <c r="K370" s="6">
        <v>12870723</v>
      </c>
      <c r="M370" s="2">
        <f t="shared" si="62"/>
        <v>1901316</v>
      </c>
      <c r="O370" s="6">
        <v>4509645</v>
      </c>
      <c r="Q370" s="6">
        <f>4509645+1901316</f>
        <v>6410961</v>
      </c>
      <c r="S370" s="6">
        <v>57102</v>
      </c>
      <c r="U370" s="6">
        <v>76683</v>
      </c>
      <c r="W370" s="6">
        <v>0</v>
      </c>
      <c r="Y370" s="6">
        <v>4657088</v>
      </c>
      <c r="AA370" s="6">
        <v>1668889</v>
      </c>
      <c r="AC370" s="12">
        <f t="shared" si="63"/>
        <v>6459762</v>
      </c>
      <c r="AE370" s="6">
        <f t="shared" si="64"/>
        <v>0</v>
      </c>
    </row>
    <row r="371" spans="1:31">
      <c r="A371" s="11" t="s">
        <v>771</v>
      </c>
      <c r="B371" s="11"/>
      <c r="C371" s="11" t="s">
        <v>78</v>
      </c>
      <c r="E371" s="6">
        <v>3046266</v>
      </c>
      <c r="G371" s="6">
        <v>0</v>
      </c>
      <c r="I371" s="2">
        <f t="shared" si="65"/>
        <v>4824413</v>
      </c>
      <c r="K371" s="6">
        <v>7870679</v>
      </c>
      <c r="M371" s="2">
        <f t="shared" si="62"/>
        <v>1269294</v>
      </c>
      <c r="O371" s="6">
        <v>3766205</v>
      </c>
      <c r="Q371" s="6">
        <v>5035499</v>
      </c>
      <c r="S371" s="6">
        <v>0</v>
      </c>
      <c r="U371" s="6">
        <v>0</v>
      </c>
      <c r="W371" s="6">
        <v>0</v>
      </c>
      <c r="Y371" s="6">
        <v>188513</v>
      </c>
      <c r="AA371" s="6">
        <v>2646667</v>
      </c>
      <c r="AC371" s="12">
        <f t="shared" si="63"/>
        <v>2835180</v>
      </c>
      <c r="AE371" s="6">
        <f t="shared" si="64"/>
        <v>0</v>
      </c>
    </row>
    <row r="372" spans="1:31" hidden="1">
      <c r="A372" s="10" t="s">
        <v>880</v>
      </c>
      <c r="B372" s="11"/>
      <c r="C372" s="11" t="s">
        <v>40</v>
      </c>
      <c r="E372" s="6">
        <v>0</v>
      </c>
      <c r="G372" s="6">
        <v>0</v>
      </c>
      <c r="I372" s="2">
        <f t="shared" si="65"/>
        <v>0</v>
      </c>
      <c r="K372" s="6">
        <v>0</v>
      </c>
      <c r="M372" s="2">
        <f t="shared" si="62"/>
        <v>0</v>
      </c>
      <c r="O372" s="6">
        <v>0</v>
      </c>
      <c r="Q372" s="6">
        <v>0</v>
      </c>
      <c r="S372" s="6">
        <v>0</v>
      </c>
      <c r="U372" s="6">
        <v>0</v>
      </c>
      <c r="W372" s="6">
        <v>0</v>
      </c>
      <c r="Y372" s="6">
        <v>0</v>
      </c>
      <c r="AA372" s="6">
        <v>0</v>
      </c>
      <c r="AC372" s="12">
        <f t="shared" si="63"/>
        <v>0</v>
      </c>
      <c r="AE372" s="6">
        <f t="shared" si="64"/>
        <v>0</v>
      </c>
    </row>
    <row r="373" spans="1:31">
      <c r="A373" s="11" t="s">
        <v>712</v>
      </c>
      <c r="B373" s="11"/>
      <c r="C373" s="11" t="s">
        <v>32</v>
      </c>
      <c r="E373" s="6">
        <v>3301287</v>
      </c>
      <c r="G373" s="6">
        <v>168887</v>
      </c>
      <c r="I373" s="2">
        <f t="shared" si="65"/>
        <v>12807078</v>
      </c>
      <c r="K373" s="6">
        <v>16277252</v>
      </c>
      <c r="M373" s="2">
        <f t="shared" si="62"/>
        <v>3823943</v>
      </c>
      <c r="O373" s="6">
        <v>7848735</v>
      </c>
      <c r="Q373" s="6">
        <v>11672678</v>
      </c>
      <c r="S373" s="6">
        <v>0</v>
      </c>
      <c r="U373" s="6">
        <v>0</v>
      </c>
      <c r="W373" s="6">
        <v>0</v>
      </c>
      <c r="Y373" s="6">
        <v>1459676</v>
      </c>
      <c r="AA373" s="6">
        <v>3144898</v>
      </c>
      <c r="AC373" s="12">
        <f t="shared" si="63"/>
        <v>4604574</v>
      </c>
      <c r="AE373" s="6">
        <f t="shared" si="64"/>
        <v>0</v>
      </c>
    </row>
    <row r="374" spans="1:31" s="28" customFormat="1">
      <c r="A374" s="27" t="s">
        <v>346</v>
      </c>
      <c r="B374" s="27"/>
      <c r="C374" s="27" t="s">
        <v>34</v>
      </c>
      <c r="E374" s="28">
        <v>9381089</v>
      </c>
      <c r="G374" s="28">
        <v>51337</v>
      </c>
      <c r="I374" s="30">
        <f t="shared" si="65"/>
        <v>10474585</v>
      </c>
      <c r="K374" s="28">
        <v>19907011</v>
      </c>
      <c r="M374" s="30">
        <f t="shared" si="62"/>
        <v>2475738</v>
      </c>
      <c r="O374" s="28">
        <v>8988865</v>
      </c>
      <c r="Q374" s="28">
        <v>11464603</v>
      </c>
      <c r="S374" s="28">
        <v>133371</v>
      </c>
      <c r="U374" s="28">
        <v>0</v>
      </c>
      <c r="W374" s="28">
        <v>0</v>
      </c>
      <c r="Y374" s="28">
        <v>473303</v>
      </c>
      <c r="AA374" s="28">
        <v>7835734</v>
      </c>
      <c r="AC374" s="37">
        <f t="shared" si="63"/>
        <v>8442408</v>
      </c>
      <c r="AE374" s="28">
        <f t="shared" si="64"/>
        <v>0</v>
      </c>
    </row>
    <row r="375" spans="1:31" hidden="1">
      <c r="A375" s="11" t="s">
        <v>765</v>
      </c>
      <c r="B375" s="11"/>
      <c r="C375" s="11" t="s">
        <v>57</v>
      </c>
      <c r="I375" s="2"/>
      <c r="M375" s="2"/>
      <c r="AC375" s="12"/>
      <c r="AE375" s="6">
        <f t="shared" si="64"/>
        <v>0</v>
      </c>
    </row>
    <row r="376" spans="1:31">
      <c r="A376" s="11" t="s">
        <v>211</v>
      </c>
      <c r="B376" s="11"/>
      <c r="C376" s="11" t="s">
        <v>13</v>
      </c>
      <c r="E376" s="6">
        <v>3196652</v>
      </c>
      <c r="G376" s="6">
        <v>20713</v>
      </c>
      <c r="I376" s="2">
        <f t="shared" si="65"/>
        <v>2000345</v>
      </c>
      <c r="K376" s="6">
        <v>5217710</v>
      </c>
      <c r="M376" s="2">
        <f t="shared" si="62"/>
        <v>1207672</v>
      </c>
      <c r="O376" s="6">
        <v>1823648</v>
      </c>
      <c r="Q376" s="6">
        <v>3031320</v>
      </c>
      <c r="S376" s="6">
        <v>1348</v>
      </c>
      <c r="U376" s="6">
        <v>20713</v>
      </c>
      <c r="W376" s="6">
        <v>0</v>
      </c>
      <c r="Y376" s="6">
        <v>59108</v>
      </c>
      <c r="AA376" s="6">
        <v>2105221</v>
      </c>
      <c r="AC376" s="12">
        <f t="shared" si="63"/>
        <v>2186390</v>
      </c>
      <c r="AE376" s="6">
        <f t="shared" si="64"/>
        <v>0</v>
      </c>
    </row>
    <row r="377" spans="1:31">
      <c r="A377" s="11" t="s">
        <v>608</v>
      </c>
      <c r="B377" s="11"/>
      <c r="C377" s="11" t="s">
        <v>27</v>
      </c>
      <c r="E377" s="6">
        <v>18204363</v>
      </c>
      <c r="G377" s="6">
        <v>0</v>
      </c>
      <c r="I377" s="2">
        <f t="shared" si="65"/>
        <v>39429561</v>
      </c>
      <c r="K377" s="6">
        <v>57633924</v>
      </c>
      <c r="M377" s="2">
        <f t="shared" si="62"/>
        <v>7273148</v>
      </c>
      <c r="O377" s="6">
        <v>24679596</v>
      </c>
      <c r="Q377" s="6">
        <v>31952744</v>
      </c>
      <c r="S377" s="6">
        <v>0</v>
      </c>
      <c r="U377" s="6">
        <v>0</v>
      </c>
      <c r="W377" s="6">
        <v>0</v>
      </c>
      <c r="Y377" s="6">
        <f>160423+1044528+187963+29068+100733</f>
        <v>1522715</v>
      </c>
      <c r="AA377" s="6">
        <v>24158465</v>
      </c>
      <c r="AC377" s="12">
        <f t="shared" si="63"/>
        <v>25681180</v>
      </c>
      <c r="AE377" s="6">
        <f t="shared" si="64"/>
        <v>0</v>
      </c>
    </row>
    <row r="378" spans="1:31">
      <c r="A378" s="11" t="s">
        <v>483</v>
      </c>
      <c r="B378" s="11"/>
      <c r="C378" s="11" t="s">
        <v>59</v>
      </c>
      <c r="E378" s="6">
        <v>1427442</v>
      </c>
      <c r="G378" s="6">
        <v>0</v>
      </c>
      <c r="I378" s="2">
        <f t="shared" si="65"/>
        <v>1512105</v>
      </c>
      <c r="K378" s="6">
        <v>2939547</v>
      </c>
      <c r="M378" s="2">
        <f t="shared" si="62"/>
        <v>328282</v>
      </c>
      <c r="O378" s="6">
        <v>1431215</v>
      </c>
      <c r="Q378" s="6">
        <v>1759497</v>
      </c>
      <c r="S378" s="6">
        <v>12853</v>
      </c>
      <c r="U378" s="6">
        <v>0</v>
      </c>
      <c r="W378" s="6">
        <v>0</v>
      </c>
      <c r="Y378" s="6">
        <v>715950</v>
      </c>
      <c r="AA378" s="6">
        <v>451247</v>
      </c>
      <c r="AC378" s="12">
        <f t="shared" si="63"/>
        <v>1180050</v>
      </c>
      <c r="AE378" s="6">
        <f t="shared" si="64"/>
        <v>0</v>
      </c>
    </row>
    <row r="379" spans="1:31">
      <c r="A379" s="11" t="s">
        <v>214</v>
      </c>
      <c r="B379" s="11"/>
      <c r="C379" s="11" t="s">
        <v>14</v>
      </c>
      <c r="E379" s="6">
        <v>6275067</v>
      </c>
      <c r="G379" s="6">
        <v>0</v>
      </c>
      <c r="I379" s="2">
        <f t="shared" si="65"/>
        <v>2766918</v>
      </c>
      <c r="K379" s="6">
        <v>9041985</v>
      </c>
      <c r="M379" s="2">
        <f t="shared" si="62"/>
        <v>1053814</v>
      </c>
      <c r="O379" s="6">
        <v>1920120</v>
      </c>
      <c r="Q379" s="6">
        <v>2973934</v>
      </c>
      <c r="S379" s="6">
        <v>10582</v>
      </c>
      <c r="U379" s="6">
        <v>0</v>
      </c>
      <c r="W379" s="6">
        <v>0</v>
      </c>
      <c r="Y379" s="6">
        <v>14569</v>
      </c>
      <c r="AA379" s="6">
        <v>6042900</v>
      </c>
      <c r="AC379" s="12">
        <f t="shared" si="63"/>
        <v>6068051</v>
      </c>
      <c r="AE379" s="6">
        <f t="shared" si="64"/>
        <v>0</v>
      </c>
    </row>
    <row r="380" spans="1:31" hidden="1">
      <c r="A380" s="11" t="s">
        <v>706</v>
      </c>
      <c r="B380" s="11"/>
      <c r="C380" s="11" t="s">
        <v>14</v>
      </c>
      <c r="I380" s="2">
        <f t="shared" si="65"/>
        <v>0</v>
      </c>
      <c r="M380" s="2">
        <f t="shared" si="62"/>
        <v>0</v>
      </c>
      <c r="AC380" s="12">
        <f t="shared" si="63"/>
        <v>0</v>
      </c>
      <c r="AE380" s="6">
        <f t="shared" si="64"/>
        <v>0</v>
      </c>
    </row>
    <row r="381" spans="1:31">
      <c r="A381" s="11" t="s">
        <v>433</v>
      </c>
      <c r="B381" s="11"/>
      <c r="C381" s="11" t="s">
        <v>50</v>
      </c>
      <c r="E381" s="6">
        <v>5455558</v>
      </c>
      <c r="G381" s="6">
        <v>0</v>
      </c>
      <c r="I381" s="2">
        <f t="shared" si="65"/>
        <v>2772394</v>
      </c>
      <c r="K381" s="6">
        <v>8227952</v>
      </c>
      <c r="M381" s="2">
        <f t="shared" si="62"/>
        <v>1336811</v>
      </c>
      <c r="O381" s="6">
        <v>2092282</v>
      </c>
      <c r="Q381" s="6">
        <v>3429093</v>
      </c>
      <c r="S381" s="6">
        <v>0</v>
      </c>
      <c r="U381" s="6">
        <v>0</v>
      </c>
      <c r="W381" s="6">
        <v>22868</v>
      </c>
      <c r="Y381" s="6">
        <v>791393</v>
      </c>
      <c r="AA381" s="6">
        <v>3984598</v>
      </c>
      <c r="AC381" s="12">
        <f t="shared" si="63"/>
        <v>4798859</v>
      </c>
      <c r="AE381" s="6">
        <f t="shared" si="64"/>
        <v>0</v>
      </c>
    </row>
    <row r="382" spans="1:31" hidden="1">
      <c r="A382" s="11" t="s">
        <v>809</v>
      </c>
      <c r="B382" s="11"/>
      <c r="C382" s="11" t="s">
        <v>451</v>
      </c>
      <c r="I382" s="2">
        <f t="shared" si="65"/>
        <v>0</v>
      </c>
      <c r="M382" s="2">
        <f t="shared" si="62"/>
        <v>0</v>
      </c>
      <c r="AC382" s="12">
        <f t="shared" si="63"/>
        <v>0</v>
      </c>
      <c r="AE382" s="6">
        <f t="shared" si="64"/>
        <v>0</v>
      </c>
    </row>
    <row r="383" spans="1:31">
      <c r="A383" s="11" t="s">
        <v>357</v>
      </c>
      <c r="B383" s="11"/>
      <c r="C383" s="11" t="s">
        <v>37</v>
      </c>
      <c r="E383" s="6">
        <v>1912161</v>
      </c>
      <c r="G383" s="6">
        <v>0</v>
      </c>
      <c r="I383" s="2">
        <f t="shared" si="65"/>
        <v>2656584</v>
      </c>
      <c r="K383" s="6">
        <v>4568745</v>
      </c>
      <c r="M383" s="2">
        <f t="shared" si="62"/>
        <v>1157053</v>
      </c>
      <c r="O383" s="6">
        <v>1892578</v>
      </c>
      <c r="Q383" s="6">
        <v>3049631</v>
      </c>
      <c r="S383" s="6">
        <v>0</v>
      </c>
      <c r="U383" s="6">
        <v>0</v>
      </c>
      <c r="W383" s="6">
        <v>0</v>
      </c>
      <c r="Y383" s="6">
        <v>650111</v>
      </c>
      <c r="AA383" s="6">
        <v>869003</v>
      </c>
      <c r="AC383" s="12">
        <f t="shared" si="63"/>
        <v>1519114</v>
      </c>
      <c r="AE383" s="6">
        <f t="shared" si="64"/>
        <v>0</v>
      </c>
    </row>
    <row r="384" spans="1:31">
      <c r="A384" s="11" t="s">
        <v>226</v>
      </c>
      <c r="B384" s="11"/>
      <c r="C384" s="11" t="s">
        <v>221</v>
      </c>
      <c r="E384" s="6">
        <v>3639584</v>
      </c>
      <c r="G384" s="6">
        <v>0</v>
      </c>
      <c r="I384" s="2">
        <f t="shared" si="65"/>
        <v>1271843</v>
      </c>
      <c r="K384" s="6">
        <v>4911427</v>
      </c>
      <c r="M384" s="2">
        <f t="shared" si="62"/>
        <v>676042</v>
      </c>
      <c r="O384" s="6">
        <v>1042290</v>
      </c>
      <c r="Q384" s="6">
        <v>1718332</v>
      </c>
      <c r="S384" s="6">
        <v>398</v>
      </c>
      <c r="U384" s="6">
        <v>0</v>
      </c>
      <c r="W384" s="6">
        <v>0</v>
      </c>
      <c r="Y384" s="6">
        <v>3170293</v>
      </c>
      <c r="AA384" s="6">
        <v>22404</v>
      </c>
      <c r="AC384" s="12">
        <f t="shared" si="63"/>
        <v>3193095</v>
      </c>
      <c r="AE384" s="6">
        <f t="shared" si="64"/>
        <v>0</v>
      </c>
    </row>
    <row r="385" spans="1:31">
      <c r="A385" s="11" t="s">
        <v>537</v>
      </c>
      <c r="B385" s="11"/>
      <c r="C385" s="11" t="s">
        <v>65</v>
      </c>
      <c r="E385" s="6">
        <v>7566365</v>
      </c>
      <c r="G385" s="6">
        <v>0</v>
      </c>
      <c r="I385" s="2">
        <f t="shared" si="65"/>
        <v>12144130</v>
      </c>
      <c r="K385" s="6">
        <v>19710495</v>
      </c>
      <c r="M385" s="2">
        <f t="shared" si="62"/>
        <v>3318126</v>
      </c>
      <c r="O385" s="6">
        <v>10495507</v>
      </c>
      <c r="Q385" s="6">
        <v>13813633</v>
      </c>
      <c r="S385" s="6">
        <f>44881+19279</f>
        <v>64160</v>
      </c>
      <c r="U385" s="6">
        <v>0</v>
      </c>
      <c r="W385" s="6">
        <v>0</v>
      </c>
      <c r="Y385" s="6">
        <v>0</v>
      </c>
      <c r="AA385" s="6">
        <v>5832702</v>
      </c>
      <c r="AC385" s="12">
        <f t="shared" si="63"/>
        <v>5896862</v>
      </c>
      <c r="AE385" s="6">
        <f t="shared" si="64"/>
        <v>0</v>
      </c>
    </row>
    <row r="386" spans="1:31">
      <c r="A386" s="11" t="s">
        <v>772</v>
      </c>
      <c r="B386" s="11"/>
      <c r="C386" s="11" t="s">
        <v>113</v>
      </c>
      <c r="E386" s="6">
        <v>20680868</v>
      </c>
      <c r="G386" s="6">
        <v>0</v>
      </c>
      <c r="I386" s="2">
        <f t="shared" si="65"/>
        <v>13211530</v>
      </c>
      <c r="K386" s="6">
        <v>33892398</v>
      </c>
      <c r="M386" s="2">
        <f t="shared" si="62"/>
        <v>2501115</v>
      </c>
      <c r="O386" s="6">
        <v>12448222</v>
      </c>
      <c r="Q386" s="6">
        <v>14949337</v>
      </c>
      <c r="S386" s="6">
        <v>0</v>
      </c>
      <c r="U386" s="6">
        <v>0</v>
      </c>
      <c r="W386" s="6">
        <v>11505</v>
      </c>
      <c r="Y386" s="6">
        <v>1610303</v>
      </c>
      <c r="AA386" s="6">
        <v>17321253</v>
      </c>
      <c r="AC386" s="12">
        <f t="shared" si="63"/>
        <v>18943061</v>
      </c>
      <c r="AE386" s="6">
        <f t="shared" si="64"/>
        <v>0</v>
      </c>
    </row>
    <row r="387" spans="1:31" hidden="1">
      <c r="A387" s="11" t="s">
        <v>810</v>
      </c>
      <c r="B387" s="11"/>
      <c r="C387" s="11" t="s">
        <v>60</v>
      </c>
      <c r="I387" s="2">
        <f t="shared" si="65"/>
        <v>0</v>
      </c>
      <c r="M387" s="2">
        <f t="shared" si="62"/>
        <v>0</v>
      </c>
      <c r="AC387" s="12">
        <f t="shared" si="63"/>
        <v>0</v>
      </c>
      <c r="AE387" s="6">
        <f t="shared" si="64"/>
        <v>0</v>
      </c>
    </row>
    <row r="388" spans="1:31">
      <c r="A388" s="11" t="s">
        <v>376</v>
      </c>
      <c r="B388" s="11"/>
      <c r="C388" s="11" t="s">
        <v>42</v>
      </c>
      <c r="E388" s="6">
        <v>15179495</v>
      </c>
      <c r="G388" s="6">
        <v>0</v>
      </c>
      <c r="I388" s="2">
        <f t="shared" si="65"/>
        <v>25510434</v>
      </c>
      <c r="K388" s="6">
        <v>40689929</v>
      </c>
      <c r="M388" s="2">
        <f t="shared" si="62"/>
        <v>6506024</v>
      </c>
      <c r="O388" s="6">
        <f>2824504+18519683</f>
        <v>21344187</v>
      </c>
      <c r="Q388" s="6">
        <v>27850211</v>
      </c>
      <c r="S388" s="6">
        <v>74510</v>
      </c>
      <c r="U388" s="6">
        <v>0</v>
      </c>
      <c r="W388" s="6">
        <f>189878+763383</f>
        <v>953261</v>
      </c>
      <c r="Y388" s="6">
        <f>36541+1586287+708+1559504+16944</f>
        <v>3199984</v>
      </c>
      <c r="AA388" s="6">
        <v>8611963</v>
      </c>
      <c r="AC388" s="12">
        <f t="shared" si="63"/>
        <v>12839718</v>
      </c>
      <c r="AE388" s="6">
        <f t="shared" si="64"/>
        <v>0</v>
      </c>
    </row>
    <row r="389" spans="1:31" hidden="1">
      <c r="A389" s="10" t="s">
        <v>881</v>
      </c>
      <c r="B389" s="11"/>
      <c r="C389" s="11" t="s">
        <v>30</v>
      </c>
      <c r="E389" s="6">
        <v>0</v>
      </c>
      <c r="G389" s="6">
        <v>0</v>
      </c>
      <c r="I389" s="2">
        <f t="shared" si="65"/>
        <v>0</v>
      </c>
      <c r="K389" s="6">
        <v>0</v>
      </c>
      <c r="M389" s="2">
        <f t="shared" si="62"/>
        <v>0</v>
      </c>
      <c r="O389" s="6">
        <v>0</v>
      </c>
      <c r="Q389" s="6">
        <v>0</v>
      </c>
      <c r="S389" s="6">
        <v>0</v>
      </c>
      <c r="U389" s="6">
        <v>0</v>
      </c>
      <c r="W389" s="6">
        <v>0</v>
      </c>
      <c r="Y389" s="6">
        <v>0</v>
      </c>
      <c r="AA389" s="6">
        <v>0</v>
      </c>
      <c r="AC389" s="12">
        <f t="shared" si="63"/>
        <v>0</v>
      </c>
      <c r="AE389" s="6">
        <f t="shared" si="64"/>
        <v>0</v>
      </c>
    </row>
    <row r="390" spans="1:31">
      <c r="A390" s="11" t="s">
        <v>773</v>
      </c>
      <c r="B390" s="11"/>
      <c r="C390" s="11" t="s">
        <v>65</v>
      </c>
      <c r="E390" s="6">
        <v>766528</v>
      </c>
      <c r="G390" s="6">
        <v>0</v>
      </c>
      <c r="I390" s="2">
        <f t="shared" si="65"/>
        <v>3412190</v>
      </c>
      <c r="K390" s="6">
        <v>4178718</v>
      </c>
      <c r="M390" s="2">
        <f t="shared" si="62"/>
        <v>1101749</v>
      </c>
      <c r="O390" s="6">
        <f>312243+2241754</f>
        <v>2553997</v>
      </c>
      <c r="Q390" s="6">
        <v>3655746</v>
      </c>
      <c r="S390" s="6">
        <v>0</v>
      </c>
      <c r="U390" s="6">
        <v>0</v>
      </c>
      <c r="W390" s="6">
        <f>50432+18760</f>
        <v>69192</v>
      </c>
      <c r="Y390" s="6">
        <f>65811+222839+4866+9538+21070+129656</f>
        <v>453780</v>
      </c>
      <c r="AA390" s="6">
        <v>0</v>
      </c>
      <c r="AC390" s="12">
        <f t="shared" si="63"/>
        <v>522972</v>
      </c>
      <c r="AE390" s="6">
        <f t="shared" si="64"/>
        <v>0</v>
      </c>
    </row>
    <row r="391" spans="1:31">
      <c r="A391" s="11" t="s">
        <v>774</v>
      </c>
      <c r="B391" s="11"/>
      <c r="C391" s="11" t="s">
        <v>64</v>
      </c>
      <c r="E391" s="6">
        <v>1178726</v>
      </c>
      <c r="G391" s="6">
        <v>2205</v>
      </c>
      <c r="I391" s="2">
        <f t="shared" si="65"/>
        <v>3568971</v>
      </c>
      <c r="K391" s="6">
        <v>4749902</v>
      </c>
      <c r="M391" s="2">
        <f t="shared" si="62"/>
        <v>1331470</v>
      </c>
      <c r="O391" s="6">
        <v>3509533</v>
      </c>
      <c r="Q391" s="6">
        <f>1331470+3509533</f>
        <v>4841003</v>
      </c>
      <c r="S391" s="6">
        <v>0</v>
      </c>
      <c r="U391" s="6">
        <v>9125</v>
      </c>
      <c r="W391" s="6">
        <v>0</v>
      </c>
      <c r="Y391" s="6">
        <v>252803</v>
      </c>
      <c r="AA391" s="6">
        <v>-353029</v>
      </c>
      <c r="AC391" s="12">
        <f t="shared" si="63"/>
        <v>-91101</v>
      </c>
      <c r="AE391" s="6">
        <f t="shared" si="64"/>
        <v>0</v>
      </c>
    </row>
    <row r="392" spans="1:31" hidden="1">
      <c r="A392" s="11" t="s">
        <v>811</v>
      </c>
      <c r="B392" s="11"/>
      <c r="C392" s="11" t="s">
        <v>48</v>
      </c>
      <c r="I392" s="2">
        <f t="shared" si="65"/>
        <v>0</v>
      </c>
      <c r="M392" s="2">
        <f t="shared" si="62"/>
        <v>0</v>
      </c>
      <c r="AC392" s="12">
        <f t="shared" si="63"/>
        <v>0</v>
      </c>
      <c r="AE392" s="6">
        <f t="shared" si="64"/>
        <v>0</v>
      </c>
    </row>
    <row r="393" spans="1:31">
      <c r="A393" s="11" t="s">
        <v>606</v>
      </c>
      <c r="B393" s="11"/>
      <c r="C393" s="11" t="s">
        <v>64</v>
      </c>
      <c r="E393" s="6">
        <v>285596</v>
      </c>
      <c r="G393" s="6">
        <v>0</v>
      </c>
      <c r="I393" s="2">
        <f t="shared" si="65"/>
        <v>8942070</v>
      </c>
      <c r="K393" s="6">
        <v>9227666</v>
      </c>
      <c r="M393" s="2">
        <f t="shared" si="62"/>
        <v>2381775</v>
      </c>
      <c r="O393" s="6">
        <v>8770579</v>
      </c>
      <c r="Q393" s="6">
        <v>11152354</v>
      </c>
      <c r="S393" s="6">
        <v>0</v>
      </c>
      <c r="U393" s="6">
        <v>0</v>
      </c>
      <c r="W393" s="6">
        <v>0</v>
      </c>
      <c r="Y393" s="6">
        <v>43811</v>
      </c>
      <c r="AA393" s="6">
        <v>-1968499</v>
      </c>
      <c r="AC393" s="12">
        <f t="shared" si="63"/>
        <v>-1924688</v>
      </c>
      <c r="AE393" s="6">
        <f t="shared" si="64"/>
        <v>0</v>
      </c>
    </row>
    <row r="394" spans="1:31">
      <c r="A394" s="11" t="s">
        <v>449</v>
      </c>
      <c r="B394" s="11"/>
      <c r="C394" s="11" t="s">
        <v>52</v>
      </c>
      <c r="E394" s="6">
        <v>2622478</v>
      </c>
      <c r="G394" s="6">
        <v>59714</v>
      </c>
      <c r="I394" s="2">
        <f t="shared" si="65"/>
        <v>4358286</v>
      </c>
      <c r="K394" s="6">
        <v>7040478</v>
      </c>
      <c r="M394" s="2">
        <f t="shared" si="62"/>
        <v>1125700</v>
      </c>
      <c r="O394" s="6">
        <v>3228174</v>
      </c>
      <c r="Q394" s="6">
        <v>4353874</v>
      </c>
      <c r="S394" s="6">
        <v>115534</v>
      </c>
      <c r="U394" s="6">
        <v>0</v>
      </c>
      <c r="W394" s="6">
        <v>0</v>
      </c>
      <c r="Y394" s="6">
        <v>567831</v>
      </c>
      <c r="AA394" s="6">
        <v>2003239</v>
      </c>
      <c r="AC394" s="12">
        <f t="shared" si="63"/>
        <v>2686604</v>
      </c>
      <c r="AE394" s="6">
        <f t="shared" si="64"/>
        <v>0</v>
      </c>
    </row>
    <row r="395" spans="1:31">
      <c r="A395" s="11" t="s">
        <v>511</v>
      </c>
      <c r="B395" s="11"/>
      <c r="C395" s="11" t="s">
        <v>63</v>
      </c>
      <c r="E395" s="6">
        <v>6644850</v>
      </c>
      <c r="G395" s="6">
        <v>285248</v>
      </c>
      <c r="I395" s="2">
        <f t="shared" si="65"/>
        <v>30481086</v>
      </c>
      <c r="K395" s="6">
        <v>37411184</v>
      </c>
      <c r="M395" s="2">
        <f t="shared" si="62"/>
        <v>2806023</v>
      </c>
      <c r="O395" s="6">
        <v>26706735</v>
      </c>
      <c r="Q395" s="6">
        <v>29512758</v>
      </c>
      <c r="S395" s="6">
        <v>46854</v>
      </c>
      <c r="U395" s="6">
        <v>0</v>
      </c>
      <c r="W395" s="6">
        <v>0</v>
      </c>
      <c r="Y395" s="6">
        <v>1498652</v>
      </c>
      <c r="AA395" s="6">
        <v>6352920</v>
      </c>
      <c r="AC395" s="12">
        <f t="shared" si="63"/>
        <v>7898426</v>
      </c>
      <c r="AE395" s="6">
        <f t="shared" si="64"/>
        <v>0</v>
      </c>
    </row>
    <row r="396" spans="1:31">
      <c r="A396" s="11" t="s">
        <v>556</v>
      </c>
      <c r="B396" s="11"/>
      <c r="C396" s="11" t="s">
        <v>72</v>
      </c>
      <c r="E396" s="6">
        <v>3183166</v>
      </c>
      <c r="G396" s="6">
        <v>0</v>
      </c>
      <c r="I396" s="2">
        <f t="shared" si="65"/>
        <v>3503207</v>
      </c>
      <c r="K396" s="6">
        <v>6686373</v>
      </c>
      <c r="M396" s="2">
        <f t="shared" si="62"/>
        <v>756853</v>
      </c>
      <c r="O396" s="6">
        <v>2989233</v>
      </c>
      <c r="Q396" s="6">
        <v>3746086</v>
      </c>
      <c r="S396" s="6">
        <v>0</v>
      </c>
      <c r="U396" s="6">
        <v>0</v>
      </c>
      <c r="W396" s="6">
        <v>0</v>
      </c>
      <c r="Y396" s="6">
        <v>305862</v>
      </c>
      <c r="AA396" s="6">
        <v>2634425</v>
      </c>
      <c r="AC396" s="12">
        <f t="shared" si="63"/>
        <v>2940287</v>
      </c>
      <c r="AE396" s="6">
        <f t="shared" si="64"/>
        <v>0</v>
      </c>
    </row>
    <row r="397" spans="1:31" hidden="1">
      <c r="A397" s="11" t="s">
        <v>813</v>
      </c>
      <c r="B397" s="11"/>
      <c r="C397" s="11" t="s">
        <v>53</v>
      </c>
      <c r="I397" s="2">
        <f t="shared" si="65"/>
        <v>0</v>
      </c>
      <c r="M397" s="2">
        <f t="shared" si="62"/>
        <v>0</v>
      </c>
      <c r="AC397" s="12">
        <f t="shared" si="63"/>
        <v>0</v>
      </c>
      <c r="AE397" s="6">
        <f t="shared" si="64"/>
        <v>0</v>
      </c>
    </row>
    <row r="398" spans="1:31">
      <c r="A398" s="11" t="s">
        <v>503</v>
      </c>
      <c r="B398" s="11"/>
      <c r="C398" s="11" t="s">
        <v>62</v>
      </c>
      <c r="E398" s="6">
        <v>5811676</v>
      </c>
      <c r="G398" s="6">
        <v>2542</v>
      </c>
      <c r="I398" s="2">
        <f t="shared" si="65"/>
        <v>23239574</v>
      </c>
      <c r="K398" s="6">
        <v>29053792</v>
      </c>
      <c r="M398" s="2">
        <f t="shared" si="62"/>
        <v>5870288</v>
      </c>
      <c r="O398" s="6">
        <f>21100367+452539</f>
        <v>21552906</v>
      </c>
      <c r="Q398" s="6">
        <v>27423194</v>
      </c>
      <c r="S398" s="6">
        <v>117535</v>
      </c>
      <c r="U398" s="6">
        <v>2542</v>
      </c>
      <c r="W398" s="6">
        <v>0</v>
      </c>
      <c r="Y398" s="6">
        <f>76311+341835+146+43198+20121</f>
        <v>481611</v>
      </c>
      <c r="AA398" s="6">
        <v>1028910</v>
      </c>
      <c r="AC398" s="12">
        <f t="shared" si="63"/>
        <v>1630598</v>
      </c>
      <c r="AE398" s="6">
        <f t="shared" si="64"/>
        <v>0</v>
      </c>
    </row>
    <row r="399" spans="1:31" hidden="1">
      <c r="A399" s="11" t="s">
        <v>814</v>
      </c>
      <c r="B399" s="11"/>
      <c r="C399" s="11" t="s">
        <v>552</v>
      </c>
      <c r="I399" s="2">
        <f t="shared" si="65"/>
        <v>0</v>
      </c>
      <c r="M399" s="2">
        <f t="shared" si="62"/>
        <v>0</v>
      </c>
      <c r="AC399" s="12">
        <f t="shared" si="63"/>
        <v>0</v>
      </c>
      <c r="AE399" s="6">
        <f t="shared" si="64"/>
        <v>0</v>
      </c>
    </row>
    <row r="400" spans="1:31">
      <c r="A400" s="11" t="s">
        <v>709</v>
      </c>
      <c r="B400" s="11"/>
      <c r="C400" s="11" t="s">
        <v>32</v>
      </c>
      <c r="E400" s="6">
        <v>248492</v>
      </c>
      <c r="G400" s="6">
        <v>0</v>
      </c>
      <c r="I400" s="2">
        <f t="shared" si="65"/>
        <v>4152764</v>
      </c>
      <c r="K400" s="6">
        <v>4401256</v>
      </c>
      <c r="M400" s="2">
        <f t="shared" si="62"/>
        <v>1121782</v>
      </c>
      <c r="O400" s="6">
        <v>2587051</v>
      </c>
      <c r="Q400" s="6">
        <v>3708833</v>
      </c>
      <c r="S400" s="6">
        <v>0</v>
      </c>
      <c r="U400" s="6">
        <v>890</v>
      </c>
      <c r="W400" s="6">
        <v>22263</v>
      </c>
      <c r="Y400" s="6">
        <v>1201</v>
      </c>
      <c r="AA400" s="6">
        <v>668069</v>
      </c>
      <c r="AC400" s="12">
        <f t="shared" si="63"/>
        <v>692423</v>
      </c>
      <c r="AE400" s="6">
        <f t="shared" si="64"/>
        <v>0</v>
      </c>
    </row>
    <row r="401" spans="1:31">
      <c r="A401" s="11" t="s">
        <v>377</v>
      </c>
      <c r="B401" s="11"/>
      <c r="C401" s="11" t="s">
        <v>42</v>
      </c>
      <c r="E401" s="6">
        <f>805027+85042</f>
        <v>890069</v>
      </c>
      <c r="G401" s="6">
        <v>27758</v>
      </c>
      <c r="I401" s="2">
        <f t="shared" si="65"/>
        <v>5243349</v>
      </c>
      <c r="K401" s="6">
        <v>6161176</v>
      </c>
      <c r="M401" s="2">
        <f t="shared" si="62"/>
        <v>1720711</v>
      </c>
      <c r="O401" s="6">
        <f>450494+3908232</f>
        <v>4358726</v>
      </c>
      <c r="Q401" s="6">
        <v>6079437</v>
      </c>
      <c r="S401" s="6">
        <v>0</v>
      </c>
      <c r="U401" s="6">
        <v>27758</v>
      </c>
      <c r="W401" s="6">
        <v>11000</v>
      </c>
      <c r="Y401" s="6">
        <f>23740+14100+141+5000</f>
        <v>42981</v>
      </c>
      <c r="AA401" s="6">
        <v>0</v>
      </c>
      <c r="AC401" s="12">
        <f t="shared" si="63"/>
        <v>81739</v>
      </c>
      <c r="AE401" s="6">
        <f t="shared" si="64"/>
        <v>0</v>
      </c>
    </row>
    <row r="402" spans="1:31">
      <c r="A402" s="11" t="s">
        <v>271</v>
      </c>
      <c r="B402" s="11"/>
      <c r="C402" s="11" t="s">
        <v>20</v>
      </c>
      <c r="E402" s="6">
        <f>18054074</f>
        <v>18054074</v>
      </c>
      <c r="G402" s="6">
        <v>223073</v>
      </c>
      <c r="I402" s="2">
        <f t="shared" si="65"/>
        <v>40819671</v>
      </c>
      <c r="K402" s="6">
        <v>59096818</v>
      </c>
      <c r="M402" s="2">
        <f t="shared" si="62"/>
        <v>8128599</v>
      </c>
      <c r="O402" s="6">
        <f>35361303+76915</f>
        <v>35438218</v>
      </c>
      <c r="Q402" s="6">
        <v>43566817</v>
      </c>
      <c r="S402" s="6">
        <v>0</v>
      </c>
      <c r="U402" s="6">
        <v>0</v>
      </c>
      <c r="W402" s="6">
        <v>1303073</v>
      </c>
      <c r="Y402" s="6">
        <v>2946806</v>
      </c>
      <c r="AA402" s="6">
        <v>11280122</v>
      </c>
      <c r="AC402" s="12">
        <f t="shared" si="63"/>
        <v>15530001</v>
      </c>
      <c r="AE402" s="6">
        <f t="shared" si="64"/>
        <v>0</v>
      </c>
    </row>
    <row r="403" spans="1:31">
      <c r="A403" s="11" t="s">
        <v>388</v>
      </c>
      <c r="B403" s="11"/>
      <c r="C403" s="11" t="s">
        <v>44</v>
      </c>
      <c r="E403" s="6">
        <v>1248443</v>
      </c>
      <c r="G403" s="6">
        <v>0</v>
      </c>
      <c r="I403" s="2">
        <f t="shared" si="65"/>
        <v>21845129</v>
      </c>
      <c r="K403" s="6">
        <v>23093572</v>
      </c>
      <c r="M403" s="2">
        <f t="shared" si="62"/>
        <v>4863957</v>
      </c>
      <c r="O403" s="6">
        <v>17987442</v>
      </c>
      <c r="Q403" s="6">
        <v>22851399</v>
      </c>
      <c r="S403" s="6">
        <v>0</v>
      </c>
      <c r="U403" s="6">
        <v>0</v>
      </c>
      <c r="W403" s="6">
        <v>0</v>
      </c>
      <c r="Y403" s="6">
        <v>417359</v>
      </c>
      <c r="AA403" s="6">
        <v>-175186</v>
      </c>
      <c r="AC403" s="12">
        <f t="shared" si="63"/>
        <v>242173</v>
      </c>
      <c r="AE403" s="6">
        <f t="shared" si="64"/>
        <v>0</v>
      </c>
    </row>
    <row r="404" spans="1:31">
      <c r="A404" s="11" t="s">
        <v>272</v>
      </c>
      <c r="B404" s="11"/>
      <c r="C404" s="11" t="s">
        <v>20</v>
      </c>
      <c r="E404" s="6">
        <v>11240370</v>
      </c>
      <c r="G404" s="6">
        <v>0</v>
      </c>
      <c r="I404" s="2">
        <f t="shared" si="65"/>
        <v>36972221</v>
      </c>
      <c r="K404" s="6">
        <v>48212591</v>
      </c>
      <c r="M404" s="2">
        <f t="shared" si="62"/>
        <v>5305722</v>
      </c>
      <c r="O404" s="6">
        <v>32274579</v>
      </c>
      <c r="Q404" s="6">
        <v>37580301</v>
      </c>
      <c r="S404" s="6">
        <v>75296</v>
      </c>
      <c r="U404" s="6">
        <v>0</v>
      </c>
      <c r="W404" s="6">
        <v>0</v>
      </c>
      <c r="Y404" s="6">
        <v>1922864</v>
      </c>
      <c r="AA404" s="6">
        <v>8634130</v>
      </c>
      <c r="AC404" s="12">
        <f t="shared" si="63"/>
        <v>10632290</v>
      </c>
      <c r="AE404" s="6">
        <f t="shared" si="64"/>
        <v>0</v>
      </c>
    </row>
    <row r="405" spans="1:31">
      <c r="A405" s="11" t="s">
        <v>540</v>
      </c>
      <c r="B405" s="11"/>
      <c r="C405" s="11" t="s">
        <v>66</v>
      </c>
      <c r="E405" s="6">
        <v>10346856</v>
      </c>
      <c r="G405" s="6">
        <v>0</v>
      </c>
      <c r="I405" s="2">
        <f t="shared" si="65"/>
        <v>4412175</v>
      </c>
      <c r="K405" s="6">
        <v>14759031</v>
      </c>
      <c r="M405" s="2">
        <f t="shared" si="62"/>
        <v>1591399</v>
      </c>
      <c r="O405" s="6">
        <v>3556731</v>
      </c>
      <c r="Q405" s="6">
        <v>5148130</v>
      </c>
      <c r="S405" s="6">
        <v>2762</v>
      </c>
      <c r="U405" s="6">
        <v>0</v>
      </c>
      <c r="W405" s="6">
        <v>0</v>
      </c>
      <c r="Y405" s="6">
        <v>1024563</v>
      </c>
      <c r="AA405" s="6">
        <v>8583576</v>
      </c>
      <c r="AC405" s="12">
        <f t="shared" si="63"/>
        <v>9610901</v>
      </c>
      <c r="AE405" s="6">
        <f t="shared" si="64"/>
        <v>0</v>
      </c>
    </row>
    <row r="406" spans="1:31">
      <c r="A406" s="11" t="s">
        <v>233</v>
      </c>
      <c r="B406" s="11"/>
      <c r="C406" s="11" t="s">
        <v>17</v>
      </c>
      <c r="E406" s="6">
        <f>4818731+9770</f>
        <v>4828501</v>
      </c>
      <c r="G406" s="6">
        <v>0</v>
      </c>
      <c r="I406" s="2">
        <f t="shared" si="65"/>
        <v>11710489</v>
      </c>
      <c r="K406" s="6">
        <v>16538990</v>
      </c>
      <c r="M406" s="2">
        <f t="shared" si="62"/>
        <v>4058371</v>
      </c>
      <c r="O406" s="6">
        <v>8158281</v>
      </c>
      <c r="Q406" s="6">
        <v>12216652</v>
      </c>
      <c r="S406" s="6">
        <v>92832</v>
      </c>
      <c r="U406" s="6">
        <v>11000</v>
      </c>
      <c r="W406" s="6">
        <v>0</v>
      </c>
      <c r="Y406" s="6">
        <v>3191209</v>
      </c>
      <c r="AA406" s="6">
        <v>1027297</v>
      </c>
      <c r="AC406" s="12">
        <f t="shared" si="63"/>
        <v>4322338</v>
      </c>
      <c r="AE406" s="6">
        <f t="shared" si="64"/>
        <v>0</v>
      </c>
    </row>
    <row r="407" spans="1:31" hidden="1">
      <c r="A407" s="11" t="s">
        <v>815</v>
      </c>
      <c r="B407" s="11"/>
      <c r="C407" s="11" t="s">
        <v>22</v>
      </c>
      <c r="I407" s="2">
        <f t="shared" si="65"/>
        <v>0</v>
      </c>
      <c r="M407" s="2">
        <f t="shared" si="62"/>
        <v>0</v>
      </c>
      <c r="AC407" s="12">
        <f t="shared" si="63"/>
        <v>0</v>
      </c>
      <c r="AE407" s="6">
        <f t="shared" si="64"/>
        <v>0</v>
      </c>
    </row>
    <row r="408" spans="1:31" hidden="1">
      <c r="A408" s="11" t="s">
        <v>816</v>
      </c>
      <c r="B408" s="11"/>
      <c r="C408" s="11" t="s">
        <v>451</v>
      </c>
      <c r="I408" s="2">
        <f t="shared" si="65"/>
        <v>0</v>
      </c>
      <c r="M408" s="2">
        <f t="shared" si="62"/>
        <v>0</v>
      </c>
      <c r="AC408" s="12">
        <f t="shared" si="63"/>
        <v>0</v>
      </c>
      <c r="AE408" s="6">
        <f t="shared" si="64"/>
        <v>0</v>
      </c>
    </row>
    <row r="409" spans="1:31">
      <c r="A409" s="11" t="s">
        <v>434</v>
      </c>
      <c r="B409" s="11"/>
      <c r="C409" s="11" t="s">
        <v>50</v>
      </c>
      <c r="E409" s="6">
        <v>11415537</v>
      </c>
      <c r="G409" s="6">
        <v>0</v>
      </c>
      <c r="I409" s="2">
        <f t="shared" si="65"/>
        <v>24367121</v>
      </c>
      <c r="K409" s="6">
        <v>35782658</v>
      </c>
      <c r="M409" s="2">
        <f t="shared" si="62"/>
        <v>6523543</v>
      </c>
      <c r="O409" s="6">
        <v>22700123</v>
      </c>
      <c r="Q409" s="6">
        <v>29223666</v>
      </c>
      <c r="S409" s="6">
        <v>0</v>
      </c>
      <c r="U409" s="6">
        <v>0</v>
      </c>
      <c r="W409" s="6">
        <v>0</v>
      </c>
      <c r="Y409" s="6">
        <v>1541482</v>
      </c>
      <c r="AA409" s="6">
        <v>5017510</v>
      </c>
      <c r="AC409" s="12">
        <f t="shared" si="63"/>
        <v>6558992</v>
      </c>
      <c r="AE409" s="6">
        <f t="shared" si="64"/>
        <v>0</v>
      </c>
    </row>
    <row r="410" spans="1:31">
      <c r="A410" s="11" t="s">
        <v>442</v>
      </c>
      <c r="B410" s="11"/>
      <c r="C410" s="11" t="s">
        <v>78</v>
      </c>
      <c r="E410" s="6">
        <v>350374</v>
      </c>
      <c r="G410" s="6">
        <v>0</v>
      </c>
      <c r="I410" s="2">
        <f t="shared" si="65"/>
        <v>4003455</v>
      </c>
      <c r="K410" s="6">
        <v>4353829</v>
      </c>
      <c r="M410" s="2">
        <f t="shared" ref="M410:M476" si="66">+Q410-O410</f>
        <v>1138826</v>
      </c>
      <c r="O410" s="6">
        <f>2629162+485639</f>
        <v>3114801</v>
      </c>
      <c r="Q410" s="6">
        <v>4253627</v>
      </c>
      <c r="S410" s="6">
        <f>5134+16474+25748</f>
        <v>47356</v>
      </c>
      <c r="U410" s="6">
        <v>0</v>
      </c>
      <c r="W410" s="6">
        <v>8259</v>
      </c>
      <c r="Y410" s="6">
        <f>19989+29406+14247+75225+120</f>
        <v>138987</v>
      </c>
      <c r="AA410" s="6">
        <v>-94400</v>
      </c>
      <c r="AC410" s="12">
        <f t="shared" ref="AC410:AC476" si="67">+W410+U410++S410+Y410+AA410</f>
        <v>100202</v>
      </c>
      <c r="AE410" s="6">
        <f t="shared" ref="AE410:AE476" si="68">+E410+G410+I410-M410-O410-W410-U410-S410-Y410-AA410</f>
        <v>0</v>
      </c>
    </row>
    <row r="411" spans="1:31">
      <c r="A411" s="11" t="s">
        <v>378</v>
      </c>
      <c r="B411" s="11"/>
      <c r="C411" s="11" t="s">
        <v>42</v>
      </c>
      <c r="E411" s="6">
        <v>6024576</v>
      </c>
      <c r="G411" s="6">
        <v>0</v>
      </c>
      <c r="I411" s="2">
        <f t="shared" si="65"/>
        <v>6900921</v>
      </c>
      <c r="K411" s="6">
        <v>12925497</v>
      </c>
      <c r="M411" s="2">
        <f t="shared" si="66"/>
        <v>1132817</v>
      </c>
      <c r="O411" s="6">
        <v>5995704</v>
      </c>
      <c r="Q411" s="6">
        <v>7128521</v>
      </c>
      <c r="S411" s="6">
        <v>13208</v>
      </c>
      <c r="U411" s="6">
        <v>0</v>
      </c>
      <c r="W411" s="6">
        <v>0</v>
      </c>
      <c r="Y411" s="6">
        <v>80051</v>
      </c>
      <c r="AA411" s="6">
        <v>5703717</v>
      </c>
      <c r="AC411" s="12">
        <f t="shared" si="67"/>
        <v>5796976</v>
      </c>
      <c r="AE411" s="6">
        <f t="shared" si="68"/>
        <v>0</v>
      </c>
    </row>
    <row r="412" spans="1:31">
      <c r="A412" s="11" t="s">
        <v>378</v>
      </c>
      <c r="B412" s="11"/>
      <c r="C412" s="11" t="s">
        <v>50</v>
      </c>
      <c r="E412" s="6">
        <v>5998116</v>
      </c>
      <c r="G412" s="6">
        <f>2171095+52637</f>
        <v>2223732</v>
      </c>
      <c r="I412" s="2">
        <f t="shared" ref="I412:I478" si="69">+K412-G412-E412</f>
        <v>9064522</v>
      </c>
      <c r="K412" s="6">
        <v>17286370</v>
      </c>
      <c r="M412" s="2">
        <f t="shared" si="66"/>
        <v>1899963</v>
      </c>
      <c r="O412" s="6">
        <v>8426864</v>
      </c>
      <c r="Q412" s="6">
        <v>10326827</v>
      </c>
      <c r="S412" s="6">
        <v>8445</v>
      </c>
      <c r="U412" s="6">
        <v>2223885</v>
      </c>
      <c r="W412" s="6">
        <v>0</v>
      </c>
      <c r="Y412" s="6">
        <v>492307</v>
      </c>
      <c r="AA412" s="6">
        <v>4234906</v>
      </c>
      <c r="AC412" s="12">
        <f t="shared" si="67"/>
        <v>6959543</v>
      </c>
      <c r="AE412" s="6">
        <f t="shared" si="68"/>
        <v>0</v>
      </c>
    </row>
    <row r="413" spans="1:31">
      <c r="A413" s="11" t="s">
        <v>327</v>
      </c>
      <c r="B413" s="11"/>
      <c r="C413" s="11" t="s">
        <v>32</v>
      </c>
      <c r="E413" s="6">
        <v>17900009</v>
      </c>
      <c r="G413" s="6">
        <v>0</v>
      </c>
      <c r="I413" s="2">
        <f t="shared" si="69"/>
        <v>42718132</v>
      </c>
      <c r="K413" s="6">
        <v>60618141</v>
      </c>
      <c r="M413" s="2">
        <f t="shared" si="66"/>
        <v>8472899</v>
      </c>
      <c r="O413" s="6">
        <v>25319439</v>
      </c>
      <c r="Q413" s="6">
        <v>33792338</v>
      </c>
      <c r="S413" s="6">
        <v>0</v>
      </c>
      <c r="U413" s="6">
        <v>0</v>
      </c>
      <c r="W413" s="6">
        <v>41489</v>
      </c>
      <c r="Y413" s="6">
        <v>812264</v>
      </c>
      <c r="AA413" s="6">
        <v>25972050</v>
      </c>
      <c r="AC413" s="12">
        <f t="shared" si="67"/>
        <v>26825803</v>
      </c>
      <c r="AE413" s="6">
        <f t="shared" si="68"/>
        <v>0</v>
      </c>
    </row>
    <row r="414" spans="1:31" ht="12" customHeight="1">
      <c r="A414" s="11" t="s">
        <v>597</v>
      </c>
      <c r="B414" s="11"/>
      <c r="C414" s="11" t="s">
        <v>59</v>
      </c>
      <c r="E414" s="6">
        <v>850063</v>
      </c>
      <c r="G414" s="6">
        <v>87229</v>
      </c>
      <c r="I414" s="2">
        <f t="shared" si="69"/>
        <v>2537134</v>
      </c>
      <c r="K414" s="6">
        <v>3474426</v>
      </c>
      <c r="M414" s="2">
        <f t="shared" si="66"/>
        <v>1905439</v>
      </c>
      <c r="O414" s="6">
        <v>2210475</v>
      </c>
      <c r="Q414" s="6">
        <v>4115914</v>
      </c>
      <c r="S414" s="6">
        <v>0</v>
      </c>
      <c r="U414" s="6">
        <v>0</v>
      </c>
      <c r="W414" s="6">
        <v>73918</v>
      </c>
      <c r="Y414" s="6">
        <v>86811</v>
      </c>
      <c r="AA414" s="6">
        <v>-802217</v>
      </c>
      <c r="AC414" s="12">
        <f t="shared" si="67"/>
        <v>-641488</v>
      </c>
      <c r="AE414" s="6">
        <f t="shared" si="68"/>
        <v>0</v>
      </c>
    </row>
    <row r="415" spans="1:31">
      <c r="A415" s="11" t="s">
        <v>327</v>
      </c>
      <c r="B415" s="11"/>
      <c r="C415" s="11" t="s">
        <v>62</v>
      </c>
      <c r="E415" s="6">
        <v>1924259</v>
      </c>
      <c r="G415" s="6">
        <v>110000</v>
      </c>
      <c r="I415" s="2">
        <f t="shared" si="69"/>
        <v>7628949</v>
      </c>
      <c r="K415" s="6">
        <v>9663208</v>
      </c>
      <c r="M415" s="2">
        <f t="shared" si="66"/>
        <v>2731370</v>
      </c>
      <c r="O415" s="6">
        <f>215327+5728912</f>
        <v>5944239</v>
      </c>
      <c r="Q415" s="6">
        <v>8675609</v>
      </c>
      <c r="S415" s="6">
        <f>41553+12916</f>
        <v>54469</v>
      </c>
      <c r="U415" s="6">
        <v>110000</v>
      </c>
      <c r="W415" s="6">
        <v>0</v>
      </c>
      <c r="Y415" s="6">
        <f>51670+122837+272</f>
        <v>174779</v>
      </c>
      <c r="AA415" s="6">
        <v>648351</v>
      </c>
      <c r="AC415" s="12">
        <f t="shared" si="67"/>
        <v>987599</v>
      </c>
      <c r="AE415" s="6">
        <f t="shared" si="68"/>
        <v>0</v>
      </c>
    </row>
    <row r="416" spans="1:31">
      <c r="A416" s="11" t="s">
        <v>234</v>
      </c>
      <c r="B416" s="11"/>
      <c r="C416" s="11" t="s">
        <v>17</v>
      </c>
      <c r="E416" s="6">
        <v>3197698</v>
      </c>
      <c r="G416" s="6">
        <v>39318</v>
      </c>
      <c r="I416" s="2">
        <f t="shared" si="69"/>
        <v>6554523</v>
      </c>
      <c r="K416" s="6">
        <v>9791539</v>
      </c>
      <c r="M416" s="2">
        <f t="shared" si="66"/>
        <v>1746361</v>
      </c>
      <c r="O416" s="6">
        <v>5084885</v>
      </c>
      <c r="Q416" s="6">
        <v>6831246</v>
      </c>
      <c r="S416" s="6">
        <v>40635</v>
      </c>
      <c r="U416" s="6">
        <v>39318</v>
      </c>
      <c r="W416" s="6">
        <v>0</v>
      </c>
      <c r="Y416" s="6">
        <v>37880</v>
      </c>
      <c r="AA416" s="6">
        <v>2842460</v>
      </c>
      <c r="AC416" s="12">
        <f t="shared" si="67"/>
        <v>2960293</v>
      </c>
      <c r="AE416" s="6">
        <f t="shared" si="68"/>
        <v>0</v>
      </c>
    </row>
    <row r="417" spans="1:31" hidden="1">
      <c r="A417" s="11" t="s">
        <v>739</v>
      </c>
      <c r="B417" s="11"/>
      <c r="C417" s="11" t="s">
        <v>71</v>
      </c>
      <c r="I417" s="2"/>
      <c r="M417" s="2"/>
      <c r="AC417" s="12"/>
      <c r="AE417" s="6">
        <f t="shared" si="68"/>
        <v>0</v>
      </c>
    </row>
    <row r="418" spans="1:31" hidden="1">
      <c r="A418" s="10" t="s">
        <v>882</v>
      </c>
      <c r="B418" s="11"/>
      <c r="C418" s="11" t="s">
        <v>72</v>
      </c>
      <c r="E418" s="6">
        <v>0</v>
      </c>
      <c r="G418" s="6">
        <v>0</v>
      </c>
      <c r="I418" s="2">
        <f t="shared" si="69"/>
        <v>0</v>
      </c>
      <c r="K418" s="6">
        <v>0</v>
      </c>
      <c r="M418" s="2">
        <f t="shared" si="66"/>
        <v>0</v>
      </c>
      <c r="O418" s="6">
        <v>0</v>
      </c>
      <c r="Q418" s="6">
        <v>0</v>
      </c>
      <c r="S418" s="6">
        <v>0</v>
      </c>
      <c r="U418" s="6">
        <v>0</v>
      </c>
      <c r="W418" s="6">
        <v>0</v>
      </c>
      <c r="Y418" s="6">
        <v>0</v>
      </c>
      <c r="AA418" s="6">
        <v>0</v>
      </c>
      <c r="AC418" s="12">
        <f t="shared" si="67"/>
        <v>0</v>
      </c>
      <c r="AE418" s="6">
        <f t="shared" si="68"/>
        <v>0</v>
      </c>
    </row>
    <row r="419" spans="1:31">
      <c r="A419" s="11" t="s">
        <v>512</v>
      </c>
      <c r="B419" s="11"/>
      <c r="C419" s="11" t="s">
        <v>63</v>
      </c>
      <c r="E419" s="6">
        <v>4228344</v>
      </c>
      <c r="G419" s="6">
        <v>15909</v>
      </c>
      <c r="I419" s="2">
        <f t="shared" si="69"/>
        <v>8710677</v>
      </c>
      <c r="K419" s="6">
        <v>12954930</v>
      </c>
      <c r="M419" s="2">
        <f t="shared" si="66"/>
        <v>2053519</v>
      </c>
      <c r="O419" s="6">
        <v>7676810</v>
      </c>
      <c r="Q419" s="6">
        <v>9730329</v>
      </c>
      <c r="S419" s="6">
        <v>41909</v>
      </c>
      <c r="U419" s="6">
        <v>0</v>
      </c>
      <c r="W419" s="6">
        <v>11000</v>
      </c>
      <c r="Y419" s="6">
        <v>3171692</v>
      </c>
      <c r="AA419" s="6">
        <v>0</v>
      </c>
      <c r="AC419" s="12">
        <f t="shared" si="67"/>
        <v>3224601</v>
      </c>
      <c r="AE419" s="6">
        <f t="shared" si="68"/>
        <v>0</v>
      </c>
    </row>
    <row r="420" spans="1:31">
      <c r="A420" s="11" t="s">
        <v>358</v>
      </c>
      <c r="B420" s="11"/>
      <c r="C420" s="11" t="s">
        <v>37</v>
      </c>
      <c r="E420" s="6">
        <v>7599124</v>
      </c>
      <c r="G420" s="6">
        <v>627994</v>
      </c>
      <c r="I420" s="2">
        <f t="shared" si="69"/>
        <v>7384448</v>
      </c>
      <c r="K420" s="6">
        <v>15611566</v>
      </c>
      <c r="M420" s="2">
        <f t="shared" si="66"/>
        <v>2246080</v>
      </c>
      <c r="O420" s="6">
        <v>5831428</v>
      </c>
      <c r="Q420" s="6">
        <v>8077508</v>
      </c>
      <c r="S420" s="6">
        <v>0</v>
      </c>
      <c r="U420" s="6">
        <v>627994</v>
      </c>
      <c r="W420" s="6">
        <v>0</v>
      </c>
      <c r="Y420" s="6">
        <v>5027433</v>
      </c>
      <c r="AA420" s="6">
        <v>1878631</v>
      </c>
      <c r="AC420" s="12">
        <f t="shared" si="67"/>
        <v>7534058</v>
      </c>
      <c r="AE420" s="6">
        <f t="shared" si="68"/>
        <v>0</v>
      </c>
    </row>
    <row r="421" spans="1:31" hidden="1">
      <c r="A421" s="11" t="s">
        <v>817</v>
      </c>
      <c r="B421" s="11"/>
      <c r="C421" s="11" t="s">
        <v>71</v>
      </c>
      <c r="I421" s="2">
        <f t="shared" ref="I421" si="70">+K421-G421-E421</f>
        <v>0</v>
      </c>
      <c r="M421" s="2">
        <f t="shared" ref="M421" si="71">+Q421-O421</f>
        <v>0</v>
      </c>
      <c r="AC421" s="12">
        <f t="shared" ref="AC421" si="72">+W421+U421++S421+Y421+AA421</f>
        <v>0</v>
      </c>
      <c r="AE421" s="6">
        <f t="shared" ref="AE421" si="73">+E421+G421+I421-M421-O421-W421-U421-S421-Y421-AA421</f>
        <v>0</v>
      </c>
    </row>
    <row r="422" spans="1:31">
      <c r="A422" s="11" t="s">
        <v>631</v>
      </c>
      <c r="B422" s="11"/>
      <c r="C422" s="11" t="s">
        <v>32</v>
      </c>
      <c r="E422" s="6">
        <v>3750454</v>
      </c>
      <c r="G422" s="6">
        <v>0</v>
      </c>
      <c r="I422" s="2">
        <f t="shared" si="69"/>
        <v>15790405</v>
      </c>
      <c r="K422" s="6">
        <v>19540859</v>
      </c>
      <c r="M422" s="2">
        <f t="shared" si="66"/>
        <v>2696841</v>
      </c>
      <c r="O422" s="6">
        <v>9744883</v>
      </c>
      <c r="Q422" s="6">
        <v>12441724</v>
      </c>
      <c r="S422" s="6">
        <v>21135</v>
      </c>
      <c r="U422" s="6">
        <v>0</v>
      </c>
      <c r="W422" s="6">
        <v>0</v>
      </c>
      <c r="Y422" s="6">
        <v>258678</v>
      </c>
      <c r="AA422" s="6">
        <v>6819322</v>
      </c>
      <c r="AC422" s="12">
        <f t="shared" si="67"/>
        <v>7099135</v>
      </c>
      <c r="AE422" s="6">
        <f t="shared" si="68"/>
        <v>0</v>
      </c>
    </row>
    <row r="423" spans="1:31" hidden="1">
      <c r="A423" s="11" t="s">
        <v>738</v>
      </c>
      <c r="B423" s="11"/>
      <c r="C423" s="11" t="s">
        <v>38</v>
      </c>
      <c r="I423" s="2"/>
      <c r="M423" s="2"/>
      <c r="AC423" s="12"/>
      <c r="AE423" s="6">
        <f t="shared" si="68"/>
        <v>0</v>
      </c>
    </row>
    <row r="424" spans="1:31">
      <c r="A424" s="11" t="s">
        <v>328</v>
      </c>
      <c r="B424" s="11"/>
      <c r="C424" s="11" t="s">
        <v>32</v>
      </c>
      <c r="E424" s="6">
        <v>17006759</v>
      </c>
      <c r="G424" s="6">
        <v>380716</v>
      </c>
      <c r="I424" s="2">
        <f t="shared" si="69"/>
        <v>32251720</v>
      </c>
      <c r="K424" s="6">
        <v>49639195</v>
      </c>
      <c r="M424" s="2">
        <f t="shared" si="66"/>
        <v>7534897</v>
      </c>
      <c r="O424" s="6">
        <v>23339432</v>
      </c>
      <c r="Q424" s="6">
        <v>30874329</v>
      </c>
      <c r="S424" s="6">
        <v>0</v>
      </c>
      <c r="U424" s="6">
        <v>0</v>
      </c>
      <c r="W424" s="6">
        <v>0</v>
      </c>
      <c r="Y424" s="6">
        <v>5456159</v>
      </c>
      <c r="AA424" s="6">
        <v>13308707</v>
      </c>
      <c r="AC424" s="12">
        <f t="shared" si="67"/>
        <v>18764866</v>
      </c>
      <c r="AE424" s="6">
        <f t="shared" si="68"/>
        <v>0</v>
      </c>
    </row>
    <row r="425" spans="1:31">
      <c r="A425" s="11" t="s">
        <v>435</v>
      </c>
      <c r="B425" s="11"/>
      <c r="C425" s="11" t="s">
        <v>50</v>
      </c>
      <c r="E425" s="6">
        <f>1206668+2468</f>
        <v>1209136</v>
      </c>
      <c r="G425" s="6">
        <v>0</v>
      </c>
      <c r="I425" s="2">
        <f t="shared" si="69"/>
        <v>14757075</v>
      </c>
      <c r="K425" s="6">
        <v>15966211</v>
      </c>
      <c r="M425" s="2">
        <f t="shared" si="66"/>
        <v>2826972</v>
      </c>
      <c r="O425" s="6">
        <v>13328411</v>
      </c>
      <c r="Q425" s="6">
        <v>16155383</v>
      </c>
      <c r="S425" s="6">
        <v>6143</v>
      </c>
      <c r="U425" s="6">
        <v>0</v>
      </c>
      <c r="W425" s="6">
        <v>0</v>
      </c>
      <c r="Y425" s="6">
        <v>1301979</v>
      </c>
      <c r="AA425" s="6">
        <v>-1497294</v>
      </c>
      <c r="AC425" s="12">
        <f t="shared" si="67"/>
        <v>-189172</v>
      </c>
      <c r="AE425" s="6">
        <f t="shared" si="68"/>
        <v>0</v>
      </c>
    </row>
    <row r="426" spans="1:31">
      <c r="A426" s="11" t="s">
        <v>389</v>
      </c>
      <c r="B426" s="11"/>
      <c r="C426" s="11" t="s">
        <v>44</v>
      </c>
      <c r="E426" s="6">
        <v>699138</v>
      </c>
      <c r="G426" s="6">
        <v>0</v>
      </c>
      <c r="I426" s="2">
        <f t="shared" si="69"/>
        <v>6237823</v>
      </c>
      <c r="K426" s="6">
        <v>6936961</v>
      </c>
      <c r="M426" s="2">
        <f t="shared" si="66"/>
        <v>1540133</v>
      </c>
      <c r="O426" s="6">
        <v>4228779</v>
      </c>
      <c r="Q426" s="6">
        <v>5768912</v>
      </c>
      <c r="S426" s="6">
        <v>0</v>
      </c>
      <c r="U426" s="6">
        <v>0</v>
      </c>
      <c r="W426" s="6">
        <v>0</v>
      </c>
      <c r="Y426" s="6">
        <v>488638</v>
      </c>
      <c r="AA426" s="6">
        <v>679411</v>
      </c>
      <c r="AC426" s="12">
        <f t="shared" si="67"/>
        <v>1168049</v>
      </c>
      <c r="AE426" s="6">
        <f t="shared" si="68"/>
        <v>0</v>
      </c>
    </row>
    <row r="427" spans="1:31" hidden="1">
      <c r="A427" s="11" t="s">
        <v>614</v>
      </c>
      <c r="B427" s="11"/>
      <c r="C427" s="11" t="s">
        <v>60</v>
      </c>
      <c r="I427" s="2">
        <f t="shared" si="69"/>
        <v>0</v>
      </c>
      <c r="M427" s="2">
        <f t="shared" si="66"/>
        <v>0</v>
      </c>
      <c r="AC427" s="12">
        <f t="shared" si="67"/>
        <v>0</v>
      </c>
      <c r="AE427" s="6">
        <f t="shared" si="68"/>
        <v>0</v>
      </c>
    </row>
    <row r="428" spans="1:31">
      <c r="A428" s="11" t="s">
        <v>284</v>
      </c>
      <c r="B428" s="11"/>
      <c r="C428" s="11" t="s">
        <v>23</v>
      </c>
      <c r="E428" s="6">
        <v>30013131</v>
      </c>
      <c r="G428" s="6">
        <v>0</v>
      </c>
      <c r="I428" s="2">
        <f t="shared" si="69"/>
        <v>142650056</v>
      </c>
      <c r="K428" s="6">
        <v>172663187</v>
      </c>
      <c r="M428" s="2">
        <f t="shared" si="66"/>
        <v>19479765</v>
      </c>
      <c r="O428" s="6">
        <v>115616050</v>
      </c>
      <c r="Q428" s="6">
        <v>135095815</v>
      </c>
      <c r="S428" s="6">
        <v>371477</v>
      </c>
      <c r="U428" s="6">
        <v>0</v>
      </c>
      <c r="W428" s="6">
        <v>0</v>
      </c>
      <c r="Y428" s="6">
        <v>1582214</v>
      </c>
      <c r="AA428" s="6">
        <v>35613681</v>
      </c>
      <c r="AC428" s="12">
        <f t="shared" si="67"/>
        <v>37567372</v>
      </c>
      <c r="AE428" s="6">
        <f t="shared" si="68"/>
        <v>0</v>
      </c>
    </row>
    <row r="429" spans="1:31">
      <c r="A429" s="11" t="s">
        <v>273</v>
      </c>
      <c r="B429" s="11"/>
      <c r="C429" s="11" t="s">
        <v>20</v>
      </c>
      <c r="E429" s="6">
        <v>6505609</v>
      </c>
      <c r="G429" s="6">
        <v>0</v>
      </c>
      <c r="I429" s="2">
        <f t="shared" si="69"/>
        <v>27136930</v>
      </c>
      <c r="K429" s="6">
        <v>33642539</v>
      </c>
      <c r="M429" s="2">
        <f t="shared" si="66"/>
        <v>5398791</v>
      </c>
      <c r="O429" s="6">
        <v>22944887</v>
      </c>
      <c r="Q429" s="6">
        <v>28343678</v>
      </c>
      <c r="S429" s="6">
        <v>211643</v>
      </c>
      <c r="U429" s="6">
        <v>0</v>
      </c>
      <c r="W429" s="6">
        <v>10000</v>
      </c>
      <c r="Y429" s="6">
        <v>1330113</v>
      </c>
      <c r="AA429" s="6">
        <v>3747105</v>
      </c>
      <c r="AC429" s="12">
        <f t="shared" si="67"/>
        <v>5298861</v>
      </c>
      <c r="AE429" s="6">
        <f t="shared" si="68"/>
        <v>0</v>
      </c>
    </row>
    <row r="430" spans="1:31">
      <c r="A430" s="11" t="s">
        <v>470</v>
      </c>
      <c r="B430" s="11"/>
      <c r="C430" s="11" t="s">
        <v>110</v>
      </c>
      <c r="E430" s="6">
        <v>5090914</v>
      </c>
      <c r="G430" s="6">
        <v>0</v>
      </c>
      <c r="I430" s="2">
        <f t="shared" si="69"/>
        <v>8607234</v>
      </c>
      <c r="K430" s="6">
        <v>13698148</v>
      </c>
      <c r="M430" s="2">
        <f t="shared" si="66"/>
        <v>2185947</v>
      </c>
      <c r="O430" s="6">
        <f>6351227+475084</f>
        <v>6826311</v>
      </c>
      <c r="Q430" s="6">
        <v>9012258</v>
      </c>
      <c r="S430" s="6">
        <f>237223+2627</f>
        <v>239850</v>
      </c>
      <c r="U430" s="6">
        <v>0</v>
      </c>
      <c r="W430" s="6">
        <v>0</v>
      </c>
      <c r="Y430" s="6">
        <f>74147+1552</f>
        <v>75699</v>
      </c>
      <c r="AA430" s="6">
        <v>4370341</v>
      </c>
      <c r="AC430" s="12">
        <f t="shared" si="67"/>
        <v>4685890</v>
      </c>
      <c r="AE430" s="6">
        <f t="shared" si="68"/>
        <v>0</v>
      </c>
    </row>
    <row r="431" spans="1:31">
      <c r="A431" s="11" t="s">
        <v>274</v>
      </c>
      <c r="B431" s="11"/>
      <c r="C431" s="11" t="s">
        <v>20</v>
      </c>
      <c r="E431" s="6">
        <v>29944775</v>
      </c>
      <c r="G431" s="6">
        <v>0</v>
      </c>
      <c r="I431" s="2">
        <f t="shared" si="69"/>
        <v>40837819</v>
      </c>
      <c r="K431" s="6">
        <v>70782594</v>
      </c>
      <c r="M431" s="2">
        <f t="shared" si="66"/>
        <v>5861130</v>
      </c>
      <c r="O431" s="6">
        <f>2714821+32968203</f>
        <v>35683024</v>
      </c>
      <c r="Q431" s="6">
        <v>41544154</v>
      </c>
      <c r="S431" s="6">
        <f>115942+2029+21440</f>
        <v>139411</v>
      </c>
      <c r="U431" s="6">
        <v>0</v>
      </c>
      <c r="W431" s="6">
        <v>0</v>
      </c>
      <c r="Y431" s="6">
        <f>1716+67067+77836+3068521+189863</f>
        <v>3405003</v>
      </c>
      <c r="AA431" s="6">
        <v>25694026</v>
      </c>
      <c r="AC431" s="12">
        <f t="shared" si="67"/>
        <v>29238440</v>
      </c>
      <c r="AE431" s="6">
        <f t="shared" si="68"/>
        <v>0</v>
      </c>
    </row>
    <row r="432" spans="1:31">
      <c r="A432" s="11" t="s">
        <v>391</v>
      </c>
      <c r="B432" s="11"/>
      <c r="C432" s="11" t="s">
        <v>115</v>
      </c>
      <c r="E432" s="6">
        <v>10479002</v>
      </c>
      <c r="G432" s="6">
        <v>0</v>
      </c>
      <c r="I432" s="2">
        <f t="shared" si="69"/>
        <v>20449889</v>
      </c>
      <c r="K432" s="6">
        <v>30928891</v>
      </c>
      <c r="M432" s="2">
        <f t="shared" si="66"/>
        <v>4597610</v>
      </c>
      <c r="O432" s="6">
        <f>875424+18366202</f>
        <v>19241626</v>
      </c>
      <c r="Q432" s="6">
        <v>23839236</v>
      </c>
      <c r="S432" s="6">
        <v>42865</v>
      </c>
      <c r="U432" s="6">
        <v>0</v>
      </c>
      <c r="W432" s="6">
        <v>555555</v>
      </c>
      <c r="Y432" s="6">
        <f>64525+480187+596537+248372+17962</f>
        <v>1407583</v>
      </c>
      <c r="AA432" s="6">
        <v>5083652</v>
      </c>
      <c r="AC432" s="12">
        <f t="shared" si="67"/>
        <v>7089655</v>
      </c>
      <c r="AE432" s="6">
        <f t="shared" si="68"/>
        <v>0</v>
      </c>
    </row>
    <row r="433" spans="1:31" hidden="1">
      <c r="A433" s="11" t="s">
        <v>818</v>
      </c>
      <c r="B433" s="11"/>
      <c r="C433" s="11" t="s">
        <v>71</v>
      </c>
      <c r="I433" s="2">
        <f t="shared" si="69"/>
        <v>0</v>
      </c>
      <c r="M433" s="2">
        <f t="shared" si="66"/>
        <v>0</v>
      </c>
      <c r="AC433" s="12">
        <f t="shared" si="67"/>
        <v>0</v>
      </c>
      <c r="AE433" s="6">
        <f t="shared" si="68"/>
        <v>0</v>
      </c>
    </row>
    <row r="434" spans="1:31" hidden="1">
      <c r="A434" s="10" t="s">
        <v>883</v>
      </c>
      <c r="B434" s="11"/>
      <c r="C434" s="11" t="s">
        <v>62</v>
      </c>
      <c r="E434" s="6">
        <v>0</v>
      </c>
      <c r="G434" s="6">
        <v>0</v>
      </c>
      <c r="I434" s="2">
        <f t="shared" si="69"/>
        <v>0</v>
      </c>
      <c r="K434" s="6">
        <v>0</v>
      </c>
      <c r="M434" s="2">
        <f t="shared" si="66"/>
        <v>0</v>
      </c>
      <c r="O434" s="6">
        <v>0</v>
      </c>
      <c r="Q434" s="6">
        <v>0</v>
      </c>
      <c r="S434" s="6">
        <v>0</v>
      </c>
      <c r="U434" s="6">
        <v>0</v>
      </c>
      <c r="W434" s="6">
        <v>0</v>
      </c>
      <c r="Y434" s="6">
        <v>0</v>
      </c>
      <c r="AA434" s="6">
        <v>0</v>
      </c>
      <c r="AC434" s="12">
        <f t="shared" si="67"/>
        <v>0</v>
      </c>
      <c r="AE434" s="6">
        <f t="shared" si="68"/>
        <v>0</v>
      </c>
    </row>
    <row r="435" spans="1:31">
      <c r="A435" s="11" t="s">
        <v>557</v>
      </c>
      <c r="B435" s="11"/>
      <c r="C435" s="11" t="s">
        <v>72</v>
      </c>
      <c r="E435" s="6">
        <v>2740696</v>
      </c>
      <c r="G435" s="6">
        <v>123994</v>
      </c>
      <c r="I435" s="2">
        <f t="shared" si="69"/>
        <v>5108668</v>
      </c>
      <c r="K435" s="6">
        <v>7973358</v>
      </c>
      <c r="M435" s="2">
        <f t="shared" si="66"/>
        <v>1396409</v>
      </c>
      <c r="O435" s="6">
        <v>3858270</v>
      </c>
      <c r="Q435" s="6">
        <v>5254679</v>
      </c>
      <c r="S435" s="6">
        <v>37792</v>
      </c>
      <c r="U435" s="6">
        <v>177388</v>
      </c>
      <c r="W435" s="6">
        <v>0</v>
      </c>
      <c r="Y435" s="6">
        <v>211031</v>
      </c>
      <c r="AA435" s="6">
        <v>2292468</v>
      </c>
      <c r="AC435" s="12">
        <f t="shared" si="67"/>
        <v>2718679</v>
      </c>
      <c r="AE435" s="6">
        <f t="shared" si="68"/>
        <v>0</v>
      </c>
    </row>
    <row r="436" spans="1:31">
      <c r="A436" s="11" t="s">
        <v>392</v>
      </c>
      <c r="B436" s="11"/>
      <c r="C436" s="11" t="s">
        <v>115</v>
      </c>
      <c r="D436" s="6" t="s">
        <v>627</v>
      </c>
      <c r="E436" s="6">
        <f>2160566+2252923</f>
        <v>4413489</v>
      </c>
      <c r="G436" s="6">
        <v>204319</v>
      </c>
      <c r="I436" s="2">
        <f t="shared" si="69"/>
        <v>9455419</v>
      </c>
      <c r="K436" s="6">
        <v>14073227</v>
      </c>
      <c r="M436" s="2">
        <f t="shared" si="66"/>
        <v>1349692</v>
      </c>
      <c r="O436" s="6">
        <f>3363+8967258</f>
        <v>8970621</v>
      </c>
      <c r="Q436" s="6">
        <v>10320313</v>
      </c>
      <c r="S436" s="6">
        <v>94495</v>
      </c>
      <c r="U436" s="6">
        <v>204319</v>
      </c>
      <c r="W436" s="6">
        <v>5700</v>
      </c>
      <c r="Y436" s="6">
        <v>166883</v>
      </c>
      <c r="AA436" s="6">
        <v>3281517</v>
      </c>
      <c r="AC436" s="12">
        <f t="shared" si="67"/>
        <v>3752914</v>
      </c>
      <c r="AE436" s="6">
        <f t="shared" si="68"/>
        <v>0</v>
      </c>
    </row>
    <row r="437" spans="1:31" hidden="1">
      <c r="A437" s="11" t="s">
        <v>710</v>
      </c>
      <c r="B437" s="11"/>
      <c r="C437" s="11" t="s">
        <v>467</v>
      </c>
      <c r="I437" s="2">
        <f t="shared" si="69"/>
        <v>0</v>
      </c>
      <c r="M437" s="2">
        <f t="shared" si="66"/>
        <v>0</v>
      </c>
      <c r="AC437" s="12">
        <f t="shared" si="67"/>
        <v>0</v>
      </c>
      <c r="AE437" s="6">
        <f t="shared" si="68"/>
        <v>0</v>
      </c>
    </row>
    <row r="438" spans="1:31" hidden="1">
      <c r="A438" s="11" t="s">
        <v>819</v>
      </c>
      <c r="B438" s="11"/>
      <c r="C438" s="11" t="s">
        <v>467</v>
      </c>
      <c r="I438" s="2">
        <f t="shared" si="69"/>
        <v>0</v>
      </c>
      <c r="M438" s="2">
        <f t="shared" si="66"/>
        <v>0</v>
      </c>
      <c r="AC438" s="12">
        <f t="shared" si="67"/>
        <v>0</v>
      </c>
      <c r="AE438" s="6">
        <f t="shared" si="68"/>
        <v>0</v>
      </c>
    </row>
    <row r="439" spans="1:31" hidden="1">
      <c r="A439" s="11" t="s">
        <v>820</v>
      </c>
      <c r="B439" s="11"/>
      <c r="C439" s="11" t="s">
        <v>41</v>
      </c>
      <c r="I439" s="2">
        <f t="shared" si="69"/>
        <v>0</v>
      </c>
      <c r="M439" s="2">
        <f t="shared" si="66"/>
        <v>0</v>
      </c>
      <c r="AC439" s="12">
        <f t="shared" si="67"/>
        <v>0</v>
      </c>
      <c r="AE439" s="6">
        <f t="shared" si="68"/>
        <v>0</v>
      </c>
    </row>
    <row r="440" spans="1:31" hidden="1">
      <c r="A440" s="11" t="s">
        <v>784</v>
      </c>
      <c r="B440" s="11"/>
      <c r="C440" s="11" t="s">
        <v>41</v>
      </c>
      <c r="I440" s="2">
        <f t="shared" si="69"/>
        <v>0</v>
      </c>
      <c r="M440" s="2">
        <f t="shared" si="66"/>
        <v>0</v>
      </c>
      <c r="AC440" s="12">
        <f t="shared" si="67"/>
        <v>0</v>
      </c>
      <c r="AE440" s="6">
        <f t="shared" si="68"/>
        <v>0</v>
      </c>
    </row>
    <row r="441" spans="1:31">
      <c r="A441" s="11" t="s">
        <v>475</v>
      </c>
      <c r="B441" s="11"/>
      <c r="C441" s="11" t="s">
        <v>58</v>
      </c>
      <c r="E441" s="6">
        <v>2815206</v>
      </c>
      <c r="G441" s="6">
        <v>0</v>
      </c>
      <c r="I441" s="2">
        <f t="shared" si="69"/>
        <v>1650226</v>
      </c>
      <c r="K441" s="6">
        <v>4465432</v>
      </c>
      <c r="M441" s="2">
        <f t="shared" si="66"/>
        <v>962096</v>
      </c>
      <c r="O441" s="6">
        <v>1454254</v>
      </c>
      <c r="Q441" s="6">
        <v>2416350</v>
      </c>
      <c r="S441" s="6">
        <v>0</v>
      </c>
      <c r="U441" s="6">
        <v>0</v>
      </c>
      <c r="W441" s="6">
        <v>0</v>
      </c>
      <c r="Y441" s="6">
        <v>63073</v>
      </c>
      <c r="AA441" s="6">
        <v>1986009</v>
      </c>
      <c r="AC441" s="12">
        <f t="shared" si="67"/>
        <v>2049082</v>
      </c>
      <c r="AE441" s="6">
        <f t="shared" si="68"/>
        <v>0</v>
      </c>
    </row>
    <row r="442" spans="1:31" hidden="1">
      <c r="A442" s="11" t="s">
        <v>686</v>
      </c>
      <c r="B442" s="11"/>
      <c r="C442" s="11" t="s">
        <v>467</v>
      </c>
      <c r="I442" s="2">
        <f t="shared" si="69"/>
        <v>0</v>
      </c>
      <c r="M442" s="2">
        <f t="shared" si="66"/>
        <v>0</v>
      </c>
      <c r="AC442" s="12">
        <f t="shared" si="67"/>
        <v>0</v>
      </c>
      <c r="AE442" s="6">
        <f t="shared" si="68"/>
        <v>0</v>
      </c>
    </row>
    <row r="443" spans="1:31" hidden="1">
      <c r="A443" s="11" t="s">
        <v>687</v>
      </c>
      <c r="B443" s="11"/>
      <c r="C443" s="11" t="s">
        <v>422</v>
      </c>
      <c r="I443" s="2">
        <f t="shared" si="69"/>
        <v>0</v>
      </c>
      <c r="M443" s="2">
        <f t="shared" si="66"/>
        <v>0</v>
      </c>
      <c r="AC443" s="12">
        <f t="shared" si="67"/>
        <v>0</v>
      </c>
      <c r="AE443" s="6">
        <f t="shared" si="68"/>
        <v>0</v>
      </c>
    </row>
    <row r="444" spans="1:31">
      <c r="A444" s="11" t="s">
        <v>275</v>
      </c>
      <c r="B444" s="11"/>
      <c r="C444" s="11" t="s">
        <v>20</v>
      </c>
      <c r="E444" s="6">
        <v>16042892</v>
      </c>
      <c r="G444" s="6">
        <v>13091</v>
      </c>
      <c r="I444" s="2">
        <f t="shared" si="69"/>
        <v>98527618</v>
      </c>
      <c r="K444" s="6">
        <v>114583601</v>
      </c>
      <c r="M444" s="2">
        <f t="shared" si="66"/>
        <v>13574701</v>
      </c>
      <c r="O444" s="6">
        <v>83271271</v>
      </c>
      <c r="Q444" s="6">
        <v>96845972</v>
      </c>
      <c r="S444" s="6">
        <v>355341</v>
      </c>
      <c r="U444" s="6">
        <v>0</v>
      </c>
      <c r="W444" s="6">
        <v>0</v>
      </c>
      <c r="Y444" s="6">
        <v>2247126</v>
      </c>
      <c r="AA444" s="6">
        <v>15135162</v>
      </c>
      <c r="AC444" s="12">
        <f t="shared" si="67"/>
        <v>17737629</v>
      </c>
      <c r="AE444" s="6">
        <f t="shared" si="68"/>
        <v>0</v>
      </c>
    </row>
    <row r="445" spans="1:31">
      <c r="A445" s="11" t="s">
        <v>347</v>
      </c>
      <c r="B445" s="11"/>
      <c r="C445" s="11" t="s">
        <v>34</v>
      </c>
      <c r="E445" s="6">
        <v>1773172</v>
      </c>
      <c r="G445" s="6">
        <v>0</v>
      </c>
      <c r="I445" s="2">
        <f t="shared" si="69"/>
        <v>5611469</v>
      </c>
      <c r="K445" s="6">
        <v>7384641</v>
      </c>
      <c r="M445" s="2">
        <f t="shared" si="66"/>
        <v>1792156</v>
      </c>
      <c r="O445" s="6">
        <v>4737655</v>
      </c>
      <c r="Q445" s="6">
        <v>6529811</v>
      </c>
      <c r="S445" s="6">
        <v>0</v>
      </c>
      <c r="U445" s="6">
        <v>0</v>
      </c>
      <c r="W445" s="6">
        <v>0</v>
      </c>
      <c r="Y445" s="6">
        <v>83115</v>
      </c>
      <c r="AA445" s="6">
        <v>771715</v>
      </c>
      <c r="AC445" s="12">
        <f t="shared" si="67"/>
        <v>854830</v>
      </c>
      <c r="AE445" s="6">
        <f t="shared" si="68"/>
        <v>0</v>
      </c>
    </row>
    <row r="446" spans="1:31" hidden="1">
      <c r="A446" s="11" t="s">
        <v>775</v>
      </c>
      <c r="B446" s="11"/>
      <c r="C446" s="11" t="s">
        <v>450</v>
      </c>
      <c r="I446" s="2">
        <f t="shared" si="69"/>
        <v>0</v>
      </c>
      <c r="M446" s="2">
        <f t="shared" si="66"/>
        <v>0</v>
      </c>
      <c r="AC446" s="12">
        <f t="shared" si="67"/>
        <v>0</v>
      </c>
      <c r="AE446" s="6">
        <f t="shared" si="68"/>
        <v>0</v>
      </c>
    </row>
    <row r="447" spans="1:31">
      <c r="A447" s="11" t="s">
        <v>289</v>
      </c>
      <c r="B447" s="11"/>
      <c r="C447" s="11" t="s">
        <v>24</v>
      </c>
      <c r="E447" s="6">
        <v>4205038</v>
      </c>
      <c r="G447" s="6">
        <v>0</v>
      </c>
      <c r="I447" s="2">
        <f t="shared" si="69"/>
        <v>11965091</v>
      </c>
      <c r="K447" s="6">
        <v>16170129</v>
      </c>
      <c r="M447" s="2">
        <f t="shared" si="66"/>
        <v>2848210</v>
      </c>
      <c r="O447" s="6">
        <f>2562789+7897418</f>
        <v>10460207</v>
      </c>
      <c r="Q447" s="6">
        <v>13308417</v>
      </c>
      <c r="S447" s="6">
        <f>79386+46142</f>
        <v>125528</v>
      </c>
      <c r="U447" s="6">
        <v>0</v>
      </c>
      <c r="W447" s="6">
        <v>0</v>
      </c>
      <c r="Y447" s="6">
        <f>19179+201904+2430495+84606</f>
        <v>2736184</v>
      </c>
      <c r="AA447" s="6">
        <v>0</v>
      </c>
      <c r="AC447" s="12">
        <f t="shared" si="67"/>
        <v>2861712</v>
      </c>
      <c r="AE447" s="6">
        <f t="shared" si="68"/>
        <v>0</v>
      </c>
    </row>
    <row r="448" spans="1:31" hidden="1">
      <c r="A448" s="11" t="s">
        <v>688</v>
      </c>
      <c r="B448" s="11"/>
      <c r="C448" s="11" t="s">
        <v>10</v>
      </c>
      <c r="I448" s="2">
        <f t="shared" si="69"/>
        <v>0</v>
      </c>
      <c r="M448" s="2">
        <f t="shared" si="66"/>
        <v>0</v>
      </c>
      <c r="AC448" s="12">
        <f t="shared" si="67"/>
        <v>0</v>
      </c>
      <c r="AE448" s="6">
        <f t="shared" si="68"/>
        <v>0</v>
      </c>
    </row>
    <row r="449" spans="1:31">
      <c r="A449" s="11" t="s">
        <v>202</v>
      </c>
      <c r="B449" s="11"/>
      <c r="C449" s="11" t="s">
        <v>41</v>
      </c>
      <c r="E449" s="6">
        <v>21628131</v>
      </c>
      <c r="G449" s="6">
        <v>58165</v>
      </c>
      <c r="I449" s="2">
        <f t="shared" si="69"/>
        <v>14250212</v>
      </c>
      <c r="K449" s="6">
        <v>35936508</v>
      </c>
      <c r="M449" s="2">
        <f t="shared" si="66"/>
        <v>2105809</v>
      </c>
      <c r="O449" s="6">
        <v>12901238</v>
      </c>
      <c r="Q449" s="6">
        <v>15007047</v>
      </c>
      <c r="S449" s="6">
        <v>298119</v>
      </c>
      <c r="U449" s="6">
        <v>58165</v>
      </c>
      <c r="W449" s="6">
        <v>671508</v>
      </c>
      <c r="Y449" s="6">
        <v>918126</v>
      </c>
      <c r="AA449" s="6">
        <v>18983543</v>
      </c>
      <c r="AC449" s="12">
        <f t="shared" si="67"/>
        <v>20929461</v>
      </c>
      <c r="AE449" s="6">
        <f t="shared" si="68"/>
        <v>0</v>
      </c>
    </row>
    <row r="450" spans="1:31">
      <c r="A450" s="11" t="s">
        <v>202</v>
      </c>
      <c r="B450" s="11"/>
      <c r="C450" s="11" t="s">
        <v>62</v>
      </c>
      <c r="E450" s="6">
        <v>22428994</v>
      </c>
      <c r="G450" s="6">
        <v>0</v>
      </c>
      <c r="I450" s="2">
        <f t="shared" si="69"/>
        <v>18436920</v>
      </c>
      <c r="K450" s="6">
        <v>40865914</v>
      </c>
      <c r="M450" s="2">
        <f t="shared" si="66"/>
        <v>4957421</v>
      </c>
      <c r="O450" s="6">
        <v>17002654</v>
      </c>
      <c r="Q450" s="6">
        <v>21960075</v>
      </c>
      <c r="S450" s="6">
        <v>82476</v>
      </c>
      <c r="U450" s="6">
        <v>0</v>
      </c>
      <c r="W450" s="6">
        <v>0</v>
      </c>
      <c r="Y450" s="6">
        <v>2498777</v>
      </c>
      <c r="AA450" s="6">
        <v>16324586</v>
      </c>
      <c r="AC450" s="12">
        <f t="shared" si="67"/>
        <v>18905839</v>
      </c>
      <c r="AE450" s="6">
        <f t="shared" si="68"/>
        <v>0</v>
      </c>
    </row>
    <row r="451" spans="1:31">
      <c r="A451" s="11" t="s">
        <v>776</v>
      </c>
      <c r="B451" s="11"/>
      <c r="C451" s="11" t="s">
        <v>72</v>
      </c>
      <c r="E451" s="6">
        <v>1352624</v>
      </c>
      <c r="G451" s="6">
        <v>1270</v>
      </c>
      <c r="I451" s="2">
        <f t="shared" si="69"/>
        <v>24811408</v>
      </c>
      <c r="K451" s="6">
        <v>26165302</v>
      </c>
      <c r="M451" s="2">
        <f t="shared" si="66"/>
        <v>5839831</v>
      </c>
      <c r="O451" s="6">
        <f>815041+19401539</f>
        <v>20216580</v>
      </c>
      <c r="Q451" s="6">
        <v>26056411</v>
      </c>
      <c r="S451" s="6">
        <v>21752</v>
      </c>
      <c r="U451" s="6">
        <v>1270</v>
      </c>
      <c r="W451" s="6">
        <v>11000</v>
      </c>
      <c r="Y451" s="6">
        <f>121477+87085+50001</f>
        <v>258563</v>
      </c>
      <c r="AA451" s="6">
        <v>-183694</v>
      </c>
      <c r="AC451" s="12">
        <f t="shared" si="67"/>
        <v>108891</v>
      </c>
      <c r="AE451" s="6">
        <f t="shared" si="68"/>
        <v>0</v>
      </c>
    </row>
    <row r="452" spans="1:31" hidden="1">
      <c r="A452" s="11" t="s">
        <v>896</v>
      </c>
      <c r="B452" s="11"/>
      <c r="C452" s="11" t="s">
        <v>28</v>
      </c>
      <c r="I452" s="2">
        <f t="shared" si="69"/>
        <v>0</v>
      </c>
      <c r="M452" s="2">
        <f t="shared" si="66"/>
        <v>0</v>
      </c>
      <c r="AC452" s="12">
        <f t="shared" si="67"/>
        <v>0</v>
      </c>
      <c r="AE452" s="6">
        <f t="shared" si="68"/>
        <v>0</v>
      </c>
    </row>
    <row r="453" spans="1:31">
      <c r="A453" s="11" t="s">
        <v>296</v>
      </c>
      <c r="B453" s="11"/>
      <c r="C453" s="11" t="s">
        <v>25</v>
      </c>
      <c r="E453" s="6">
        <v>13970848</v>
      </c>
      <c r="G453" s="6">
        <v>22684</v>
      </c>
      <c r="I453" s="2">
        <f t="shared" si="69"/>
        <v>41110259</v>
      </c>
      <c r="K453" s="6">
        <v>55103791</v>
      </c>
      <c r="M453" s="2">
        <f t="shared" si="66"/>
        <v>11041831</v>
      </c>
      <c r="O453" s="6">
        <f>32450543+2864415</f>
        <v>35314958</v>
      </c>
      <c r="Q453" s="6">
        <v>46356789</v>
      </c>
      <c r="S453" s="6">
        <v>108010</v>
      </c>
      <c r="U453" s="6">
        <v>22684</v>
      </c>
      <c r="W453" s="6">
        <v>300000</v>
      </c>
      <c r="Y453" s="6">
        <f>170070+1164705+9678+157992+548055</f>
        <v>2050500</v>
      </c>
      <c r="AA453" s="6">
        <v>6265808</v>
      </c>
      <c r="AC453" s="12">
        <f t="shared" si="67"/>
        <v>8747002</v>
      </c>
      <c r="AE453" s="6">
        <f t="shared" si="68"/>
        <v>0</v>
      </c>
    </row>
    <row r="454" spans="1:31" hidden="1">
      <c r="A454" s="11" t="s">
        <v>821</v>
      </c>
      <c r="B454" s="11"/>
      <c r="C454" s="11" t="s">
        <v>28</v>
      </c>
      <c r="I454" s="2">
        <f t="shared" si="69"/>
        <v>0</v>
      </c>
      <c r="M454" s="2">
        <f t="shared" si="66"/>
        <v>0</v>
      </c>
      <c r="AC454" s="12">
        <f t="shared" si="67"/>
        <v>0</v>
      </c>
      <c r="AE454" s="6">
        <f t="shared" si="68"/>
        <v>0</v>
      </c>
    </row>
    <row r="455" spans="1:31">
      <c r="A455" s="11" t="s">
        <v>425</v>
      </c>
      <c r="B455" s="11"/>
      <c r="C455" s="11" t="s">
        <v>48</v>
      </c>
      <c r="E455" s="6">
        <v>8059616</v>
      </c>
      <c r="G455" s="6">
        <v>0</v>
      </c>
      <c r="I455" s="2">
        <f t="shared" si="69"/>
        <v>10524335</v>
      </c>
      <c r="K455" s="6">
        <v>18583951</v>
      </c>
      <c r="M455" s="2">
        <f t="shared" si="66"/>
        <v>3533944</v>
      </c>
      <c r="O455" s="6">
        <v>7267204</v>
      </c>
      <c r="Q455" s="6">
        <v>10801148</v>
      </c>
      <c r="S455" s="6">
        <v>1533</v>
      </c>
      <c r="U455" s="6">
        <v>0</v>
      </c>
      <c r="W455" s="6">
        <v>0</v>
      </c>
      <c r="Y455" s="6">
        <v>582016</v>
      </c>
      <c r="AA455" s="6">
        <v>7199254</v>
      </c>
      <c r="AC455" s="12">
        <f t="shared" si="67"/>
        <v>7782803</v>
      </c>
      <c r="AE455" s="6">
        <f t="shared" si="68"/>
        <v>0</v>
      </c>
    </row>
    <row r="456" spans="1:31">
      <c r="A456" s="11" t="s">
        <v>306</v>
      </c>
      <c r="B456" s="11"/>
      <c r="C456" s="11" t="s">
        <v>62</v>
      </c>
      <c r="E456" s="6">
        <v>10801159</v>
      </c>
      <c r="G456" s="6">
        <v>5387</v>
      </c>
      <c r="I456" s="2">
        <f t="shared" si="69"/>
        <v>29018055</v>
      </c>
      <c r="K456" s="6">
        <v>39824601</v>
      </c>
      <c r="M456" s="2">
        <f t="shared" si="66"/>
        <v>5418138</v>
      </c>
      <c r="O456" s="6">
        <f>1647616+25134669</f>
        <v>26782285</v>
      </c>
      <c r="Q456" s="6">
        <v>32200423</v>
      </c>
      <c r="S456" s="6">
        <f>80185+31490+377</f>
        <v>112052</v>
      </c>
      <c r="U456" s="6">
        <v>5387</v>
      </c>
      <c r="W456" s="6">
        <v>0</v>
      </c>
      <c r="Y456" s="6">
        <f>1301430+504116+129329</f>
        <v>1934875</v>
      </c>
      <c r="AA456" s="6">
        <v>5571864</v>
      </c>
      <c r="AC456" s="12">
        <f t="shared" si="67"/>
        <v>7624178</v>
      </c>
      <c r="AE456" s="6">
        <f t="shared" si="68"/>
        <v>0</v>
      </c>
    </row>
    <row r="457" spans="1:31">
      <c r="A457" s="11" t="s">
        <v>411</v>
      </c>
      <c r="B457" s="11"/>
      <c r="C457" s="11" t="s">
        <v>46</v>
      </c>
      <c r="E457" s="6">
        <v>2299766</v>
      </c>
      <c r="G457" s="6">
        <v>0</v>
      </c>
      <c r="I457" s="2">
        <f t="shared" si="69"/>
        <v>4044317</v>
      </c>
      <c r="K457" s="6">
        <v>6344083</v>
      </c>
      <c r="M457" s="2">
        <f t="shared" si="66"/>
        <v>1243326</v>
      </c>
      <c r="O457" s="6">
        <v>2161654</v>
      </c>
      <c r="Q457" s="6">
        <v>3404980</v>
      </c>
      <c r="S457" s="6">
        <v>0</v>
      </c>
      <c r="U457" s="6">
        <v>0</v>
      </c>
      <c r="W457" s="6">
        <v>11000</v>
      </c>
      <c r="Y457" s="6">
        <v>44846</v>
      </c>
      <c r="AA457" s="6">
        <v>2883257</v>
      </c>
      <c r="AC457" s="12">
        <f t="shared" si="67"/>
        <v>2939103</v>
      </c>
      <c r="AE457" s="6">
        <f t="shared" si="68"/>
        <v>0</v>
      </c>
    </row>
    <row r="458" spans="1:31">
      <c r="A458" s="11" t="s">
        <v>471</v>
      </c>
      <c r="B458" s="11"/>
      <c r="C458" s="11" t="s">
        <v>110</v>
      </c>
      <c r="E458" s="6">
        <v>2896523</v>
      </c>
      <c r="G458" s="6">
        <v>25818</v>
      </c>
      <c r="I458" s="2">
        <f t="shared" si="69"/>
        <v>2035552</v>
      </c>
      <c r="K458" s="6">
        <v>4957893</v>
      </c>
      <c r="M458" s="2">
        <f t="shared" si="66"/>
        <v>898614</v>
      </c>
      <c r="O458" s="6">
        <f>1156519+286353</f>
        <v>1442872</v>
      </c>
      <c r="Q458" s="6">
        <v>2341486</v>
      </c>
      <c r="S458" s="6">
        <f>43401+25107</f>
        <v>68508</v>
      </c>
      <c r="U458" s="6">
        <v>25818</v>
      </c>
      <c r="W458" s="6">
        <v>179445</v>
      </c>
      <c r="Y458" s="6">
        <f>29549+111953+356773+376+49635+2197</f>
        <v>550483</v>
      </c>
      <c r="AA458" s="6">
        <v>1792153</v>
      </c>
      <c r="AC458" s="12">
        <f t="shared" si="67"/>
        <v>2616407</v>
      </c>
      <c r="AE458" s="6">
        <f t="shared" si="68"/>
        <v>0</v>
      </c>
    </row>
    <row r="459" spans="1:31">
      <c r="A459" s="11" t="s">
        <v>724</v>
      </c>
      <c r="B459" s="11"/>
      <c r="C459" s="11" t="s">
        <v>45</v>
      </c>
      <c r="E459" s="6">
        <v>2258998</v>
      </c>
      <c r="G459" s="6">
        <v>77235</v>
      </c>
      <c r="I459" s="2">
        <f t="shared" si="69"/>
        <v>10845155</v>
      </c>
      <c r="K459" s="6">
        <v>13181388</v>
      </c>
      <c r="M459" s="2">
        <f t="shared" si="66"/>
        <v>2597004</v>
      </c>
      <c r="O459" s="6">
        <v>10840127</v>
      </c>
      <c r="Q459" s="6">
        <v>13437131</v>
      </c>
      <c r="S459" s="6">
        <v>0</v>
      </c>
      <c r="U459" s="6">
        <v>77235</v>
      </c>
      <c r="W459" s="6">
        <v>247765</v>
      </c>
      <c r="Y459" s="6">
        <v>218441</v>
      </c>
      <c r="AA459" s="6">
        <v>-799184</v>
      </c>
      <c r="AC459" s="12">
        <f t="shared" si="67"/>
        <v>-255743</v>
      </c>
      <c r="AE459" s="6">
        <f t="shared" si="68"/>
        <v>0</v>
      </c>
    </row>
    <row r="460" spans="1:31" hidden="1">
      <c r="A460" s="11" t="s">
        <v>822</v>
      </c>
      <c r="B460" s="11"/>
      <c r="C460" s="11" t="s">
        <v>53</v>
      </c>
      <c r="I460" s="2">
        <f t="shared" si="69"/>
        <v>0</v>
      </c>
      <c r="M460" s="2">
        <f t="shared" si="66"/>
        <v>0</v>
      </c>
      <c r="AC460" s="12">
        <f t="shared" si="67"/>
        <v>0</v>
      </c>
      <c r="AE460" s="6">
        <f t="shared" si="68"/>
        <v>0</v>
      </c>
    </row>
    <row r="461" spans="1:31">
      <c r="A461" s="11" t="s">
        <v>484</v>
      </c>
      <c r="B461" s="11"/>
      <c r="C461" s="11" t="s">
        <v>59</v>
      </c>
      <c r="E461" s="6">
        <v>2809001</v>
      </c>
      <c r="G461" s="6">
        <v>29872</v>
      </c>
      <c r="I461" s="2">
        <f t="shared" si="69"/>
        <v>5224147</v>
      </c>
      <c r="K461" s="6">
        <v>8063020</v>
      </c>
      <c r="M461" s="2">
        <f t="shared" si="66"/>
        <v>1915370</v>
      </c>
      <c r="O461" s="6">
        <v>4696367</v>
      </c>
      <c r="Q461" s="6">
        <v>6611737</v>
      </c>
      <c r="S461" s="6">
        <v>33211</v>
      </c>
      <c r="U461" s="6">
        <v>29872</v>
      </c>
      <c r="W461" s="6">
        <v>705447</v>
      </c>
      <c r="Y461" s="6">
        <v>682753</v>
      </c>
      <c r="AA461" s="6">
        <v>0</v>
      </c>
      <c r="AC461" s="12">
        <f t="shared" si="67"/>
        <v>1451283</v>
      </c>
      <c r="AE461" s="6">
        <f t="shared" si="68"/>
        <v>0</v>
      </c>
    </row>
    <row r="462" spans="1:31" hidden="1">
      <c r="A462" s="11" t="s">
        <v>689</v>
      </c>
      <c r="B462" s="11"/>
      <c r="C462" s="11" t="s">
        <v>57</v>
      </c>
      <c r="I462" s="2">
        <f t="shared" si="69"/>
        <v>0</v>
      </c>
      <c r="M462" s="2">
        <f t="shared" si="66"/>
        <v>0</v>
      </c>
      <c r="AC462" s="12">
        <f t="shared" si="67"/>
        <v>0</v>
      </c>
      <c r="AE462" s="6">
        <f t="shared" si="68"/>
        <v>0</v>
      </c>
    </row>
    <row r="463" spans="1:31">
      <c r="A463" s="11" t="s">
        <v>329</v>
      </c>
      <c r="B463" s="11"/>
      <c r="C463" s="11" t="s">
        <v>32</v>
      </c>
      <c r="E463" s="6">
        <v>9511540</v>
      </c>
      <c r="G463" s="6">
        <v>212907</v>
      </c>
      <c r="I463" s="2">
        <f t="shared" si="69"/>
        <v>46258474</v>
      </c>
      <c r="K463" s="6">
        <v>55982921</v>
      </c>
      <c r="M463" s="2">
        <f t="shared" si="66"/>
        <v>8363818</v>
      </c>
      <c r="O463" s="6">
        <v>31215815</v>
      </c>
      <c r="Q463" s="6">
        <v>39579633</v>
      </c>
      <c r="S463" s="6">
        <v>0</v>
      </c>
      <c r="U463" s="6">
        <v>212907</v>
      </c>
      <c r="W463" s="6">
        <v>11000</v>
      </c>
      <c r="Y463" s="6">
        <v>1665971</v>
      </c>
      <c r="AA463" s="6">
        <v>14513410</v>
      </c>
      <c r="AC463" s="12">
        <f t="shared" si="67"/>
        <v>16403288</v>
      </c>
      <c r="AE463" s="6">
        <f t="shared" si="68"/>
        <v>0</v>
      </c>
    </row>
    <row r="464" spans="1:31" hidden="1">
      <c r="A464" s="11" t="s">
        <v>823</v>
      </c>
      <c r="B464" s="11"/>
      <c r="C464" s="11" t="s">
        <v>53</v>
      </c>
      <c r="I464" s="2">
        <f t="shared" ref="I464" si="74">+K464-G464-E464</f>
        <v>0</v>
      </c>
      <c r="M464" s="2">
        <f t="shared" ref="M464" si="75">+Q464-O464</f>
        <v>0</v>
      </c>
      <c r="AC464" s="12">
        <f t="shared" ref="AC464" si="76">+W464+U464++S464+Y464+AA464</f>
        <v>0</v>
      </c>
      <c r="AE464" s="6">
        <f t="shared" ref="AE464" si="77">+E464+G464+I464-M464-O464-W464-U464-S464-Y464-AA464</f>
        <v>0</v>
      </c>
    </row>
    <row r="465" spans="1:31" hidden="1">
      <c r="A465" s="11" t="s">
        <v>824</v>
      </c>
      <c r="B465" s="11"/>
      <c r="C465" s="11" t="s">
        <v>12</v>
      </c>
      <c r="I465" s="2">
        <f t="shared" si="69"/>
        <v>0</v>
      </c>
      <c r="M465" s="2">
        <f t="shared" si="66"/>
        <v>0</v>
      </c>
      <c r="AC465" s="12">
        <f t="shared" si="67"/>
        <v>0</v>
      </c>
      <c r="AE465" s="6">
        <f t="shared" si="68"/>
        <v>0</v>
      </c>
    </row>
    <row r="466" spans="1:31">
      <c r="A466" s="11" t="s">
        <v>632</v>
      </c>
      <c r="B466" s="11"/>
      <c r="C466" s="11" t="s">
        <v>56</v>
      </c>
      <c r="E466" s="6">
        <f>2086848+12446</f>
        <v>2099294</v>
      </c>
      <c r="G466" s="6">
        <v>0</v>
      </c>
      <c r="I466" s="2">
        <f t="shared" si="69"/>
        <v>10781455</v>
      </c>
      <c r="K466" s="6">
        <v>12880749</v>
      </c>
      <c r="M466" s="2">
        <f t="shared" si="66"/>
        <v>3397552</v>
      </c>
      <c r="O466" s="6">
        <f>8845137+983285</f>
        <v>9828422</v>
      </c>
      <c r="Q466" s="6">
        <v>13225974</v>
      </c>
      <c r="S466" s="6">
        <v>0</v>
      </c>
      <c r="U466" s="6">
        <v>0</v>
      </c>
      <c r="W466" s="6">
        <v>0</v>
      </c>
      <c r="Y466" s="6">
        <v>0</v>
      </c>
      <c r="AA466" s="6">
        <v>-345225</v>
      </c>
      <c r="AC466" s="12">
        <f t="shared" si="67"/>
        <v>-345225</v>
      </c>
      <c r="AE466" s="6">
        <f t="shared" si="68"/>
        <v>0</v>
      </c>
    </row>
    <row r="467" spans="1:31">
      <c r="A467" s="11" t="s">
        <v>330</v>
      </c>
      <c r="B467" s="11"/>
      <c r="C467" s="11" t="s">
        <v>32</v>
      </c>
      <c r="E467" s="6">
        <v>2383992</v>
      </c>
      <c r="G467" s="6">
        <v>0</v>
      </c>
      <c r="I467" s="2">
        <f t="shared" si="69"/>
        <v>8094256</v>
      </c>
      <c r="K467" s="6">
        <v>10478248</v>
      </c>
      <c r="M467" s="2">
        <f t="shared" si="66"/>
        <v>1201963</v>
      </c>
      <c r="O467" s="6">
        <v>4748870</v>
      </c>
      <c r="Q467" s="6">
        <v>5950833</v>
      </c>
      <c r="S467" s="6">
        <v>110202</v>
      </c>
      <c r="U467" s="6">
        <v>0</v>
      </c>
      <c r="W467" s="6">
        <v>77891</v>
      </c>
      <c r="Y467" s="6">
        <f>41364+142820</f>
        <v>184184</v>
      </c>
      <c r="AA467" s="6">
        <v>4155138</v>
      </c>
      <c r="AC467" s="12">
        <f t="shared" si="67"/>
        <v>4527415</v>
      </c>
      <c r="AE467" s="6">
        <f t="shared" si="68"/>
        <v>0</v>
      </c>
    </row>
    <row r="468" spans="1:31">
      <c r="A468" s="11" t="s">
        <v>513</v>
      </c>
      <c r="B468" s="11"/>
      <c r="C468" s="11" t="s">
        <v>63</v>
      </c>
      <c r="E468" s="6">
        <v>15622627</v>
      </c>
      <c r="G468" s="6">
        <v>0</v>
      </c>
      <c r="I468" s="2">
        <f t="shared" si="69"/>
        <v>27661082</v>
      </c>
      <c r="K468" s="6">
        <v>43283709</v>
      </c>
      <c r="M468" s="2">
        <f t="shared" si="66"/>
        <v>4157254</v>
      </c>
      <c r="O468" s="6">
        <v>24846645</v>
      </c>
      <c r="Q468" s="6">
        <v>29003899</v>
      </c>
      <c r="S468" s="6">
        <v>0</v>
      </c>
      <c r="U468" s="6">
        <v>0</v>
      </c>
      <c r="W468" s="6">
        <v>0</v>
      </c>
      <c r="Y468" s="6">
        <v>1011539</v>
      </c>
      <c r="AA468" s="6">
        <v>13268271</v>
      </c>
      <c r="AC468" s="12">
        <f t="shared" si="67"/>
        <v>14279810</v>
      </c>
      <c r="AE468" s="6">
        <f t="shared" si="68"/>
        <v>0</v>
      </c>
    </row>
    <row r="469" spans="1:31" hidden="1">
      <c r="A469" s="11" t="s">
        <v>825</v>
      </c>
      <c r="B469" s="11"/>
      <c r="C469" s="11" t="s">
        <v>27</v>
      </c>
      <c r="I469" s="2">
        <f t="shared" si="69"/>
        <v>0</v>
      </c>
      <c r="M469" s="2">
        <f t="shared" si="66"/>
        <v>0</v>
      </c>
      <c r="AC469" s="12">
        <f t="shared" si="67"/>
        <v>0</v>
      </c>
      <c r="AE469" s="6">
        <f t="shared" si="68"/>
        <v>0</v>
      </c>
    </row>
    <row r="470" spans="1:31">
      <c r="A470" s="11" t="s">
        <v>276</v>
      </c>
      <c r="B470" s="11"/>
      <c r="C470" s="11" t="s">
        <v>20</v>
      </c>
      <c r="E470" s="6">
        <v>0</v>
      </c>
      <c r="G470" s="6">
        <v>136327</v>
      </c>
      <c r="I470" s="2">
        <f t="shared" si="69"/>
        <v>12937409</v>
      </c>
      <c r="K470" s="6">
        <v>13073736</v>
      </c>
      <c r="M470" s="2">
        <f t="shared" si="66"/>
        <v>1713350</v>
      </c>
      <c r="O470" s="6">
        <v>11342167</v>
      </c>
      <c r="Q470" s="6">
        <v>13055517</v>
      </c>
      <c r="S470" s="6">
        <v>0</v>
      </c>
      <c r="U470" s="6">
        <v>0</v>
      </c>
      <c r="W470" s="6">
        <v>50990</v>
      </c>
      <c r="Y470" s="6">
        <v>0</v>
      </c>
      <c r="AA470" s="6">
        <v>-32771</v>
      </c>
      <c r="AC470" s="12">
        <f t="shared" si="67"/>
        <v>18219</v>
      </c>
      <c r="AE470" s="6">
        <f t="shared" si="68"/>
        <v>0</v>
      </c>
    </row>
    <row r="471" spans="1:31">
      <c r="A471" s="11" t="s">
        <v>412</v>
      </c>
      <c r="B471" s="11"/>
      <c r="C471" s="11" t="s">
        <v>46</v>
      </c>
      <c r="E471" s="6">
        <v>2985589</v>
      </c>
      <c r="G471" s="6">
        <v>0</v>
      </c>
      <c r="I471" s="2">
        <f t="shared" si="69"/>
        <v>3320565</v>
      </c>
      <c r="K471" s="6">
        <v>6306154</v>
      </c>
      <c r="M471" s="2">
        <f t="shared" si="66"/>
        <v>736099</v>
      </c>
      <c r="O471" s="6">
        <v>2254473</v>
      </c>
      <c r="Q471" s="6">
        <v>2990572</v>
      </c>
      <c r="S471" s="6">
        <v>65578</v>
      </c>
      <c r="U471" s="6">
        <v>0</v>
      </c>
      <c r="W471" s="6">
        <v>0</v>
      </c>
      <c r="Y471" s="6">
        <v>18650</v>
      </c>
      <c r="AA471" s="6">
        <v>3231354</v>
      </c>
      <c r="AC471" s="12">
        <f t="shared" si="67"/>
        <v>3315582</v>
      </c>
      <c r="AE471" s="6">
        <f t="shared" si="68"/>
        <v>0</v>
      </c>
    </row>
    <row r="472" spans="1:31" hidden="1">
      <c r="A472" s="11" t="s">
        <v>897</v>
      </c>
      <c r="B472" s="11"/>
      <c r="C472" s="11" t="s">
        <v>339</v>
      </c>
      <c r="E472" s="6">
        <v>0</v>
      </c>
      <c r="G472" s="6">
        <v>0</v>
      </c>
      <c r="I472" s="2">
        <f t="shared" si="69"/>
        <v>0</v>
      </c>
      <c r="K472" s="6">
        <v>0</v>
      </c>
      <c r="M472" s="2">
        <f t="shared" si="66"/>
        <v>0</v>
      </c>
      <c r="O472" s="6">
        <v>0</v>
      </c>
      <c r="Q472" s="6">
        <v>0</v>
      </c>
      <c r="S472" s="6">
        <v>0</v>
      </c>
      <c r="U472" s="6">
        <v>0</v>
      </c>
      <c r="W472" s="6">
        <v>0</v>
      </c>
      <c r="Y472" s="6">
        <v>0</v>
      </c>
      <c r="AA472" s="6">
        <v>0</v>
      </c>
      <c r="AC472" s="12">
        <f t="shared" si="67"/>
        <v>0</v>
      </c>
      <c r="AE472" s="6">
        <f t="shared" si="68"/>
        <v>0</v>
      </c>
    </row>
    <row r="473" spans="1:31">
      <c r="A473" s="11" t="s">
        <v>254</v>
      </c>
      <c r="B473" s="11"/>
      <c r="C473" s="11" t="s">
        <v>19</v>
      </c>
      <c r="E473" s="6">
        <v>3426016</v>
      </c>
      <c r="G473" s="6">
        <v>0</v>
      </c>
      <c r="I473" s="2">
        <f t="shared" si="69"/>
        <v>2427317</v>
      </c>
      <c r="K473" s="6">
        <v>5853333</v>
      </c>
      <c r="M473" s="2">
        <f t="shared" si="66"/>
        <v>1053845</v>
      </c>
      <c r="O473" s="6">
        <f>121804+1995187</f>
        <v>2116991</v>
      </c>
      <c r="Q473" s="6">
        <v>3170836</v>
      </c>
      <c r="S473" s="6">
        <v>0</v>
      </c>
      <c r="U473" s="6">
        <v>0</v>
      </c>
      <c r="W473" s="6">
        <f>9000+15000</f>
        <v>24000</v>
      </c>
      <c r="Y473" s="6">
        <f>48199+3+1979</f>
        <v>50181</v>
      </c>
      <c r="AA473" s="6">
        <v>2608316</v>
      </c>
      <c r="AC473" s="12">
        <f t="shared" si="67"/>
        <v>2682497</v>
      </c>
      <c r="AE473" s="6">
        <f t="shared" si="68"/>
        <v>0</v>
      </c>
    </row>
    <row r="474" spans="1:31" hidden="1">
      <c r="A474" s="11" t="s">
        <v>826</v>
      </c>
      <c r="B474" s="11"/>
      <c r="C474" s="11" t="s">
        <v>77</v>
      </c>
      <c r="I474" s="2">
        <f t="shared" si="69"/>
        <v>0</v>
      </c>
      <c r="M474" s="2">
        <f t="shared" si="66"/>
        <v>0</v>
      </c>
      <c r="AC474" s="12">
        <f t="shared" si="67"/>
        <v>0</v>
      </c>
      <c r="AE474" s="6">
        <f t="shared" si="68"/>
        <v>0</v>
      </c>
    </row>
    <row r="475" spans="1:31" hidden="1">
      <c r="A475" s="11" t="s">
        <v>827</v>
      </c>
      <c r="B475" s="11"/>
      <c r="C475" s="11" t="s">
        <v>71</v>
      </c>
      <c r="I475" s="2">
        <f t="shared" si="69"/>
        <v>0</v>
      </c>
      <c r="M475" s="2">
        <f t="shared" si="66"/>
        <v>0</v>
      </c>
      <c r="AC475" s="12">
        <f t="shared" si="67"/>
        <v>0</v>
      </c>
      <c r="AE475" s="6">
        <f t="shared" si="68"/>
        <v>0</v>
      </c>
    </row>
    <row r="476" spans="1:31">
      <c r="A476" s="11" t="s">
        <v>413</v>
      </c>
      <c r="B476" s="11"/>
      <c r="C476" s="11" t="s">
        <v>46</v>
      </c>
      <c r="E476" s="6">
        <v>2437074</v>
      </c>
      <c r="G476" s="6">
        <v>0</v>
      </c>
      <c r="I476" s="2">
        <f t="shared" si="69"/>
        <v>5996323</v>
      </c>
      <c r="K476" s="6">
        <v>8433397</v>
      </c>
      <c r="M476" s="2">
        <f t="shared" si="66"/>
        <v>1826446</v>
      </c>
      <c r="O476" s="6">
        <v>3672075</v>
      </c>
      <c r="Q476" s="6">
        <v>5498521</v>
      </c>
      <c r="S476" s="6">
        <v>32002</v>
      </c>
      <c r="U476" s="6">
        <v>3435</v>
      </c>
      <c r="W476" s="6">
        <v>0</v>
      </c>
      <c r="Y476" s="6">
        <v>86540</v>
      </c>
      <c r="AA476" s="6">
        <v>2812899</v>
      </c>
      <c r="AC476" s="12">
        <f t="shared" si="67"/>
        <v>2934876</v>
      </c>
      <c r="AE476" s="6">
        <f t="shared" si="68"/>
        <v>0</v>
      </c>
    </row>
    <row r="477" spans="1:31">
      <c r="A477" s="11" t="s">
        <v>255</v>
      </c>
      <c r="B477" s="11"/>
      <c r="C477" s="11" t="s">
        <v>19</v>
      </c>
      <c r="E477" s="6">
        <v>5800395</v>
      </c>
      <c r="G477" s="6">
        <v>0</v>
      </c>
      <c r="I477" s="2">
        <f t="shared" si="69"/>
        <v>8915026</v>
      </c>
      <c r="K477" s="6">
        <v>14715421</v>
      </c>
      <c r="M477" s="2">
        <f t="shared" ref="M477:M539" si="78">+Q477-O477</f>
        <v>1786765</v>
      </c>
      <c r="O477" s="6">
        <v>8017929</v>
      </c>
      <c r="Q477" s="6">
        <v>9804694</v>
      </c>
      <c r="S477" s="6">
        <v>215894</v>
      </c>
      <c r="U477" s="6">
        <v>0</v>
      </c>
      <c r="W477" s="6">
        <v>39169</v>
      </c>
      <c r="Y477" s="6">
        <v>1835113</v>
      </c>
      <c r="AA477" s="6">
        <v>2820551</v>
      </c>
      <c r="AC477" s="12">
        <f t="shared" ref="AC477:AC539" si="79">+W477+U477++S477+Y477+AA477</f>
        <v>4910727</v>
      </c>
      <c r="AE477" s="6">
        <f t="shared" ref="AE477:AE539" si="80">+E477+G477+I477-M477-O477-W477-U477-S477-Y477-AA477</f>
        <v>0</v>
      </c>
    </row>
    <row r="478" spans="1:31" hidden="1">
      <c r="A478" s="11" t="s">
        <v>828</v>
      </c>
      <c r="B478" s="11"/>
      <c r="C478" s="11" t="s">
        <v>339</v>
      </c>
      <c r="I478" s="2">
        <f t="shared" si="69"/>
        <v>0</v>
      </c>
      <c r="M478" s="2">
        <f t="shared" si="78"/>
        <v>0</v>
      </c>
      <c r="AC478" s="12">
        <f t="shared" si="79"/>
        <v>0</v>
      </c>
      <c r="AE478" s="6">
        <f t="shared" si="80"/>
        <v>0</v>
      </c>
    </row>
    <row r="479" spans="1:31" s="28" customFormat="1">
      <c r="A479" s="27" t="s">
        <v>379</v>
      </c>
      <c r="B479" s="27"/>
      <c r="C479" s="27" t="s">
        <v>41</v>
      </c>
      <c r="E479" s="28">
        <v>1089035</v>
      </c>
      <c r="G479" s="28">
        <v>0</v>
      </c>
      <c r="I479" s="30">
        <f t="shared" ref="I479:I541" si="81">+K479-G479-E479</f>
        <v>23190340</v>
      </c>
      <c r="K479" s="28">
        <v>24279375</v>
      </c>
      <c r="M479" s="30">
        <f t="shared" si="78"/>
        <v>4738220</v>
      </c>
      <c r="O479" s="28">
        <v>21156020</v>
      </c>
      <c r="Q479" s="28">
        <v>25894240</v>
      </c>
      <c r="S479" s="28">
        <v>130388</v>
      </c>
      <c r="U479" s="28">
        <v>0</v>
      </c>
      <c r="W479" s="28">
        <v>0</v>
      </c>
      <c r="Y479" s="28">
        <v>0</v>
      </c>
      <c r="AA479" s="28">
        <v>-1745253</v>
      </c>
      <c r="AC479" s="37">
        <f t="shared" si="79"/>
        <v>-1614865</v>
      </c>
      <c r="AE479" s="28">
        <f t="shared" si="80"/>
        <v>0</v>
      </c>
    </row>
    <row r="480" spans="1:31">
      <c r="A480" s="11" t="s">
        <v>379</v>
      </c>
      <c r="B480" s="11"/>
      <c r="C480" s="11" t="s">
        <v>43</v>
      </c>
      <c r="E480" s="6">
        <v>622763</v>
      </c>
      <c r="G480" s="6">
        <v>17111</v>
      </c>
      <c r="I480" s="2">
        <f t="shared" si="81"/>
        <v>1772242</v>
      </c>
      <c r="K480" s="6">
        <v>2412116</v>
      </c>
      <c r="M480" s="2">
        <f t="shared" si="78"/>
        <v>779703</v>
      </c>
      <c r="O480" s="6">
        <f>162843+1095411</f>
        <v>1258254</v>
      </c>
      <c r="Q480" s="6">
        <v>2037957</v>
      </c>
      <c r="S480" s="6">
        <v>0</v>
      </c>
      <c r="U480" s="6">
        <v>17111</v>
      </c>
      <c r="W480" s="6">
        <v>0</v>
      </c>
      <c r="Y480" s="6">
        <f>6282+22346+1693+205886+4711</f>
        <v>240918</v>
      </c>
      <c r="AA480" s="6">
        <v>116130</v>
      </c>
      <c r="AC480" s="12">
        <f t="shared" si="79"/>
        <v>374159</v>
      </c>
      <c r="AE480" s="6">
        <f t="shared" si="80"/>
        <v>0</v>
      </c>
    </row>
    <row r="481" spans="1:31">
      <c r="A481" s="11" t="s">
        <v>370</v>
      </c>
      <c r="B481" s="11"/>
      <c r="C481" s="11" t="s">
        <v>366</v>
      </c>
      <c r="E481" s="6">
        <v>2601682</v>
      </c>
      <c r="G481" s="6">
        <v>279156</v>
      </c>
      <c r="I481" s="2">
        <f t="shared" si="81"/>
        <v>3895118</v>
      </c>
      <c r="K481" s="6">
        <v>6775956</v>
      </c>
      <c r="M481" s="2">
        <f t="shared" si="78"/>
        <v>1952535</v>
      </c>
      <c r="O481" s="6">
        <v>3410313</v>
      </c>
      <c r="Q481" s="6">
        <v>5362848</v>
      </c>
      <c r="S481" s="6">
        <v>0</v>
      </c>
      <c r="U481" s="6">
        <v>279156</v>
      </c>
      <c r="W481" s="6">
        <v>0</v>
      </c>
      <c r="Y481" s="6">
        <v>283404</v>
      </c>
      <c r="AA481" s="6">
        <v>850548</v>
      </c>
      <c r="AC481" s="12">
        <f t="shared" si="79"/>
        <v>1413108</v>
      </c>
      <c r="AE481" s="6">
        <f t="shared" si="80"/>
        <v>0</v>
      </c>
    </row>
    <row r="482" spans="1:31">
      <c r="A482" s="11" t="s">
        <v>713</v>
      </c>
      <c r="B482" s="11"/>
      <c r="C482" s="11" t="s">
        <v>20</v>
      </c>
      <c r="E482" s="6">
        <v>3006713</v>
      </c>
      <c r="G482" s="6">
        <v>0</v>
      </c>
      <c r="I482" s="2">
        <f t="shared" si="81"/>
        <v>26096860</v>
      </c>
      <c r="K482" s="6">
        <v>29103573</v>
      </c>
      <c r="M482" s="2">
        <f t="shared" si="78"/>
        <v>4386366</v>
      </c>
      <c r="O482" s="6">
        <f>1647439+21061266</f>
        <v>22708705</v>
      </c>
      <c r="Q482" s="6">
        <v>27095071</v>
      </c>
      <c r="S482" s="6">
        <f>39404+12327+4360</f>
        <v>56091</v>
      </c>
      <c r="U482" s="6">
        <v>0</v>
      </c>
      <c r="W482" s="6">
        <v>0</v>
      </c>
      <c r="Y482" s="6">
        <f>93507+405460+2575+23077+694396</f>
        <v>1219015</v>
      </c>
      <c r="AA482" s="6">
        <v>733396</v>
      </c>
      <c r="AC482" s="12">
        <f t="shared" si="79"/>
        <v>2008502</v>
      </c>
      <c r="AE482" s="6">
        <f t="shared" si="80"/>
        <v>0</v>
      </c>
    </row>
    <row r="483" spans="1:31">
      <c r="A483" s="11" t="s">
        <v>321</v>
      </c>
      <c r="B483" s="11"/>
      <c r="C483" s="11" t="s">
        <v>31</v>
      </c>
      <c r="E483" s="6">
        <v>3038828</v>
      </c>
      <c r="G483" s="6">
        <v>7903</v>
      </c>
      <c r="I483" s="2">
        <f t="shared" si="81"/>
        <v>6671144</v>
      </c>
      <c r="K483" s="6">
        <v>9717875</v>
      </c>
      <c r="M483" s="2">
        <f t="shared" si="78"/>
        <v>1563457</v>
      </c>
      <c r="O483" s="6">
        <v>4539322</v>
      </c>
      <c r="Q483" s="6">
        <v>6102779</v>
      </c>
      <c r="S483" s="6">
        <f>80709+36773+7903</f>
        <v>125385</v>
      </c>
      <c r="U483" s="6">
        <v>0</v>
      </c>
      <c r="W483" s="6">
        <v>38000</v>
      </c>
      <c r="Y483" s="6">
        <f>224610+74562</f>
        <v>299172</v>
      </c>
      <c r="AA483" s="6">
        <v>3152539</v>
      </c>
      <c r="AC483" s="12">
        <f t="shared" si="79"/>
        <v>3615096</v>
      </c>
      <c r="AE483" s="6">
        <f t="shared" si="80"/>
        <v>0</v>
      </c>
    </row>
    <row r="484" spans="1:31">
      <c r="A484" s="11" t="s">
        <v>462</v>
      </c>
      <c r="B484" s="11"/>
      <c r="C484" s="11" t="s">
        <v>56</v>
      </c>
      <c r="E484" s="6">
        <v>1406761</v>
      </c>
      <c r="G484" s="6">
        <v>0</v>
      </c>
      <c r="I484" s="2">
        <f t="shared" si="81"/>
        <v>6115071</v>
      </c>
      <c r="K484" s="6">
        <v>7521832</v>
      </c>
      <c r="M484" s="2">
        <f t="shared" si="78"/>
        <v>1169433</v>
      </c>
      <c r="O484" s="6">
        <v>5691580</v>
      </c>
      <c r="Q484" s="6">
        <v>6861013</v>
      </c>
      <c r="S484" s="6">
        <v>0</v>
      </c>
      <c r="U484" s="6">
        <v>0</v>
      </c>
      <c r="W484" s="6">
        <v>0</v>
      </c>
      <c r="Y484" s="6">
        <v>169948</v>
      </c>
      <c r="AA484" s="6">
        <v>490871</v>
      </c>
      <c r="AC484" s="12">
        <f t="shared" si="79"/>
        <v>660819</v>
      </c>
      <c r="AE484" s="6">
        <f t="shared" si="80"/>
        <v>0</v>
      </c>
    </row>
    <row r="485" spans="1:31">
      <c r="A485" s="11" t="s">
        <v>714</v>
      </c>
      <c r="B485" s="11"/>
      <c r="C485" s="11" t="s">
        <v>221</v>
      </c>
      <c r="E485" s="6">
        <v>5585220</v>
      </c>
      <c r="G485" s="6">
        <v>392800</v>
      </c>
      <c r="I485" s="2">
        <f t="shared" si="81"/>
        <v>12944110</v>
      </c>
      <c r="K485" s="6">
        <v>18922130</v>
      </c>
      <c r="M485" s="2">
        <f t="shared" si="78"/>
        <v>2300863</v>
      </c>
      <c r="O485" s="6">
        <v>11634230</v>
      </c>
      <c r="Q485" s="6">
        <v>13935093</v>
      </c>
      <c r="S485" s="6">
        <v>3529</v>
      </c>
      <c r="U485" s="6">
        <v>0</v>
      </c>
      <c r="W485" s="6">
        <v>0</v>
      </c>
      <c r="Y485" s="6">
        <v>431008</v>
      </c>
      <c r="AA485" s="6">
        <v>4552500</v>
      </c>
      <c r="AC485" s="12">
        <f t="shared" si="79"/>
        <v>4987037</v>
      </c>
      <c r="AE485" s="6">
        <f t="shared" si="80"/>
        <v>0</v>
      </c>
    </row>
    <row r="486" spans="1:31">
      <c r="A486" s="11" t="s">
        <v>777</v>
      </c>
      <c r="B486" s="11"/>
      <c r="C486" s="11" t="s">
        <v>72</v>
      </c>
      <c r="E486" s="6">
        <v>8171911</v>
      </c>
      <c r="G486" s="6">
        <v>1722566</v>
      </c>
      <c r="I486" s="2">
        <f t="shared" si="81"/>
        <v>12406740</v>
      </c>
      <c r="K486" s="6">
        <v>22301217</v>
      </c>
      <c r="M486" s="2">
        <f t="shared" si="78"/>
        <v>3328205</v>
      </c>
      <c r="O486" s="6">
        <v>10706855</v>
      </c>
      <c r="Q486" s="6">
        <v>14035060</v>
      </c>
      <c r="S486" s="6">
        <v>54746</v>
      </c>
      <c r="U486" s="6">
        <v>1744318</v>
      </c>
      <c r="W486" s="6">
        <v>0</v>
      </c>
      <c r="Y486" s="6">
        <v>235477</v>
      </c>
      <c r="AA486" s="6">
        <v>6231616</v>
      </c>
      <c r="AC486" s="12">
        <f t="shared" si="79"/>
        <v>8266157</v>
      </c>
      <c r="AE486" s="6">
        <f t="shared" si="80"/>
        <v>0</v>
      </c>
    </row>
    <row r="487" spans="1:31">
      <c r="A487" s="11" t="s">
        <v>492</v>
      </c>
      <c r="B487" s="11"/>
      <c r="C487" s="11" t="s">
        <v>61</v>
      </c>
      <c r="E487" s="6">
        <v>1387620</v>
      </c>
      <c r="G487" s="6">
        <v>3342</v>
      </c>
      <c r="I487" s="2">
        <f t="shared" si="81"/>
        <v>1160598</v>
      </c>
      <c r="K487" s="6">
        <v>2551560</v>
      </c>
      <c r="M487" s="2">
        <f t="shared" si="78"/>
        <v>393695</v>
      </c>
      <c r="O487" s="6">
        <v>880923</v>
      </c>
      <c r="Q487" s="6">
        <v>1274618</v>
      </c>
      <c r="S487" s="6">
        <v>2524</v>
      </c>
      <c r="U487" s="6">
        <v>3342</v>
      </c>
      <c r="W487" s="6">
        <v>0</v>
      </c>
      <c r="Y487" s="6">
        <v>1138768</v>
      </c>
      <c r="AA487" s="6">
        <v>132308</v>
      </c>
      <c r="AC487" s="12">
        <f t="shared" si="79"/>
        <v>1276942</v>
      </c>
      <c r="AE487" s="6">
        <f t="shared" si="80"/>
        <v>0</v>
      </c>
    </row>
    <row r="488" spans="1:31">
      <c r="A488" s="11" t="s">
        <v>607</v>
      </c>
      <c r="B488" s="11"/>
      <c r="C488" s="11" t="s">
        <v>112</v>
      </c>
      <c r="E488" s="6">
        <v>2399204</v>
      </c>
      <c r="G488" s="6">
        <v>0</v>
      </c>
      <c r="I488" s="2">
        <f t="shared" si="81"/>
        <v>8957850</v>
      </c>
      <c r="K488" s="6">
        <v>11357054</v>
      </c>
      <c r="M488" s="2">
        <f t="shared" si="78"/>
        <v>10290678</v>
      </c>
      <c r="O488" s="6">
        <v>618554</v>
      </c>
      <c r="Q488" s="6">
        <v>10909232</v>
      </c>
      <c r="S488" s="6">
        <v>11119</v>
      </c>
      <c r="U488" s="6">
        <v>0</v>
      </c>
      <c r="W488" s="6">
        <v>11000</v>
      </c>
      <c r="Y488" s="6">
        <f>205666+220037</f>
        <v>425703</v>
      </c>
      <c r="AA488" s="6">
        <v>0</v>
      </c>
      <c r="AC488" s="12">
        <f t="shared" si="79"/>
        <v>447822</v>
      </c>
      <c r="AE488" s="6">
        <f t="shared" si="80"/>
        <v>0</v>
      </c>
    </row>
    <row r="489" spans="1:31">
      <c r="A489" s="11" t="s">
        <v>290</v>
      </c>
      <c r="B489" s="11"/>
      <c r="C489" s="11" t="s">
        <v>24</v>
      </c>
      <c r="E489" s="6">
        <v>2153321</v>
      </c>
      <c r="G489" s="6">
        <v>0</v>
      </c>
      <c r="I489" s="2">
        <f t="shared" si="81"/>
        <v>19409112</v>
      </c>
      <c r="K489" s="6">
        <v>21562433</v>
      </c>
      <c r="M489" s="2">
        <f t="shared" si="78"/>
        <v>5815279</v>
      </c>
      <c r="O489" s="6">
        <v>16703212</v>
      </c>
      <c r="Q489" s="6">
        <v>22518491</v>
      </c>
      <c r="S489" s="6">
        <v>81158</v>
      </c>
      <c r="U489" s="6">
        <v>0</v>
      </c>
      <c r="W489" s="6">
        <v>0</v>
      </c>
      <c r="Y489" s="6">
        <v>344766</v>
      </c>
      <c r="AA489" s="6">
        <v>-1381982</v>
      </c>
      <c r="AC489" s="12">
        <f t="shared" si="79"/>
        <v>-956058</v>
      </c>
      <c r="AE489" s="6">
        <f t="shared" si="80"/>
        <v>0</v>
      </c>
    </row>
    <row r="490" spans="1:31">
      <c r="A490" s="11" t="s">
        <v>504</v>
      </c>
      <c r="B490" s="11"/>
      <c r="C490" s="11" t="s">
        <v>62</v>
      </c>
      <c r="E490" s="6">
        <v>3257791</v>
      </c>
      <c r="G490" s="6">
        <v>0</v>
      </c>
      <c r="I490" s="2">
        <f t="shared" si="81"/>
        <v>3624939</v>
      </c>
      <c r="K490" s="6">
        <v>6882730</v>
      </c>
      <c r="M490" s="2">
        <f t="shared" si="78"/>
        <v>1664756</v>
      </c>
      <c r="O490" s="6">
        <f>336289+3296250</f>
        <v>3632539</v>
      </c>
      <c r="Q490" s="6">
        <v>5297295</v>
      </c>
      <c r="S490" s="6">
        <v>9445</v>
      </c>
      <c r="U490" s="6">
        <v>0</v>
      </c>
      <c r="W490" s="6">
        <v>0</v>
      </c>
      <c r="Y490" s="6">
        <f>124308+118487+100+1333095</f>
        <v>1575990</v>
      </c>
      <c r="AA490" s="6">
        <v>0</v>
      </c>
      <c r="AC490" s="12">
        <f t="shared" si="79"/>
        <v>1585435</v>
      </c>
      <c r="AE490" s="6">
        <f t="shared" si="80"/>
        <v>0</v>
      </c>
    </row>
    <row r="491" spans="1:31">
      <c r="A491" s="11" t="s">
        <v>456</v>
      </c>
      <c r="B491" s="11"/>
      <c r="C491" s="11" t="s">
        <v>55</v>
      </c>
      <c r="E491" s="6">
        <v>6629455</v>
      </c>
      <c r="G491" s="6">
        <v>161461</v>
      </c>
      <c r="I491" s="2">
        <f t="shared" si="81"/>
        <v>2818293</v>
      </c>
      <c r="K491" s="6">
        <v>9609209</v>
      </c>
      <c r="M491" s="2">
        <f t="shared" si="78"/>
        <v>1499294</v>
      </c>
      <c r="O491" s="6">
        <v>2349362</v>
      </c>
      <c r="Q491" s="6">
        <v>3848656</v>
      </c>
      <c r="S491" s="6">
        <v>0</v>
      </c>
      <c r="U491" s="6">
        <v>161461</v>
      </c>
      <c r="W491" s="6">
        <v>0</v>
      </c>
      <c r="Y491" s="6">
        <v>315609</v>
      </c>
      <c r="AA491" s="6">
        <v>5283483</v>
      </c>
      <c r="AC491" s="12">
        <f t="shared" si="79"/>
        <v>5760553</v>
      </c>
      <c r="AE491" s="6">
        <f t="shared" si="80"/>
        <v>0</v>
      </c>
    </row>
    <row r="492" spans="1:31">
      <c r="A492" s="11" t="s">
        <v>405</v>
      </c>
      <c r="B492" s="11"/>
      <c r="C492" s="11" t="s">
        <v>45</v>
      </c>
      <c r="E492" s="6">
        <v>775078</v>
      </c>
      <c r="G492" s="6">
        <v>0</v>
      </c>
      <c r="I492" s="2">
        <f t="shared" si="81"/>
        <v>1538793</v>
      </c>
      <c r="K492" s="6">
        <v>2313871</v>
      </c>
      <c r="M492" s="2">
        <f t="shared" si="78"/>
        <v>632339</v>
      </c>
      <c r="O492" s="6">
        <v>1394438</v>
      </c>
      <c r="Q492" s="6">
        <v>2026777</v>
      </c>
      <c r="S492" s="6">
        <v>0</v>
      </c>
      <c r="U492" s="6">
        <v>0</v>
      </c>
      <c r="W492" s="6">
        <v>0</v>
      </c>
      <c r="Y492" s="6">
        <v>39434</v>
      </c>
      <c r="AA492" s="6">
        <v>247660</v>
      </c>
      <c r="AC492" s="12">
        <f t="shared" si="79"/>
        <v>287094</v>
      </c>
      <c r="AE492" s="6">
        <f t="shared" si="80"/>
        <v>0</v>
      </c>
    </row>
    <row r="493" spans="1:31">
      <c r="A493" s="11" t="s">
        <v>487</v>
      </c>
      <c r="B493" s="11"/>
      <c r="C493" s="11" t="s">
        <v>60</v>
      </c>
      <c r="E493" s="6">
        <v>970495</v>
      </c>
      <c r="G493" s="6">
        <v>0</v>
      </c>
      <c r="I493" s="2">
        <f t="shared" si="81"/>
        <v>2831310</v>
      </c>
      <c r="K493" s="6">
        <v>3801805</v>
      </c>
      <c r="M493" s="2">
        <f t="shared" si="78"/>
        <v>2851466</v>
      </c>
      <c r="O493" s="6">
        <v>322386</v>
      </c>
      <c r="Q493" s="6">
        <v>3173852</v>
      </c>
      <c r="S493" s="6">
        <f>804+34326</f>
        <v>35130</v>
      </c>
      <c r="U493" s="6">
        <v>0</v>
      </c>
      <c r="W493" s="6">
        <v>71178</v>
      </c>
      <c r="Y493" s="6">
        <f>2957+14809+7898+456810+44396</f>
        <v>526870</v>
      </c>
      <c r="AA493" s="6">
        <v>-5225</v>
      </c>
      <c r="AC493" s="12">
        <f t="shared" si="79"/>
        <v>627953</v>
      </c>
      <c r="AE493" s="6">
        <f t="shared" si="80"/>
        <v>0</v>
      </c>
    </row>
    <row r="494" spans="1:31">
      <c r="A494" s="11" t="s">
        <v>217</v>
      </c>
      <c r="B494" s="11"/>
      <c r="C494" s="11" t="s">
        <v>15</v>
      </c>
      <c r="E494" s="6">
        <f>1733422+2126</f>
        <v>1735548</v>
      </c>
      <c r="G494" s="6">
        <v>0</v>
      </c>
      <c r="I494" s="2">
        <f t="shared" si="81"/>
        <v>3036770</v>
      </c>
      <c r="K494" s="6">
        <v>4772318</v>
      </c>
      <c r="M494" s="2">
        <f t="shared" si="78"/>
        <v>707971</v>
      </c>
      <c r="O494" s="6">
        <v>2952869</v>
      </c>
      <c r="Q494" s="6">
        <v>3660840</v>
      </c>
      <c r="S494" s="6">
        <f>1338+25781</f>
        <v>27119</v>
      </c>
      <c r="U494" s="6">
        <v>2126</v>
      </c>
      <c r="W494" s="6">
        <v>0</v>
      </c>
      <c r="Y494" s="6">
        <v>786592</v>
      </c>
      <c r="AA494" s="6">
        <v>295641</v>
      </c>
      <c r="AC494" s="12">
        <f t="shared" si="79"/>
        <v>1111478</v>
      </c>
      <c r="AE494" s="6">
        <f t="shared" si="80"/>
        <v>0</v>
      </c>
    </row>
    <row r="495" spans="1:31">
      <c r="A495" s="11" t="s">
        <v>715</v>
      </c>
      <c r="B495" s="11"/>
      <c r="C495" s="11" t="s">
        <v>20</v>
      </c>
      <c r="E495" s="6">
        <v>24669884</v>
      </c>
      <c r="G495" s="6">
        <v>353070</v>
      </c>
      <c r="I495" s="2">
        <f t="shared" si="81"/>
        <v>72593087</v>
      </c>
      <c r="K495" s="6">
        <v>97616041</v>
      </c>
      <c r="M495" s="2">
        <f t="shared" si="78"/>
        <v>10981164</v>
      </c>
      <c r="O495" s="6">
        <v>62933810</v>
      </c>
      <c r="Q495" s="6">
        <v>73914974</v>
      </c>
      <c r="S495" s="6">
        <v>268580</v>
      </c>
      <c r="U495" s="6">
        <v>353070</v>
      </c>
      <c r="W495" s="6">
        <v>0</v>
      </c>
      <c r="Y495" s="6">
        <v>8801392</v>
      </c>
      <c r="AA495" s="6">
        <v>14278025</v>
      </c>
      <c r="AC495" s="12">
        <f t="shared" si="79"/>
        <v>23701067</v>
      </c>
      <c r="AE495" s="6">
        <f t="shared" si="80"/>
        <v>0</v>
      </c>
    </row>
    <row r="496" spans="1:31" hidden="1">
      <c r="A496" s="11" t="s">
        <v>700</v>
      </c>
      <c r="B496" s="11"/>
      <c r="C496" s="11" t="s">
        <v>10</v>
      </c>
      <c r="I496" s="2">
        <f t="shared" si="81"/>
        <v>0</v>
      </c>
      <c r="M496" s="2">
        <f t="shared" si="78"/>
        <v>0</v>
      </c>
      <c r="AC496" s="12">
        <f t="shared" si="79"/>
        <v>0</v>
      </c>
      <c r="AE496" s="6">
        <f t="shared" si="80"/>
        <v>0</v>
      </c>
    </row>
    <row r="497" spans="1:31">
      <c r="A497" s="11" t="s">
        <v>789</v>
      </c>
      <c r="B497" s="11"/>
      <c r="C497" s="11" t="s">
        <v>44</v>
      </c>
      <c r="E497" s="6">
        <v>10599949</v>
      </c>
      <c r="G497" s="6">
        <v>0</v>
      </c>
      <c r="I497" s="2">
        <f t="shared" si="81"/>
        <v>11355676</v>
      </c>
      <c r="K497" s="6">
        <v>21955625</v>
      </c>
      <c r="M497" s="2">
        <f t="shared" si="78"/>
        <v>2264340</v>
      </c>
      <c r="O497" s="6">
        <v>9965292</v>
      </c>
      <c r="Q497" s="6">
        <v>12229632</v>
      </c>
      <c r="S497" s="6">
        <v>64355</v>
      </c>
      <c r="U497" s="6">
        <v>0</v>
      </c>
      <c r="W497" s="6">
        <v>0</v>
      </c>
      <c r="Y497" s="6">
        <v>609173</v>
      </c>
      <c r="AA497" s="6">
        <v>9052465</v>
      </c>
      <c r="AC497" s="12">
        <f t="shared" si="79"/>
        <v>9725993</v>
      </c>
      <c r="AE497" s="6">
        <f t="shared" si="80"/>
        <v>0</v>
      </c>
    </row>
    <row r="498" spans="1:31">
      <c r="A498" s="11" t="s">
        <v>472</v>
      </c>
      <c r="B498" s="11"/>
      <c r="C498" s="11" t="s">
        <v>110</v>
      </c>
      <c r="E498" s="6">
        <f>5272362+10106</f>
        <v>5282468</v>
      </c>
      <c r="G498" s="6">
        <v>12351</v>
      </c>
      <c r="I498" s="2">
        <f t="shared" si="81"/>
        <v>6028450</v>
      </c>
      <c r="K498" s="6">
        <v>11323269</v>
      </c>
      <c r="M498" s="2">
        <f t="shared" si="78"/>
        <v>6160494</v>
      </c>
      <c r="O498" s="6">
        <v>552428</v>
      </c>
      <c r="Q498" s="6">
        <v>6712922</v>
      </c>
      <c r="S498" s="6">
        <f>98649+67819</f>
        <v>166468</v>
      </c>
      <c r="U498" s="6">
        <v>12351</v>
      </c>
      <c r="W498" s="6">
        <v>0</v>
      </c>
      <c r="Y498" s="6">
        <f>22206+49130+590943+76224+1114602+511</f>
        <v>1853616</v>
      </c>
      <c r="AA498" s="6">
        <v>2577912</v>
      </c>
      <c r="AC498" s="12">
        <f t="shared" si="79"/>
        <v>4610347</v>
      </c>
      <c r="AE498" s="6">
        <f t="shared" si="80"/>
        <v>0</v>
      </c>
    </row>
    <row r="499" spans="1:31" hidden="1">
      <c r="A499" s="11" t="s">
        <v>833</v>
      </c>
      <c r="B499" s="11"/>
      <c r="C499" s="11" t="s">
        <v>61</v>
      </c>
      <c r="I499" s="2">
        <f t="shared" si="81"/>
        <v>0</v>
      </c>
      <c r="M499" s="2">
        <f t="shared" si="78"/>
        <v>0</v>
      </c>
      <c r="AC499" s="12">
        <f t="shared" si="79"/>
        <v>0</v>
      </c>
      <c r="AE499" s="6">
        <f t="shared" si="80"/>
        <v>0</v>
      </c>
    </row>
    <row r="500" spans="1:31">
      <c r="A500" s="11" t="s">
        <v>277</v>
      </c>
      <c r="B500" s="11"/>
      <c r="C500" s="11" t="s">
        <v>20</v>
      </c>
      <c r="E500" s="6">
        <v>19121859</v>
      </c>
      <c r="G500" s="6">
        <v>0</v>
      </c>
      <c r="I500" s="2">
        <f t="shared" si="81"/>
        <v>52732534</v>
      </c>
      <c r="K500" s="6">
        <v>71854393</v>
      </c>
      <c r="M500" s="2">
        <f t="shared" si="78"/>
        <v>49624341</v>
      </c>
      <c r="O500" s="6">
        <v>2920837</v>
      </c>
      <c r="Q500" s="6">
        <v>52545178</v>
      </c>
      <c r="S500" s="6">
        <f>76186+15956+34552</f>
        <v>126694</v>
      </c>
      <c r="U500" s="6">
        <v>0</v>
      </c>
      <c r="W500" s="6">
        <v>0</v>
      </c>
      <c r="Y500" s="6">
        <f>1430719+1469431+53685+6450+54924</f>
        <v>3015209</v>
      </c>
      <c r="AA500" s="6">
        <v>16167312</v>
      </c>
      <c r="AC500" s="12">
        <f t="shared" si="79"/>
        <v>19309215</v>
      </c>
      <c r="AE500" s="6">
        <f t="shared" si="80"/>
        <v>0</v>
      </c>
    </row>
    <row r="501" spans="1:31">
      <c r="A501" s="11" t="s">
        <v>633</v>
      </c>
      <c r="B501" s="11"/>
      <c r="C501" s="11" t="s">
        <v>37</v>
      </c>
      <c r="E501" s="6">
        <v>2612680</v>
      </c>
      <c r="G501" s="6">
        <v>5001</v>
      </c>
      <c r="I501" s="2">
        <f t="shared" si="81"/>
        <v>1936110</v>
      </c>
      <c r="K501" s="6">
        <v>4553791</v>
      </c>
      <c r="M501" s="2">
        <f t="shared" si="78"/>
        <v>1922731</v>
      </c>
      <c r="O501" s="6">
        <v>202442</v>
      </c>
      <c r="Q501" s="6">
        <v>2125173</v>
      </c>
      <c r="S501" s="6">
        <f>12985+14381</f>
        <v>27366</v>
      </c>
      <c r="U501" s="6">
        <v>5001</v>
      </c>
      <c r="W501" s="6">
        <v>0</v>
      </c>
      <c r="Y501" s="6">
        <f>2588+45892+560388+10629+1083+385+8925</f>
        <v>629890</v>
      </c>
      <c r="AA501" s="6">
        <v>1766361</v>
      </c>
      <c r="AC501" s="12">
        <f t="shared" si="79"/>
        <v>2428618</v>
      </c>
      <c r="AE501" s="6">
        <f t="shared" si="80"/>
        <v>0</v>
      </c>
    </row>
    <row r="502" spans="1:31">
      <c r="A502" s="11" t="s">
        <v>278</v>
      </c>
      <c r="B502" s="11"/>
      <c r="C502" s="11" t="s">
        <v>20</v>
      </c>
      <c r="E502" s="6">
        <f>8786777+47863</f>
        <v>8834640</v>
      </c>
      <c r="G502" s="6">
        <v>0</v>
      </c>
      <c r="I502" s="2">
        <f t="shared" si="81"/>
        <v>53484580</v>
      </c>
      <c r="K502" s="6">
        <v>62319220</v>
      </c>
      <c r="M502" s="2">
        <f t="shared" si="78"/>
        <v>6351237</v>
      </c>
      <c r="O502" s="6">
        <v>47458506</v>
      </c>
      <c r="Q502" s="6">
        <v>53809743</v>
      </c>
      <c r="S502" s="6">
        <v>609697</v>
      </c>
      <c r="U502" s="6">
        <v>0</v>
      </c>
      <c r="W502" s="6">
        <v>0</v>
      </c>
      <c r="Y502" s="6">
        <v>988997</v>
      </c>
      <c r="AA502" s="6">
        <v>6910783</v>
      </c>
      <c r="AC502" s="12">
        <f t="shared" si="79"/>
        <v>8509477</v>
      </c>
      <c r="AE502" s="6">
        <f t="shared" si="80"/>
        <v>0</v>
      </c>
    </row>
    <row r="503" spans="1:31">
      <c r="A503" s="11" t="s">
        <v>371</v>
      </c>
      <c r="B503" s="11"/>
      <c r="C503" s="11" t="s">
        <v>366</v>
      </c>
      <c r="E503" s="6">
        <v>7596512</v>
      </c>
      <c r="G503" s="6">
        <v>70459</v>
      </c>
      <c r="I503" s="2">
        <f t="shared" si="81"/>
        <v>3496295</v>
      </c>
      <c r="K503" s="6">
        <v>11163266</v>
      </c>
      <c r="M503" s="2">
        <f t="shared" si="78"/>
        <v>1698569</v>
      </c>
      <c r="O503" s="6">
        <v>3006801</v>
      </c>
      <c r="Q503" s="6">
        <v>4705370</v>
      </c>
      <c r="S503" s="6">
        <v>38715</v>
      </c>
      <c r="U503" s="6">
        <v>70459</v>
      </c>
      <c r="W503" s="6">
        <v>555244</v>
      </c>
      <c r="Y503" s="6">
        <v>70033</v>
      </c>
      <c r="AA503" s="6">
        <v>5723445</v>
      </c>
      <c r="AC503" s="12">
        <f t="shared" si="79"/>
        <v>6457896</v>
      </c>
      <c r="AE503" s="6">
        <f t="shared" si="80"/>
        <v>0</v>
      </c>
    </row>
    <row r="504" spans="1:31">
      <c r="A504" s="11" t="s">
        <v>406</v>
      </c>
      <c r="B504" s="11"/>
      <c r="C504" s="11" t="s">
        <v>45</v>
      </c>
      <c r="E504" s="6">
        <v>2223690</v>
      </c>
      <c r="G504" s="6">
        <v>0</v>
      </c>
      <c r="I504" s="2">
        <f t="shared" si="81"/>
        <v>5519021</v>
      </c>
      <c r="K504" s="6">
        <v>7742711</v>
      </c>
      <c r="M504" s="2">
        <f t="shared" si="78"/>
        <v>6838662</v>
      </c>
      <c r="O504" s="6">
        <v>576611</v>
      </c>
      <c r="Q504" s="6">
        <v>7415273</v>
      </c>
      <c r="S504" s="6">
        <v>5497</v>
      </c>
      <c r="U504" s="6">
        <v>0</v>
      </c>
      <c r="W504" s="6">
        <v>81410</v>
      </c>
      <c r="Y504" s="6">
        <f>35513+61430+9096+134492</f>
        <v>240531</v>
      </c>
      <c r="AA504" s="6">
        <v>0</v>
      </c>
      <c r="AC504" s="12">
        <f t="shared" si="79"/>
        <v>327438</v>
      </c>
      <c r="AE504" s="6">
        <f t="shared" si="80"/>
        <v>0</v>
      </c>
    </row>
    <row r="505" spans="1:31">
      <c r="A505" s="11" t="s">
        <v>463</v>
      </c>
      <c r="B505" s="11"/>
      <c r="C505" s="11" t="s">
        <v>56</v>
      </c>
      <c r="E505" s="6">
        <f>9500297+296500</f>
        <v>9796797</v>
      </c>
      <c r="G505" s="6">
        <v>0</v>
      </c>
      <c r="I505" s="2">
        <f t="shared" si="81"/>
        <v>6371490</v>
      </c>
      <c r="K505" s="6">
        <v>16168287</v>
      </c>
      <c r="M505" s="2">
        <f t="shared" si="78"/>
        <v>1772242</v>
      </c>
      <c r="O505" s="6">
        <v>5838591</v>
      </c>
      <c r="Q505" s="6">
        <v>7610833</v>
      </c>
      <c r="S505" s="6">
        <v>0</v>
      </c>
      <c r="U505" s="6">
        <v>296500</v>
      </c>
      <c r="W505" s="6">
        <v>0</v>
      </c>
      <c r="Y505" s="6">
        <v>738421</v>
      </c>
      <c r="AA505" s="6">
        <v>7522533</v>
      </c>
      <c r="AC505" s="12">
        <f t="shared" si="79"/>
        <v>8557454</v>
      </c>
      <c r="AE505" s="6">
        <f t="shared" si="80"/>
        <v>0</v>
      </c>
    </row>
    <row r="506" spans="1:31">
      <c r="A506" s="11" t="s">
        <v>463</v>
      </c>
      <c r="B506" s="11"/>
      <c r="C506" s="11" t="s">
        <v>71</v>
      </c>
      <c r="E506" s="6">
        <v>1618234</v>
      </c>
      <c r="G506" s="6">
        <v>0</v>
      </c>
      <c r="I506" s="2">
        <f t="shared" si="81"/>
        <v>6930585</v>
      </c>
      <c r="K506" s="6">
        <v>8548819</v>
      </c>
      <c r="M506" s="2">
        <f t="shared" si="78"/>
        <v>1628210</v>
      </c>
      <c r="O506" s="6">
        <v>6324449</v>
      </c>
      <c r="Q506" s="6">
        <v>7952659</v>
      </c>
      <c r="S506" s="6">
        <v>0</v>
      </c>
      <c r="U506" s="6">
        <v>0</v>
      </c>
      <c r="W506" s="6">
        <v>0</v>
      </c>
      <c r="Y506" s="6">
        <v>596160</v>
      </c>
      <c r="AA506" s="6">
        <v>0</v>
      </c>
      <c r="AC506" s="12">
        <f t="shared" si="79"/>
        <v>596160</v>
      </c>
      <c r="AE506" s="6">
        <f t="shared" si="80"/>
        <v>0</v>
      </c>
    </row>
    <row r="507" spans="1:31">
      <c r="A507" s="11" t="s">
        <v>235</v>
      </c>
      <c r="B507" s="11"/>
      <c r="C507" s="11" t="s">
        <v>17</v>
      </c>
      <c r="E507" s="6">
        <v>5835776</v>
      </c>
      <c r="G507" s="6">
        <v>0</v>
      </c>
      <c r="I507" s="2">
        <f t="shared" si="81"/>
        <v>2668383</v>
      </c>
      <c r="K507" s="6">
        <v>8504159</v>
      </c>
      <c r="M507" s="2">
        <f t="shared" si="78"/>
        <v>930752</v>
      </c>
      <c r="O507" s="6">
        <v>1797039</v>
      </c>
      <c r="Q507" s="6">
        <v>2727791</v>
      </c>
      <c r="S507" s="6">
        <v>13446</v>
      </c>
      <c r="U507" s="6">
        <v>0</v>
      </c>
      <c r="W507" s="6">
        <v>0</v>
      </c>
      <c r="Y507" s="6">
        <v>882597</v>
      </c>
      <c r="AA507" s="6">
        <v>4880325</v>
      </c>
      <c r="AC507" s="12">
        <f t="shared" si="79"/>
        <v>5776368</v>
      </c>
      <c r="AE507" s="6">
        <f t="shared" si="80"/>
        <v>0</v>
      </c>
    </row>
    <row r="508" spans="1:31">
      <c r="A508" s="11" t="s">
        <v>235</v>
      </c>
      <c r="B508" s="11"/>
      <c r="C508" s="11" t="s">
        <v>58</v>
      </c>
      <c r="E508" s="6">
        <v>7407074</v>
      </c>
      <c r="G508" s="6">
        <v>0</v>
      </c>
      <c r="I508" s="2">
        <f t="shared" si="81"/>
        <v>1959032</v>
      </c>
      <c r="K508" s="6">
        <v>9366106</v>
      </c>
      <c r="M508" s="2">
        <f t="shared" si="78"/>
        <v>1005818</v>
      </c>
      <c r="O508" s="6">
        <v>1494837</v>
      </c>
      <c r="Q508" s="6">
        <v>2500655</v>
      </c>
      <c r="S508" s="6">
        <v>0</v>
      </c>
      <c r="U508" s="6">
        <v>0</v>
      </c>
      <c r="W508" s="6">
        <v>0</v>
      </c>
      <c r="Y508" s="6">
        <v>451875</v>
      </c>
      <c r="AA508" s="6">
        <v>6413576</v>
      </c>
      <c r="AC508" s="12">
        <f t="shared" si="79"/>
        <v>6865451</v>
      </c>
      <c r="AE508" s="6">
        <f t="shared" si="80"/>
        <v>0</v>
      </c>
    </row>
    <row r="509" spans="1:31">
      <c r="A509" s="11" t="s">
        <v>645</v>
      </c>
      <c r="B509" s="11"/>
      <c r="C509" s="11" t="s">
        <v>112</v>
      </c>
      <c r="E509" s="6">
        <v>403212</v>
      </c>
      <c r="G509" s="6">
        <v>0</v>
      </c>
      <c r="I509" s="2">
        <f t="shared" si="81"/>
        <v>1958296</v>
      </c>
      <c r="K509" s="6">
        <v>2361508</v>
      </c>
      <c r="M509" s="2">
        <f t="shared" si="78"/>
        <v>2432752</v>
      </c>
      <c r="O509" s="6">
        <v>245404</v>
      </c>
      <c r="Q509" s="6">
        <v>2678156</v>
      </c>
      <c r="S509" s="6">
        <v>290</v>
      </c>
      <c r="U509" s="6">
        <v>0</v>
      </c>
      <c r="W509" s="6">
        <v>0</v>
      </c>
      <c r="Y509" s="6">
        <v>0</v>
      </c>
      <c r="AA509" s="6">
        <v>-316938</v>
      </c>
      <c r="AC509" s="12">
        <f t="shared" si="79"/>
        <v>-316648</v>
      </c>
      <c r="AE509" s="6">
        <f t="shared" si="80"/>
        <v>0</v>
      </c>
    </row>
    <row r="510" spans="1:31">
      <c r="A510" s="11" t="s">
        <v>250</v>
      </c>
      <c r="B510" s="11"/>
      <c r="C510" s="11" t="s">
        <v>420</v>
      </c>
      <c r="E510" s="6">
        <v>1542860</v>
      </c>
      <c r="G510" s="6">
        <v>441</v>
      </c>
      <c r="I510" s="2">
        <f t="shared" si="81"/>
        <v>2514598</v>
      </c>
      <c r="K510" s="6">
        <v>4057899</v>
      </c>
      <c r="M510" s="2">
        <f t="shared" si="78"/>
        <v>622226</v>
      </c>
      <c r="O510" s="6">
        <v>1486320</v>
      </c>
      <c r="Q510" s="6">
        <v>2108546</v>
      </c>
      <c r="S510" s="6">
        <v>1834</v>
      </c>
      <c r="U510" s="6">
        <v>0</v>
      </c>
      <c r="W510" s="6">
        <v>0</v>
      </c>
      <c r="Y510" s="6">
        <v>41823</v>
      </c>
      <c r="AA510" s="6">
        <v>1905696</v>
      </c>
      <c r="AC510" s="12">
        <f t="shared" si="79"/>
        <v>1949353</v>
      </c>
      <c r="AE510" s="6">
        <f t="shared" si="80"/>
        <v>0</v>
      </c>
    </row>
    <row r="511" spans="1:31" hidden="1">
      <c r="A511" s="11" t="s">
        <v>701</v>
      </c>
      <c r="B511" s="11"/>
      <c r="C511" s="11" t="s">
        <v>451</v>
      </c>
      <c r="I511" s="2">
        <f t="shared" si="81"/>
        <v>0</v>
      </c>
      <c r="M511" s="2">
        <f t="shared" si="78"/>
        <v>0</v>
      </c>
      <c r="AC511" s="12">
        <f t="shared" si="79"/>
        <v>0</v>
      </c>
      <c r="AE511" s="6">
        <f t="shared" si="80"/>
        <v>0</v>
      </c>
    </row>
    <row r="512" spans="1:31">
      <c r="A512" s="11" t="s">
        <v>530</v>
      </c>
      <c r="B512" s="11"/>
      <c r="C512" s="11" t="s">
        <v>64</v>
      </c>
      <c r="E512" s="6">
        <v>1469194</v>
      </c>
      <c r="G512" s="6">
        <v>0</v>
      </c>
      <c r="I512" s="2">
        <f t="shared" si="81"/>
        <v>1562697</v>
      </c>
      <c r="K512" s="6">
        <v>3031891</v>
      </c>
      <c r="M512" s="2">
        <f t="shared" si="78"/>
        <v>493235</v>
      </c>
      <c r="O512" s="6">
        <v>1521110</v>
      </c>
      <c r="Q512" s="6">
        <v>2014345</v>
      </c>
      <c r="S512" s="6">
        <v>59</v>
      </c>
      <c r="U512" s="6">
        <v>0</v>
      </c>
      <c r="W512" s="6">
        <v>65708</v>
      </c>
      <c r="Y512" s="6">
        <v>618123</v>
      </c>
      <c r="AA512" s="6">
        <v>333656</v>
      </c>
      <c r="AC512" s="12">
        <f t="shared" si="79"/>
        <v>1017546</v>
      </c>
      <c r="AE512" s="6">
        <f t="shared" si="80"/>
        <v>0</v>
      </c>
    </row>
    <row r="513" spans="1:31" hidden="1">
      <c r="A513" s="11" t="s">
        <v>829</v>
      </c>
      <c r="B513" s="11"/>
      <c r="C513" s="11" t="s">
        <v>42</v>
      </c>
      <c r="I513" s="2">
        <f t="shared" si="81"/>
        <v>0</v>
      </c>
      <c r="M513" s="2">
        <f t="shared" si="78"/>
        <v>0</v>
      </c>
      <c r="AC513" s="12">
        <f t="shared" si="79"/>
        <v>0</v>
      </c>
      <c r="AE513" s="6">
        <f t="shared" si="80"/>
        <v>0</v>
      </c>
    </row>
    <row r="514" spans="1:31">
      <c r="A514" s="11" t="s">
        <v>331</v>
      </c>
      <c r="B514" s="11"/>
      <c r="C514" s="11" t="s">
        <v>32</v>
      </c>
      <c r="E514" s="6">
        <v>2191490</v>
      </c>
      <c r="G514" s="6">
        <v>0</v>
      </c>
      <c r="I514" s="2">
        <f t="shared" si="81"/>
        <v>12604867</v>
      </c>
      <c r="K514" s="6">
        <v>14796357</v>
      </c>
      <c r="M514" s="2">
        <f t="shared" si="78"/>
        <v>3615187</v>
      </c>
      <c r="O514" s="6">
        <v>7168966</v>
      </c>
      <c r="Q514" s="6">
        <v>10784153</v>
      </c>
      <c r="S514" s="6">
        <v>0</v>
      </c>
      <c r="U514" s="6">
        <v>0</v>
      </c>
      <c r="W514" s="6">
        <v>0</v>
      </c>
      <c r="Y514" s="6">
        <v>1335639</v>
      </c>
      <c r="AA514" s="6">
        <v>2676565</v>
      </c>
      <c r="AC514" s="12">
        <f t="shared" si="79"/>
        <v>4012204</v>
      </c>
      <c r="AE514" s="6">
        <f t="shared" si="80"/>
        <v>0</v>
      </c>
    </row>
    <row r="515" spans="1:31">
      <c r="A515" s="11" t="s">
        <v>307</v>
      </c>
      <c r="B515" s="11"/>
      <c r="C515" s="11" t="s">
        <v>27</v>
      </c>
      <c r="E515" s="6">
        <v>78869829</v>
      </c>
      <c r="G515" s="6">
        <v>0</v>
      </c>
      <c r="I515" s="2">
        <f t="shared" si="81"/>
        <v>107617987</v>
      </c>
      <c r="K515" s="6">
        <v>186487816</v>
      </c>
      <c r="M515" s="2">
        <f t="shared" si="78"/>
        <v>21547204</v>
      </c>
      <c r="O515" s="6">
        <v>63847941</v>
      </c>
      <c r="Q515" s="6">
        <v>85395145</v>
      </c>
      <c r="S515" s="6">
        <v>328594</v>
      </c>
      <c r="U515" s="6">
        <v>0</v>
      </c>
      <c r="W515" s="6">
        <v>0</v>
      </c>
      <c r="Y515" s="6">
        <v>2740409</v>
      </c>
      <c r="AA515" s="6">
        <v>98023668</v>
      </c>
      <c r="AC515" s="12">
        <f t="shared" si="79"/>
        <v>101092671</v>
      </c>
      <c r="AE515" s="6">
        <f t="shared" si="80"/>
        <v>0</v>
      </c>
    </row>
    <row r="516" spans="1:31" hidden="1">
      <c r="A516" s="11" t="s">
        <v>702</v>
      </c>
      <c r="B516" s="11"/>
      <c r="C516" s="11" t="s">
        <v>10</v>
      </c>
      <c r="I516" s="2">
        <f t="shared" si="81"/>
        <v>0</v>
      </c>
      <c r="M516" s="2">
        <f t="shared" si="78"/>
        <v>0</v>
      </c>
      <c r="AC516" s="12">
        <f t="shared" si="79"/>
        <v>0</v>
      </c>
      <c r="AE516" s="6">
        <f t="shared" si="80"/>
        <v>0</v>
      </c>
    </row>
    <row r="517" spans="1:31">
      <c r="A517" s="10" t="s">
        <v>847</v>
      </c>
      <c r="B517" s="11"/>
      <c r="C517" s="11" t="s">
        <v>69</v>
      </c>
      <c r="E517" s="6">
        <v>10541182</v>
      </c>
      <c r="G517" s="6">
        <v>96355</v>
      </c>
      <c r="I517" s="2">
        <f t="shared" si="81"/>
        <v>28945352</v>
      </c>
      <c r="K517" s="6">
        <v>39582889</v>
      </c>
      <c r="M517" s="2">
        <f t="shared" si="78"/>
        <v>6146663</v>
      </c>
      <c r="O517" s="6">
        <v>27539939</v>
      </c>
      <c r="Q517" s="6">
        <v>33686602</v>
      </c>
      <c r="S517" s="6">
        <v>0</v>
      </c>
      <c r="U517" s="6">
        <v>96355</v>
      </c>
      <c r="W517" s="6">
        <v>0</v>
      </c>
      <c r="Y517" s="6">
        <v>591509</v>
      </c>
      <c r="AA517" s="6">
        <v>5208423</v>
      </c>
      <c r="AC517" s="12">
        <f t="shared" si="79"/>
        <v>5896287</v>
      </c>
      <c r="AE517" s="6">
        <f t="shared" si="80"/>
        <v>0</v>
      </c>
    </row>
    <row r="518" spans="1:31">
      <c r="A518" s="11" t="s">
        <v>629</v>
      </c>
      <c r="B518" s="11"/>
      <c r="C518" s="11" t="s">
        <v>17</v>
      </c>
      <c r="E518" s="6">
        <v>29248677</v>
      </c>
      <c r="G518" s="6">
        <v>0</v>
      </c>
      <c r="I518" s="2">
        <f>+K518-G518-E518</f>
        <v>27958343</v>
      </c>
      <c r="K518" s="6">
        <v>57207020</v>
      </c>
      <c r="M518" s="2">
        <f t="shared" si="78"/>
        <v>8708965</v>
      </c>
      <c r="O518" s="6">
        <v>22606834</v>
      </c>
      <c r="Q518" s="6">
        <v>31315799</v>
      </c>
      <c r="S518" s="6">
        <v>0</v>
      </c>
      <c r="U518" s="6">
        <v>0</v>
      </c>
      <c r="W518" s="6">
        <v>11000</v>
      </c>
      <c r="Y518" s="6">
        <v>4889849</v>
      </c>
      <c r="AA518" s="6">
        <v>20990372</v>
      </c>
      <c r="AC518" s="12">
        <f t="shared" si="79"/>
        <v>25891221</v>
      </c>
      <c r="AE518" s="6">
        <f t="shared" si="80"/>
        <v>0</v>
      </c>
    </row>
    <row r="519" spans="1:31">
      <c r="A519" s="11" t="s">
        <v>716</v>
      </c>
      <c r="B519" s="11"/>
      <c r="C519" s="11" t="s">
        <v>115</v>
      </c>
      <c r="E519" s="6">
        <v>4028518</v>
      </c>
      <c r="G519" s="6">
        <v>0</v>
      </c>
      <c r="I519" s="2">
        <f t="shared" si="81"/>
        <v>24309360</v>
      </c>
      <c r="K519" s="6">
        <v>28337878</v>
      </c>
      <c r="M519" s="2">
        <f t="shared" si="78"/>
        <v>26043555</v>
      </c>
      <c r="O519" s="6">
        <v>1115764</v>
      </c>
      <c r="Q519" s="6">
        <v>27159319</v>
      </c>
      <c r="S519" s="6">
        <v>0</v>
      </c>
      <c r="U519" s="6">
        <v>0</v>
      </c>
      <c r="W519" s="6">
        <f>4840+310692</f>
        <v>315532</v>
      </c>
      <c r="Y519" s="6">
        <f>160713+702314</f>
        <v>863027</v>
      </c>
      <c r="AA519" s="6">
        <v>0</v>
      </c>
      <c r="AC519" s="12">
        <f t="shared" si="79"/>
        <v>1178559</v>
      </c>
      <c r="AE519" s="6">
        <f t="shared" si="80"/>
        <v>0</v>
      </c>
    </row>
    <row r="520" spans="1:31">
      <c r="A520" s="11" t="s">
        <v>393</v>
      </c>
      <c r="B520" s="11"/>
      <c r="C520" s="11" t="s">
        <v>45</v>
      </c>
      <c r="E520" s="6">
        <v>1862768</v>
      </c>
      <c r="G520" s="6">
        <v>0</v>
      </c>
      <c r="I520" s="2">
        <f t="shared" si="81"/>
        <v>4046196</v>
      </c>
      <c r="K520" s="6">
        <v>5908964</v>
      </c>
      <c r="M520" s="2">
        <f t="shared" si="78"/>
        <v>4500278</v>
      </c>
      <c r="O520" s="6">
        <v>259814</v>
      </c>
      <c r="Q520" s="6">
        <v>4760092</v>
      </c>
      <c r="S520" s="6">
        <v>171</v>
      </c>
      <c r="U520" s="6">
        <v>0</v>
      </c>
      <c r="W520" s="6">
        <v>18559</v>
      </c>
      <c r="Y520" s="6">
        <f>9003+17162+10917+1090672+2388</f>
        <v>1130142</v>
      </c>
      <c r="AA520" s="6">
        <v>0</v>
      </c>
      <c r="AC520" s="12">
        <f t="shared" si="79"/>
        <v>1148872</v>
      </c>
      <c r="AE520" s="6">
        <f t="shared" si="80"/>
        <v>0</v>
      </c>
    </row>
    <row r="521" spans="1:31">
      <c r="A521" s="11" t="s">
        <v>393</v>
      </c>
      <c r="B521" s="11"/>
      <c r="C521" s="11" t="s">
        <v>63</v>
      </c>
      <c r="E521" s="6">
        <v>7023824</v>
      </c>
      <c r="G521" s="6">
        <v>0</v>
      </c>
      <c r="I521" s="2">
        <f t="shared" si="81"/>
        <v>11698336</v>
      </c>
      <c r="K521" s="6">
        <v>18722160</v>
      </c>
      <c r="M521" s="2">
        <f t="shared" si="78"/>
        <v>3115505</v>
      </c>
      <c r="O521" s="6">
        <v>10488520</v>
      </c>
      <c r="Q521" s="6">
        <v>13604025</v>
      </c>
      <c r="S521" s="6">
        <v>0</v>
      </c>
      <c r="U521" s="6">
        <v>0</v>
      </c>
      <c r="W521" s="6">
        <v>0</v>
      </c>
      <c r="Y521" s="6">
        <v>159874</v>
      </c>
      <c r="AA521" s="6">
        <v>4958261</v>
      </c>
      <c r="AC521" s="12">
        <f t="shared" si="79"/>
        <v>5118135</v>
      </c>
      <c r="AE521" s="6">
        <f t="shared" si="80"/>
        <v>0</v>
      </c>
    </row>
    <row r="522" spans="1:31">
      <c r="A522" s="11" t="s">
        <v>786</v>
      </c>
      <c r="B522" s="11"/>
      <c r="C522" s="11" t="s">
        <v>32</v>
      </c>
      <c r="E522" s="6">
        <v>4466871</v>
      </c>
      <c r="G522" s="6">
        <v>0</v>
      </c>
      <c r="I522" s="2">
        <f t="shared" si="81"/>
        <v>5790640</v>
      </c>
      <c r="K522" s="6">
        <v>10257511</v>
      </c>
      <c r="M522" s="2">
        <f t="shared" si="78"/>
        <v>952539</v>
      </c>
      <c r="O522" s="6">
        <v>2947561</v>
      </c>
      <c r="Q522" s="6">
        <v>3900100</v>
      </c>
      <c r="S522" s="6">
        <v>0</v>
      </c>
      <c r="U522" s="6">
        <v>0</v>
      </c>
      <c r="W522" s="6">
        <v>0</v>
      </c>
      <c r="Y522" s="6">
        <v>2046285</v>
      </c>
      <c r="AA522" s="6">
        <v>4311126</v>
      </c>
      <c r="AC522" s="12">
        <f t="shared" si="79"/>
        <v>6357411</v>
      </c>
      <c r="AE522" s="6">
        <f t="shared" si="80"/>
        <v>0</v>
      </c>
    </row>
    <row r="523" spans="1:31">
      <c r="A523" s="11" t="s">
        <v>787</v>
      </c>
      <c r="B523" s="11"/>
      <c r="C523" s="11" t="s">
        <v>15</v>
      </c>
      <c r="E523" s="6">
        <v>1074916</v>
      </c>
      <c r="G523" s="6">
        <v>11000</v>
      </c>
      <c r="I523" s="2">
        <f t="shared" si="81"/>
        <v>7568494</v>
      </c>
      <c r="K523" s="6">
        <v>8654410</v>
      </c>
      <c r="M523" s="2">
        <f t="shared" si="78"/>
        <v>1685711</v>
      </c>
      <c r="O523" s="6">
        <v>7008444</v>
      </c>
      <c r="Q523" s="6">
        <f>1685711+7008444</f>
        <v>8694155</v>
      </c>
      <c r="S523" s="6">
        <f>46584+3898</f>
        <v>50482</v>
      </c>
      <c r="U523" s="6">
        <v>11000</v>
      </c>
      <c r="W523" s="6">
        <v>0</v>
      </c>
      <c r="Y523" s="6">
        <v>0</v>
      </c>
      <c r="AA523" s="6">
        <v>-101227</v>
      </c>
      <c r="AC523" s="12">
        <f t="shared" si="79"/>
        <v>-39745</v>
      </c>
      <c r="AE523" s="6">
        <f t="shared" si="80"/>
        <v>0</v>
      </c>
    </row>
    <row r="524" spans="1:31" hidden="1">
      <c r="A524" s="11" t="s">
        <v>703</v>
      </c>
      <c r="B524" s="11"/>
      <c r="C524" s="11" t="s">
        <v>422</v>
      </c>
      <c r="I524" s="2">
        <f t="shared" si="81"/>
        <v>0</v>
      </c>
      <c r="M524" s="2">
        <f t="shared" si="78"/>
        <v>0</v>
      </c>
      <c r="AC524" s="12">
        <f t="shared" si="79"/>
        <v>0</v>
      </c>
      <c r="AE524" s="6">
        <f t="shared" si="80"/>
        <v>0</v>
      </c>
    </row>
    <row r="525" spans="1:31" hidden="1">
      <c r="A525" s="11" t="s">
        <v>704</v>
      </c>
      <c r="B525" s="11"/>
      <c r="C525" s="11" t="s">
        <v>14</v>
      </c>
      <c r="I525" s="2">
        <f t="shared" si="81"/>
        <v>0</v>
      </c>
      <c r="M525" s="2">
        <f t="shared" si="78"/>
        <v>0</v>
      </c>
      <c r="AC525" s="12">
        <f t="shared" si="79"/>
        <v>0</v>
      </c>
      <c r="AE525" s="6">
        <f t="shared" si="80"/>
        <v>0</v>
      </c>
    </row>
    <row r="526" spans="1:31">
      <c r="A526" s="11" t="s">
        <v>364</v>
      </c>
      <c r="B526" s="11"/>
      <c r="C526" s="11" t="s">
        <v>39</v>
      </c>
      <c r="E526" s="6">
        <v>4148972</v>
      </c>
      <c r="G526" s="6">
        <v>85496</v>
      </c>
      <c r="I526" s="2">
        <f t="shared" si="81"/>
        <v>4658650</v>
      </c>
      <c r="K526" s="6">
        <v>8893118</v>
      </c>
      <c r="M526" s="2">
        <f t="shared" si="78"/>
        <v>2321003</v>
      </c>
      <c r="O526" s="6">
        <v>4327540</v>
      </c>
      <c r="Q526" s="6">
        <v>6648543</v>
      </c>
      <c r="S526" s="6">
        <v>9182</v>
      </c>
      <c r="U526" s="6">
        <v>85496</v>
      </c>
      <c r="W526" s="6">
        <v>0</v>
      </c>
      <c r="Y526" s="6">
        <f>238603+690034</f>
        <v>928637</v>
      </c>
      <c r="AA526" s="6">
        <v>1221260</v>
      </c>
      <c r="AC526" s="12">
        <f t="shared" si="79"/>
        <v>2244575</v>
      </c>
      <c r="AE526" s="6">
        <f t="shared" si="80"/>
        <v>0</v>
      </c>
    </row>
    <row r="527" spans="1:31">
      <c r="A527" s="11" t="s">
        <v>514</v>
      </c>
      <c r="B527" s="11"/>
      <c r="C527" s="11" t="s">
        <v>63</v>
      </c>
      <c r="E527" s="6">
        <v>15678917</v>
      </c>
      <c r="G527" s="6">
        <v>0</v>
      </c>
      <c r="I527" s="2">
        <f t="shared" si="81"/>
        <v>35294256</v>
      </c>
      <c r="K527" s="6">
        <v>50973173</v>
      </c>
      <c r="M527" s="2">
        <f t="shared" si="78"/>
        <v>35214333</v>
      </c>
      <c r="O527" s="6">
        <v>778934</v>
      </c>
      <c r="Q527" s="6">
        <v>35993267</v>
      </c>
      <c r="S527" s="6">
        <f>69883+35364</f>
        <v>105247</v>
      </c>
      <c r="U527" s="6">
        <v>0</v>
      </c>
      <c r="W527" s="6">
        <f>14880+225742+201972</f>
        <v>442594</v>
      </c>
      <c r="Y527" s="6">
        <f>424161+652239+8008+6425+58679+13263878+18675</f>
        <v>14432065</v>
      </c>
      <c r="AA527" s="6">
        <v>0</v>
      </c>
      <c r="AC527" s="12">
        <f t="shared" si="79"/>
        <v>14979906</v>
      </c>
      <c r="AE527" s="6">
        <f t="shared" si="80"/>
        <v>0</v>
      </c>
    </row>
    <row r="528" spans="1:31" hidden="1">
      <c r="A528" s="11" t="s">
        <v>705</v>
      </c>
      <c r="B528" s="11"/>
      <c r="C528" s="11" t="s">
        <v>65</v>
      </c>
      <c r="I528" s="2">
        <f t="shared" si="81"/>
        <v>0</v>
      </c>
      <c r="M528" s="2">
        <f t="shared" si="78"/>
        <v>0</v>
      </c>
      <c r="AC528" s="12">
        <f t="shared" si="79"/>
        <v>0</v>
      </c>
      <c r="AE528" s="6">
        <f t="shared" si="80"/>
        <v>0</v>
      </c>
    </row>
    <row r="529" spans="1:31">
      <c r="A529" s="11" t="s">
        <v>464</v>
      </c>
      <c r="B529" s="11"/>
      <c r="C529" s="11" t="s">
        <v>56</v>
      </c>
      <c r="E529" s="6">
        <v>3258394</v>
      </c>
      <c r="G529" s="6">
        <v>0</v>
      </c>
      <c r="I529" s="2">
        <f t="shared" si="81"/>
        <v>13736445</v>
      </c>
      <c r="K529" s="6">
        <v>16994839</v>
      </c>
      <c r="M529" s="2">
        <f t="shared" si="78"/>
        <v>2286358</v>
      </c>
      <c r="O529" s="6">
        <v>12542485</v>
      </c>
      <c r="Q529" s="6">
        <v>14828843</v>
      </c>
      <c r="S529" s="6">
        <v>0</v>
      </c>
      <c r="U529" s="6">
        <v>0</v>
      </c>
      <c r="W529" s="6">
        <v>20212</v>
      </c>
      <c r="Y529" s="6">
        <v>146593</v>
      </c>
      <c r="AA529" s="6">
        <v>1999191</v>
      </c>
      <c r="AC529" s="12">
        <f t="shared" si="79"/>
        <v>2165996</v>
      </c>
      <c r="AE529" s="6">
        <f t="shared" si="80"/>
        <v>0</v>
      </c>
    </row>
    <row r="530" spans="1:31">
      <c r="A530" s="11" t="s">
        <v>279</v>
      </c>
      <c r="B530" s="11"/>
      <c r="C530" s="11" t="s">
        <v>20</v>
      </c>
      <c r="E530" s="6">
        <v>2941216</v>
      </c>
      <c r="G530" s="6">
        <v>0</v>
      </c>
      <c r="I530" s="2">
        <f t="shared" si="81"/>
        <v>50963832</v>
      </c>
      <c r="K530" s="6">
        <v>53905048</v>
      </c>
      <c r="M530" s="2">
        <f t="shared" si="78"/>
        <v>51352185</v>
      </c>
      <c r="O530" s="6">
        <v>0</v>
      </c>
      <c r="Q530" s="6">
        <v>51352185</v>
      </c>
      <c r="S530" s="6">
        <v>0</v>
      </c>
      <c r="U530" s="6">
        <v>0</v>
      </c>
      <c r="W530" s="6">
        <v>0</v>
      </c>
      <c r="Y530" s="6">
        <v>648693</v>
      </c>
      <c r="AA530" s="6">
        <v>1904170</v>
      </c>
      <c r="AC530" s="12">
        <f t="shared" si="79"/>
        <v>2552863</v>
      </c>
      <c r="AE530" s="6">
        <f t="shared" si="80"/>
        <v>0</v>
      </c>
    </row>
    <row r="531" spans="1:31">
      <c r="A531" s="11" t="s">
        <v>407</v>
      </c>
      <c r="B531" s="11"/>
      <c r="C531" s="11" t="s">
        <v>45</v>
      </c>
      <c r="E531" s="6">
        <v>6588193</v>
      </c>
      <c r="G531" s="6">
        <v>22629</v>
      </c>
      <c r="I531" s="2">
        <f t="shared" si="81"/>
        <v>5108467</v>
      </c>
      <c r="K531" s="6">
        <v>11719289</v>
      </c>
      <c r="M531" s="2">
        <f t="shared" si="78"/>
        <v>2053532</v>
      </c>
      <c r="O531" s="6">
        <v>4867519</v>
      </c>
      <c r="Q531" s="6">
        <v>6921051</v>
      </c>
      <c r="S531" s="6">
        <v>0</v>
      </c>
      <c r="U531" s="6">
        <v>22629</v>
      </c>
      <c r="W531" s="6">
        <v>0</v>
      </c>
      <c r="Y531" s="6">
        <v>412147</v>
      </c>
      <c r="AA531" s="6">
        <v>4363462</v>
      </c>
      <c r="AC531" s="12">
        <f t="shared" si="79"/>
        <v>4798238</v>
      </c>
      <c r="AE531" s="6">
        <f t="shared" si="80"/>
        <v>0</v>
      </c>
    </row>
    <row r="532" spans="1:31" hidden="1">
      <c r="A532" s="11" t="s">
        <v>898</v>
      </c>
      <c r="B532" s="11"/>
      <c r="C532" s="11" t="s">
        <v>552</v>
      </c>
      <c r="E532" s="6">
        <v>0</v>
      </c>
      <c r="G532" s="6">
        <v>0</v>
      </c>
      <c r="I532" s="2">
        <f t="shared" si="81"/>
        <v>0</v>
      </c>
      <c r="K532" s="6">
        <v>0</v>
      </c>
      <c r="M532" s="2">
        <f t="shared" si="78"/>
        <v>0</v>
      </c>
      <c r="O532" s="6">
        <v>0</v>
      </c>
      <c r="Q532" s="6">
        <v>0</v>
      </c>
      <c r="S532" s="6">
        <v>0</v>
      </c>
      <c r="U532" s="6">
        <v>0</v>
      </c>
      <c r="W532" s="6">
        <v>0</v>
      </c>
      <c r="Y532" s="6">
        <v>0</v>
      </c>
      <c r="AA532" s="6">
        <v>0</v>
      </c>
      <c r="AC532" s="12">
        <f t="shared" si="79"/>
        <v>0</v>
      </c>
      <c r="AE532" s="6">
        <f t="shared" si="80"/>
        <v>0</v>
      </c>
    </row>
    <row r="533" spans="1:31" hidden="1">
      <c r="A533" s="11" t="s">
        <v>899</v>
      </c>
      <c r="B533" s="11"/>
      <c r="C533" s="11" t="s">
        <v>28</v>
      </c>
      <c r="E533" s="6">
        <v>0</v>
      </c>
      <c r="G533" s="6">
        <v>0</v>
      </c>
      <c r="I533" s="2">
        <f t="shared" si="81"/>
        <v>0</v>
      </c>
      <c r="K533" s="6">
        <v>0</v>
      </c>
      <c r="M533" s="2">
        <f t="shared" si="78"/>
        <v>0</v>
      </c>
      <c r="O533" s="6">
        <v>0</v>
      </c>
      <c r="Q533" s="6">
        <v>0</v>
      </c>
      <c r="S533" s="6">
        <v>0</v>
      </c>
      <c r="U533" s="6">
        <v>0</v>
      </c>
      <c r="W533" s="6">
        <v>0</v>
      </c>
      <c r="Y533" s="6">
        <v>0</v>
      </c>
      <c r="AA533" s="6">
        <v>0</v>
      </c>
      <c r="AC533" s="12">
        <f t="shared" si="79"/>
        <v>0</v>
      </c>
      <c r="AE533" s="6">
        <f t="shared" si="80"/>
        <v>0</v>
      </c>
    </row>
    <row r="534" spans="1:31">
      <c r="A534" s="11" t="s">
        <v>628</v>
      </c>
      <c r="B534" s="11"/>
      <c r="C534" s="11" t="s">
        <v>49</v>
      </c>
      <c r="E534" s="6">
        <v>417889</v>
      </c>
      <c r="G534" s="6">
        <v>5513</v>
      </c>
      <c r="I534" s="2">
        <f t="shared" si="81"/>
        <v>8759452</v>
      </c>
      <c r="K534" s="6">
        <v>9182854</v>
      </c>
      <c r="M534" s="2">
        <f t="shared" si="78"/>
        <v>2905732</v>
      </c>
      <c r="O534" s="6">
        <v>7766895</v>
      </c>
      <c r="Q534" s="6">
        <v>10672627</v>
      </c>
      <c r="S534" s="6">
        <f>77159+5513</f>
        <v>82672</v>
      </c>
      <c r="U534" s="6">
        <v>0</v>
      </c>
      <c r="W534" s="6">
        <v>0</v>
      </c>
      <c r="Y534" s="6">
        <v>34756</v>
      </c>
      <c r="AA534" s="6">
        <v>-1607201</v>
      </c>
      <c r="AC534" s="12">
        <f t="shared" si="79"/>
        <v>-1489773</v>
      </c>
      <c r="AE534" s="6">
        <f t="shared" si="80"/>
        <v>0</v>
      </c>
    </row>
    <row r="535" spans="1:31">
      <c r="A535" s="10" t="s">
        <v>834</v>
      </c>
      <c r="B535" s="11"/>
      <c r="C535" s="11" t="s">
        <v>32</v>
      </c>
      <c r="E535" s="6">
        <f>39906901+468958+1182414</f>
        <v>41558273</v>
      </c>
      <c r="G535" s="6">
        <v>0</v>
      </c>
      <c r="I535" s="2">
        <f t="shared" si="81"/>
        <v>56185382</v>
      </c>
      <c r="K535" s="6">
        <v>97743655</v>
      </c>
      <c r="M535" s="2">
        <f t="shared" si="78"/>
        <v>10392757</v>
      </c>
      <c r="O535" s="6">
        <v>33711248</v>
      </c>
      <c r="Q535" s="6">
        <v>44104005</v>
      </c>
      <c r="S535" s="6">
        <v>0</v>
      </c>
      <c r="U535" s="6">
        <v>1182414</v>
      </c>
      <c r="W535" s="6">
        <v>0</v>
      </c>
      <c r="Y535" s="6">
        <v>19304818</v>
      </c>
      <c r="AA535" s="6">
        <v>33152418</v>
      </c>
      <c r="AC535" s="12">
        <f t="shared" si="79"/>
        <v>53639650</v>
      </c>
      <c r="AE535" s="6">
        <f t="shared" si="80"/>
        <v>0</v>
      </c>
    </row>
    <row r="536" spans="1:31">
      <c r="A536" s="11" t="s">
        <v>394</v>
      </c>
      <c r="B536" s="11"/>
      <c r="C536" s="11" t="s">
        <v>115</v>
      </c>
      <c r="E536" s="6">
        <v>7371258</v>
      </c>
      <c r="G536" s="6">
        <v>0</v>
      </c>
      <c r="I536" s="2">
        <f t="shared" si="81"/>
        <v>56772537</v>
      </c>
      <c r="K536" s="6">
        <v>64143795</v>
      </c>
      <c r="M536" s="2">
        <f t="shared" si="78"/>
        <v>63630799</v>
      </c>
      <c r="O536" s="6">
        <v>1495628</v>
      </c>
      <c r="Q536" s="6">
        <v>65126427</v>
      </c>
      <c r="S536" s="6">
        <v>0</v>
      </c>
      <c r="U536" s="6">
        <v>0</v>
      </c>
      <c r="W536" s="6">
        <v>0</v>
      </c>
      <c r="Y536" s="6">
        <f>11117+303077+500+77900+32074+85528</f>
        <v>510196</v>
      </c>
      <c r="AA536" s="6">
        <v>-1492828</v>
      </c>
      <c r="AC536" s="12">
        <f t="shared" si="79"/>
        <v>-982632</v>
      </c>
      <c r="AE536" s="6">
        <f t="shared" si="80"/>
        <v>0</v>
      </c>
    </row>
    <row r="537" spans="1:31">
      <c r="A537" s="11" t="s">
        <v>372</v>
      </c>
      <c r="B537" s="11"/>
      <c r="C537" s="11" t="s">
        <v>366</v>
      </c>
      <c r="E537" s="6">
        <f>3187667+42941</f>
        <v>3230608</v>
      </c>
      <c r="G537" s="6">
        <v>0</v>
      </c>
      <c r="I537" s="2">
        <f t="shared" si="81"/>
        <v>1065629</v>
      </c>
      <c r="K537" s="6">
        <v>4296237</v>
      </c>
      <c r="M537" s="2">
        <f t="shared" si="78"/>
        <v>903747</v>
      </c>
      <c r="O537" s="6">
        <v>896000</v>
      </c>
      <c r="Q537" s="6">
        <v>1799747</v>
      </c>
      <c r="S537" s="6">
        <v>32835</v>
      </c>
      <c r="U537" s="6">
        <v>42941</v>
      </c>
      <c r="W537" s="6">
        <v>33097</v>
      </c>
      <c r="Y537" s="6">
        <v>19252</v>
      </c>
      <c r="AA537" s="6">
        <v>2368365</v>
      </c>
      <c r="AC537" s="12">
        <f t="shared" si="79"/>
        <v>2496490</v>
      </c>
      <c r="AE537" s="6">
        <f t="shared" si="80"/>
        <v>0</v>
      </c>
    </row>
    <row r="538" spans="1:31">
      <c r="A538" s="11" t="s">
        <v>717</v>
      </c>
      <c r="B538" s="11"/>
      <c r="C538" s="11" t="s">
        <v>221</v>
      </c>
      <c r="E538" s="6">
        <v>20277800</v>
      </c>
      <c r="G538" s="6">
        <v>202876</v>
      </c>
      <c r="I538" s="2">
        <f t="shared" si="81"/>
        <v>18531169</v>
      </c>
      <c r="K538" s="6">
        <v>39011845</v>
      </c>
      <c r="M538" s="2">
        <f t="shared" si="78"/>
        <v>3495434</v>
      </c>
      <c r="O538" s="6">
        <v>16011032</v>
      </c>
      <c r="Q538" s="6">
        <v>19506466</v>
      </c>
      <c r="S538" s="6">
        <v>73724</v>
      </c>
      <c r="U538" s="6">
        <v>0</v>
      </c>
      <c r="W538" s="6">
        <v>0</v>
      </c>
      <c r="Y538" s="6">
        <v>1333174</v>
      </c>
      <c r="AA538" s="6">
        <v>18098481</v>
      </c>
      <c r="AC538" s="12">
        <f t="shared" si="79"/>
        <v>19505379</v>
      </c>
      <c r="AE538" s="6">
        <f t="shared" si="80"/>
        <v>0</v>
      </c>
    </row>
    <row r="539" spans="1:31">
      <c r="A539" s="11" t="s">
        <v>515</v>
      </c>
      <c r="B539" s="11"/>
      <c r="C539" s="11" t="s">
        <v>63</v>
      </c>
      <c r="E539" s="6">
        <f>3723731+12338</f>
        <v>3736069</v>
      </c>
      <c r="G539" s="6">
        <v>72474</v>
      </c>
      <c r="I539" s="2">
        <f t="shared" si="81"/>
        <v>16105085</v>
      </c>
      <c r="K539" s="6">
        <v>19913628</v>
      </c>
      <c r="M539" s="2">
        <f t="shared" si="78"/>
        <v>2936945</v>
      </c>
      <c r="O539" s="6">
        <f>660822+13641737</f>
        <v>14302559</v>
      </c>
      <c r="Q539" s="6">
        <v>17239504</v>
      </c>
      <c r="S539" s="6">
        <v>0</v>
      </c>
      <c r="U539" s="6">
        <v>72474</v>
      </c>
      <c r="W539" s="6">
        <v>19179</v>
      </c>
      <c r="Y539" s="6">
        <f>13159+106896+184105</f>
        <v>304160</v>
      </c>
      <c r="AA539" s="6">
        <v>2278311</v>
      </c>
      <c r="AC539" s="12">
        <f t="shared" si="79"/>
        <v>2674124</v>
      </c>
      <c r="AE539" s="6">
        <f t="shared" si="80"/>
        <v>0</v>
      </c>
    </row>
    <row r="540" spans="1:31">
      <c r="A540" s="11" t="s">
        <v>454</v>
      </c>
      <c r="B540" s="11"/>
      <c r="C540" s="11" t="s">
        <v>54</v>
      </c>
      <c r="E540" s="6">
        <v>5677369</v>
      </c>
      <c r="G540" s="6">
        <v>0</v>
      </c>
      <c r="I540" s="2">
        <f t="shared" si="81"/>
        <v>10301297</v>
      </c>
      <c r="K540" s="6">
        <v>15978666</v>
      </c>
      <c r="M540" s="2">
        <f t="shared" ref="M540:M606" si="82">+Q540-O540</f>
        <v>3973578</v>
      </c>
      <c r="O540" s="6">
        <f>7432531+1044086</f>
        <v>8476617</v>
      </c>
      <c r="Q540" s="6">
        <v>12450195</v>
      </c>
      <c r="S540" s="6">
        <f>94726+8258+4861</f>
        <v>107845</v>
      </c>
      <c r="U540" s="6">
        <v>0</v>
      </c>
      <c r="W540" s="6">
        <v>11000</v>
      </c>
      <c r="Y540" s="6">
        <f>48599+150258+1243+995105</f>
        <v>1195205</v>
      </c>
      <c r="AA540" s="6">
        <v>2214421</v>
      </c>
      <c r="AC540" s="12">
        <f t="shared" ref="AC540:AC606" si="83">+W540+U540++S540+Y540+AA540</f>
        <v>3528471</v>
      </c>
      <c r="AE540" s="6">
        <f t="shared" ref="AE540:AE606" si="84">+E540+G540+I540-M540-O540-W540-U540-S540-Y540-AA540</f>
        <v>0</v>
      </c>
    </row>
    <row r="541" spans="1:31">
      <c r="A541" s="11" t="s">
        <v>236</v>
      </c>
      <c r="B541" s="11"/>
      <c r="C541" s="11" t="s">
        <v>17</v>
      </c>
      <c r="E541" s="6">
        <v>2341123</v>
      </c>
      <c r="G541" s="6">
        <v>0</v>
      </c>
      <c r="I541" s="2">
        <f t="shared" si="81"/>
        <v>8052617</v>
      </c>
      <c r="K541" s="6">
        <v>10393740</v>
      </c>
      <c r="M541" s="2">
        <f t="shared" si="82"/>
        <v>3052533</v>
      </c>
      <c r="O541" s="6">
        <v>5883800</v>
      </c>
      <c r="Q541" s="6">
        <v>8936333</v>
      </c>
      <c r="S541" s="6">
        <v>168058</v>
      </c>
      <c r="U541" s="6">
        <v>0</v>
      </c>
      <c r="W541" s="6">
        <v>0</v>
      </c>
      <c r="Y541" s="6">
        <v>1289349</v>
      </c>
      <c r="AA541" s="6">
        <v>0</v>
      </c>
      <c r="AC541" s="12">
        <f t="shared" si="83"/>
        <v>1457407</v>
      </c>
      <c r="AE541" s="6">
        <f t="shared" si="84"/>
        <v>0</v>
      </c>
    </row>
    <row r="542" spans="1:31">
      <c r="A542" s="11" t="s">
        <v>725</v>
      </c>
      <c r="B542" s="11"/>
      <c r="C542" s="11" t="s">
        <v>32</v>
      </c>
      <c r="E542" s="6">
        <v>9082404</v>
      </c>
      <c r="G542" s="6">
        <v>0</v>
      </c>
      <c r="I542" s="2">
        <f t="shared" ref="I542:I608" si="85">+K542-G542-E542</f>
        <v>13334505</v>
      </c>
      <c r="K542" s="6">
        <v>22416909</v>
      </c>
      <c r="M542" s="2">
        <f t="shared" si="82"/>
        <v>1671327</v>
      </c>
      <c r="O542" s="6">
        <v>9029818</v>
      </c>
      <c r="Q542" s="6">
        <v>10701145</v>
      </c>
      <c r="S542" s="6">
        <v>0</v>
      </c>
      <c r="U542" s="6">
        <v>0</v>
      </c>
      <c r="W542" s="6">
        <v>0</v>
      </c>
      <c r="Y542" s="6">
        <v>454654</v>
      </c>
      <c r="AA542" s="6">
        <v>11261110</v>
      </c>
      <c r="AC542" s="12">
        <f t="shared" si="83"/>
        <v>11715764</v>
      </c>
      <c r="AE542" s="6">
        <f t="shared" si="84"/>
        <v>0</v>
      </c>
    </row>
    <row r="543" spans="1:31">
      <c r="A543" s="11" t="s">
        <v>488</v>
      </c>
      <c r="B543" s="11"/>
      <c r="C543" s="11" t="s">
        <v>60</v>
      </c>
      <c r="E543" s="6">
        <v>2480266</v>
      </c>
      <c r="G543" s="6">
        <v>0</v>
      </c>
      <c r="I543" s="2">
        <f t="shared" si="85"/>
        <v>11207360</v>
      </c>
      <c r="K543" s="6">
        <v>13687626</v>
      </c>
      <c r="M543" s="2">
        <f t="shared" si="82"/>
        <v>2203555</v>
      </c>
      <c r="O543" s="6">
        <f>6010617+1345399</f>
        <v>7356016</v>
      </c>
      <c r="Q543" s="6">
        <v>9559571</v>
      </c>
      <c r="S543" s="6">
        <v>96930</v>
      </c>
      <c r="U543" s="6">
        <v>0</v>
      </c>
      <c r="W543" s="6">
        <v>0</v>
      </c>
      <c r="Y543" s="6">
        <f>4903+233920+6764+532331</f>
        <v>777918</v>
      </c>
      <c r="AA543" s="6">
        <v>3253207</v>
      </c>
      <c r="AC543" s="12">
        <f t="shared" si="83"/>
        <v>4128055</v>
      </c>
      <c r="AE543" s="6">
        <f t="shared" si="84"/>
        <v>0</v>
      </c>
    </row>
    <row r="544" spans="1:31">
      <c r="A544" s="11" t="s">
        <v>778</v>
      </c>
      <c r="B544" s="11"/>
      <c r="C544" s="11" t="s">
        <v>48</v>
      </c>
      <c r="E544" s="6">
        <v>827141</v>
      </c>
      <c r="G544" s="6">
        <v>0</v>
      </c>
      <c r="I544" s="2">
        <f t="shared" si="85"/>
        <v>10762720</v>
      </c>
      <c r="K544" s="6">
        <v>11589861</v>
      </c>
      <c r="M544" s="2">
        <f t="shared" si="82"/>
        <v>2313339</v>
      </c>
      <c r="O544" s="6">
        <v>9098134</v>
      </c>
      <c r="Q544" s="6">
        <v>11411473</v>
      </c>
      <c r="S544" s="6">
        <v>55875</v>
      </c>
      <c r="U544" s="6">
        <v>0</v>
      </c>
      <c r="W544" s="6">
        <v>11000</v>
      </c>
      <c r="Y544" s="6">
        <v>144067</v>
      </c>
      <c r="AA544" s="6">
        <v>-32554</v>
      </c>
      <c r="AC544" s="12">
        <f t="shared" si="83"/>
        <v>178388</v>
      </c>
      <c r="AE544" s="6">
        <f t="shared" si="84"/>
        <v>0</v>
      </c>
    </row>
    <row r="545" spans="1:31">
      <c r="A545" s="11" t="s">
        <v>395</v>
      </c>
      <c r="B545" s="11"/>
      <c r="C545" s="11" t="s">
        <v>115</v>
      </c>
      <c r="E545" s="6">
        <v>16494288</v>
      </c>
      <c r="G545" s="6">
        <v>0</v>
      </c>
      <c r="I545" s="2">
        <f t="shared" si="85"/>
        <v>107410183</v>
      </c>
      <c r="K545" s="6">
        <v>123904471</v>
      </c>
      <c r="M545" s="2">
        <f t="shared" si="82"/>
        <v>25060443</v>
      </c>
      <c r="O545" s="6">
        <v>97040807</v>
      </c>
      <c r="Q545" s="6">
        <v>122101250</v>
      </c>
      <c r="S545" s="6">
        <v>65468</v>
      </c>
      <c r="U545" s="6">
        <v>0</v>
      </c>
      <c r="W545" s="6">
        <v>0</v>
      </c>
      <c r="Y545" s="6">
        <v>1710004</v>
      </c>
      <c r="AA545" s="6">
        <v>27749</v>
      </c>
      <c r="AC545" s="12">
        <f t="shared" si="83"/>
        <v>1803221</v>
      </c>
      <c r="AE545" s="6">
        <f t="shared" si="84"/>
        <v>0</v>
      </c>
    </row>
    <row r="546" spans="1:31" hidden="1">
      <c r="A546" s="11" t="s">
        <v>894</v>
      </c>
      <c r="B546" s="11"/>
      <c r="C546" s="11" t="s">
        <v>115</v>
      </c>
      <c r="I546" s="2">
        <f t="shared" si="85"/>
        <v>0</v>
      </c>
      <c r="M546" s="2">
        <f t="shared" si="82"/>
        <v>0</v>
      </c>
      <c r="AC546" s="12">
        <f t="shared" si="83"/>
        <v>0</v>
      </c>
      <c r="AE546" s="6">
        <f t="shared" si="84"/>
        <v>0</v>
      </c>
    </row>
    <row r="547" spans="1:31">
      <c r="A547" s="11" t="s">
        <v>726</v>
      </c>
      <c r="B547" s="11"/>
      <c r="C547" s="11" t="s">
        <v>39</v>
      </c>
      <c r="E547" s="6">
        <v>1512739</v>
      </c>
      <c r="G547" s="6">
        <v>0</v>
      </c>
      <c r="I547" s="2">
        <f t="shared" si="85"/>
        <v>1551712</v>
      </c>
      <c r="K547" s="6">
        <v>3064451</v>
      </c>
      <c r="M547" s="2">
        <f t="shared" si="82"/>
        <v>704675</v>
      </c>
      <c r="O547" s="6">
        <v>1404319</v>
      </c>
      <c r="Q547" s="6">
        <v>2108994</v>
      </c>
      <c r="S547" s="6">
        <v>6604</v>
      </c>
      <c r="U547" s="6">
        <v>0</v>
      </c>
      <c r="W547" s="6">
        <v>0</v>
      </c>
      <c r="Y547" s="6">
        <v>31602</v>
      </c>
      <c r="AA547" s="6">
        <v>917251</v>
      </c>
      <c r="AC547" s="12">
        <f t="shared" si="83"/>
        <v>955457</v>
      </c>
      <c r="AE547" s="6">
        <f t="shared" si="84"/>
        <v>0</v>
      </c>
    </row>
    <row r="548" spans="1:31">
      <c r="A548" s="11" t="s">
        <v>229</v>
      </c>
      <c r="B548" s="11"/>
      <c r="C548" s="11" t="s">
        <v>228</v>
      </c>
      <c r="E548" s="6">
        <v>609234</v>
      </c>
      <c r="G548" s="6">
        <v>2500</v>
      </c>
      <c r="I548" s="2">
        <f>+K548-G548-E548</f>
        <v>2800670</v>
      </c>
      <c r="K548" s="6">
        <v>3412404</v>
      </c>
      <c r="M548" s="2">
        <f t="shared" si="82"/>
        <v>945045</v>
      </c>
      <c r="O548" s="6">
        <f>233806+1679520</f>
        <v>1913326</v>
      </c>
      <c r="Q548" s="6">
        <v>2858371</v>
      </c>
      <c r="S548" s="6">
        <v>53722</v>
      </c>
      <c r="U548" s="6">
        <v>2500</v>
      </c>
      <c r="W548" s="6">
        <v>11000</v>
      </c>
      <c r="Y548" s="6">
        <f>7777+37297+568079+1384</f>
        <v>614537</v>
      </c>
      <c r="AA548" s="6">
        <v>-127726</v>
      </c>
      <c r="AC548" s="12">
        <f t="shared" si="83"/>
        <v>554033</v>
      </c>
      <c r="AE548" s="6">
        <f t="shared" si="84"/>
        <v>0</v>
      </c>
    </row>
    <row r="549" spans="1:31">
      <c r="A549" s="11" t="s">
        <v>466</v>
      </c>
      <c r="B549" s="11"/>
      <c r="C549" s="11" t="s">
        <v>57</v>
      </c>
      <c r="E549" s="6">
        <v>2000523</v>
      </c>
      <c r="G549" s="6">
        <v>36863</v>
      </c>
      <c r="I549" s="2">
        <f t="shared" si="85"/>
        <v>4292990</v>
      </c>
      <c r="K549" s="6">
        <v>6330376</v>
      </c>
      <c r="M549" s="2">
        <f t="shared" si="82"/>
        <v>1008117</v>
      </c>
      <c r="O549" s="6">
        <v>4010712</v>
      </c>
      <c r="Q549" s="6">
        <v>5018829</v>
      </c>
      <c r="S549" s="6">
        <v>34002</v>
      </c>
      <c r="U549" s="6">
        <v>26279</v>
      </c>
      <c r="W549" s="6">
        <v>0</v>
      </c>
      <c r="Y549" s="6">
        <v>158611</v>
      </c>
      <c r="AA549" s="6">
        <v>1092655</v>
      </c>
      <c r="AC549" s="12">
        <f t="shared" si="83"/>
        <v>1311547</v>
      </c>
      <c r="AE549" s="6">
        <f t="shared" si="84"/>
        <v>0</v>
      </c>
    </row>
    <row r="550" spans="1:31">
      <c r="A550" s="11" t="s">
        <v>212</v>
      </c>
      <c r="B550" s="11"/>
      <c r="C550" s="11" t="s">
        <v>13</v>
      </c>
      <c r="E550" s="6">
        <v>2100984</v>
      </c>
      <c r="G550" s="6">
        <v>0</v>
      </c>
      <c r="I550" s="2">
        <f t="shared" si="85"/>
        <v>1081509</v>
      </c>
      <c r="K550" s="6">
        <v>3182493</v>
      </c>
      <c r="M550" s="2">
        <f t="shared" si="82"/>
        <v>826833</v>
      </c>
      <c r="O550" s="6">
        <v>879334</v>
      </c>
      <c r="Q550" s="6">
        <v>1706167</v>
      </c>
      <c r="S550" s="6">
        <v>20951</v>
      </c>
      <c r="U550" s="6">
        <v>0</v>
      </c>
      <c r="W550" s="6">
        <v>0</v>
      </c>
      <c r="Y550" s="6">
        <v>101563</v>
      </c>
      <c r="AA550" s="6">
        <v>1353812</v>
      </c>
      <c r="AC550" s="12">
        <f t="shared" si="83"/>
        <v>1476326</v>
      </c>
      <c r="AE550" s="6">
        <f t="shared" si="84"/>
        <v>0</v>
      </c>
    </row>
    <row r="551" spans="1:31">
      <c r="A551" s="11" t="s">
        <v>446</v>
      </c>
      <c r="B551" s="11"/>
      <c r="C551" s="11" t="s">
        <v>51</v>
      </c>
      <c r="E551" s="6">
        <v>3465105</v>
      </c>
      <c r="G551" s="6">
        <v>0</v>
      </c>
      <c r="I551" s="2">
        <f t="shared" si="85"/>
        <v>7503221</v>
      </c>
      <c r="K551" s="6">
        <v>10968326</v>
      </c>
      <c r="M551" s="2">
        <f t="shared" si="82"/>
        <v>2943725</v>
      </c>
      <c r="O551" s="6">
        <v>4480751</v>
      </c>
      <c r="Q551" s="6">
        <v>7424476</v>
      </c>
      <c r="S551" s="6">
        <v>137950</v>
      </c>
      <c r="U551" s="6">
        <v>0</v>
      </c>
      <c r="W551" s="6">
        <v>11000</v>
      </c>
      <c r="Y551" s="6">
        <v>878409</v>
      </c>
      <c r="AA551" s="6">
        <v>2516491</v>
      </c>
      <c r="AC551" s="12">
        <f t="shared" si="83"/>
        <v>3543850</v>
      </c>
      <c r="AE551" s="6">
        <f t="shared" si="84"/>
        <v>0</v>
      </c>
    </row>
    <row r="552" spans="1:31" hidden="1">
      <c r="A552" s="11" t="s">
        <v>690</v>
      </c>
      <c r="B552" s="11"/>
      <c r="C552" s="11" t="s">
        <v>21</v>
      </c>
      <c r="I552" s="2">
        <f t="shared" si="85"/>
        <v>0</v>
      </c>
      <c r="M552" s="2">
        <f t="shared" si="82"/>
        <v>0</v>
      </c>
      <c r="AC552" s="12">
        <f t="shared" si="83"/>
        <v>0</v>
      </c>
      <c r="AE552" s="6">
        <f t="shared" si="84"/>
        <v>0</v>
      </c>
    </row>
    <row r="553" spans="1:31" hidden="1">
      <c r="A553" s="10" t="s">
        <v>835</v>
      </c>
      <c r="B553" s="11"/>
      <c r="C553" s="11" t="s">
        <v>71</v>
      </c>
      <c r="I553" s="2">
        <f t="shared" si="85"/>
        <v>0</v>
      </c>
      <c r="M553" s="2">
        <f t="shared" si="82"/>
        <v>0</v>
      </c>
      <c r="AC553" s="12">
        <f t="shared" si="83"/>
        <v>0</v>
      </c>
      <c r="AE553" s="6">
        <f t="shared" si="84"/>
        <v>0</v>
      </c>
    </row>
    <row r="554" spans="1:31">
      <c r="A554" s="11" t="s">
        <v>436</v>
      </c>
      <c r="B554" s="11"/>
      <c r="C554" s="11" t="s">
        <v>50</v>
      </c>
      <c r="E554" s="6">
        <v>15694760</v>
      </c>
      <c r="G554" s="6">
        <v>81076</v>
      </c>
      <c r="I554" s="2">
        <f t="shared" si="85"/>
        <v>10555903</v>
      </c>
      <c r="K554" s="6">
        <v>26331739</v>
      </c>
      <c r="M554" s="2">
        <f t="shared" si="82"/>
        <v>1924749</v>
      </c>
      <c r="O554" s="6">
        <v>9694549</v>
      </c>
      <c r="Q554" s="6">
        <v>11619298</v>
      </c>
      <c r="S554" s="6">
        <v>0</v>
      </c>
      <c r="U554" s="6">
        <v>0</v>
      </c>
      <c r="W554" s="6">
        <v>0</v>
      </c>
      <c r="Y554" s="6">
        <v>24002</v>
      </c>
      <c r="AA554" s="6">
        <v>14688439</v>
      </c>
      <c r="AC554" s="12">
        <f t="shared" si="83"/>
        <v>14712441</v>
      </c>
      <c r="AE554" s="6">
        <f t="shared" si="84"/>
        <v>0</v>
      </c>
    </row>
    <row r="555" spans="1:31">
      <c r="A555" s="11" t="s">
        <v>426</v>
      </c>
      <c r="B555" s="11"/>
      <c r="C555" s="11" t="s">
        <v>48</v>
      </c>
      <c r="E555" s="6">
        <v>9949817</v>
      </c>
      <c r="G555" s="6">
        <v>0</v>
      </c>
      <c r="I555" s="2">
        <f t="shared" si="85"/>
        <v>19959819</v>
      </c>
      <c r="K555" s="6">
        <v>29909636</v>
      </c>
      <c r="M555" s="2">
        <f t="shared" si="82"/>
        <v>3809603</v>
      </c>
      <c r="O555" s="6">
        <v>14508803</v>
      </c>
      <c r="Q555" s="6">
        <v>18318406</v>
      </c>
      <c r="S555" s="6">
        <f>106210+39466</f>
        <v>145676</v>
      </c>
      <c r="U555" s="6">
        <v>0</v>
      </c>
      <c r="W555" s="6">
        <v>0</v>
      </c>
      <c r="Y555" s="6">
        <f>105608+167719+19266+129021</f>
        <v>421614</v>
      </c>
      <c r="AA555" s="6">
        <v>11023940</v>
      </c>
      <c r="AC555" s="12">
        <f t="shared" si="83"/>
        <v>11591230</v>
      </c>
      <c r="AE555" s="6">
        <f t="shared" si="84"/>
        <v>0</v>
      </c>
    </row>
    <row r="556" spans="1:31">
      <c r="A556" s="11" t="s">
        <v>538</v>
      </c>
      <c r="B556" s="11"/>
      <c r="C556" s="11" t="s">
        <v>65</v>
      </c>
      <c r="E556" s="6">
        <v>2171984</v>
      </c>
      <c r="G556" s="6">
        <v>0</v>
      </c>
      <c r="I556" s="2">
        <f t="shared" si="85"/>
        <v>6089559</v>
      </c>
      <c r="K556" s="6">
        <v>8261543</v>
      </c>
      <c r="M556" s="2">
        <f t="shared" si="82"/>
        <v>1292349</v>
      </c>
      <c r="O556" s="6">
        <f>4469091+646403</f>
        <v>5115494</v>
      </c>
      <c r="Q556" s="6">
        <v>6407843</v>
      </c>
      <c r="S556" s="6">
        <f>62844+19730</f>
        <v>82574</v>
      </c>
      <c r="U556" s="6">
        <v>0</v>
      </c>
      <c r="W556" s="6">
        <v>0</v>
      </c>
      <c r="Y556" s="6">
        <f>6025+1505+600000+13665+56</f>
        <v>621251</v>
      </c>
      <c r="AA556" s="6">
        <v>1149875</v>
      </c>
      <c r="AC556" s="12">
        <f t="shared" si="83"/>
        <v>1853700</v>
      </c>
      <c r="AE556" s="6">
        <f t="shared" si="84"/>
        <v>0</v>
      </c>
    </row>
    <row r="557" spans="1:31">
      <c r="A557" s="11" t="s">
        <v>505</v>
      </c>
      <c r="B557" s="11"/>
      <c r="C557" s="11" t="s">
        <v>62</v>
      </c>
      <c r="E557" s="6">
        <v>2554979</v>
      </c>
      <c r="G557" s="6">
        <v>0</v>
      </c>
      <c r="I557" s="2">
        <f t="shared" si="85"/>
        <v>4994272</v>
      </c>
      <c r="K557" s="6">
        <v>7549251</v>
      </c>
      <c r="M557" s="2">
        <f t="shared" si="82"/>
        <v>1250709</v>
      </c>
      <c r="O557" s="6">
        <v>4699294</v>
      </c>
      <c r="Q557" s="6">
        <v>5950003</v>
      </c>
      <c r="S557" s="6">
        <v>0</v>
      </c>
      <c r="U557" s="6">
        <v>0</v>
      </c>
      <c r="W557" s="6">
        <v>0</v>
      </c>
      <c r="Y557" s="6">
        <v>188896</v>
      </c>
      <c r="AA557" s="6">
        <v>1410352</v>
      </c>
      <c r="AC557" s="12">
        <f t="shared" si="83"/>
        <v>1599248</v>
      </c>
      <c r="AE557" s="6">
        <f t="shared" si="84"/>
        <v>0</v>
      </c>
    </row>
    <row r="558" spans="1:31" hidden="1">
      <c r="A558" s="11" t="s">
        <v>695</v>
      </c>
      <c r="B558" s="11"/>
      <c r="C558" s="11" t="s">
        <v>57</v>
      </c>
      <c r="I558" s="2">
        <f t="shared" si="85"/>
        <v>0</v>
      </c>
      <c r="M558" s="2">
        <f t="shared" si="82"/>
        <v>0</v>
      </c>
      <c r="AC558" s="12">
        <f t="shared" si="83"/>
        <v>0</v>
      </c>
      <c r="AE558" s="6">
        <f t="shared" si="84"/>
        <v>0</v>
      </c>
    </row>
    <row r="559" spans="1:31">
      <c r="A559" s="11" t="s">
        <v>516</v>
      </c>
      <c r="B559" s="11"/>
      <c r="C559" s="11" t="s">
        <v>63</v>
      </c>
      <c r="E559" s="6">
        <v>26196642</v>
      </c>
      <c r="G559" s="6">
        <v>0</v>
      </c>
      <c r="I559" s="2">
        <f t="shared" si="85"/>
        <v>24881966</v>
      </c>
      <c r="K559" s="6">
        <v>51078608</v>
      </c>
      <c r="M559" s="2">
        <f t="shared" si="82"/>
        <v>4837472</v>
      </c>
      <c r="O559" s="6">
        <v>21531409</v>
      </c>
      <c r="Q559" s="6">
        <v>26368881</v>
      </c>
      <c r="S559" s="6">
        <v>0</v>
      </c>
      <c r="U559" s="6">
        <v>0</v>
      </c>
      <c r="W559" s="6">
        <v>0</v>
      </c>
      <c r="Y559" s="6">
        <v>11251798</v>
      </c>
      <c r="AA559" s="6">
        <v>13457929</v>
      </c>
      <c r="AC559" s="12">
        <f t="shared" si="83"/>
        <v>24709727</v>
      </c>
      <c r="AE559" s="6">
        <f t="shared" si="84"/>
        <v>0</v>
      </c>
    </row>
    <row r="560" spans="1:31" hidden="1">
      <c r="A560" s="10" t="s">
        <v>836</v>
      </c>
      <c r="B560" s="11"/>
      <c r="C560" s="11" t="s">
        <v>15</v>
      </c>
      <c r="I560" s="2">
        <f t="shared" si="85"/>
        <v>0</v>
      </c>
      <c r="M560" s="2">
        <f t="shared" si="82"/>
        <v>0</v>
      </c>
      <c r="AC560" s="12">
        <f t="shared" si="83"/>
        <v>0</v>
      </c>
      <c r="AE560" s="6">
        <f t="shared" si="84"/>
        <v>0</v>
      </c>
    </row>
    <row r="561" spans="1:31">
      <c r="A561" s="11" t="s">
        <v>476</v>
      </c>
      <c r="B561" s="11"/>
      <c r="C561" s="11" t="s">
        <v>58</v>
      </c>
      <c r="E561" s="6">
        <v>12296634</v>
      </c>
      <c r="G561" s="6">
        <v>0</v>
      </c>
      <c r="I561" s="2">
        <f t="shared" si="85"/>
        <v>3603216</v>
      </c>
      <c r="K561" s="6">
        <v>15899850</v>
      </c>
      <c r="M561" s="2">
        <f t="shared" si="82"/>
        <v>1862946</v>
      </c>
      <c r="O561" s="6">
        <v>2669936</v>
      </c>
      <c r="Q561" s="6">
        <v>4532882</v>
      </c>
      <c r="S561" s="6">
        <v>16225</v>
      </c>
      <c r="U561" s="6">
        <v>0</v>
      </c>
      <c r="W561" s="6">
        <v>0</v>
      </c>
      <c r="Y561" s="6">
        <v>722435</v>
      </c>
      <c r="AA561" s="6">
        <v>10628308</v>
      </c>
      <c r="AC561" s="12">
        <f t="shared" si="83"/>
        <v>11366968</v>
      </c>
      <c r="AE561" s="6">
        <f t="shared" si="84"/>
        <v>0</v>
      </c>
    </row>
    <row r="562" spans="1:31">
      <c r="A562" s="11" t="s">
        <v>251</v>
      </c>
      <c r="B562" s="11"/>
      <c r="C562" s="11" t="s">
        <v>112</v>
      </c>
      <c r="E562" s="6">
        <v>4551403</v>
      </c>
      <c r="G562" s="6">
        <v>0</v>
      </c>
      <c r="I562" s="2">
        <f t="shared" si="85"/>
        <v>3237570</v>
      </c>
      <c r="K562" s="6">
        <v>7788973</v>
      </c>
      <c r="M562" s="2">
        <f t="shared" si="82"/>
        <v>1190483</v>
      </c>
      <c r="O562" s="6">
        <f>260345+2506787</f>
        <v>2767132</v>
      </c>
      <c r="Q562" s="6">
        <v>3957615</v>
      </c>
      <c r="S562" s="6">
        <v>21136</v>
      </c>
      <c r="U562" s="6">
        <v>0</v>
      </c>
      <c r="W562" s="6">
        <v>11000</v>
      </c>
      <c r="Y562" s="6">
        <f>5556+10202+589198+320+1902+35930+6799</f>
        <v>649907</v>
      </c>
      <c r="AA562" s="6">
        <v>3149315</v>
      </c>
      <c r="AC562" s="12">
        <f t="shared" si="83"/>
        <v>3831358</v>
      </c>
      <c r="AE562" s="6">
        <f t="shared" si="84"/>
        <v>0</v>
      </c>
    </row>
    <row r="563" spans="1:31" s="28" customFormat="1">
      <c r="A563" s="27" t="s">
        <v>308</v>
      </c>
      <c r="B563" s="27"/>
      <c r="C563" s="27" t="s">
        <v>27</v>
      </c>
      <c r="E563" s="28">
        <v>35889497</v>
      </c>
      <c r="G563" s="28">
        <v>0</v>
      </c>
      <c r="I563" s="30">
        <f t="shared" si="85"/>
        <v>62257743</v>
      </c>
      <c r="K563" s="28">
        <v>98147240</v>
      </c>
      <c r="M563" s="30">
        <f t="shared" si="82"/>
        <v>10136308</v>
      </c>
      <c r="O563" s="28">
        <v>36827260</v>
      </c>
      <c r="Q563" s="28">
        <v>46963568</v>
      </c>
      <c r="S563" s="28">
        <v>76390</v>
      </c>
      <c r="U563" s="28">
        <v>0</v>
      </c>
      <c r="W563" s="28">
        <v>0</v>
      </c>
      <c r="Y563" s="28">
        <v>571712</v>
      </c>
      <c r="AA563" s="28">
        <v>50535570</v>
      </c>
      <c r="AC563" s="37">
        <f t="shared" si="83"/>
        <v>51183672</v>
      </c>
      <c r="AE563" s="28">
        <f t="shared" si="84"/>
        <v>0</v>
      </c>
    </row>
    <row r="564" spans="1:31" hidden="1">
      <c r="A564" s="11" t="s">
        <v>779</v>
      </c>
      <c r="B564" s="11"/>
      <c r="C564" s="11" t="s">
        <v>558</v>
      </c>
      <c r="I564" s="2">
        <f t="shared" si="85"/>
        <v>0</v>
      </c>
      <c r="M564" s="2">
        <f t="shared" si="82"/>
        <v>0</v>
      </c>
      <c r="AC564" s="12">
        <f t="shared" si="83"/>
        <v>0</v>
      </c>
      <c r="AE564" s="6">
        <f t="shared" si="84"/>
        <v>0</v>
      </c>
    </row>
    <row r="565" spans="1:31" hidden="1">
      <c r="A565" s="11" t="s">
        <v>696</v>
      </c>
      <c r="B565" s="11"/>
      <c r="C565" s="11" t="s">
        <v>339</v>
      </c>
      <c r="I565" s="2">
        <f t="shared" si="85"/>
        <v>0</v>
      </c>
      <c r="M565" s="2">
        <f t="shared" si="82"/>
        <v>0</v>
      </c>
      <c r="AC565" s="12">
        <f t="shared" si="83"/>
        <v>0</v>
      </c>
      <c r="AE565" s="6">
        <f t="shared" si="84"/>
        <v>0</v>
      </c>
    </row>
    <row r="566" spans="1:31" hidden="1">
      <c r="A566" s="11" t="s">
        <v>895</v>
      </c>
      <c r="B566" s="11"/>
      <c r="C566" s="11" t="s">
        <v>228</v>
      </c>
      <c r="E566" s="6">
        <v>0</v>
      </c>
      <c r="G566" s="6">
        <v>0</v>
      </c>
      <c r="I566" s="2">
        <f t="shared" si="85"/>
        <v>0</v>
      </c>
      <c r="K566" s="6">
        <v>0</v>
      </c>
      <c r="M566" s="2">
        <f t="shared" si="82"/>
        <v>0</v>
      </c>
      <c r="O566" s="6">
        <v>0</v>
      </c>
      <c r="Q566" s="6">
        <v>0</v>
      </c>
      <c r="S566" s="6">
        <v>0</v>
      </c>
      <c r="U566" s="6">
        <v>0</v>
      </c>
      <c r="W566" s="6">
        <v>0</v>
      </c>
      <c r="Y566" s="6">
        <v>0</v>
      </c>
      <c r="AA566" s="6">
        <v>0</v>
      </c>
      <c r="AC566" s="12">
        <f t="shared" si="83"/>
        <v>0</v>
      </c>
      <c r="AE566" s="6">
        <f t="shared" si="84"/>
        <v>0</v>
      </c>
    </row>
    <row r="567" spans="1:31" hidden="1">
      <c r="A567" s="11" t="s">
        <v>697</v>
      </c>
      <c r="B567" s="11"/>
      <c r="C567" s="11" t="s">
        <v>59</v>
      </c>
      <c r="I567" s="2">
        <f t="shared" si="85"/>
        <v>0</v>
      </c>
      <c r="M567" s="2">
        <f t="shared" si="82"/>
        <v>0</v>
      </c>
      <c r="AC567" s="12">
        <f t="shared" si="83"/>
        <v>0</v>
      </c>
      <c r="AE567" s="6">
        <f t="shared" si="84"/>
        <v>0</v>
      </c>
    </row>
    <row r="568" spans="1:31">
      <c r="A568" s="11" t="s">
        <v>437</v>
      </c>
      <c r="B568" s="11"/>
      <c r="C568" s="11" t="s">
        <v>50</v>
      </c>
      <c r="E568" s="6">
        <v>1300575</v>
      </c>
      <c r="G568" s="6">
        <v>0</v>
      </c>
      <c r="I568" s="2">
        <f t="shared" si="85"/>
        <v>5721055</v>
      </c>
      <c r="K568" s="6">
        <v>7021630</v>
      </c>
      <c r="M568" s="2">
        <f t="shared" si="82"/>
        <v>2254218</v>
      </c>
      <c r="O568" s="6">
        <f>391749+3718807</f>
        <v>4110556</v>
      </c>
      <c r="Q568" s="6">
        <v>6364774</v>
      </c>
      <c r="S568" s="6">
        <f>10112+5940</f>
        <v>16052</v>
      </c>
      <c r="U568" s="6">
        <v>0</v>
      </c>
      <c r="W568" s="6">
        <v>11000</v>
      </c>
      <c r="Y568" s="6">
        <f>14337+560123+55344</f>
        <v>629804</v>
      </c>
      <c r="AA568" s="6">
        <v>0</v>
      </c>
      <c r="AC568" s="12">
        <f t="shared" si="83"/>
        <v>656856</v>
      </c>
      <c r="AE568" s="6">
        <f t="shared" si="84"/>
        <v>0</v>
      </c>
    </row>
    <row r="569" spans="1:31">
      <c r="A569" s="11" t="s">
        <v>338</v>
      </c>
      <c r="B569" s="11"/>
      <c r="C569" s="11" t="s">
        <v>33</v>
      </c>
      <c r="E569" s="6">
        <v>7785677</v>
      </c>
      <c r="G569" s="6">
        <v>0</v>
      </c>
      <c r="I569" s="2">
        <f t="shared" si="85"/>
        <v>6793214</v>
      </c>
      <c r="K569" s="6">
        <v>14578891</v>
      </c>
      <c r="M569" s="2">
        <f t="shared" si="82"/>
        <v>1037032</v>
      </c>
      <c r="O569" s="6">
        <v>6053866</v>
      </c>
      <c r="Q569" s="6">
        <v>7090898</v>
      </c>
      <c r="S569" s="6">
        <v>5894</v>
      </c>
      <c r="U569" s="6">
        <v>17162</v>
      </c>
      <c r="W569" s="6">
        <v>173557</v>
      </c>
      <c r="Y569" s="6">
        <v>384013</v>
      </c>
      <c r="AA569" s="6">
        <v>6907367</v>
      </c>
      <c r="AC569" s="12">
        <f t="shared" si="83"/>
        <v>7487993</v>
      </c>
      <c r="AE569" s="6">
        <f t="shared" si="84"/>
        <v>0</v>
      </c>
    </row>
    <row r="570" spans="1:31" hidden="1">
      <c r="A570" s="11" t="s">
        <v>830</v>
      </c>
      <c r="B570" s="11"/>
      <c r="C570" s="11" t="s">
        <v>67</v>
      </c>
      <c r="I570" s="2">
        <f t="shared" si="85"/>
        <v>0</v>
      </c>
      <c r="M570" s="2">
        <f t="shared" si="82"/>
        <v>0</v>
      </c>
      <c r="AC570" s="12">
        <f t="shared" si="83"/>
        <v>0</v>
      </c>
      <c r="AE570" s="6">
        <f t="shared" si="84"/>
        <v>0</v>
      </c>
    </row>
    <row r="571" spans="1:31">
      <c r="A571" s="11" t="s">
        <v>438</v>
      </c>
      <c r="B571" s="11"/>
      <c r="C571" s="11" t="s">
        <v>50</v>
      </c>
      <c r="E571" s="6">
        <v>9944160</v>
      </c>
      <c r="G571" s="6">
        <v>0</v>
      </c>
      <c r="I571" s="2">
        <f t="shared" si="85"/>
        <v>19263995</v>
      </c>
      <c r="K571" s="6">
        <v>29208155</v>
      </c>
      <c r="M571" s="2">
        <f t="shared" si="82"/>
        <v>9051328</v>
      </c>
      <c r="O571" s="6">
        <f>969661+16181642</f>
        <v>17151303</v>
      </c>
      <c r="Q571" s="6">
        <v>26202631</v>
      </c>
      <c r="S571" s="6">
        <v>91411</v>
      </c>
      <c r="U571" s="6">
        <v>0</v>
      </c>
      <c r="W571" s="6">
        <v>0</v>
      </c>
      <c r="Y571" s="6">
        <f>235598+1253914+66089+1192275+166237</f>
        <v>2914113</v>
      </c>
      <c r="AA571" s="6">
        <v>0</v>
      </c>
      <c r="AC571" s="12">
        <f t="shared" si="83"/>
        <v>3005524</v>
      </c>
      <c r="AE571" s="6">
        <f t="shared" si="84"/>
        <v>0</v>
      </c>
    </row>
    <row r="572" spans="1:31" hidden="1">
      <c r="A572" s="11" t="s">
        <v>698</v>
      </c>
      <c r="B572" s="11"/>
      <c r="C572" s="11" t="s">
        <v>33</v>
      </c>
      <c r="I572" s="2">
        <f t="shared" si="85"/>
        <v>0</v>
      </c>
      <c r="M572" s="2">
        <f t="shared" si="82"/>
        <v>0</v>
      </c>
      <c r="AC572" s="12">
        <f t="shared" si="83"/>
        <v>0</v>
      </c>
      <c r="AE572" s="6">
        <f t="shared" si="84"/>
        <v>0</v>
      </c>
    </row>
    <row r="573" spans="1:31">
      <c r="A573" s="11" t="s">
        <v>291</v>
      </c>
      <c r="B573" s="11"/>
      <c r="C573" s="11" t="s">
        <v>24</v>
      </c>
      <c r="E573" s="6">
        <v>15546691</v>
      </c>
      <c r="G573" s="6">
        <v>0</v>
      </c>
      <c r="I573" s="2">
        <f t="shared" si="85"/>
        <v>15937547</v>
      </c>
      <c r="K573" s="6">
        <v>31484238</v>
      </c>
      <c r="M573" s="2">
        <f t="shared" si="82"/>
        <v>2353944</v>
      </c>
      <c r="O573" s="6">
        <v>13507414</v>
      </c>
      <c r="Q573" s="6">
        <v>15861358</v>
      </c>
      <c r="S573" s="6">
        <v>63001</v>
      </c>
      <c r="U573" s="6">
        <v>0</v>
      </c>
      <c r="W573" s="6">
        <v>11687</v>
      </c>
      <c r="Y573" s="6">
        <v>449505</v>
      </c>
      <c r="AA573" s="6">
        <v>15098687</v>
      </c>
      <c r="AC573" s="12">
        <f t="shared" si="83"/>
        <v>15622880</v>
      </c>
      <c r="AE573" s="6">
        <f t="shared" si="84"/>
        <v>0</v>
      </c>
    </row>
    <row r="574" spans="1:31" hidden="1">
      <c r="A574" s="11" t="s">
        <v>699</v>
      </c>
      <c r="B574" s="11"/>
      <c r="C574" s="11" t="s">
        <v>21</v>
      </c>
      <c r="I574" s="2">
        <f t="shared" si="85"/>
        <v>0</v>
      </c>
      <c r="M574" s="2">
        <f t="shared" si="82"/>
        <v>0</v>
      </c>
      <c r="AC574" s="12">
        <f t="shared" si="83"/>
        <v>0</v>
      </c>
      <c r="AE574" s="6">
        <f t="shared" si="84"/>
        <v>0</v>
      </c>
    </row>
    <row r="575" spans="1:31">
      <c r="A575" s="11" t="s">
        <v>542</v>
      </c>
      <c r="B575" s="11"/>
      <c r="C575" s="11" t="s">
        <v>68</v>
      </c>
      <c r="E575" s="6">
        <v>14797393</v>
      </c>
      <c r="G575" s="6">
        <v>1978</v>
      </c>
      <c r="I575" s="2">
        <f t="shared" si="85"/>
        <v>5917006</v>
      </c>
      <c r="K575" s="6">
        <v>20716377</v>
      </c>
      <c r="M575" s="2">
        <f t="shared" si="82"/>
        <v>3176338</v>
      </c>
      <c r="O575" s="6">
        <v>5242048</v>
      </c>
      <c r="Q575" s="6">
        <v>8418386</v>
      </c>
      <c r="S575" s="6">
        <v>34077</v>
      </c>
      <c r="U575" s="6">
        <v>0</v>
      </c>
      <c r="W575" s="6">
        <v>96299</v>
      </c>
      <c r="Y575" s="6">
        <v>132691</v>
      </c>
      <c r="AA575" s="6">
        <v>12034924</v>
      </c>
      <c r="AC575" s="12">
        <f t="shared" si="83"/>
        <v>12297991</v>
      </c>
      <c r="AE575" s="6">
        <f t="shared" si="84"/>
        <v>0</v>
      </c>
    </row>
    <row r="576" spans="1:31">
      <c r="A576" s="11" t="s">
        <v>419</v>
      </c>
      <c r="B576" s="11"/>
      <c r="C576" s="11" t="s">
        <v>47</v>
      </c>
      <c r="E576" s="6">
        <v>8344431</v>
      </c>
      <c r="G576" s="6">
        <v>0</v>
      </c>
      <c r="I576" s="2">
        <f t="shared" si="85"/>
        <v>16969281</v>
      </c>
      <c r="K576" s="6">
        <v>25313712</v>
      </c>
      <c r="M576" s="2">
        <f t="shared" si="82"/>
        <v>4826878</v>
      </c>
      <c r="O576" s="6">
        <f>13669630+812086</f>
        <v>14481716</v>
      </c>
      <c r="Q576" s="6">
        <v>19308594</v>
      </c>
      <c r="S576" s="6">
        <v>219556</v>
      </c>
      <c r="U576" s="6">
        <v>0</v>
      </c>
      <c r="W576" s="6">
        <f>30232+2996</f>
        <v>33228</v>
      </c>
      <c r="Y576" s="6">
        <f>62348+469461+2512+93602+19465+1866+33792+30898</f>
        <v>713944</v>
      </c>
      <c r="AA576" s="6">
        <v>5038390</v>
      </c>
      <c r="AC576" s="12">
        <f t="shared" si="83"/>
        <v>6005118</v>
      </c>
      <c r="AE576" s="6">
        <f t="shared" si="84"/>
        <v>0</v>
      </c>
    </row>
    <row r="577" spans="1:31" hidden="1">
      <c r="A577" s="11" t="s">
        <v>875</v>
      </c>
      <c r="B577" s="11"/>
      <c r="C577" s="11" t="s">
        <v>25</v>
      </c>
      <c r="E577" s="6">
        <v>0</v>
      </c>
      <c r="G577" s="6">
        <v>0</v>
      </c>
      <c r="I577" s="2">
        <f t="shared" ref="I577:I579" si="86">+K577-G577-E577</f>
        <v>0</v>
      </c>
      <c r="K577" s="6">
        <v>0</v>
      </c>
      <c r="M577" s="2">
        <f t="shared" ref="M577:M579" si="87">+Q577-O577</f>
        <v>0</v>
      </c>
      <c r="O577" s="6">
        <v>0</v>
      </c>
      <c r="Q577" s="6">
        <v>0</v>
      </c>
      <c r="S577" s="6">
        <v>0</v>
      </c>
      <c r="U577" s="6">
        <v>0</v>
      </c>
      <c r="W577" s="6">
        <v>0</v>
      </c>
      <c r="Y577" s="6">
        <v>0</v>
      </c>
      <c r="AA577" s="6">
        <v>0</v>
      </c>
      <c r="AC577" s="12">
        <f t="shared" ref="AC577:AC579" si="88">+W577+U577++S577+Y577+AA577</f>
        <v>0</v>
      </c>
      <c r="AE577" s="6">
        <f t="shared" ref="AE577:AE579" si="89">+E577+G577+I577-M577-O577-W577-U577-S577-Y577-AA577</f>
        <v>0</v>
      </c>
    </row>
    <row r="578" spans="1:31" hidden="1">
      <c r="A578" s="11" t="s">
        <v>876</v>
      </c>
      <c r="B578" s="11"/>
      <c r="C578" s="11" t="s">
        <v>14</v>
      </c>
      <c r="E578" s="6">
        <v>0</v>
      </c>
      <c r="G578" s="6">
        <v>0</v>
      </c>
      <c r="I578" s="2">
        <f t="shared" si="86"/>
        <v>0</v>
      </c>
      <c r="K578" s="6">
        <v>0</v>
      </c>
      <c r="M578" s="2">
        <f t="shared" si="87"/>
        <v>0</v>
      </c>
      <c r="O578" s="6">
        <v>0</v>
      </c>
      <c r="Q578" s="6">
        <v>0</v>
      </c>
      <c r="S578" s="6">
        <v>0</v>
      </c>
      <c r="U578" s="6">
        <v>0</v>
      </c>
      <c r="W578" s="6">
        <v>0</v>
      </c>
      <c r="Y578" s="6">
        <v>0</v>
      </c>
      <c r="AA578" s="6">
        <v>0</v>
      </c>
      <c r="AC578" s="12">
        <f t="shared" si="88"/>
        <v>0</v>
      </c>
      <c r="AE578" s="6">
        <f t="shared" si="89"/>
        <v>0</v>
      </c>
    </row>
    <row r="579" spans="1:31" hidden="1">
      <c r="A579" s="10" t="s">
        <v>877</v>
      </c>
      <c r="B579" s="10"/>
      <c r="C579" s="10" t="s">
        <v>63</v>
      </c>
      <c r="E579" s="6">
        <v>0</v>
      </c>
      <c r="G579" s="6">
        <v>0</v>
      </c>
      <c r="I579" s="2">
        <f t="shared" si="86"/>
        <v>0</v>
      </c>
      <c r="K579" s="6">
        <v>0</v>
      </c>
      <c r="M579" s="2">
        <f t="shared" si="87"/>
        <v>0</v>
      </c>
      <c r="O579" s="6">
        <v>0</v>
      </c>
      <c r="Q579" s="6">
        <v>0</v>
      </c>
      <c r="S579" s="6">
        <v>0</v>
      </c>
      <c r="U579" s="6">
        <v>0</v>
      </c>
      <c r="W579" s="6">
        <v>0</v>
      </c>
      <c r="Y579" s="6">
        <v>0</v>
      </c>
      <c r="AA579" s="6">
        <v>0</v>
      </c>
      <c r="AC579" s="12">
        <f t="shared" si="88"/>
        <v>0</v>
      </c>
      <c r="AE579" s="6">
        <f t="shared" si="89"/>
        <v>0</v>
      </c>
    </row>
    <row r="580" spans="1:31">
      <c r="A580" s="11" t="s">
        <v>531</v>
      </c>
      <c r="B580" s="11"/>
      <c r="C580" s="11" t="s">
        <v>64</v>
      </c>
      <c r="E580" s="6">
        <v>17146676</v>
      </c>
      <c r="G580" s="6">
        <v>0</v>
      </c>
      <c r="I580" s="2">
        <f t="shared" si="85"/>
        <v>16022646</v>
      </c>
      <c r="K580" s="6">
        <v>33169322</v>
      </c>
      <c r="M580" s="2">
        <f t="shared" si="82"/>
        <v>7028290</v>
      </c>
      <c r="O580" s="6">
        <f>4255378+11112603</f>
        <v>15367981</v>
      </c>
      <c r="Q580" s="6">
        <v>22396271</v>
      </c>
      <c r="S580" s="6">
        <v>0</v>
      </c>
      <c r="U580" s="6">
        <v>0</v>
      </c>
      <c r="W580" s="6">
        <f>33812+11000</f>
        <v>44812</v>
      </c>
      <c r="Y580" s="6">
        <f>41031+1069777+4897108+672052+190321</f>
        <v>6870289</v>
      </c>
      <c r="AA580" s="6">
        <v>3857950</v>
      </c>
      <c r="AC580" s="12">
        <f t="shared" si="83"/>
        <v>10773051</v>
      </c>
      <c r="AE580" s="6">
        <f t="shared" si="84"/>
        <v>0</v>
      </c>
    </row>
    <row r="581" spans="1:31">
      <c r="A581" s="11" t="s">
        <v>549</v>
      </c>
      <c r="B581" s="11"/>
      <c r="C581" s="11" t="s">
        <v>70</v>
      </c>
      <c r="E581" s="6">
        <v>6254120</v>
      </c>
      <c r="G581" s="6">
        <v>7419</v>
      </c>
      <c r="I581" s="2">
        <f t="shared" si="85"/>
        <v>6580376</v>
      </c>
      <c r="K581" s="6">
        <v>12841915</v>
      </c>
      <c r="M581" s="2">
        <f t="shared" si="82"/>
        <v>1954958</v>
      </c>
      <c r="O581" s="6">
        <v>6252809</v>
      </c>
      <c r="Q581" s="6">
        <v>8207767</v>
      </c>
      <c r="S581" s="6">
        <v>106538</v>
      </c>
      <c r="U581" s="6">
        <v>7419</v>
      </c>
      <c r="W581" s="6">
        <v>315821</v>
      </c>
      <c r="Y581" s="6">
        <v>78817</v>
      </c>
      <c r="AA581" s="6">
        <v>4125553</v>
      </c>
      <c r="AC581" s="12">
        <f t="shared" si="83"/>
        <v>4634148</v>
      </c>
      <c r="AE581" s="6">
        <f t="shared" si="84"/>
        <v>0</v>
      </c>
    </row>
    <row r="582" spans="1:31">
      <c r="A582" s="11" t="s">
        <v>280</v>
      </c>
      <c r="B582" s="11"/>
      <c r="C582" s="11" t="s">
        <v>20</v>
      </c>
      <c r="E582" s="6">
        <v>10742628</v>
      </c>
      <c r="G582" s="6">
        <v>0</v>
      </c>
      <c r="I582" s="2">
        <f t="shared" si="85"/>
        <v>19369993</v>
      </c>
      <c r="K582" s="6">
        <v>30112621</v>
      </c>
      <c r="M582" s="2">
        <f t="shared" si="82"/>
        <v>3301604</v>
      </c>
      <c r="O582" s="6">
        <v>16226998</v>
      </c>
      <c r="Q582" s="6">
        <v>19528602</v>
      </c>
      <c r="S582" s="6">
        <v>0</v>
      </c>
      <c r="U582" s="6">
        <v>0</v>
      </c>
      <c r="W582" s="6">
        <v>1531126</v>
      </c>
      <c r="Y582" s="6">
        <v>1920705</v>
      </c>
      <c r="AA582" s="6">
        <v>7132188</v>
      </c>
      <c r="AC582" s="12">
        <f t="shared" si="83"/>
        <v>10584019</v>
      </c>
      <c r="AE582" s="6">
        <f t="shared" si="84"/>
        <v>0</v>
      </c>
    </row>
    <row r="583" spans="1:31">
      <c r="A583" s="11" t="s">
        <v>298</v>
      </c>
      <c r="B583" s="11"/>
      <c r="C583" s="11" t="s">
        <v>26</v>
      </c>
      <c r="E583" s="6">
        <f>57994+1942050</f>
        <v>2000044</v>
      </c>
      <c r="G583" s="6">
        <v>3336</v>
      </c>
      <c r="I583" s="2">
        <f t="shared" si="85"/>
        <v>5203695</v>
      </c>
      <c r="K583" s="6">
        <v>7207075</v>
      </c>
      <c r="M583" s="2">
        <f t="shared" si="82"/>
        <v>2075424</v>
      </c>
      <c r="O583" s="6">
        <v>2815108</v>
      </c>
      <c r="Q583" s="6">
        <v>4890532</v>
      </c>
      <c r="S583" s="6">
        <v>0</v>
      </c>
      <c r="U583" s="6">
        <v>3336</v>
      </c>
      <c r="W583" s="6">
        <v>0</v>
      </c>
      <c r="Y583" s="6">
        <v>35099</v>
      </c>
      <c r="AA583" s="6">
        <v>2278108</v>
      </c>
      <c r="AC583" s="12">
        <f t="shared" si="83"/>
        <v>2316543</v>
      </c>
      <c r="AE583" s="6">
        <f t="shared" si="84"/>
        <v>0</v>
      </c>
    </row>
    <row r="584" spans="1:31">
      <c r="A584" s="11" t="s">
        <v>396</v>
      </c>
      <c r="B584" s="11"/>
      <c r="C584" s="11" t="s">
        <v>115</v>
      </c>
      <c r="E584" s="6">
        <f>33249293+3322</f>
        <v>33252615</v>
      </c>
      <c r="G584" s="6">
        <v>0</v>
      </c>
      <c r="I584" s="2">
        <f t="shared" si="85"/>
        <v>40045319</v>
      </c>
      <c r="K584" s="6">
        <v>73297934</v>
      </c>
      <c r="M584" s="2">
        <f t="shared" si="82"/>
        <v>10613367</v>
      </c>
      <c r="O584" s="6">
        <f>4399705+32718637</f>
        <v>37118342</v>
      </c>
      <c r="Q584" s="6">
        <v>47731709</v>
      </c>
      <c r="S584" s="6">
        <f>145257+167531</f>
        <v>312788</v>
      </c>
      <c r="U584" s="6">
        <v>0</v>
      </c>
      <c r="W584" s="6">
        <v>55000</v>
      </c>
      <c r="Y584" s="6">
        <f>197204+670162+27000+8928+4042872+141307</f>
        <v>5087473</v>
      </c>
      <c r="AA584" s="6">
        <v>20110964</v>
      </c>
      <c r="AC584" s="12">
        <f t="shared" si="83"/>
        <v>25566225</v>
      </c>
      <c r="AE584" s="6">
        <f t="shared" si="84"/>
        <v>0</v>
      </c>
    </row>
    <row r="585" spans="1:31">
      <c r="A585" s="11" t="s">
        <v>485</v>
      </c>
      <c r="B585" s="11"/>
      <c r="C585" s="11" t="s">
        <v>59</v>
      </c>
      <c r="E585" s="6">
        <v>2969456</v>
      </c>
      <c r="G585" s="6">
        <v>0</v>
      </c>
      <c r="I585" s="2">
        <f t="shared" si="85"/>
        <v>1845921</v>
      </c>
      <c r="K585" s="6">
        <v>4815377</v>
      </c>
      <c r="M585" s="2">
        <f t="shared" si="82"/>
        <v>1230451</v>
      </c>
      <c r="O585" s="6">
        <v>1644317</v>
      </c>
      <c r="Q585" s="6">
        <v>2874768</v>
      </c>
      <c r="S585" s="6">
        <v>58948</v>
      </c>
      <c r="U585" s="6">
        <v>0</v>
      </c>
      <c r="W585" s="6">
        <v>178318</v>
      </c>
      <c r="Y585" s="6">
        <v>244284</v>
      </c>
      <c r="AA585" s="6">
        <v>1459059</v>
      </c>
      <c r="AC585" s="12">
        <f t="shared" si="83"/>
        <v>1940609</v>
      </c>
      <c r="AE585" s="6">
        <f t="shared" si="84"/>
        <v>0</v>
      </c>
    </row>
    <row r="586" spans="1:31">
      <c r="A586" s="11" t="s">
        <v>465</v>
      </c>
      <c r="B586" s="11"/>
      <c r="C586" s="11" t="s">
        <v>56</v>
      </c>
      <c r="E586" s="6">
        <v>1273596</v>
      </c>
      <c r="G586" s="6">
        <v>0</v>
      </c>
      <c r="I586" s="2">
        <f t="shared" si="85"/>
        <v>3086505</v>
      </c>
      <c r="K586" s="6">
        <v>4360101</v>
      </c>
      <c r="M586" s="2">
        <f t="shared" si="82"/>
        <v>1024229</v>
      </c>
      <c r="O586" s="6">
        <f>169842+2621844</f>
        <v>2791686</v>
      </c>
      <c r="Q586" s="6">
        <v>3815915</v>
      </c>
      <c r="S586" s="6">
        <v>27091</v>
      </c>
      <c r="U586" s="6">
        <v>0</v>
      </c>
      <c r="W586" s="6">
        <v>11000</v>
      </c>
      <c r="Y586" s="6">
        <f>92693+171070+644+22118+219570</f>
        <v>506095</v>
      </c>
      <c r="AA586" s="6">
        <v>0</v>
      </c>
      <c r="AC586" s="12">
        <f t="shared" si="83"/>
        <v>544186</v>
      </c>
      <c r="AE586" s="6">
        <f t="shared" si="84"/>
        <v>0</v>
      </c>
    </row>
    <row r="587" spans="1:31">
      <c r="A587" s="11" t="s">
        <v>780</v>
      </c>
      <c r="B587" s="11"/>
      <c r="C587" s="11" t="s">
        <v>28</v>
      </c>
      <c r="E587" s="6">
        <v>2629107</v>
      </c>
      <c r="G587" s="6">
        <v>0</v>
      </c>
      <c r="I587" s="2">
        <f t="shared" si="85"/>
        <v>5156156</v>
      </c>
      <c r="K587" s="6">
        <v>7785263</v>
      </c>
      <c r="M587" s="2">
        <f t="shared" si="82"/>
        <v>1658318</v>
      </c>
      <c r="O587" s="6">
        <f>89787+4520882</f>
        <v>4610669</v>
      </c>
      <c r="Q587" s="6">
        <v>6268987</v>
      </c>
      <c r="S587" s="6">
        <f>48184+59745</f>
        <v>107929</v>
      </c>
      <c r="U587" s="6">
        <v>0</v>
      </c>
      <c r="W587" s="6">
        <v>11000</v>
      </c>
      <c r="Y587" s="6">
        <f>10044+6057+1375703+5543</f>
        <v>1397347</v>
      </c>
      <c r="AA587" s="6">
        <v>0</v>
      </c>
      <c r="AC587" s="12">
        <f t="shared" si="83"/>
        <v>1516276</v>
      </c>
      <c r="AE587" s="6">
        <f t="shared" si="84"/>
        <v>0</v>
      </c>
    </row>
    <row r="588" spans="1:31">
      <c r="A588" s="11" t="s">
        <v>457</v>
      </c>
      <c r="B588" s="11"/>
      <c r="C588" s="11" t="s">
        <v>55</v>
      </c>
      <c r="E588" s="6">
        <v>2113736</v>
      </c>
      <c r="G588" s="6">
        <v>57076</v>
      </c>
      <c r="I588" s="2">
        <f t="shared" si="85"/>
        <v>3504133</v>
      </c>
      <c r="K588" s="6">
        <v>5674945</v>
      </c>
      <c r="M588" s="2">
        <f t="shared" si="82"/>
        <v>1341520</v>
      </c>
      <c r="O588" s="6">
        <v>3082501</v>
      </c>
      <c r="Q588" s="6">
        <v>4424021</v>
      </c>
      <c r="S588" s="6">
        <v>27515</v>
      </c>
      <c r="U588" s="6">
        <v>0</v>
      </c>
      <c r="W588" s="6">
        <v>11000</v>
      </c>
      <c r="Y588" s="6">
        <v>273926</v>
      </c>
      <c r="AA588" s="6">
        <v>938483</v>
      </c>
      <c r="AC588" s="12">
        <f t="shared" si="83"/>
        <v>1250924</v>
      </c>
      <c r="AE588" s="6">
        <f t="shared" si="84"/>
        <v>0</v>
      </c>
    </row>
    <row r="589" spans="1:31" hidden="1">
      <c r="A589" s="11" t="s">
        <v>708</v>
      </c>
      <c r="B589" s="11"/>
      <c r="C589" s="11" t="s">
        <v>69</v>
      </c>
      <c r="I589" s="2">
        <f t="shared" si="85"/>
        <v>0</v>
      </c>
      <c r="M589" s="2">
        <f t="shared" si="82"/>
        <v>0</v>
      </c>
      <c r="AC589" s="12">
        <f t="shared" si="83"/>
        <v>0</v>
      </c>
      <c r="AE589" s="6">
        <f t="shared" si="84"/>
        <v>0</v>
      </c>
    </row>
    <row r="590" spans="1:31" hidden="1">
      <c r="A590" s="11" t="s">
        <v>803</v>
      </c>
      <c r="B590" s="11"/>
      <c r="C590" s="11" t="s">
        <v>450</v>
      </c>
      <c r="I590" s="2">
        <f t="shared" si="85"/>
        <v>0</v>
      </c>
      <c r="M590" s="2">
        <f t="shared" si="82"/>
        <v>0</v>
      </c>
      <c r="AC590" s="12">
        <f t="shared" si="83"/>
        <v>0</v>
      </c>
      <c r="AE590" s="6">
        <f t="shared" si="84"/>
        <v>0</v>
      </c>
    </row>
    <row r="591" spans="1:31" hidden="1">
      <c r="A591" s="11" t="s">
        <v>646</v>
      </c>
      <c r="B591" s="11"/>
      <c r="C591" s="11" t="s">
        <v>14</v>
      </c>
      <c r="I591" s="2">
        <f t="shared" si="85"/>
        <v>0</v>
      </c>
      <c r="M591" s="2">
        <f t="shared" si="82"/>
        <v>0</v>
      </c>
      <c r="AC591" s="12">
        <f t="shared" si="83"/>
        <v>0</v>
      </c>
      <c r="AE591" s="6">
        <f t="shared" si="84"/>
        <v>0</v>
      </c>
    </row>
    <row r="592" spans="1:31">
      <c r="A592" s="11" t="s">
        <v>532</v>
      </c>
      <c r="B592" s="11"/>
      <c r="C592" s="11" t="s">
        <v>64</v>
      </c>
      <c r="E592" s="6">
        <f>1781420+5073</f>
        <v>1786493</v>
      </c>
      <c r="G592" s="6">
        <v>0</v>
      </c>
      <c r="I592" s="2">
        <f t="shared" si="85"/>
        <v>2727324</v>
      </c>
      <c r="K592" s="6">
        <v>4513817</v>
      </c>
      <c r="M592" s="2">
        <f t="shared" si="82"/>
        <v>869374</v>
      </c>
      <c r="O592" s="6">
        <f>447474+2241444</f>
        <v>2688918</v>
      </c>
      <c r="Q592" s="6">
        <v>3558292</v>
      </c>
      <c r="S592" s="6">
        <v>32685</v>
      </c>
      <c r="U592" s="6">
        <v>0</v>
      </c>
      <c r="W592" s="6">
        <v>0</v>
      </c>
      <c r="Y592" s="6">
        <f>6863+118104+2058+316861</f>
        <v>443886</v>
      </c>
      <c r="AA592" s="6">
        <v>478954</v>
      </c>
      <c r="AC592" s="12">
        <f t="shared" si="83"/>
        <v>955525</v>
      </c>
      <c r="AE592" s="6">
        <f t="shared" si="84"/>
        <v>0</v>
      </c>
    </row>
    <row r="593" spans="1:31">
      <c r="A593" s="11" t="s">
        <v>781</v>
      </c>
      <c r="B593" s="11"/>
      <c r="C593" s="11" t="s">
        <v>44</v>
      </c>
      <c r="E593" s="6">
        <f>3959533+192309</f>
        <v>4151842</v>
      </c>
      <c r="G593" s="6">
        <v>0</v>
      </c>
      <c r="I593" s="2">
        <f t="shared" si="85"/>
        <v>5336591</v>
      </c>
      <c r="K593" s="6">
        <v>9488433</v>
      </c>
      <c r="M593" s="2">
        <f t="shared" si="82"/>
        <v>1481090</v>
      </c>
      <c r="O593" s="6">
        <v>4201843</v>
      </c>
      <c r="Q593" s="6">
        <v>5682933</v>
      </c>
      <c r="S593" s="6">
        <v>38523</v>
      </c>
      <c r="U593" s="6">
        <v>0</v>
      </c>
      <c r="W593" s="6">
        <v>0</v>
      </c>
      <c r="Y593" s="6">
        <v>1229922</v>
      </c>
      <c r="AA593" s="6">
        <v>2537055</v>
      </c>
      <c r="AC593" s="12">
        <f t="shared" si="83"/>
        <v>3805500</v>
      </c>
      <c r="AE593" s="6">
        <f t="shared" si="84"/>
        <v>0</v>
      </c>
    </row>
    <row r="594" spans="1:31">
      <c r="A594" s="11" t="s">
        <v>361</v>
      </c>
      <c r="B594" s="11"/>
      <c r="C594" s="11" t="s">
        <v>38</v>
      </c>
      <c r="E594" s="6">
        <v>6912860</v>
      </c>
      <c r="G594" s="6">
        <v>56688</v>
      </c>
      <c r="I594" s="2">
        <f t="shared" si="85"/>
        <v>2970068</v>
      </c>
      <c r="K594" s="6">
        <v>9939616</v>
      </c>
      <c r="M594" s="2">
        <f t="shared" si="82"/>
        <v>1135632</v>
      </c>
      <c r="O594" s="6">
        <v>2711334</v>
      </c>
      <c r="Q594" s="6">
        <v>3846966</v>
      </c>
      <c r="S594" s="6">
        <v>0</v>
      </c>
      <c r="U594" s="6">
        <v>63469</v>
      </c>
      <c r="W594" s="6">
        <v>175319</v>
      </c>
      <c r="Y594" s="6">
        <v>60930</v>
      </c>
      <c r="AA594" s="6">
        <v>5792932</v>
      </c>
      <c r="AC594" s="12">
        <f t="shared" si="83"/>
        <v>6092650</v>
      </c>
      <c r="AE594" s="6">
        <f t="shared" si="84"/>
        <v>0</v>
      </c>
    </row>
    <row r="595" spans="1:31">
      <c r="A595" s="11" t="s">
        <v>252</v>
      </c>
      <c r="B595" s="11"/>
      <c r="C595" s="11" t="s">
        <v>112</v>
      </c>
      <c r="E595" s="6">
        <v>1920877</v>
      </c>
      <c r="G595" s="6">
        <v>6884</v>
      </c>
      <c r="I595" s="2">
        <f t="shared" si="85"/>
        <v>1251197</v>
      </c>
      <c r="K595" s="6">
        <v>3178958</v>
      </c>
      <c r="M595" s="2">
        <f t="shared" si="82"/>
        <v>810188</v>
      </c>
      <c r="O595" s="6">
        <f>203589+916022</f>
        <v>1119611</v>
      </c>
      <c r="Q595" s="6">
        <v>1929799</v>
      </c>
      <c r="S595" s="6">
        <v>16455</v>
      </c>
      <c r="U595" s="6">
        <v>6884</v>
      </c>
      <c r="W595" s="6">
        <v>11000</v>
      </c>
      <c r="Y595" s="6">
        <f>22806+47556+55+1141662+2741</f>
        <v>1214820</v>
      </c>
      <c r="AA595" s="6">
        <v>0</v>
      </c>
      <c r="AC595" s="12">
        <f t="shared" si="83"/>
        <v>1249159</v>
      </c>
      <c r="AE595" s="6">
        <f t="shared" si="84"/>
        <v>0</v>
      </c>
    </row>
    <row r="596" spans="1:31">
      <c r="A596" s="11" t="s">
        <v>408</v>
      </c>
      <c r="B596" s="11"/>
      <c r="C596" s="11" t="s">
        <v>45</v>
      </c>
      <c r="E596" s="6">
        <v>3884747</v>
      </c>
      <c r="G596" s="6">
        <v>0</v>
      </c>
      <c r="I596" s="2">
        <f t="shared" si="85"/>
        <v>5116368</v>
      </c>
      <c r="K596" s="6">
        <v>9001115</v>
      </c>
      <c r="M596" s="2">
        <f t="shared" si="82"/>
        <v>3051601</v>
      </c>
      <c r="O596" s="6">
        <f>859218+4114919</f>
        <v>4974137</v>
      </c>
      <c r="Q596" s="6">
        <v>8025738</v>
      </c>
      <c r="S596" s="6">
        <v>29183</v>
      </c>
      <c r="U596" s="6">
        <v>0</v>
      </c>
      <c r="W596" s="6">
        <v>0</v>
      </c>
      <c r="Y596" s="6">
        <f>34209+186219+1649+791381+77384+4211</f>
        <v>1095053</v>
      </c>
      <c r="AA596" s="6">
        <v>-148859</v>
      </c>
      <c r="AC596" s="12">
        <f t="shared" si="83"/>
        <v>975377</v>
      </c>
      <c r="AE596" s="6">
        <f t="shared" si="84"/>
        <v>0</v>
      </c>
    </row>
    <row r="597" spans="1:31">
      <c r="A597" s="11" t="s">
        <v>707</v>
      </c>
      <c r="B597" s="11"/>
      <c r="C597" s="11" t="s">
        <v>50</v>
      </c>
      <c r="E597" s="6">
        <v>13498499</v>
      </c>
      <c r="G597" s="6">
        <v>0</v>
      </c>
      <c r="I597" s="2">
        <f t="shared" si="85"/>
        <v>15722850</v>
      </c>
      <c r="K597" s="6">
        <v>29221349</v>
      </c>
      <c r="M597" s="2">
        <f t="shared" si="82"/>
        <v>4038756</v>
      </c>
      <c r="O597" s="6">
        <f>13125842+1069492</f>
        <v>14195334</v>
      </c>
      <c r="Q597" s="6">
        <v>18234090</v>
      </c>
      <c r="S597" s="6">
        <v>210509</v>
      </c>
      <c r="U597" s="6">
        <v>0</v>
      </c>
      <c r="W597" s="6">
        <v>0</v>
      </c>
      <c r="Y597" s="6">
        <f>281035+268671+8235+1639926+202991+27189</f>
        <v>2428047</v>
      </c>
      <c r="AA597" s="6">
        <v>8348703</v>
      </c>
      <c r="AC597" s="12">
        <f t="shared" si="83"/>
        <v>10987259</v>
      </c>
      <c r="AE597" s="6">
        <f t="shared" si="84"/>
        <v>0</v>
      </c>
    </row>
    <row r="598" spans="1:31">
      <c r="A598" s="11" t="s">
        <v>241</v>
      </c>
      <c r="B598" s="11"/>
      <c r="C598" s="11" t="s">
        <v>113</v>
      </c>
      <c r="E598" s="6">
        <v>2581461</v>
      </c>
      <c r="G598" s="6">
        <v>0</v>
      </c>
      <c r="I598" s="2">
        <f t="shared" si="85"/>
        <v>37281514</v>
      </c>
      <c r="K598" s="6">
        <v>39862975</v>
      </c>
      <c r="M598" s="2">
        <f t="shared" si="82"/>
        <v>7364013</v>
      </c>
      <c r="O598" s="6">
        <v>31795404</v>
      </c>
      <c r="Q598" s="6">
        <v>39159417</v>
      </c>
      <c r="S598" s="6">
        <v>0</v>
      </c>
      <c r="U598" s="6">
        <v>0</v>
      </c>
      <c r="W598" s="6">
        <v>775186</v>
      </c>
      <c r="Y598" s="6">
        <v>431478</v>
      </c>
      <c r="AA598" s="6">
        <v>-503106</v>
      </c>
      <c r="AC598" s="12">
        <f t="shared" si="83"/>
        <v>703558</v>
      </c>
      <c r="AE598" s="6">
        <f t="shared" si="84"/>
        <v>0</v>
      </c>
    </row>
    <row r="599" spans="1:31">
      <c r="A599" s="11" t="s">
        <v>316</v>
      </c>
      <c r="B599" s="11"/>
      <c r="C599" s="11" t="s">
        <v>30</v>
      </c>
      <c r="E599" s="6">
        <v>7137911</v>
      </c>
      <c r="G599" s="6">
        <v>0</v>
      </c>
      <c r="I599" s="2">
        <f t="shared" si="85"/>
        <v>15939230</v>
      </c>
      <c r="K599" s="6">
        <v>23077141</v>
      </c>
      <c r="M599" s="2">
        <f t="shared" si="82"/>
        <v>2694274</v>
      </c>
      <c r="O599" s="6">
        <v>13639786</v>
      </c>
      <c r="Q599" s="6">
        <v>16334060</v>
      </c>
      <c r="S599" s="6">
        <v>0</v>
      </c>
      <c r="U599" s="6">
        <v>0</v>
      </c>
      <c r="W599" s="6">
        <v>0</v>
      </c>
      <c r="Y599" s="6">
        <v>1305498</v>
      </c>
      <c r="AA599" s="6">
        <v>5437583</v>
      </c>
      <c r="AC599" s="12">
        <f t="shared" si="83"/>
        <v>6743081</v>
      </c>
      <c r="AE599" s="6">
        <f t="shared" si="84"/>
        <v>0</v>
      </c>
    </row>
    <row r="600" spans="1:31">
      <c r="A600" s="11" t="s">
        <v>354</v>
      </c>
      <c r="B600" s="11"/>
      <c r="C600" s="11" t="s">
        <v>36</v>
      </c>
      <c r="E600" s="6">
        <v>10422855</v>
      </c>
      <c r="G600" s="6">
        <v>0</v>
      </c>
      <c r="I600" s="2">
        <f t="shared" si="85"/>
        <v>8420794</v>
      </c>
      <c r="K600" s="6">
        <v>18843649</v>
      </c>
      <c r="M600" s="2">
        <f t="shared" si="82"/>
        <v>2614438</v>
      </c>
      <c r="O600" s="6">
        <v>7774014</v>
      </c>
      <c r="Q600" s="6">
        <v>10388452</v>
      </c>
      <c r="S600" s="6">
        <v>42151</v>
      </c>
      <c r="U600" s="6">
        <v>0</v>
      </c>
      <c r="W600" s="6">
        <v>0</v>
      </c>
      <c r="Y600" s="6">
        <v>1259493</v>
      </c>
      <c r="AA600" s="6">
        <v>7153553</v>
      </c>
      <c r="AC600" s="12">
        <f t="shared" si="83"/>
        <v>8455197</v>
      </c>
      <c r="AE600" s="6">
        <f t="shared" si="84"/>
        <v>0</v>
      </c>
    </row>
    <row r="601" spans="1:31">
      <c r="A601" s="11" t="s">
        <v>230</v>
      </c>
      <c r="B601" s="11"/>
      <c r="C601" s="11" t="s">
        <v>228</v>
      </c>
      <c r="E601" s="6">
        <v>913027</v>
      </c>
      <c r="G601" s="6">
        <v>0</v>
      </c>
      <c r="I601" s="2">
        <f t="shared" si="85"/>
        <v>3111787</v>
      </c>
      <c r="K601" s="6">
        <v>4024814</v>
      </c>
      <c r="M601" s="2">
        <f t="shared" si="82"/>
        <v>1571096</v>
      </c>
      <c r="O601" s="6">
        <f>256658+1970044</f>
        <v>2226702</v>
      </c>
      <c r="Q601" s="6">
        <v>3797798</v>
      </c>
      <c r="S601" s="6">
        <v>13545</v>
      </c>
      <c r="U601" s="6">
        <v>0</v>
      </c>
      <c r="W601" s="6">
        <v>0</v>
      </c>
      <c r="Y601" s="6">
        <f>9574+17607+154849+4980+41081+6826</f>
        <v>234917</v>
      </c>
      <c r="AA601" s="6">
        <v>-21446</v>
      </c>
      <c r="AC601" s="12">
        <f t="shared" si="83"/>
        <v>227016</v>
      </c>
      <c r="AE601" s="6">
        <f t="shared" si="84"/>
        <v>0</v>
      </c>
    </row>
    <row r="602" spans="1:31">
      <c r="A602" s="11" t="s">
        <v>447</v>
      </c>
      <c r="B602" s="11"/>
      <c r="C602" s="11" t="s">
        <v>51</v>
      </c>
      <c r="E602" s="6">
        <f>1472360+20</f>
        <v>1472380</v>
      </c>
      <c r="G602" s="6">
        <v>0</v>
      </c>
      <c r="I602" s="2">
        <f t="shared" si="85"/>
        <v>6088901</v>
      </c>
      <c r="K602" s="6">
        <v>7561281</v>
      </c>
      <c r="M602" s="2">
        <f t="shared" si="82"/>
        <v>1201518</v>
      </c>
      <c r="O602" s="6">
        <v>3901638</v>
      </c>
      <c r="Q602" s="6">
        <v>5103156</v>
      </c>
      <c r="S602" s="6">
        <v>88575</v>
      </c>
      <c r="U602" s="6">
        <v>0</v>
      </c>
      <c r="W602" s="6">
        <v>123725</v>
      </c>
      <c r="Y602" s="6">
        <v>265118</v>
      </c>
      <c r="AA602" s="6">
        <v>1980707</v>
      </c>
      <c r="AC602" s="12">
        <f t="shared" si="83"/>
        <v>2458125</v>
      </c>
      <c r="AE602" s="6">
        <f t="shared" si="84"/>
        <v>0</v>
      </c>
    </row>
    <row r="603" spans="1:31">
      <c r="A603" s="11" t="s">
        <v>220</v>
      </c>
      <c r="B603" s="11"/>
      <c r="C603" s="11" t="s">
        <v>77</v>
      </c>
      <c r="E603" s="6">
        <v>2243044</v>
      </c>
      <c r="G603" s="6">
        <v>4619</v>
      </c>
      <c r="I603" s="2">
        <f t="shared" si="85"/>
        <v>4522387</v>
      </c>
      <c r="K603" s="6">
        <v>6770050</v>
      </c>
      <c r="M603" s="2">
        <f t="shared" si="82"/>
        <v>2660389</v>
      </c>
      <c r="O603" s="6">
        <v>3258606</v>
      </c>
      <c r="Q603" s="6">
        <v>5918995</v>
      </c>
      <c r="S603" s="6">
        <v>11471</v>
      </c>
      <c r="U603" s="6">
        <v>4619</v>
      </c>
      <c r="W603" s="6">
        <v>0</v>
      </c>
      <c r="Y603" s="6">
        <v>176733</v>
      </c>
      <c r="AA603" s="6">
        <v>658232</v>
      </c>
      <c r="AC603" s="12">
        <f t="shared" si="83"/>
        <v>851055</v>
      </c>
      <c r="AE603" s="6">
        <f t="shared" si="84"/>
        <v>0</v>
      </c>
    </row>
    <row r="604" spans="1:31">
      <c r="A604" s="11" t="s">
        <v>458</v>
      </c>
      <c r="B604" s="11"/>
      <c r="C604" s="11" t="s">
        <v>55</v>
      </c>
      <c r="E604" s="6">
        <f>2822007+58404</f>
        <v>2880411</v>
      </c>
      <c r="G604" s="6">
        <v>0</v>
      </c>
      <c r="I604" s="2">
        <f t="shared" si="85"/>
        <v>1367312</v>
      </c>
      <c r="K604" s="6">
        <v>4247723</v>
      </c>
      <c r="M604" s="2">
        <f t="shared" si="82"/>
        <v>631654</v>
      </c>
      <c r="O604" s="6">
        <v>1276061</v>
      </c>
      <c r="Q604" s="6">
        <v>1907715</v>
      </c>
      <c r="S604" s="6">
        <v>0</v>
      </c>
      <c r="U604" s="6">
        <v>58404</v>
      </c>
      <c r="W604" s="6">
        <v>0</v>
      </c>
      <c r="Y604" s="6">
        <v>52575</v>
      </c>
      <c r="AA604" s="6">
        <v>2229029</v>
      </c>
      <c r="AC604" s="12">
        <f t="shared" si="83"/>
        <v>2340008</v>
      </c>
      <c r="AE604" s="6">
        <f t="shared" si="84"/>
        <v>0</v>
      </c>
    </row>
    <row r="605" spans="1:31">
      <c r="A605" s="11" t="s">
        <v>359</v>
      </c>
      <c r="B605" s="11"/>
      <c r="C605" s="11" t="s">
        <v>37</v>
      </c>
      <c r="E605" s="6">
        <v>1225060</v>
      </c>
      <c r="G605" s="6">
        <v>0</v>
      </c>
      <c r="I605" s="2">
        <f t="shared" si="85"/>
        <v>3407542</v>
      </c>
      <c r="K605" s="6">
        <v>4632602</v>
      </c>
      <c r="M605" s="2">
        <f t="shared" si="82"/>
        <v>1256650</v>
      </c>
      <c r="O605" s="6">
        <f>415816+2010036</f>
        <v>2425852</v>
      </c>
      <c r="Q605" s="6">
        <v>3682502</v>
      </c>
      <c r="S605" s="6">
        <v>26739</v>
      </c>
      <c r="U605" s="6">
        <v>4734</v>
      </c>
      <c r="W605" s="6">
        <v>0</v>
      </c>
      <c r="Y605" s="6">
        <f>115249+233401+24365+1732</f>
        <v>374747</v>
      </c>
      <c r="AA605" s="6">
        <v>543880</v>
      </c>
      <c r="AC605" s="12">
        <f t="shared" si="83"/>
        <v>950100</v>
      </c>
      <c r="AE605" s="6">
        <f t="shared" si="84"/>
        <v>0</v>
      </c>
    </row>
    <row r="606" spans="1:31">
      <c r="A606" s="11" t="s">
        <v>359</v>
      </c>
      <c r="B606" s="11"/>
      <c r="C606" s="11" t="s">
        <v>45</v>
      </c>
      <c r="E606" s="6">
        <v>1625053</v>
      </c>
      <c r="G606" s="6">
        <v>67313</v>
      </c>
      <c r="I606" s="2">
        <f t="shared" si="85"/>
        <v>2952623</v>
      </c>
      <c r="K606" s="6">
        <v>4644989</v>
      </c>
      <c r="M606" s="2">
        <f t="shared" si="82"/>
        <v>681278</v>
      </c>
      <c r="O606" s="6">
        <v>2785719</v>
      </c>
      <c r="Q606" s="6">
        <v>3466997</v>
      </c>
      <c r="S606" s="6">
        <v>76886</v>
      </c>
      <c r="U606" s="6">
        <v>0</v>
      </c>
      <c r="W606" s="6">
        <v>67313</v>
      </c>
      <c r="Y606" s="6">
        <v>48106</v>
      </c>
      <c r="AA606" s="6">
        <v>985687</v>
      </c>
      <c r="AC606" s="12">
        <f t="shared" si="83"/>
        <v>1177992</v>
      </c>
      <c r="AE606" s="6">
        <f t="shared" si="84"/>
        <v>0</v>
      </c>
    </row>
    <row r="607" spans="1:31">
      <c r="A607" s="11" t="s">
        <v>309</v>
      </c>
      <c r="B607" s="11"/>
      <c r="C607" s="11" t="s">
        <v>27</v>
      </c>
      <c r="E607" s="6">
        <v>10350157</v>
      </c>
      <c r="G607" s="6">
        <v>0</v>
      </c>
      <c r="I607" s="2">
        <f t="shared" si="85"/>
        <v>107831266</v>
      </c>
      <c r="K607" s="6">
        <v>118181423</v>
      </c>
      <c r="M607" s="2">
        <f t="shared" ref="M607:M630" si="90">+Q607-O607</f>
        <v>20972643</v>
      </c>
      <c r="O607" s="6">
        <f>70237858+6822800</f>
        <v>77060658</v>
      </c>
      <c r="Q607" s="6">
        <v>98033301</v>
      </c>
      <c r="S607" s="6">
        <f>82317+339870</f>
        <v>422187</v>
      </c>
      <c r="U607" s="6">
        <v>0</v>
      </c>
      <c r="W607" s="6">
        <v>0</v>
      </c>
      <c r="Y607" s="6">
        <f>103054+820340+1420662</f>
        <v>2344056</v>
      </c>
      <c r="AA607" s="6">
        <v>17381879</v>
      </c>
      <c r="AC607" s="12">
        <f t="shared" ref="AC607:AC630" si="91">+W607+U607++S607+Y607+AA607</f>
        <v>20148122</v>
      </c>
      <c r="AE607" s="6">
        <f t="shared" ref="AE607:AE630" si="92">+E607+G607+I607-M607-O607-W607-U607-S607-Y607-AA607</f>
        <v>0</v>
      </c>
    </row>
    <row r="608" spans="1:31">
      <c r="A608" s="11" t="s">
        <v>455</v>
      </c>
      <c r="B608" s="11"/>
      <c r="C608" s="11" t="s">
        <v>54</v>
      </c>
      <c r="E608" s="6">
        <v>5262495</v>
      </c>
      <c r="G608" s="6">
        <v>0</v>
      </c>
      <c r="I608" s="2">
        <f t="shared" si="85"/>
        <v>5892250</v>
      </c>
      <c r="K608" s="6">
        <v>11154745</v>
      </c>
      <c r="M608" s="2">
        <f t="shared" si="90"/>
        <v>1220925</v>
      </c>
      <c r="O608" s="6">
        <v>5255550</v>
      </c>
      <c r="Q608" s="6">
        <v>6476475</v>
      </c>
      <c r="S608" s="6">
        <v>0</v>
      </c>
      <c r="U608" s="6">
        <v>0</v>
      </c>
      <c r="W608" s="6">
        <v>0</v>
      </c>
      <c r="Y608" s="6">
        <v>190940</v>
      </c>
      <c r="AA608" s="6">
        <v>4487330</v>
      </c>
      <c r="AC608" s="12">
        <f t="shared" si="91"/>
        <v>4678270</v>
      </c>
      <c r="AE608" s="6">
        <f t="shared" si="92"/>
        <v>0</v>
      </c>
    </row>
    <row r="609" spans="1:31">
      <c r="A609" s="11" t="s">
        <v>281</v>
      </c>
      <c r="B609" s="11"/>
      <c r="C609" s="11" t="s">
        <v>20</v>
      </c>
      <c r="E609" s="6">
        <v>22579479</v>
      </c>
      <c r="G609" s="6">
        <v>0</v>
      </c>
      <c r="I609" s="2">
        <f t="shared" ref="I609:I630" si="93">+K609-G609-E609</f>
        <v>40709374</v>
      </c>
      <c r="K609" s="6">
        <v>63288853</v>
      </c>
      <c r="M609" s="2">
        <f t="shared" si="90"/>
        <v>7435913</v>
      </c>
      <c r="O609" s="6">
        <f>2398968+33240957</f>
        <v>35639925</v>
      </c>
      <c r="Q609" s="6">
        <v>43075838</v>
      </c>
      <c r="S609" s="6">
        <v>5339</v>
      </c>
      <c r="U609" s="6">
        <v>0</v>
      </c>
      <c r="W609" s="6">
        <v>0</v>
      </c>
      <c r="Y609" s="6">
        <f>1409718+1021201+48717+6671232+28890+111310</f>
        <v>9291068</v>
      </c>
      <c r="AA609" s="6">
        <v>10916608</v>
      </c>
      <c r="AC609" s="12">
        <f t="shared" si="91"/>
        <v>20213015</v>
      </c>
      <c r="AE609" s="6">
        <f t="shared" si="92"/>
        <v>0</v>
      </c>
    </row>
    <row r="610" spans="1:31">
      <c r="A610" s="11" t="s">
        <v>486</v>
      </c>
      <c r="B610" s="11"/>
      <c r="C610" s="11" t="s">
        <v>59</v>
      </c>
      <c r="E610" s="6">
        <v>1734796</v>
      </c>
      <c r="G610" s="6">
        <v>0</v>
      </c>
      <c r="I610" s="2">
        <f t="shared" si="93"/>
        <v>2996369</v>
      </c>
      <c r="K610" s="6">
        <v>4731165</v>
      </c>
      <c r="M610" s="2">
        <f t="shared" si="90"/>
        <v>1204543</v>
      </c>
      <c r="O610" s="6">
        <v>2684735</v>
      </c>
      <c r="Q610" s="6">
        <v>3889278</v>
      </c>
      <c r="S610" s="6">
        <v>29664</v>
      </c>
      <c r="U610" s="6">
        <v>0</v>
      </c>
      <c r="W610" s="6">
        <v>0</v>
      </c>
      <c r="Y610" s="6">
        <v>724727</v>
      </c>
      <c r="AA610" s="6">
        <v>87496</v>
      </c>
      <c r="AC610" s="12">
        <f t="shared" si="91"/>
        <v>841887</v>
      </c>
      <c r="AE610" s="6">
        <f t="shared" si="92"/>
        <v>0</v>
      </c>
    </row>
    <row r="611" spans="1:31">
      <c r="A611" s="11" t="s">
        <v>310</v>
      </c>
      <c r="B611" s="11"/>
      <c r="C611" s="11" t="s">
        <v>27</v>
      </c>
      <c r="E611" s="6">
        <v>15295719</v>
      </c>
      <c r="G611" s="6">
        <v>0</v>
      </c>
      <c r="I611" s="2">
        <f t="shared" si="93"/>
        <v>11696914</v>
      </c>
      <c r="K611" s="6">
        <v>26992633</v>
      </c>
      <c r="M611" s="2">
        <f t="shared" si="90"/>
        <v>2991120</v>
      </c>
      <c r="O611" s="6">
        <v>8723892</v>
      </c>
      <c r="Q611" s="6">
        <v>11715012</v>
      </c>
      <c r="S611" s="6">
        <v>75205</v>
      </c>
      <c r="U611" s="6">
        <v>0</v>
      </c>
      <c r="W611" s="6">
        <v>0</v>
      </c>
      <c r="Y611" s="6">
        <f>3465215+44689</f>
        <v>3509904</v>
      </c>
      <c r="AA611" s="6">
        <v>11692512</v>
      </c>
      <c r="AC611" s="12">
        <f t="shared" si="91"/>
        <v>15277621</v>
      </c>
      <c r="AE611" s="6">
        <f t="shared" si="92"/>
        <v>0</v>
      </c>
    </row>
    <row r="612" spans="1:31" hidden="1">
      <c r="A612" s="11" t="s">
        <v>622</v>
      </c>
      <c r="B612" s="11"/>
      <c r="C612" s="11" t="s">
        <v>41</v>
      </c>
      <c r="I612" s="2">
        <f t="shared" si="93"/>
        <v>0</v>
      </c>
      <c r="M612" s="2">
        <f t="shared" si="90"/>
        <v>0</v>
      </c>
      <c r="AC612" s="12">
        <f t="shared" si="91"/>
        <v>0</v>
      </c>
      <c r="AE612" s="6">
        <f t="shared" si="92"/>
        <v>0</v>
      </c>
    </row>
    <row r="613" spans="1:31">
      <c r="A613" s="11" t="s">
        <v>360</v>
      </c>
      <c r="B613" s="11"/>
      <c r="C613" s="11" t="s">
        <v>37</v>
      </c>
      <c r="E613" s="6">
        <v>1522858</v>
      </c>
      <c r="G613" s="6">
        <v>0</v>
      </c>
      <c r="I613" s="2">
        <f t="shared" si="93"/>
        <v>5666065</v>
      </c>
      <c r="K613" s="6">
        <v>7188923</v>
      </c>
      <c r="M613" s="2">
        <f t="shared" si="90"/>
        <v>2067047</v>
      </c>
      <c r="O613" s="6">
        <f>4336913+499924</f>
        <v>4836837</v>
      </c>
      <c r="Q613" s="6">
        <v>6903884</v>
      </c>
      <c r="S613" s="6">
        <f>60055+64923</f>
        <v>124978</v>
      </c>
      <c r="U613" s="6">
        <v>0</v>
      </c>
      <c r="W613" s="6">
        <f>23464+7998</f>
        <v>31462</v>
      </c>
      <c r="Y613" s="6">
        <f>55828+68558+4213</f>
        <v>128599</v>
      </c>
      <c r="AA613" s="6">
        <v>0</v>
      </c>
      <c r="AC613" s="12">
        <f t="shared" si="91"/>
        <v>285039</v>
      </c>
      <c r="AE613" s="6">
        <f t="shared" si="92"/>
        <v>0</v>
      </c>
    </row>
    <row r="614" spans="1:31" hidden="1">
      <c r="A614" s="11" t="s">
        <v>893</v>
      </c>
      <c r="B614" s="11"/>
      <c r="C614" s="11" t="s">
        <v>113</v>
      </c>
      <c r="E614" s="6">
        <v>0</v>
      </c>
      <c r="G614" s="6">
        <v>0</v>
      </c>
      <c r="I614" s="2">
        <f t="shared" si="93"/>
        <v>0</v>
      </c>
      <c r="K614" s="6">
        <v>0</v>
      </c>
      <c r="M614" s="2">
        <f t="shared" si="90"/>
        <v>0</v>
      </c>
      <c r="O614" s="6">
        <v>0</v>
      </c>
      <c r="Q614" s="6">
        <v>0</v>
      </c>
      <c r="S614" s="6">
        <v>0</v>
      </c>
      <c r="U614" s="6">
        <v>0</v>
      </c>
      <c r="W614" s="6">
        <v>0</v>
      </c>
      <c r="Y614" s="6">
        <v>0</v>
      </c>
      <c r="AA614" s="6">
        <v>0</v>
      </c>
      <c r="AC614" s="12">
        <f t="shared" si="91"/>
        <v>0</v>
      </c>
      <c r="AE614" s="6">
        <f t="shared" si="92"/>
        <v>0</v>
      </c>
    </row>
    <row r="615" spans="1:31">
      <c r="A615" s="11" t="s">
        <v>365</v>
      </c>
      <c r="B615" s="11"/>
      <c r="C615" s="11" t="s">
        <v>41</v>
      </c>
      <c r="E615" s="6">
        <v>13116007</v>
      </c>
      <c r="G615" s="6">
        <v>0</v>
      </c>
      <c r="I615" s="2">
        <f t="shared" si="93"/>
        <v>60121330</v>
      </c>
      <c r="K615" s="6">
        <v>73237337</v>
      </c>
      <c r="M615" s="2">
        <f t="shared" si="90"/>
        <v>12373127</v>
      </c>
      <c r="O615" s="6">
        <v>55076584</v>
      </c>
      <c r="Q615" s="6">
        <v>67449711</v>
      </c>
      <c r="S615" s="6">
        <v>619</v>
      </c>
      <c r="U615" s="6">
        <v>0</v>
      </c>
      <c r="W615" s="6">
        <v>1201424</v>
      </c>
      <c r="Y615" s="6">
        <v>2800273</v>
      </c>
      <c r="AA615" s="6">
        <v>1785310</v>
      </c>
      <c r="AC615" s="12">
        <f t="shared" si="91"/>
        <v>5787626</v>
      </c>
      <c r="AE615" s="6">
        <f t="shared" si="92"/>
        <v>0</v>
      </c>
    </row>
    <row r="616" spans="1:31">
      <c r="A616" s="11" t="s">
        <v>245</v>
      </c>
      <c r="B616" s="11"/>
      <c r="C616" s="11" t="s">
        <v>18</v>
      </c>
      <c r="E616" s="6">
        <v>3261008</v>
      </c>
      <c r="G616" s="6">
        <v>57982</v>
      </c>
      <c r="I616" s="2">
        <f t="shared" si="93"/>
        <v>15341121</v>
      </c>
      <c r="K616" s="6">
        <v>18660111</v>
      </c>
      <c r="M616" s="2">
        <f t="shared" si="90"/>
        <v>2825335</v>
      </c>
      <c r="O616" s="6">
        <v>13124961</v>
      </c>
      <c r="Q616" s="6">
        <v>15950296</v>
      </c>
      <c r="S616" s="6">
        <v>0</v>
      </c>
      <c r="U616" s="6">
        <v>0</v>
      </c>
      <c r="W616" s="6">
        <v>0</v>
      </c>
      <c r="Y616" s="6">
        <v>835055</v>
      </c>
      <c r="AA616" s="6">
        <v>1874760</v>
      </c>
      <c r="AC616" s="12">
        <f t="shared" si="91"/>
        <v>2709815</v>
      </c>
      <c r="AE616" s="6">
        <f t="shared" si="92"/>
        <v>0</v>
      </c>
    </row>
    <row r="617" spans="1:31">
      <c r="A617" s="11" t="s">
        <v>782</v>
      </c>
      <c r="B617" s="11"/>
      <c r="C617" s="11" t="s">
        <v>56</v>
      </c>
      <c r="E617" s="6">
        <f>2291616+194791</f>
        <v>2486407</v>
      </c>
      <c r="G617" s="6">
        <v>9046</v>
      </c>
      <c r="I617" s="2">
        <f t="shared" si="93"/>
        <v>1608072</v>
      </c>
      <c r="K617" s="6">
        <v>4103525</v>
      </c>
      <c r="M617" s="2">
        <f t="shared" si="90"/>
        <v>759745</v>
      </c>
      <c r="O617" s="6">
        <f>211378+1256555</f>
        <v>1467933</v>
      </c>
      <c r="Q617" s="6">
        <v>2227678</v>
      </c>
      <c r="S617" s="6">
        <v>18524</v>
      </c>
      <c r="U617" s="6">
        <v>9046</v>
      </c>
      <c r="W617" s="6">
        <v>0</v>
      </c>
      <c r="Y617" s="6">
        <f>304+2368+220252+351484</f>
        <v>574408</v>
      </c>
      <c r="AA617" s="6">
        <v>1273869</v>
      </c>
      <c r="AC617" s="12">
        <f t="shared" si="91"/>
        <v>1875847</v>
      </c>
      <c r="AE617" s="6">
        <f t="shared" si="92"/>
        <v>0</v>
      </c>
    </row>
    <row r="618" spans="1:31">
      <c r="A618" s="11" t="s">
        <v>332</v>
      </c>
      <c r="B618" s="11"/>
      <c r="C618" s="11" t="s">
        <v>32</v>
      </c>
      <c r="E618" s="6">
        <v>6823137</v>
      </c>
      <c r="G618" s="6">
        <v>0</v>
      </c>
      <c r="I618" s="2">
        <f t="shared" si="93"/>
        <v>27194377</v>
      </c>
      <c r="K618" s="6">
        <v>34017514</v>
      </c>
      <c r="M618" s="2">
        <f t="shared" si="90"/>
        <v>4068520</v>
      </c>
      <c r="O618" s="6">
        <v>18019853</v>
      </c>
      <c r="Q618" s="6">
        <v>22088373</v>
      </c>
      <c r="S618" s="6">
        <v>0</v>
      </c>
      <c r="U618" s="6">
        <v>0</v>
      </c>
      <c r="W618" s="6">
        <v>0</v>
      </c>
      <c r="Y618" s="6">
        <v>118292</v>
      </c>
      <c r="AA618" s="6">
        <v>11810849</v>
      </c>
      <c r="AC618" s="12">
        <f t="shared" si="91"/>
        <v>11929141</v>
      </c>
      <c r="AE618" s="6">
        <f t="shared" si="92"/>
        <v>0</v>
      </c>
    </row>
    <row r="619" spans="1:31">
      <c r="A619" s="11" t="s">
        <v>550</v>
      </c>
      <c r="B619" s="11"/>
      <c r="C619" s="11" t="s">
        <v>70</v>
      </c>
      <c r="E619" s="6">
        <v>7847302</v>
      </c>
      <c r="G619" s="6">
        <v>0</v>
      </c>
      <c r="I619" s="2">
        <f t="shared" si="93"/>
        <v>4755965</v>
      </c>
      <c r="K619" s="6">
        <v>12603267</v>
      </c>
      <c r="M619" s="2">
        <f t="shared" si="90"/>
        <v>607786</v>
      </c>
      <c r="O619" s="6">
        <v>4535471</v>
      </c>
      <c r="Q619" s="6">
        <v>5143257</v>
      </c>
      <c r="S619" s="6">
        <v>91716</v>
      </c>
      <c r="U619" s="6">
        <v>0</v>
      </c>
      <c r="W619" s="6">
        <v>55047</v>
      </c>
      <c r="Y619" s="6">
        <v>1137565</v>
      </c>
      <c r="AA619" s="6">
        <v>6175682</v>
      </c>
      <c r="AC619" s="12">
        <f t="shared" si="91"/>
        <v>7460010</v>
      </c>
      <c r="AE619" s="6">
        <f t="shared" si="92"/>
        <v>0</v>
      </c>
    </row>
    <row r="620" spans="1:31">
      <c r="A620" s="11" t="s">
        <v>478</v>
      </c>
      <c r="B620" s="11"/>
      <c r="C620" s="11" t="s">
        <v>79</v>
      </c>
      <c r="E620" s="6">
        <v>1207514</v>
      </c>
      <c r="G620" s="6">
        <v>430</v>
      </c>
      <c r="I620" s="2">
        <f t="shared" si="93"/>
        <v>4094314</v>
      </c>
      <c r="K620" s="6">
        <v>5302258</v>
      </c>
      <c r="M620" s="2">
        <f t="shared" si="90"/>
        <v>763975</v>
      </c>
      <c r="O620" s="6">
        <f>169369+3241842</f>
        <v>3411211</v>
      </c>
      <c r="Q620" s="6">
        <v>4175186</v>
      </c>
      <c r="S620" s="6">
        <f>16427+13264+35591</f>
        <v>65282</v>
      </c>
      <c r="U620" s="6">
        <f>430+6429</f>
        <v>6859</v>
      </c>
      <c r="W620" s="6">
        <v>0</v>
      </c>
      <c r="Y620" s="6">
        <f>2587+57095+18102+36954+934236</f>
        <v>1048974</v>
      </c>
      <c r="AA620" s="6">
        <v>5957</v>
      </c>
      <c r="AC620" s="12">
        <f t="shared" si="91"/>
        <v>1127072</v>
      </c>
      <c r="AE620" s="6">
        <f t="shared" si="92"/>
        <v>0</v>
      </c>
    </row>
    <row r="621" spans="1:31">
      <c r="A621" s="11" t="s">
        <v>517</v>
      </c>
      <c r="B621" s="11"/>
      <c r="C621" s="11" t="s">
        <v>63</v>
      </c>
      <c r="E621" s="6">
        <v>6167612</v>
      </c>
      <c r="G621" s="6">
        <v>0</v>
      </c>
      <c r="I621" s="2">
        <f t="shared" si="93"/>
        <v>14859110</v>
      </c>
      <c r="K621" s="6">
        <v>21026722</v>
      </c>
      <c r="M621" s="2">
        <f t="shared" si="90"/>
        <v>2659573</v>
      </c>
      <c r="O621" s="6">
        <v>13354327</v>
      </c>
      <c r="Q621" s="6">
        <v>16013900</v>
      </c>
      <c r="S621" s="6">
        <v>0</v>
      </c>
      <c r="U621" s="6">
        <v>0</v>
      </c>
      <c r="W621" s="6">
        <v>0</v>
      </c>
      <c r="Y621" s="6">
        <v>4813720</v>
      </c>
      <c r="AA621" s="6">
        <v>199102</v>
      </c>
      <c r="AC621" s="12">
        <f t="shared" si="91"/>
        <v>5012822</v>
      </c>
      <c r="AE621" s="6">
        <f t="shared" si="92"/>
        <v>0</v>
      </c>
    </row>
    <row r="622" spans="1:31">
      <c r="A622" s="11" t="s">
        <v>623</v>
      </c>
      <c r="B622" s="11"/>
      <c r="C622" s="11" t="s">
        <v>71</v>
      </c>
      <c r="E622" s="6">
        <v>24508692</v>
      </c>
      <c r="G622" s="6">
        <v>0</v>
      </c>
      <c r="I622" s="2">
        <f t="shared" si="93"/>
        <v>23622271</v>
      </c>
      <c r="K622" s="6">
        <v>48130963</v>
      </c>
      <c r="M622" s="2">
        <f t="shared" si="90"/>
        <v>4812064</v>
      </c>
      <c r="O622" s="6">
        <v>20824958</v>
      </c>
      <c r="Q622" s="6">
        <v>25637022</v>
      </c>
      <c r="S622" s="6">
        <v>0</v>
      </c>
      <c r="U622" s="6">
        <v>0</v>
      </c>
      <c r="W622" s="6">
        <v>0</v>
      </c>
      <c r="Y622" s="6">
        <v>747910</v>
      </c>
      <c r="AA622" s="6">
        <v>21746031</v>
      </c>
      <c r="AC622" s="12">
        <f t="shared" si="91"/>
        <v>22493941</v>
      </c>
      <c r="AE622" s="6">
        <f t="shared" si="92"/>
        <v>0</v>
      </c>
    </row>
    <row r="623" spans="1:31">
      <c r="A623" s="11" t="s">
        <v>311</v>
      </c>
      <c r="B623" s="11"/>
      <c r="C623" s="11" t="s">
        <v>27</v>
      </c>
      <c r="E623" s="6">
        <v>50968014</v>
      </c>
      <c r="G623" s="6">
        <v>0</v>
      </c>
      <c r="I623" s="2">
        <f t="shared" si="93"/>
        <v>79371915</v>
      </c>
      <c r="K623" s="6">
        <v>130339929</v>
      </c>
      <c r="M623" s="2">
        <f t="shared" si="90"/>
        <v>17083570</v>
      </c>
      <c r="O623" s="6">
        <v>49900000</v>
      </c>
      <c r="Q623" s="6">
        <v>66983570</v>
      </c>
      <c r="S623" s="6">
        <v>101320</v>
      </c>
      <c r="U623" s="6">
        <v>0</v>
      </c>
      <c r="W623" s="6">
        <v>3118000</v>
      </c>
      <c r="Y623" s="6">
        <v>956355</v>
      </c>
      <c r="AA623" s="6">
        <v>59180684</v>
      </c>
      <c r="AC623" s="12">
        <f t="shared" si="91"/>
        <v>63356359</v>
      </c>
      <c r="AE623" s="6">
        <f t="shared" si="92"/>
        <v>0</v>
      </c>
    </row>
    <row r="624" spans="1:31">
      <c r="A624" s="11" t="s">
        <v>260</v>
      </c>
      <c r="B624" s="11"/>
      <c r="C624" s="11" t="s">
        <v>111</v>
      </c>
      <c r="E624" s="6">
        <v>700430</v>
      </c>
      <c r="G624" s="6">
        <v>10675</v>
      </c>
      <c r="I624" s="2">
        <f t="shared" si="93"/>
        <v>3471249</v>
      </c>
      <c r="K624" s="6">
        <v>4182354</v>
      </c>
      <c r="M624" s="2">
        <f t="shared" si="90"/>
        <v>1013718</v>
      </c>
      <c r="O624" s="6">
        <f>227861+2072682</f>
        <v>2300543</v>
      </c>
      <c r="Q624" s="6">
        <v>3314261</v>
      </c>
      <c r="S624" s="6">
        <v>9335</v>
      </c>
      <c r="U624" s="6">
        <v>10675</v>
      </c>
      <c r="W624" s="6">
        <f>6281+46946</f>
        <v>53227</v>
      </c>
      <c r="Y624" s="6">
        <f>108834+10824+192871</f>
        <v>312529</v>
      </c>
      <c r="AA624" s="6">
        <v>482327</v>
      </c>
      <c r="AC624" s="12">
        <f t="shared" si="91"/>
        <v>868093</v>
      </c>
      <c r="AE624" s="6">
        <f t="shared" si="92"/>
        <v>0</v>
      </c>
    </row>
    <row r="625" spans="1:31">
      <c r="A625" s="11" t="s">
        <v>333</v>
      </c>
      <c r="B625" s="11"/>
      <c r="C625" s="11" t="s">
        <v>32</v>
      </c>
      <c r="E625" s="6">
        <v>10749795</v>
      </c>
      <c r="G625" s="6">
        <v>0</v>
      </c>
      <c r="I625" s="2">
        <f t="shared" si="93"/>
        <v>10985462</v>
      </c>
      <c r="K625" s="6">
        <v>21735257</v>
      </c>
      <c r="M625" s="2">
        <f t="shared" si="90"/>
        <v>2377236</v>
      </c>
      <c r="O625" s="6">
        <v>4964027</v>
      </c>
      <c r="Q625" s="6">
        <v>7341263</v>
      </c>
      <c r="S625" s="6">
        <v>0</v>
      </c>
      <c r="U625" s="6">
        <v>0</v>
      </c>
      <c r="W625" s="6">
        <v>0</v>
      </c>
      <c r="Y625" s="6">
        <v>2169594</v>
      </c>
      <c r="AA625" s="6">
        <v>12224400</v>
      </c>
      <c r="AC625" s="12">
        <f t="shared" si="91"/>
        <v>14393994</v>
      </c>
      <c r="AE625" s="6">
        <f t="shared" si="92"/>
        <v>0</v>
      </c>
    </row>
    <row r="626" spans="1:31">
      <c r="A626" s="10" t="s">
        <v>884</v>
      </c>
      <c r="B626" s="10"/>
      <c r="C626" s="10" t="s">
        <v>114</v>
      </c>
      <c r="E626" s="6">
        <v>3255244</v>
      </c>
      <c r="G626" s="6">
        <v>0</v>
      </c>
      <c r="I626" s="2">
        <f t="shared" ref="I626" si="94">+K626-G626-E626</f>
        <v>19629152</v>
      </c>
      <c r="K626" s="6">
        <v>22884396</v>
      </c>
      <c r="M626" s="2">
        <f t="shared" ref="M626" si="95">+Q626-O626</f>
        <v>4657418</v>
      </c>
      <c r="O626" s="6">
        <v>16728068</v>
      </c>
      <c r="Q626" s="6">
        <v>21385486</v>
      </c>
      <c r="S626" s="6">
        <v>28087</v>
      </c>
      <c r="U626" s="6">
        <v>0</v>
      </c>
      <c r="W626" s="6">
        <v>0</v>
      </c>
      <c r="Y626" s="6">
        <v>1022780</v>
      </c>
      <c r="AA626" s="6">
        <v>448043</v>
      </c>
      <c r="AC626" s="12">
        <f t="shared" ref="AC626" si="96">+W626+U626++S626+Y626+AA626</f>
        <v>1498910</v>
      </c>
      <c r="AE626" s="6">
        <f t="shared" ref="AE626" si="97">+E626+G626+I626-M626-O626-W626-U626-S626-Y626-AA626</f>
        <v>0</v>
      </c>
    </row>
    <row r="627" spans="1:31">
      <c r="A627" s="11" t="s">
        <v>783</v>
      </c>
      <c r="B627" s="11"/>
      <c r="C627" s="11" t="s">
        <v>114</v>
      </c>
      <c r="E627" s="6">
        <v>1733773</v>
      </c>
      <c r="G627" s="6">
        <v>0</v>
      </c>
      <c r="I627" s="2">
        <f t="shared" si="93"/>
        <v>4228480</v>
      </c>
      <c r="K627" s="6">
        <v>5962253</v>
      </c>
      <c r="M627" s="2">
        <f t="shared" si="90"/>
        <v>890480</v>
      </c>
      <c r="O627" s="6">
        <v>3324192</v>
      </c>
      <c r="Q627" s="6">
        <v>4214672</v>
      </c>
      <c r="S627" s="6">
        <v>0</v>
      </c>
      <c r="U627" s="6">
        <v>0</v>
      </c>
      <c r="W627" s="6">
        <v>0</v>
      </c>
      <c r="Y627" s="6">
        <v>34043</v>
      </c>
      <c r="AA627" s="6">
        <v>1713538</v>
      </c>
      <c r="AC627" s="12">
        <f t="shared" si="91"/>
        <v>1747581</v>
      </c>
      <c r="AE627" s="6">
        <f t="shared" si="92"/>
        <v>0</v>
      </c>
    </row>
    <row r="628" spans="1:31">
      <c r="A628" s="11" t="s">
        <v>409</v>
      </c>
      <c r="B628" s="11"/>
      <c r="C628" s="11" t="s">
        <v>45</v>
      </c>
      <c r="E628" s="6">
        <v>9252611</v>
      </c>
      <c r="G628" s="6">
        <v>139539</v>
      </c>
      <c r="I628" s="2">
        <f t="shared" si="93"/>
        <v>24761140</v>
      </c>
      <c r="K628" s="6">
        <v>34153290</v>
      </c>
      <c r="M628" s="2">
        <f t="shared" si="90"/>
        <v>9540840</v>
      </c>
      <c r="O628" s="6">
        <v>23750566</v>
      </c>
      <c r="Q628" s="6">
        <v>33291406</v>
      </c>
      <c r="S628" s="6">
        <v>441956</v>
      </c>
      <c r="U628" s="6">
        <v>0</v>
      </c>
      <c r="W628" s="6">
        <v>127724</v>
      </c>
      <c r="Y628" s="6">
        <v>292204</v>
      </c>
      <c r="AA628" s="6">
        <v>0</v>
      </c>
      <c r="AC628" s="12">
        <f t="shared" si="91"/>
        <v>861884</v>
      </c>
      <c r="AE628" s="6">
        <f t="shared" si="92"/>
        <v>0</v>
      </c>
    </row>
    <row r="629" spans="1:31">
      <c r="A629" s="11" t="s">
        <v>477</v>
      </c>
      <c r="B629" s="11"/>
      <c r="C629" s="11" t="s">
        <v>58</v>
      </c>
      <c r="E629" s="6">
        <v>3547107</v>
      </c>
      <c r="G629" s="6">
        <v>691144</v>
      </c>
      <c r="I629" s="2">
        <f t="shared" si="93"/>
        <v>4264342</v>
      </c>
      <c r="K629" s="6">
        <v>8502593</v>
      </c>
      <c r="M629" s="2">
        <f t="shared" si="90"/>
        <v>1521581</v>
      </c>
      <c r="O629" s="6">
        <v>3841068</v>
      </c>
      <c r="Q629" s="6">
        <v>5362649</v>
      </c>
      <c r="S629" s="6">
        <v>56446</v>
      </c>
      <c r="U629" s="6">
        <v>691144</v>
      </c>
      <c r="W629" s="6">
        <v>0</v>
      </c>
      <c r="Y629" s="6">
        <v>298628</v>
      </c>
      <c r="AA629" s="6">
        <v>2093726</v>
      </c>
      <c r="AC629" s="12">
        <f t="shared" si="91"/>
        <v>3139944</v>
      </c>
      <c r="AE629" s="6">
        <f t="shared" si="92"/>
        <v>0</v>
      </c>
    </row>
    <row r="630" spans="1:31">
      <c r="A630" s="11" t="s">
        <v>448</v>
      </c>
      <c r="B630" s="11"/>
      <c r="C630" s="11" t="s">
        <v>51</v>
      </c>
      <c r="E630" s="6">
        <v>6084647</v>
      </c>
      <c r="G630" s="6">
        <v>3682</v>
      </c>
      <c r="I630" s="2">
        <f t="shared" si="93"/>
        <v>13694119</v>
      </c>
      <c r="K630" s="6">
        <v>19782448</v>
      </c>
      <c r="M630" s="2">
        <f t="shared" si="90"/>
        <v>3673387</v>
      </c>
      <c r="O630" s="6">
        <v>9916054</v>
      </c>
      <c r="Q630" s="6">
        <v>13589441</v>
      </c>
      <c r="S630" s="6">
        <f>25456+3682</f>
        <v>29138</v>
      </c>
      <c r="U630" s="6">
        <v>0</v>
      </c>
      <c r="W630" s="6">
        <v>938293</v>
      </c>
      <c r="Y630" s="6">
        <v>61689</v>
      </c>
      <c r="AA630" s="6">
        <v>5163887</v>
      </c>
      <c r="AC630" s="12">
        <f t="shared" si="91"/>
        <v>6193007</v>
      </c>
      <c r="AE630" s="6">
        <f t="shared" si="92"/>
        <v>0</v>
      </c>
    </row>
    <row r="631" spans="1:31">
      <c r="A631" s="11"/>
      <c r="B631" s="11"/>
      <c r="C631" s="11"/>
    </row>
  </sheetData>
  <mergeCells count="2">
    <mergeCell ref="E6:I6"/>
    <mergeCell ref="S6:AA6"/>
  </mergeCells>
  <phoneticPr fontId="3" type="noConversion"/>
  <pageMargins left="0.9" right="0.75" top="0.5" bottom="0.5" header="0.25" footer="0.25"/>
  <pageSetup scale="77" firstPageNumber="78" pageOrder="overThenDown" orientation="portrait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31"/>
  <sheetViews>
    <sheetView view="pageBreakPreview" zoomScaleNormal="100" zoomScaleSheetLayoutView="100" workbookViewId="0">
      <pane xSplit="3" ySplit="9" topLeftCell="D10" activePane="bottomRight" state="frozen"/>
      <selection activeCell="A563" sqref="A563:XFD563"/>
      <selection pane="topRight" activeCell="A563" sqref="A563:XFD563"/>
      <selection pane="bottomLeft" activeCell="A563" sqref="A563:XFD563"/>
      <selection pane="bottomRight" activeCell="D10" sqref="D10"/>
    </sheetView>
  </sheetViews>
  <sheetFormatPr defaultColWidth="9.140625" defaultRowHeight="12"/>
  <cols>
    <col min="1" max="1" width="32" style="6" customWidth="1"/>
    <col min="2" max="2" width="1.7109375" style="6" customWidth="1"/>
    <col min="3" max="3" width="10.140625" style="6" bestFit="1" customWidth="1"/>
    <col min="4" max="4" width="1.7109375" style="6" customWidth="1"/>
    <col min="5" max="5" width="10.28515625" style="6" bestFit="1" customWidth="1"/>
    <col min="6" max="6" width="1.7109375" style="6" customWidth="1"/>
    <col min="7" max="7" width="9.28515625" style="6" bestFit="1" customWidth="1"/>
    <col min="8" max="8" width="1.5703125" style="6" customWidth="1"/>
    <col min="9" max="9" width="10.28515625" style="6" bestFit="1" customWidth="1"/>
    <col min="10" max="10" width="1.5703125" style="6" customWidth="1"/>
    <col min="11" max="11" width="9.5703125" style="6" bestFit="1" customWidth="1"/>
    <col min="12" max="12" width="1.5703125" style="6" customWidth="1"/>
    <col min="13" max="13" width="9.28515625" style="6" bestFit="1" customWidth="1"/>
    <col min="14" max="14" width="1.5703125" style="6" customWidth="1"/>
    <col min="15" max="15" width="11.7109375" style="6" customWidth="1"/>
    <col min="16" max="16" width="1.7109375" style="6" customWidth="1"/>
    <col min="17" max="17" width="9.28515625" style="6" bestFit="1" customWidth="1"/>
    <col min="18" max="18" width="1.7109375" style="6" customWidth="1"/>
    <col min="19" max="19" width="10.5703125" style="6" bestFit="1" customWidth="1"/>
    <col min="20" max="20" width="1.7109375" style="6" customWidth="1"/>
    <col min="21" max="21" width="9.28515625" style="6" bestFit="1" customWidth="1"/>
    <col min="22" max="22" width="1.7109375" style="6" customWidth="1"/>
    <col min="23" max="23" width="10.140625" style="6" bestFit="1" customWidth="1"/>
    <col min="24" max="24" width="1.7109375" style="6" customWidth="1"/>
    <col min="25" max="25" width="9.28515625" style="6" bestFit="1" customWidth="1"/>
    <col min="26" max="26" width="1.7109375" style="6" customWidth="1"/>
    <col min="27" max="27" width="9.42578125" style="6" hidden="1" customWidth="1"/>
    <col min="28" max="28" width="1.7109375" style="6" hidden="1" customWidth="1"/>
    <col min="29" max="29" width="9.28515625" style="6" bestFit="1" customWidth="1"/>
    <col min="30" max="30" width="1.7109375" style="6" customWidth="1"/>
    <col min="31" max="31" width="9" style="6" customWidth="1"/>
    <col min="32" max="32" width="1.7109375" style="6" customWidth="1"/>
    <col min="33" max="33" width="10.85546875" style="6" bestFit="1" customWidth="1"/>
    <col min="34" max="34" width="1.7109375" style="6" hidden="1" customWidth="1"/>
    <col min="35" max="35" width="8.42578125" style="6" hidden="1" customWidth="1"/>
    <col min="36" max="36" width="1.5703125" style="6" customWidth="1"/>
    <col min="37" max="37" width="12" style="6" customWidth="1"/>
    <col min="38" max="38" width="6.7109375" style="6" customWidth="1"/>
    <col min="39" max="16384" width="9.140625" style="6"/>
  </cols>
  <sheetData>
    <row r="1" spans="1:38" s="13" customFormat="1">
      <c r="A1" s="24" t="s">
        <v>126</v>
      </c>
      <c r="B1" s="24"/>
      <c r="C1" s="24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4"/>
      <c r="Y1" s="24"/>
    </row>
    <row r="2" spans="1:38" s="13" customFormat="1">
      <c r="A2" s="24" t="s">
        <v>852</v>
      </c>
      <c r="B2" s="24"/>
      <c r="C2" s="24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4"/>
      <c r="Y2" s="24"/>
    </row>
    <row r="3" spans="1:38" s="13" customFormat="1">
      <c r="A3" s="34"/>
      <c r="B3" s="24"/>
      <c r="C3" s="24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4"/>
      <c r="Y3" s="24"/>
    </row>
    <row r="4" spans="1:38">
      <c r="A4" s="24" t="s">
        <v>169</v>
      </c>
      <c r="B4" s="24"/>
      <c r="C4" s="24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9"/>
      <c r="Y4" s="9"/>
      <c r="AK4" s="14" t="s">
        <v>3</v>
      </c>
      <c r="AL4" s="14"/>
    </row>
    <row r="5" spans="1:38">
      <c r="A5" s="13"/>
      <c r="AK5" s="14" t="s">
        <v>600</v>
      </c>
      <c r="AL5" s="14"/>
    </row>
    <row r="6" spans="1:38">
      <c r="A6" s="45" t="s">
        <v>727</v>
      </c>
      <c r="B6" s="35"/>
      <c r="C6" s="35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9"/>
      <c r="Y6" s="66" t="s">
        <v>188</v>
      </c>
      <c r="Z6" s="66"/>
      <c r="AA6" s="66"/>
      <c r="AB6" s="66"/>
      <c r="AC6" s="66"/>
      <c r="AD6" s="66"/>
      <c r="AE6" s="66"/>
      <c r="AF6" s="21"/>
      <c r="AG6" s="21"/>
      <c r="AI6" s="14" t="s">
        <v>3</v>
      </c>
      <c r="AJ6" s="14"/>
      <c r="AK6" s="14" t="s">
        <v>625</v>
      </c>
      <c r="AL6" s="14"/>
    </row>
    <row r="7" spans="1:38">
      <c r="A7" s="45"/>
      <c r="B7" s="35"/>
      <c r="C7" s="35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 t="s">
        <v>172</v>
      </c>
      <c r="P7" s="54"/>
      <c r="Q7" s="54" t="s">
        <v>174</v>
      </c>
      <c r="R7" s="54"/>
      <c r="S7" s="54" t="s">
        <v>109</v>
      </c>
      <c r="T7" s="54"/>
      <c r="U7" s="54"/>
      <c r="V7" s="54"/>
      <c r="W7" s="54"/>
      <c r="X7" s="9"/>
      <c r="Y7" s="14"/>
      <c r="Z7" s="14"/>
      <c r="AA7" s="14"/>
      <c r="AB7" s="14"/>
      <c r="AC7" s="14"/>
      <c r="AD7" s="14"/>
      <c r="AE7" s="14" t="s">
        <v>127</v>
      </c>
      <c r="AF7" s="14"/>
      <c r="AI7" s="14" t="s">
        <v>82</v>
      </c>
      <c r="AJ7" s="14"/>
      <c r="AK7" s="14" t="s">
        <v>602</v>
      </c>
      <c r="AL7" s="14"/>
    </row>
    <row r="8" spans="1:38">
      <c r="B8" s="54"/>
      <c r="C8" s="54"/>
      <c r="D8" s="54"/>
      <c r="E8" s="54" t="s">
        <v>105</v>
      </c>
      <c r="F8" s="54"/>
      <c r="G8" s="54" t="s">
        <v>573</v>
      </c>
      <c r="H8" s="54"/>
      <c r="I8" s="54" t="s">
        <v>1</v>
      </c>
      <c r="J8" s="54"/>
      <c r="K8" s="54" t="s">
        <v>596</v>
      </c>
      <c r="L8" s="54"/>
      <c r="M8" s="54" t="s">
        <v>170</v>
      </c>
      <c r="N8" s="54"/>
      <c r="O8" s="54" t="s">
        <v>173</v>
      </c>
      <c r="P8" s="54"/>
      <c r="Q8" s="54" t="s">
        <v>175</v>
      </c>
      <c r="R8" s="54"/>
      <c r="S8" s="54" t="s">
        <v>177</v>
      </c>
      <c r="T8" s="54"/>
      <c r="U8" s="54" t="s">
        <v>127</v>
      </c>
      <c r="V8" s="54"/>
      <c r="W8" s="54" t="s">
        <v>3</v>
      </c>
      <c r="X8" s="9"/>
      <c r="Y8" s="54"/>
      <c r="Z8" s="14"/>
      <c r="AA8" s="14"/>
      <c r="AB8" s="14"/>
      <c r="AC8" s="14" t="s">
        <v>601</v>
      </c>
      <c r="AD8" s="14"/>
      <c r="AE8" s="14" t="s">
        <v>193</v>
      </c>
      <c r="AF8" s="14"/>
      <c r="AG8" s="14" t="s">
        <v>861</v>
      </c>
      <c r="AI8" s="14" t="s">
        <v>193</v>
      </c>
      <c r="AJ8" s="14"/>
      <c r="AK8" s="14" t="s">
        <v>861</v>
      </c>
      <c r="AL8" s="14"/>
    </row>
    <row r="9" spans="1:38">
      <c r="A9" s="53" t="s">
        <v>199</v>
      </c>
      <c r="B9" s="14"/>
      <c r="C9" s="53" t="s">
        <v>4</v>
      </c>
      <c r="D9" s="9"/>
      <c r="E9" s="53" t="s">
        <v>849</v>
      </c>
      <c r="F9" s="9"/>
      <c r="G9" s="53" t="s">
        <v>5</v>
      </c>
      <c r="H9" s="9"/>
      <c r="I9" s="53" t="s">
        <v>7</v>
      </c>
      <c r="J9" s="9"/>
      <c r="K9" s="53" t="s">
        <v>91</v>
      </c>
      <c r="L9" s="9"/>
      <c r="M9" s="53" t="s">
        <v>171</v>
      </c>
      <c r="N9" s="9"/>
      <c r="O9" s="53" t="s">
        <v>160</v>
      </c>
      <c r="P9" s="9"/>
      <c r="Q9" s="53" t="s">
        <v>176</v>
      </c>
      <c r="R9" s="54"/>
      <c r="S9" s="53" t="s">
        <v>178</v>
      </c>
      <c r="T9" s="9"/>
      <c r="U9" s="53" t="s">
        <v>8</v>
      </c>
      <c r="V9" s="9"/>
      <c r="W9" s="53" t="s">
        <v>9</v>
      </c>
      <c r="X9" s="9"/>
      <c r="Y9" s="53" t="s">
        <v>189</v>
      </c>
      <c r="Z9" s="14"/>
      <c r="AA9" s="53" t="s">
        <v>190</v>
      </c>
      <c r="AB9" s="14"/>
      <c r="AC9" s="53" t="s">
        <v>850</v>
      </c>
      <c r="AD9" s="14"/>
      <c r="AE9" s="53" t="s">
        <v>194</v>
      </c>
      <c r="AF9" s="14"/>
      <c r="AG9" s="53" t="s">
        <v>590</v>
      </c>
      <c r="AI9" s="53" t="s">
        <v>194</v>
      </c>
      <c r="AJ9" s="14"/>
      <c r="AK9" s="53" t="s">
        <v>590</v>
      </c>
      <c r="AL9" s="54"/>
    </row>
    <row r="10" spans="1:38">
      <c r="A10" s="11"/>
      <c r="B10" s="11"/>
      <c r="C10" s="11"/>
      <c r="D10" s="9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12"/>
      <c r="V10" s="12"/>
      <c r="W10" s="2"/>
      <c r="X10" s="9"/>
      <c r="Y10" s="9"/>
    </row>
    <row r="11" spans="1:38" hidden="1">
      <c r="A11" s="11" t="s">
        <v>862</v>
      </c>
      <c r="B11" s="11"/>
      <c r="C11" s="11" t="s">
        <v>339</v>
      </c>
      <c r="W11" s="2">
        <f t="shared" ref="W11" si="0">SUM(E11:V11)</f>
        <v>0</v>
      </c>
      <c r="Y11" s="6">
        <v>0</v>
      </c>
      <c r="AA11" s="6">
        <v>0</v>
      </c>
      <c r="AC11" s="6">
        <v>0</v>
      </c>
      <c r="AE11" s="6">
        <v>0</v>
      </c>
      <c r="AG11" s="6">
        <v>0</v>
      </c>
      <c r="AI11" s="6">
        <f t="shared" ref="AI11" si="1">SUM(Y11:AH11)</f>
        <v>0</v>
      </c>
      <c r="AK11" s="6">
        <f t="shared" ref="AK11" si="2">+AI11+W11</f>
        <v>0</v>
      </c>
    </row>
    <row r="12" spans="1:38" s="28" customFormat="1">
      <c r="A12" s="27" t="s">
        <v>788</v>
      </c>
      <c r="B12" s="27"/>
      <c r="C12" s="27" t="s">
        <v>200</v>
      </c>
      <c r="D12" s="55"/>
      <c r="E12" s="28">
        <v>6127093</v>
      </c>
      <c r="G12" s="28">
        <v>0</v>
      </c>
      <c r="I12" s="28">
        <v>26665955</v>
      </c>
      <c r="K12" s="28">
        <v>17831</v>
      </c>
      <c r="M12" s="28">
        <f>59492+1321067</f>
        <v>1380559</v>
      </c>
      <c r="O12" s="28">
        <v>175629</v>
      </c>
      <c r="Q12" s="28">
        <v>0</v>
      </c>
      <c r="S12" s="28">
        <v>0</v>
      </c>
      <c r="U12" s="28">
        <f>507645</f>
        <v>507645</v>
      </c>
      <c r="W12" s="30">
        <f>SUM(E12:V12)</f>
        <v>34874712</v>
      </c>
      <c r="Y12" s="28">
        <v>0</v>
      </c>
      <c r="AA12" s="28">
        <v>0</v>
      </c>
      <c r="AC12" s="28">
        <v>0</v>
      </c>
      <c r="AE12" s="28">
        <v>3499</v>
      </c>
      <c r="AG12" s="28">
        <v>0</v>
      </c>
      <c r="AI12" s="28">
        <f>SUM(Y12:AH12)</f>
        <v>3499</v>
      </c>
      <c r="AK12" s="28">
        <f t="shared" ref="AK12:AK46" si="3">+AI12+W12</f>
        <v>34878211</v>
      </c>
    </row>
    <row r="13" spans="1:38">
      <c r="A13" s="11" t="s">
        <v>587</v>
      </c>
      <c r="B13" s="11"/>
      <c r="C13" s="11" t="s">
        <v>58</v>
      </c>
      <c r="E13" s="6">
        <v>2589500</v>
      </c>
      <c r="G13" s="6">
        <v>0</v>
      </c>
      <c r="I13" s="6">
        <v>6915171</v>
      </c>
      <c r="K13" s="6">
        <v>15087</v>
      </c>
      <c r="M13" s="6">
        <f>721892+2057</f>
        <v>723949</v>
      </c>
      <c r="O13" s="6">
        <v>56325</v>
      </c>
      <c r="Q13" s="6">
        <v>0</v>
      </c>
      <c r="S13" s="6">
        <v>1697</v>
      </c>
      <c r="U13" s="6">
        <v>45778</v>
      </c>
      <c r="W13" s="2">
        <f t="shared" ref="W13:W83" si="4">SUM(E13:V13)</f>
        <v>10347507</v>
      </c>
      <c r="Y13" s="6">
        <v>0</v>
      </c>
      <c r="AA13" s="6">
        <v>0</v>
      </c>
      <c r="AC13" s="6">
        <v>0</v>
      </c>
      <c r="AE13" s="6">
        <v>0</v>
      </c>
      <c r="AG13" s="6">
        <v>0</v>
      </c>
      <c r="AI13" s="6">
        <f t="shared" ref="AI13:AI83" si="5">SUM(Y13:AH13)</f>
        <v>0</v>
      </c>
      <c r="AK13" s="6">
        <f t="shared" si="3"/>
        <v>10347507</v>
      </c>
    </row>
    <row r="14" spans="1:38">
      <c r="A14" s="11" t="s">
        <v>506</v>
      </c>
      <c r="B14" s="11"/>
      <c r="C14" s="11" t="s">
        <v>63</v>
      </c>
      <c r="E14" s="6">
        <v>94816379</v>
      </c>
      <c r="G14" s="6">
        <v>0</v>
      </c>
      <c r="I14" s="6">
        <v>178298080</v>
      </c>
      <c r="K14" s="6">
        <v>117998</v>
      </c>
      <c r="M14" s="6">
        <f>5751500+316318+1888773</f>
        <v>7956591</v>
      </c>
      <c r="O14" s="6">
        <v>357857</v>
      </c>
      <c r="Q14" s="6">
        <v>0</v>
      </c>
      <c r="S14" s="6">
        <v>419059</v>
      </c>
      <c r="U14" s="6">
        <f>708624+1945330</f>
        <v>2653954</v>
      </c>
      <c r="W14" s="2">
        <f t="shared" si="4"/>
        <v>284619918</v>
      </c>
      <c r="Y14" s="6">
        <v>1796</v>
      </c>
      <c r="AA14" s="6">
        <v>0</v>
      </c>
      <c r="AC14" s="6">
        <v>0</v>
      </c>
      <c r="AE14" s="6">
        <v>0</v>
      </c>
      <c r="AG14" s="6">
        <v>0</v>
      </c>
      <c r="AI14" s="6">
        <f t="shared" si="5"/>
        <v>1796</v>
      </c>
      <c r="AK14" s="6">
        <f t="shared" si="3"/>
        <v>284621714</v>
      </c>
    </row>
    <row r="15" spans="1:38" hidden="1">
      <c r="A15" s="11" t="s">
        <v>617</v>
      </c>
      <c r="B15" s="11"/>
      <c r="C15" s="11" t="s">
        <v>13</v>
      </c>
      <c r="D15" s="9"/>
      <c r="W15" s="2">
        <f t="shared" si="4"/>
        <v>0</v>
      </c>
      <c r="AI15" s="6">
        <f t="shared" si="5"/>
        <v>0</v>
      </c>
      <c r="AK15" s="6">
        <f t="shared" si="3"/>
        <v>0</v>
      </c>
    </row>
    <row r="16" spans="1:38" hidden="1">
      <c r="A16" s="11" t="s">
        <v>864</v>
      </c>
      <c r="B16" s="11"/>
      <c r="C16" s="11" t="s">
        <v>10</v>
      </c>
      <c r="W16" s="2">
        <f t="shared" ref="W16" si="6">SUM(E16:V16)</f>
        <v>0</v>
      </c>
      <c r="Y16" s="6">
        <v>0</v>
      </c>
      <c r="AA16" s="6">
        <v>0</v>
      </c>
      <c r="AC16" s="6">
        <v>0</v>
      </c>
      <c r="AE16" s="6">
        <v>0</v>
      </c>
      <c r="AG16" s="6">
        <v>0</v>
      </c>
      <c r="AI16" s="6">
        <f t="shared" ref="AI16" si="7">SUM(Y16:AH16)</f>
        <v>0</v>
      </c>
      <c r="AK16" s="6">
        <f t="shared" ref="AK16" si="8">+AI16+W16</f>
        <v>0</v>
      </c>
    </row>
    <row r="17" spans="1:37">
      <c r="A17" s="11" t="s">
        <v>493</v>
      </c>
      <c r="B17" s="11"/>
      <c r="C17" s="11" t="s">
        <v>62</v>
      </c>
      <c r="E17" s="6">
        <v>5583687</v>
      </c>
      <c r="G17" s="6">
        <v>0</v>
      </c>
      <c r="I17" s="6">
        <v>19722183</v>
      </c>
      <c r="K17" s="6">
        <v>78956</v>
      </c>
      <c r="M17" s="6">
        <f>1048394+44651+55062</f>
        <v>1148107</v>
      </c>
      <c r="O17" s="6">
        <v>65674</v>
      </c>
      <c r="Q17" s="6">
        <v>0</v>
      </c>
      <c r="S17" s="6">
        <v>21941</v>
      </c>
      <c r="U17" s="6">
        <v>56645</v>
      </c>
      <c r="W17" s="2">
        <f t="shared" si="4"/>
        <v>26677193</v>
      </c>
      <c r="Y17" s="6">
        <v>0</v>
      </c>
      <c r="AA17" s="6">
        <v>0</v>
      </c>
      <c r="AC17" s="6">
        <v>0</v>
      </c>
      <c r="AE17" s="6">
        <v>0</v>
      </c>
      <c r="AG17" s="6">
        <v>0</v>
      </c>
      <c r="AI17" s="6">
        <f t="shared" si="5"/>
        <v>0</v>
      </c>
      <c r="AK17" s="6">
        <f t="shared" si="3"/>
        <v>26677193</v>
      </c>
    </row>
    <row r="18" spans="1:37">
      <c r="A18" s="11" t="s">
        <v>292</v>
      </c>
      <c r="B18" s="11"/>
      <c r="C18" s="11" t="s">
        <v>25</v>
      </c>
      <c r="E18" s="6">
        <v>2453534</v>
      </c>
      <c r="G18" s="6">
        <v>441231</v>
      </c>
      <c r="I18" s="6">
        <v>9858728</v>
      </c>
      <c r="K18" s="6">
        <v>13493</v>
      </c>
      <c r="M18" s="6">
        <f>649133+730</f>
        <v>649863</v>
      </c>
      <c r="O18" s="6">
        <v>27018</v>
      </c>
      <c r="Q18" s="6">
        <v>0</v>
      </c>
      <c r="S18" s="6">
        <v>0</v>
      </c>
      <c r="U18" s="6">
        <v>101565</v>
      </c>
      <c r="W18" s="2">
        <f t="shared" si="4"/>
        <v>13545432</v>
      </c>
      <c r="Y18" s="6">
        <v>0</v>
      </c>
      <c r="AA18" s="6">
        <v>0</v>
      </c>
      <c r="AC18" s="6">
        <v>190145</v>
      </c>
      <c r="AE18" s="6">
        <v>0</v>
      </c>
      <c r="AG18" s="6">
        <v>0</v>
      </c>
      <c r="AI18" s="6">
        <f t="shared" si="5"/>
        <v>190145</v>
      </c>
      <c r="AK18" s="6">
        <f t="shared" si="3"/>
        <v>13735577</v>
      </c>
    </row>
    <row r="19" spans="1:37">
      <c r="A19" s="11" t="s">
        <v>749</v>
      </c>
      <c r="B19" s="11"/>
      <c r="C19" s="11" t="s">
        <v>44</v>
      </c>
      <c r="D19" s="9"/>
      <c r="E19" s="6">
        <v>14306005</v>
      </c>
      <c r="G19" s="6">
        <v>0</v>
      </c>
      <c r="I19" s="6">
        <v>17839202</v>
      </c>
      <c r="K19" s="6">
        <v>13383</v>
      </c>
      <c r="M19" s="6">
        <f>533527+14619+12980</f>
        <v>561126</v>
      </c>
      <c r="O19" s="6">
        <v>423386</v>
      </c>
      <c r="Q19" s="6">
        <v>0</v>
      </c>
      <c r="S19" s="6">
        <v>59869</v>
      </c>
      <c r="U19" s="6">
        <v>162184</v>
      </c>
      <c r="W19" s="2">
        <f>SUM(E19:V19)</f>
        <v>33365155</v>
      </c>
      <c r="Y19" s="6">
        <v>0</v>
      </c>
      <c r="AA19" s="6">
        <v>0</v>
      </c>
      <c r="AC19" s="6">
        <v>0</v>
      </c>
      <c r="AE19" s="6">
        <v>0</v>
      </c>
      <c r="AG19" s="6">
        <v>0</v>
      </c>
      <c r="AI19" s="6">
        <f>SUM(Y19:AH19)</f>
        <v>0</v>
      </c>
      <c r="AK19" s="6">
        <f t="shared" si="3"/>
        <v>33365155</v>
      </c>
    </row>
    <row r="20" spans="1:37">
      <c r="A20" s="11" t="s">
        <v>804</v>
      </c>
      <c r="B20" s="11"/>
      <c r="C20" s="11" t="s">
        <v>61</v>
      </c>
      <c r="E20" s="6">
        <v>2579013</v>
      </c>
      <c r="G20" s="6">
        <v>1675089</v>
      </c>
      <c r="I20" s="6">
        <v>5051317</v>
      </c>
      <c r="K20" s="6">
        <v>57115</v>
      </c>
      <c r="M20" s="6">
        <f>630087+47640</f>
        <v>677727</v>
      </c>
      <c r="O20" s="6">
        <v>46543</v>
      </c>
      <c r="Q20" s="6">
        <v>1750</v>
      </c>
      <c r="S20" s="6">
        <v>5311</v>
      </c>
      <c r="U20" s="6">
        <f>36826-479</f>
        <v>36347</v>
      </c>
      <c r="W20" s="2">
        <f t="shared" si="4"/>
        <v>10130212</v>
      </c>
      <c r="Y20" s="6">
        <v>0</v>
      </c>
      <c r="AA20" s="6">
        <v>0</v>
      </c>
      <c r="AC20" s="6">
        <v>0</v>
      </c>
      <c r="AE20" s="6">
        <v>1005</v>
      </c>
      <c r="AG20" s="6">
        <v>0</v>
      </c>
      <c r="AI20" s="6">
        <f t="shared" si="5"/>
        <v>1005</v>
      </c>
      <c r="AK20" s="6">
        <f t="shared" si="3"/>
        <v>10131217</v>
      </c>
    </row>
    <row r="21" spans="1:37" hidden="1">
      <c r="A21" s="11" t="s">
        <v>691</v>
      </c>
      <c r="B21" s="11"/>
      <c r="C21" s="11" t="s">
        <v>603</v>
      </c>
      <c r="W21" s="2">
        <f t="shared" si="4"/>
        <v>0</v>
      </c>
      <c r="AK21" s="6">
        <f t="shared" si="3"/>
        <v>0</v>
      </c>
    </row>
    <row r="22" spans="1:37">
      <c r="A22" s="11" t="s">
        <v>390</v>
      </c>
      <c r="B22" s="11"/>
      <c r="C22" s="11" t="s">
        <v>115</v>
      </c>
      <c r="E22" s="6">
        <v>19908105</v>
      </c>
      <c r="G22" s="6">
        <v>0</v>
      </c>
      <c r="I22" s="6">
        <v>11080535</v>
      </c>
      <c r="K22" s="6">
        <v>21346</v>
      </c>
      <c r="M22" s="6">
        <f>465327+235635</f>
        <v>700962</v>
      </c>
      <c r="O22" s="6">
        <v>106062</v>
      </c>
      <c r="Q22" s="6">
        <v>610534</v>
      </c>
      <c r="S22" s="6">
        <v>0</v>
      </c>
      <c r="U22" s="6">
        <v>230066</v>
      </c>
      <c r="W22" s="2">
        <f t="shared" si="4"/>
        <v>32657610</v>
      </c>
      <c r="Y22" s="6">
        <v>0</v>
      </c>
      <c r="AA22" s="6">
        <v>0</v>
      </c>
      <c r="AC22" s="6">
        <v>0</v>
      </c>
      <c r="AE22" s="6">
        <v>31608</v>
      </c>
      <c r="AG22" s="6">
        <v>0</v>
      </c>
      <c r="AI22" s="6">
        <f t="shared" si="5"/>
        <v>31608</v>
      </c>
      <c r="AK22" s="6">
        <f t="shared" si="3"/>
        <v>32689218</v>
      </c>
    </row>
    <row r="23" spans="1:37" hidden="1">
      <c r="A23" s="11" t="s">
        <v>865</v>
      </c>
      <c r="B23" s="11"/>
      <c r="C23" s="11" t="s">
        <v>450</v>
      </c>
      <c r="W23" s="2">
        <f t="shared" ref="W23" si="9">SUM(E23:V23)</f>
        <v>0</v>
      </c>
      <c r="Y23" s="6">
        <v>0</v>
      </c>
      <c r="AA23" s="6">
        <v>0</v>
      </c>
      <c r="AC23" s="6">
        <v>0</v>
      </c>
      <c r="AE23" s="6">
        <v>0</v>
      </c>
      <c r="AG23" s="6">
        <v>0</v>
      </c>
      <c r="AI23" s="6">
        <f t="shared" ref="AI23" si="10">SUM(Y23:AH23)</f>
        <v>0</v>
      </c>
      <c r="AK23" s="6">
        <f t="shared" ref="AK23" si="11">+AI23+W23</f>
        <v>0</v>
      </c>
    </row>
    <row r="24" spans="1:37">
      <c r="A24" s="11" t="s">
        <v>334</v>
      </c>
      <c r="B24" s="11"/>
      <c r="C24" s="11" t="s">
        <v>33</v>
      </c>
      <c r="E24" s="6">
        <v>2210241</v>
      </c>
      <c r="G24" s="6">
        <v>763492</v>
      </c>
      <c r="I24" s="6">
        <v>2125666</v>
      </c>
      <c r="K24" s="6">
        <v>9541</v>
      </c>
      <c r="M24" s="6">
        <f>862196</f>
        <v>862196</v>
      </c>
      <c r="O24" s="6">
        <v>2145</v>
      </c>
      <c r="Q24" s="6">
        <v>0</v>
      </c>
      <c r="S24" s="6">
        <v>13683</v>
      </c>
      <c r="U24" s="6">
        <v>16943</v>
      </c>
      <c r="W24" s="2">
        <f t="shared" si="4"/>
        <v>6003907</v>
      </c>
      <c r="Y24" s="6">
        <v>0</v>
      </c>
      <c r="AA24" s="6">
        <v>0</v>
      </c>
      <c r="AC24" s="6">
        <v>0</v>
      </c>
      <c r="AE24" s="6">
        <v>0</v>
      </c>
      <c r="AG24" s="6">
        <v>0</v>
      </c>
      <c r="AI24" s="6">
        <f t="shared" si="5"/>
        <v>0</v>
      </c>
      <c r="AK24" s="6">
        <f t="shared" si="3"/>
        <v>6003907</v>
      </c>
    </row>
    <row r="25" spans="1:37" hidden="1">
      <c r="A25" s="11" t="s">
        <v>670</v>
      </c>
      <c r="B25" s="11"/>
      <c r="C25" s="11" t="s">
        <v>21</v>
      </c>
      <c r="W25" s="2">
        <f t="shared" si="4"/>
        <v>0</v>
      </c>
      <c r="AI25" s="6">
        <f t="shared" si="5"/>
        <v>0</v>
      </c>
      <c r="AK25" s="6">
        <f t="shared" si="3"/>
        <v>0</v>
      </c>
    </row>
    <row r="26" spans="1:37">
      <c r="A26" s="11" t="s">
        <v>866</v>
      </c>
      <c r="B26" s="11"/>
      <c r="C26" s="11" t="s">
        <v>28</v>
      </c>
      <c r="E26" s="6">
        <v>5243025</v>
      </c>
      <c r="G26" s="6">
        <v>0</v>
      </c>
      <c r="I26" s="6">
        <v>5424556</v>
      </c>
      <c r="K26" s="6">
        <v>35746</v>
      </c>
      <c r="M26" s="6">
        <f>316756+4935</f>
        <v>321691</v>
      </c>
      <c r="O26" s="6">
        <v>56119</v>
      </c>
      <c r="Q26" s="6">
        <v>54303</v>
      </c>
      <c r="S26" s="6">
        <v>0</v>
      </c>
      <c r="U26" s="6">
        <v>149378</v>
      </c>
      <c r="W26" s="2">
        <f t="shared" si="4"/>
        <v>11284818</v>
      </c>
      <c r="Y26" s="6">
        <v>0</v>
      </c>
      <c r="AA26" s="6">
        <v>0</v>
      </c>
      <c r="AC26" s="6">
        <v>0</v>
      </c>
      <c r="AE26" s="6">
        <v>75</v>
      </c>
      <c r="AG26" s="6">
        <v>0</v>
      </c>
      <c r="AI26" s="6">
        <f t="shared" si="5"/>
        <v>75</v>
      </c>
      <c r="AK26" s="6">
        <f t="shared" si="3"/>
        <v>11284893</v>
      </c>
    </row>
    <row r="27" spans="1:37">
      <c r="A27" s="11" t="s">
        <v>335</v>
      </c>
      <c r="B27" s="11"/>
      <c r="C27" s="11" t="s">
        <v>33</v>
      </c>
      <c r="E27" s="6">
        <v>1351136</v>
      </c>
      <c r="G27" s="6">
        <v>1004698</v>
      </c>
      <c r="I27" s="6">
        <v>3251929</v>
      </c>
      <c r="K27" s="6">
        <v>5634</v>
      </c>
      <c r="M27" s="6">
        <f>258688</f>
        <v>258688</v>
      </c>
      <c r="O27" s="6">
        <v>1091</v>
      </c>
      <c r="Q27" s="6">
        <v>0</v>
      </c>
      <c r="S27" s="6">
        <v>1710</v>
      </c>
      <c r="U27" s="6">
        <v>47327</v>
      </c>
      <c r="W27" s="2">
        <f t="shared" si="4"/>
        <v>5922213</v>
      </c>
      <c r="Y27" s="6">
        <v>0</v>
      </c>
      <c r="AA27" s="6">
        <v>0</v>
      </c>
      <c r="AC27" s="6">
        <v>0</v>
      </c>
      <c r="AE27" s="6">
        <v>0</v>
      </c>
      <c r="AG27" s="6">
        <v>0</v>
      </c>
      <c r="AI27" s="6">
        <f t="shared" si="5"/>
        <v>0</v>
      </c>
      <c r="AK27" s="6">
        <f t="shared" si="3"/>
        <v>5922213</v>
      </c>
    </row>
    <row r="28" spans="1:37">
      <c r="A28" s="11" t="s">
        <v>203</v>
      </c>
      <c r="B28" s="11"/>
      <c r="C28" s="11" t="s">
        <v>11</v>
      </c>
      <c r="D28" s="9"/>
      <c r="E28" s="6">
        <v>12749699</v>
      </c>
      <c r="G28" s="6">
        <v>0</v>
      </c>
      <c r="I28" s="6">
        <v>14280037</v>
      </c>
      <c r="K28" s="6">
        <v>129211</v>
      </c>
      <c r="M28" s="6">
        <f>825755+16616+26590</f>
        <v>868961</v>
      </c>
      <c r="O28" s="6">
        <v>193980</v>
      </c>
      <c r="Q28" s="6">
        <v>219287</v>
      </c>
      <c r="S28" s="6">
        <v>15330</v>
      </c>
      <c r="U28" s="6">
        <v>137687</v>
      </c>
      <c r="W28" s="2">
        <f t="shared" si="4"/>
        <v>28594192</v>
      </c>
      <c r="Y28" s="6">
        <v>0</v>
      </c>
      <c r="AA28" s="6">
        <v>0</v>
      </c>
      <c r="AC28" s="6">
        <v>0</v>
      </c>
      <c r="AE28" s="6">
        <v>0</v>
      </c>
      <c r="AG28" s="6">
        <v>0</v>
      </c>
      <c r="AI28" s="6">
        <f t="shared" si="5"/>
        <v>0</v>
      </c>
      <c r="AK28" s="6">
        <f t="shared" si="3"/>
        <v>28594192</v>
      </c>
    </row>
    <row r="29" spans="1:37">
      <c r="A29" s="11" t="s">
        <v>669</v>
      </c>
      <c r="B29" s="11"/>
      <c r="C29" s="11" t="s">
        <v>12</v>
      </c>
      <c r="D29" s="9"/>
      <c r="E29" s="6">
        <v>9158168</v>
      </c>
      <c r="G29" s="6">
        <v>0</v>
      </c>
      <c r="I29" s="6">
        <v>24453072</v>
      </c>
      <c r="K29" s="6">
        <v>6950</v>
      </c>
      <c r="M29" s="6">
        <v>351141</v>
      </c>
      <c r="O29" s="6">
        <v>102403</v>
      </c>
      <c r="Q29" s="6">
        <v>0</v>
      </c>
      <c r="S29" s="6">
        <v>0</v>
      </c>
      <c r="U29" s="6">
        <v>282024</v>
      </c>
      <c r="W29" s="2">
        <f t="shared" si="4"/>
        <v>34353758</v>
      </c>
      <c r="Y29" s="6">
        <v>0</v>
      </c>
      <c r="AA29" s="6">
        <v>0</v>
      </c>
      <c r="AC29" s="6">
        <v>0</v>
      </c>
      <c r="AE29" s="6">
        <v>17049</v>
      </c>
      <c r="AG29" s="6">
        <v>0</v>
      </c>
      <c r="AI29" s="6">
        <f t="shared" si="5"/>
        <v>17049</v>
      </c>
      <c r="AK29" s="6">
        <f t="shared" si="3"/>
        <v>34370807</v>
      </c>
    </row>
    <row r="30" spans="1:37">
      <c r="A30" s="11" t="s">
        <v>210</v>
      </c>
      <c r="B30" s="11"/>
      <c r="C30" s="11" t="s">
        <v>13</v>
      </c>
      <c r="D30" s="9"/>
      <c r="E30" s="6">
        <v>12900434</v>
      </c>
      <c r="G30" s="6">
        <v>3463108</v>
      </c>
      <c r="I30" s="6">
        <v>9628062</v>
      </c>
      <c r="K30" s="6">
        <v>50024</v>
      </c>
      <c r="M30" s="6">
        <f>2455778+11814</f>
        <v>2467592</v>
      </c>
      <c r="O30" s="6">
        <v>33773</v>
      </c>
      <c r="Q30" s="6">
        <v>215968</v>
      </c>
      <c r="S30" s="6">
        <v>4181</v>
      </c>
      <c r="U30" s="6">
        <v>62537</v>
      </c>
      <c r="W30" s="2">
        <f t="shared" si="4"/>
        <v>28825679</v>
      </c>
      <c r="Y30" s="6">
        <v>0</v>
      </c>
      <c r="AA30" s="6">
        <v>0</v>
      </c>
      <c r="AC30" s="6">
        <v>0</v>
      </c>
      <c r="AE30" s="6">
        <v>0</v>
      </c>
      <c r="AG30" s="6">
        <v>0</v>
      </c>
      <c r="AI30" s="6">
        <f t="shared" si="5"/>
        <v>0</v>
      </c>
      <c r="AK30" s="6">
        <f t="shared" si="3"/>
        <v>28825679</v>
      </c>
    </row>
    <row r="31" spans="1:37">
      <c r="A31" s="11" t="s">
        <v>459</v>
      </c>
      <c r="B31" s="11"/>
      <c r="C31" s="11" t="s">
        <v>56</v>
      </c>
      <c r="E31" s="6">
        <v>20578854</v>
      </c>
      <c r="G31" s="6">
        <v>0</v>
      </c>
      <c r="I31" s="6">
        <v>8030156</v>
      </c>
      <c r="K31" s="6">
        <v>8966</v>
      </c>
      <c r="M31" s="6">
        <f>547522+14958</f>
        <v>562480</v>
      </c>
      <c r="O31" s="6">
        <v>81835</v>
      </c>
      <c r="Q31" s="6">
        <v>0</v>
      </c>
      <c r="S31" s="6">
        <v>45477</v>
      </c>
      <c r="U31" s="6">
        <v>48565</v>
      </c>
      <c r="W31" s="2">
        <f t="shared" si="4"/>
        <v>29356333</v>
      </c>
      <c r="Y31" s="6">
        <v>0</v>
      </c>
      <c r="AA31" s="6">
        <v>0</v>
      </c>
      <c r="AC31" s="6">
        <v>157097</v>
      </c>
      <c r="AE31" s="6">
        <v>0</v>
      </c>
      <c r="AG31" s="6">
        <v>0</v>
      </c>
      <c r="AI31" s="6">
        <f t="shared" si="5"/>
        <v>157097</v>
      </c>
      <c r="AK31" s="6">
        <f t="shared" si="3"/>
        <v>29513430</v>
      </c>
    </row>
    <row r="32" spans="1:37">
      <c r="A32" s="11" t="s">
        <v>401</v>
      </c>
      <c r="B32" s="11"/>
      <c r="C32" s="11" t="s">
        <v>45</v>
      </c>
      <c r="E32" s="6">
        <v>15695624</v>
      </c>
      <c r="G32" s="6">
        <v>0</v>
      </c>
      <c r="I32" s="6">
        <v>21269053</v>
      </c>
      <c r="K32" s="6">
        <v>12132</v>
      </c>
      <c r="M32" s="6">
        <f>3132701+769+130422</f>
        <v>3263892</v>
      </c>
      <c r="O32" s="6">
        <v>218296</v>
      </c>
      <c r="Q32" s="6">
        <v>0</v>
      </c>
      <c r="S32" s="6">
        <v>0</v>
      </c>
      <c r="U32" s="6">
        <v>66009</v>
      </c>
      <c r="W32" s="2">
        <f t="shared" si="4"/>
        <v>40525006</v>
      </c>
      <c r="Y32" s="6">
        <v>0</v>
      </c>
      <c r="AA32" s="6">
        <v>0</v>
      </c>
      <c r="AC32" s="6">
        <v>0</v>
      </c>
      <c r="AE32" s="6">
        <v>1120</v>
      </c>
      <c r="AG32" s="6">
        <v>0</v>
      </c>
      <c r="AI32" s="6">
        <f t="shared" si="5"/>
        <v>1120</v>
      </c>
      <c r="AK32" s="6">
        <f t="shared" si="3"/>
        <v>40526126</v>
      </c>
    </row>
    <row r="33" spans="1:37">
      <c r="A33" s="11" t="s">
        <v>380</v>
      </c>
      <c r="B33" s="11"/>
      <c r="C33" s="11" t="s">
        <v>44</v>
      </c>
      <c r="E33" s="6">
        <v>25176356</v>
      </c>
      <c r="G33" s="6">
        <v>0</v>
      </c>
      <c r="I33" s="6">
        <v>8907379</v>
      </c>
      <c r="K33" s="6">
        <v>79524</v>
      </c>
      <c r="M33" s="6">
        <f>544695+107967</f>
        <v>652662</v>
      </c>
      <c r="O33" s="6">
        <v>155575</v>
      </c>
      <c r="Q33" s="6">
        <v>0</v>
      </c>
      <c r="S33" s="6">
        <v>0</v>
      </c>
      <c r="U33" s="6">
        <v>208972</v>
      </c>
      <c r="W33" s="2">
        <f t="shared" si="4"/>
        <v>35180468</v>
      </c>
      <c r="Y33" s="6">
        <v>0</v>
      </c>
      <c r="AA33" s="6">
        <v>0</v>
      </c>
      <c r="AC33" s="6">
        <v>150915</v>
      </c>
      <c r="AE33" s="6">
        <v>0</v>
      </c>
      <c r="AG33" s="6">
        <v>0</v>
      </c>
      <c r="AI33" s="6">
        <f t="shared" si="5"/>
        <v>150915</v>
      </c>
      <c r="AK33" s="6">
        <f t="shared" si="3"/>
        <v>35331383</v>
      </c>
    </row>
    <row r="34" spans="1:37">
      <c r="A34" s="11" t="s">
        <v>381</v>
      </c>
      <c r="B34" s="11"/>
      <c r="C34" s="11" t="s">
        <v>44</v>
      </c>
      <c r="E34" s="6">
        <v>23500954</v>
      </c>
      <c r="G34" s="6">
        <v>0</v>
      </c>
      <c r="I34" s="6">
        <v>7017362</v>
      </c>
      <c r="K34" s="6">
        <v>32880</v>
      </c>
      <c r="M34" s="6">
        <f>797415</f>
        <v>797415</v>
      </c>
      <c r="O34" s="6">
        <v>181456</v>
      </c>
      <c r="Q34" s="6">
        <v>0</v>
      </c>
      <c r="S34" s="6">
        <v>0</v>
      </c>
      <c r="U34" s="6">
        <v>1210529</v>
      </c>
      <c r="W34" s="2">
        <f t="shared" si="4"/>
        <v>32740596</v>
      </c>
      <c r="Y34" s="6">
        <v>0</v>
      </c>
      <c r="AA34" s="6">
        <v>0</v>
      </c>
      <c r="AC34" s="6">
        <v>158150</v>
      </c>
      <c r="AE34" s="6">
        <v>0</v>
      </c>
      <c r="AG34" s="6">
        <v>0</v>
      </c>
      <c r="AI34" s="6">
        <f t="shared" si="5"/>
        <v>158150</v>
      </c>
      <c r="AK34" s="6">
        <f t="shared" si="3"/>
        <v>32898746</v>
      </c>
    </row>
    <row r="35" spans="1:37">
      <c r="A35" s="11" t="s">
        <v>283</v>
      </c>
      <c r="B35" s="11"/>
      <c r="C35" s="11" t="s">
        <v>22</v>
      </c>
      <c r="E35" s="6">
        <v>2380620</v>
      </c>
      <c r="G35" s="6">
        <v>869361</v>
      </c>
      <c r="I35" s="6">
        <f>3124213+9515</f>
        <v>3133728</v>
      </c>
      <c r="K35" s="6">
        <v>2711</v>
      </c>
      <c r="M35" s="6">
        <f>1358874+45966</f>
        <v>1404840</v>
      </c>
      <c r="O35" s="6">
        <v>0</v>
      </c>
      <c r="Q35" s="6">
        <v>279</v>
      </c>
      <c r="S35" s="6">
        <v>9806</v>
      </c>
      <c r="U35" s="6">
        <v>60716</v>
      </c>
      <c r="W35" s="2">
        <f t="shared" si="4"/>
        <v>7862061</v>
      </c>
      <c r="Y35" s="6">
        <v>0</v>
      </c>
      <c r="AA35" s="6">
        <v>0</v>
      </c>
      <c r="AC35" s="6">
        <v>125873</v>
      </c>
      <c r="AE35" s="6">
        <v>5844</v>
      </c>
      <c r="AG35" s="6">
        <v>0</v>
      </c>
      <c r="AI35" s="6">
        <f t="shared" si="5"/>
        <v>131717</v>
      </c>
      <c r="AK35" s="6">
        <f t="shared" si="3"/>
        <v>7993778</v>
      </c>
    </row>
    <row r="36" spans="1:37">
      <c r="A36" s="11" t="s">
        <v>507</v>
      </c>
      <c r="B36" s="11"/>
      <c r="C36" s="11" t="s">
        <v>63</v>
      </c>
      <c r="E36" s="6">
        <v>10049227</v>
      </c>
      <c r="G36" s="6">
        <v>0</v>
      </c>
      <c r="I36" s="6">
        <f>23790402+320599</f>
        <v>24111001</v>
      </c>
      <c r="K36" s="6">
        <v>23932</v>
      </c>
      <c r="M36" s="6">
        <f>1652430+105397</f>
        <v>1757827</v>
      </c>
      <c r="O36" s="6">
        <v>94199</v>
      </c>
      <c r="Q36" s="6">
        <v>0</v>
      </c>
      <c r="S36" s="6">
        <v>0</v>
      </c>
      <c r="U36" s="6">
        <v>740088</v>
      </c>
      <c r="W36" s="2">
        <f t="shared" si="4"/>
        <v>36776274</v>
      </c>
      <c r="Y36" s="6">
        <v>0</v>
      </c>
      <c r="AA36" s="6">
        <v>0</v>
      </c>
      <c r="AC36" s="6">
        <v>0</v>
      </c>
      <c r="AE36" s="6">
        <v>0</v>
      </c>
      <c r="AG36" s="6">
        <v>0</v>
      </c>
      <c r="AI36" s="6">
        <f t="shared" si="5"/>
        <v>0</v>
      </c>
      <c r="AK36" s="6">
        <f t="shared" si="3"/>
        <v>36776274</v>
      </c>
    </row>
    <row r="37" spans="1:37">
      <c r="A37" s="11" t="s">
        <v>750</v>
      </c>
      <c r="B37" s="11"/>
      <c r="C37" s="11" t="s">
        <v>15</v>
      </c>
      <c r="E37" s="6">
        <v>3283366</v>
      </c>
      <c r="G37" s="6">
        <v>0</v>
      </c>
      <c r="I37" s="6">
        <v>6306553</v>
      </c>
      <c r="K37" s="6">
        <v>18272</v>
      </c>
      <c r="M37" s="6">
        <v>624999</v>
      </c>
      <c r="O37" s="6">
        <v>66634</v>
      </c>
      <c r="Q37" s="6">
        <v>0</v>
      </c>
      <c r="S37" s="6">
        <v>11437</v>
      </c>
      <c r="U37" s="6">
        <f>4865+79215</f>
        <v>84080</v>
      </c>
      <c r="W37" s="2">
        <f t="shared" si="4"/>
        <v>10395341</v>
      </c>
      <c r="Y37" s="6">
        <v>0</v>
      </c>
      <c r="AA37" s="6">
        <v>0</v>
      </c>
      <c r="AC37" s="6">
        <v>0</v>
      </c>
      <c r="AE37" s="6">
        <v>0</v>
      </c>
      <c r="AG37" s="6">
        <v>0</v>
      </c>
      <c r="AI37" s="6">
        <f t="shared" si="5"/>
        <v>0</v>
      </c>
      <c r="AK37" s="6">
        <f t="shared" si="3"/>
        <v>10395341</v>
      </c>
    </row>
    <row r="38" spans="1:37">
      <c r="A38" s="11" t="s">
        <v>237</v>
      </c>
      <c r="B38" s="11"/>
      <c r="C38" s="11" t="s">
        <v>113</v>
      </c>
      <c r="D38" s="9"/>
      <c r="E38" s="6">
        <v>5287564</v>
      </c>
      <c r="G38" s="6">
        <v>0</v>
      </c>
      <c r="I38" s="6">
        <v>9250828</v>
      </c>
      <c r="K38" s="6">
        <v>838</v>
      </c>
      <c r="M38" s="6">
        <v>1040899</v>
      </c>
      <c r="O38" s="6">
        <v>0</v>
      </c>
      <c r="Q38" s="6">
        <v>723251</v>
      </c>
      <c r="S38" s="6">
        <v>0</v>
      </c>
      <c r="U38" s="6">
        <v>250320</v>
      </c>
      <c r="W38" s="2">
        <f t="shared" si="4"/>
        <v>16553700</v>
      </c>
      <c r="Y38" s="6">
        <v>0</v>
      </c>
      <c r="AA38" s="6">
        <v>0</v>
      </c>
      <c r="AC38" s="6">
        <v>520000</v>
      </c>
      <c r="AE38" s="6">
        <v>0</v>
      </c>
      <c r="AG38" s="6">
        <v>0</v>
      </c>
      <c r="AI38" s="6">
        <f t="shared" si="5"/>
        <v>520000</v>
      </c>
      <c r="AK38" s="6">
        <f t="shared" si="3"/>
        <v>17073700</v>
      </c>
    </row>
    <row r="39" spans="1:37" hidden="1">
      <c r="A39" s="11" t="s">
        <v>671</v>
      </c>
      <c r="B39" s="11"/>
      <c r="C39" s="11" t="s">
        <v>10</v>
      </c>
      <c r="D39" s="9"/>
      <c r="W39" s="2">
        <f t="shared" si="4"/>
        <v>0</v>
      </c>
      <c r="AG39" s="6">
        <v>0</v>
      </c>
      <c r="AI39" s="6">
        <f t="shared" si="5"/>
        <v>0</v>
      </c>
      <c r="AK39" s="6">
        <f t="shared" si="3"/>
        <v>0</v>
      </c>
    </row>
    <row r="40" spans="1:37">
      <c r="A40" s="11" t="s">
        <v>634</v>
      </c>
      <c r="B40" s="11"/>
      <c r="C40" s="11" t="s">
        <v>20</v>
      </c>
      <c r="E40" s="6">
        <v>21451386</v>
      </c>
      <c r="G40" s="6">
        <v>0</v>
      </c>
      <c r="I40" s="6">
        <v>7442038</v>
      </c>
      <c r="K40" s="6">
        <v>134954</v>
      </c>
      <c r="M40" s="6">
        <v>1147022</v>
      </c>
      <c r="O40" s="6">
        <v>215056</v>
      </c>
      <c r="Q40" s="6">
        <v>0</v>
      </c>
      <c r="S40" s="6">
        <v>0</v>
      </c>
      <c r="U40" s="6">
        <v>367051</v>
      </c>
      <c r="W40" s="2">
        <f t="shared" si="4"/>
        <v>30757507</v>
      </c>
      <c r="Y40" s="6">
        <v>30014</v>
      </c>
      <c r="AA40" s="6">
        <v>0</v>
      </c>
      <c r="AC40" s="6">
        <v>0</v>
      </c>
      <c r="AE40" s="6">
        <v>0</v>
      </c>
      <c r="AG40" s="6">
        <v>0</v>
      </c>
      <c r="AI40" s="6">
        <f t="shared" si="5"/>
        <v>30014</v>
      </c>
      <c r="AK40" s="6">
        <f t="shared" si="3"/>
        <v>30787521</v>
      </c>
    </row>
    <row r="41" spans="1:37">
      <c r="A41" s="11" t="s">
        <v>261</v>
      </c>
      <c r="B41" s="11"/>
      <c r="C41" s="11" t="s">
        <v>20</v>
      </c>
      <c r="E41" s="6">
        <v>24094022</v>
      </c>
      <c r="G41" s="6">
        <v>0</v>
      </c>
      <c r="I41" s="6">
        <v>6258167</v>
      </c>
      <c r="K41" s="6">
        <v>93407</v>
      </c>
      <c r="M41" s="6">
        <v>445471</v>
      </c>
      <c r="O41" s="6">
        <v>0</v>
      </c>
      <c r="Q41" s="6">
        <v>0</v>
      </c>
      <c r="S41" s="6">
        <v>14400</v>
      </c>
      <c r="U41" s="6">
        <f>290888+147514+307478</f>
        <v>745880</v>
      </c>
      <c r="W41" s="2">
        <f t="shared" si="4"/>
        <v>31651347</v>
      </c>
      <c r="Y41" s="6">
        <v>0</v>
      </c>
      <c r="AA41" s="6">
        <v>0</v>
      </c>
      <c r="AC41" s="6">
        <v>172087</v>
      </c>
      <c r="AE41" s="6">
        <v>0</v>
      </c>
      <c r="AG41" s="6">
        <v>0</v>
      </c>
      <c r="AI41" s="6">
        <f t="shared" si="5"/>
        <v>172087</v>
      </c>
      <c r="AK41" s="6">
        <f t="shared" si="3"/>
        <v>31823434</v>
      </c>
    </row>
    <row r="42" spans="1:37">
      <c r="A42" s="11" t="s">
        <v>246</v>
      </c>
      <c r="B42" s="11"/>
      <c r="C42" s="11" t="s">
        <v>112</v>
      </c>
      <c r="D42" s="9"/>
      <c r="E42" s="6">
        <v>5567128</v>
      </c>
      <c r="G42" s="6">
        <v>0</v>
      </c>
      <c r="I42" s="6">
        <v>10609181</v>
      </c>
      <c r="K42" s="6">
        <v>884</v>
      </c>
      <c r="M42" s="6">
        <v>1440881</v>
      </c>
      <c r="O42" s="6">
        <v>86901</v>
      </c>
      <c r="Q42" s="6">
        <v>0</v>
      </c>
      <c r="S42" s="6">
        <v>0</v>
      </c>
      <c r="U42" s="6">
        <f>13554+9830</f>
        <v>23384</v>
      </c>
      <c r="W42" s="2">
        <f t="shared" si="4"/>
        <v>17728359</v>
      </c>
      <c r="Y42" s="6">
        <v>0</v>
      </c>
      <c r="AA42" s="6">
        <v>0</v>
      </c>
      <c r="AC42" s="6">
        <v>0</v>
      </c>
      <c r="AE42" s="6">
        <v>2651</v>
      </c>
      <c r="AG42" s="6">
        <v>0</v>
      </c>
      <c r="AI42" s="6">
        <f t="shared" si="5"/>
        <v>2651</v>
      </c>
      <c r="AK42" s="6">
        <f t="shared" si="3"/>
        <v>17731010</v>
      </c>
    </row>
    <row r="43" spans="1:37">
      <c r="A43" s="11" t="s">
        <v>317</v>
      </c>
      <c r="B43" s="11"/>
      <c r="C43" s="11" t="s">
        <v>114</v>
      </c>
      <c r="E43" s="6">
        <v>48711124</v>
      </c>
      <c r="G43" s="6">
        <v>0</v>
      </c>
      <c r="I43" s="6">
        <v>19747724</v>
      </c>
      <c r="K43" s="6">
        <v>180055</v>
      </c>
      <c r="M43" s="6">
        <v>1149656</v>
      </c>
      <c r="O43" s="6">
        <v>225941</v>
      </c>
      <c r="Q43" s="6">
        <v>0</v>
      </c>
      <c r="S43" s="6">
        <v>84753</v>
      </c>
      <c r="U43" s="6">
        <f>145237+36821+10525</f>
        <v>192583</v>
      </c>
      <c r="W43" s="2">
        <f t="shared" si="4"/>
        <v>70291836</v>
      </c>
      <c r="Y43" s="6">
        <v>0</v>
      </c>
      <c r="AA43" s="6">
        <v>0</v>
      </c>
      <c r="AC43" s="6">
        <v>0</v>
      </c>
      <c r="AE43" s="6">
        <v>0</v>
      </c>
      <c r="AG43" s="6">
        <v>0</v>
      </c>
      <c r="AI43" s="6">
        <f t="shared" si="5"/>
        <v>0</v>
      </c>
      <c r="AK43" s="6">
        <f t="shared" si="3"/>
        <v>70291836</v>
      </c>
    </row>
    <row r="44" spans="1:37">
      <c r="A44" s="11" t="s">
        <v>262</v>
      </c>
      <c r="B44" s="11"/>
      <c r="C44" s="11" t="s">
        <v>20</v>
      </c>
      <c r="E44" s="6">
        <v>27992917</v>
      </c>
      <c r="G44" s="6">
        <v>0</v>
      </c>
      <c r="I44" s="6">
        <v>15685530</v>
      </c>
      <c r="K44" s="6">
        <v>11039</v>
      </c>
      <c r="M44" s="6">
        <v>1724635</v>
      </c>
      <c r="O44" s="6">
        <v>100189</v>
      </c>
      <c r="Q44" s="6">
        <v>0</v>
      </c>
      <c r="S44" s="6">
        <v>18669</v>
      </c>
      <c r="U44" s="6">
        <f>278168+33300+11249</f>
        <v>322717</v>
      </c>
      <c r="W44" s="2">
        <f t="shared" si="4"/>
        <v>45855696</v>
      </c>
      <c r="Y44" s="6">
        <v>0</v>
      </c>
      <c r="AA44" s="6">
        <v>0</v>
      </c>
      <c r="AC44" s="6">
        <v>0</v>
      </c>
      <c r="AE44" s="6">
        <v>14700</v>
      </c>
      <c r="AG44" s="6">
        <v>0</v>
      </c>
      <c r="AI44" s="6">
        <f t="shared" si="5"/>
        <v>14700</v>
      </c>
      <c r="AK44" s="6">
        <f t="shared" si="3"/>
        <v>45870396</v>
      </c>
    </row>
    <row r="45" spans="1:37">
      <c r="A45" s="11" t="s">
        <v>215</v>
      </c>
      <c r="B45" s="11"/>
      <c r="C45" s="11" t="s">
        <v>15</v>
      </c>
      <c r="D45" s="9"/>
      <c r="E45" s="6">
        <v>1917493</v>
      </c>
      <c r="G45" s="6">
        <v>0</v>
      </c>
      <c r="I45" s="6">
        <v>9304671</v>
      </c>
      <c r="K45" s="6">
        <v>6485</v>
      </c>
      <c r="M45" s="6">
        <v>791982</v>
      </c>
      <c r="O45" s="6">
        <v>47130</v>
      </c>
      <c r="Q45" s="6">
        <v>0</v>
      </c>
      <c r="S45" s="6">
        <v>0</v>
      </c>
      <c r="U45" s="6">
        <f>34322+13748+6000</f>
        <v>54070</v>
      </c>
      <c r="W45" s="2">
        <f t="shared" si="4"/>
        <v>12121831</v>
      </c>
      <c r="Y45" s="6">
        <v>0</v>
      </c>
      <c r="AA45" s="6">
        <v>0</v>
      </c>
      <c r="AC45" s="6">
        <v>0</v>
      </c>
      <c r="AE45" s="6">
        <v>0</v>
      </c>
      <c r="AG45" s="6">
        <v>0</v>
      </c>
      <c r="AI45" s="6">
        <f t="shared" si="5"/>
        <v>0</v>
      </c>
      <c r="AK45" s="6">
        <f t="shared" si="3"/>
        <v>12121831</v>
      </c>
    </row>
    <row r="46" spans="1:37">
      <c r="A46" s="11" t="s">
        <v>735</v>
      </c>
      <c r="B46" s="11"/>
      <c r="C46" s="11" t="s">
        <v>114</v>
      </c>
      <c r="D46" s="9"/>
      <c r="E46" s="6">
        <v>15254308</v>
      </c>
      <c r="G46" s="6">
        <v>0</v>
      </c>
      <c r="I46" s="6">
        <v>7851894</v>
      </c>
      <c r="K46" s="6">
        <v>502</v>
      </c>
      <c r="M46" s="6">
        <v>448656</v>
      </c>
      <c r="O46" s="6">
        <v>84822</v>
      </c>
      <c r="Q46" s="6">
        <v>0</v>
      </c>
      <c r="S46" s="6">
        <v>3901</v>
      </c>
      <c r="U46" s="6">
        <f>1176+52145+324142</f>
        <v>377463</v>
      </c>
      <c r="W46" s="2">
        <f t="shared" si="4"/>
        <v>24021546</v>
      </c>
      <c r="Y46" s="6">
        <v>0</v>
      </c>
      <c r="AA46" s="6">
        <v>0</v>
      </c>
      <c r="AC46" s="6">
        <v>0</v>
      </c>
      <c r="AE46" s="6">
        <v>21500</v>
      </c>
      <c r="AG46" s="6">
        <v>1495009</v>
      </c>
      <c r="AI46" s="6">
        <f t="shared" si="5"/>
        <v>1516509</v>
      </c>
      <c r="AK46" s="6">
        <f t="shared" si="3"/>
        <v>25538055</v>
      </c>
    </row>
    <row r="47" spans="1:37" hidden="1">
      <c r="A47" s="11" t="s">
        <v>885</v>
      </c>
      <c r="B47" s="11"/>
      <c r="C47" s="11" t="s">
        <v>43</v>
      </c>
      <c r="D47" s="9"/>
      <c r="W47" s="2">
        <f t="shared" ref="W47" si="12">SUM(E47:V47)</f>
        <v>0</v>
      </c>
      <c r="AG47" s="6">
        <v>0</v>
      </c>
      <c r="AI47" s="6">
        <f t="shared" ref="AI47" si="13">SUM(Y47:AH47)</f>
        <v>0</v>
      </c>
      <c r="AK47" s="6">
        <f t="shared" ref="AK47" si="14">+AI47+W47</f>
        <v>0</v>
      </c>
    </row>
    <row r="48" spans="1:37">
      <c r="A48" s="11" t="s">
        <v>355</v>
      </c>
      <c r="B48" s="11"/>
      <c r="C48" s="11" t="s">
        <v>37</v>
      </c>
      <c r="E48" s="6">
        <v>5878667</v>
      </c>
      <c r="G48" s="6">
        <v>1280328</v>
      </c>
      <c r="I48" s="6">
        <f>10532944+63029</f>
        <v>10595973</v>
      </c>
      <c r="K48" s="6">
        <v>21817</v>
      </c>
      <c r="M48" s="6">
        <f>305982+75322</f>
        <v>381304</v>
      </c>
      <c r="O48" s="6">
        <v>45474</v>
      </c>
      <c r="Q48" s="6">
        <v>0</v>
      </c>
      <c r="S48" s="6">
        <v>6507</v>
      </c>
      <c r="U48" s="6">
        <f>189935+2755</f>
        <v>192690</v>
      </c>
      <c r="W48" s="2">
        <f t="shared" si="4"/>
        <v>18402760</v>
      </c>
      <c r="Y48" s="6">
        <v>0</v>
      </c>
      <c r="AA48" s="6">
        <v>0</v>
      </c>
      <c r="AC48" s="6">
        <v>171298</v>
      </c>
      <c r="AE48" s="6">
        <v>12328</v>
      </c>
      <c r="AG48" s="6">
        <v>0</v>
      </c>
      <c r="AI48" s="6">
        <f t="shared" si="5"/>
        <v>183626</v>
      </c>
      <c r="AK48" s="6">
        <f t="shared" ref="AK48:AK80" si="15">+AI48+W48</f>
        <v>18586386</v>
      </c>
    </row>
    <row r="49" spans="1:37">
      <c r="A49" s="11" t="s">
        <v>547</v>
      </c>
      <c r="B49" s="11"/>
      <c r="C49" s="11" t="s">
        <v>70</v>
      </c>
      <c r="E49" s="6">
        <v>3331759</v>
      </c>
      <c r="G49" s="6">
        <v>0</v>
      </c>
      <c r="I49" s="6">
        <f>5343895+8852</f>
        <v>5352747</v>
      </c>
      <c r="K49" s="6">
        <v>32015</v>
      </c>
      <c r="M49" s="6">
        <f>463362+20185</f>
        <v>483547</v>
      </c>
      <c r="O49" s="6">
        <v>4009</v>
      </c>
      <c r="Q49" s="6">
        <v>0</v>
      </c>
      <c r="S49" s="6">
        <v>0</v>
      </c>
      <c r="U49" s="6">
        <f>26641+3043</f>
        <v>29684</v>
      </c>
      <c r="W49" s="2">
        <f t="shared" si="4"/>
        <v>9233761</v>
      </c>
      <c r="Y49" s="6">
        <v>0</v>
      </c>
      <c r="AA49" s="6">
        <v>0</v>
      </c>
      <c r="AC49" s="6">
        <v>0</v>
      </c>
      <c r="AE49" s="6">
        <v>0</v>
      </c>
      <c r="AG49" s="6">
        <v>0</v>
      </c>
      <c r="AI49" s="6">
        <f t="shared" si="5"/>
        <v>0</v>
      </c>
      <c r="AK49" s="6">
        <f t="shared" si="15"/>
        <v>9233761</v>
      </c>
    </row>
    <row r="50" spans="1:37" hidden="1">
      <c r="A50" s="11" t="s">
        <v>886</v>
      </c>
      <c r="B50" s="11"/>
      <c r="C50" s="11" t="s">
        <v>43</v>
      </c>
      <c r="W50" s="2">
        <f t="shared" ref="W50" si="16">SUM(E50:V50)</f>
        <v>0</v>
      </c>
      <c r="Y50" s="6">
        <v>0</v>
      </c>
      <c r="AA50" s="6">
        <v>0</v>
      </c>
      <c r="AC50" s="6">
        <v>0</v>
      </c>
      <c r="AE50" s="6">
        <v>0</v>
      </c>
      <c r="AG50" s="6">
        <v>0</v>
      </c>
      <c r="AI50" s="6">
        <f t="shared" ref="AI50" si="17">SUM(Y50:AH50)</f>
        <v>0</v>
      </c>
      <c r="AK50" s="6">
        <f t="shared" ref="AK50" si="18">+AI50+W50</f>
        <v>0</v>
      </c>
    </row>
    <row r="51" spans="1:37" hidden="1">
      <c r="A51" s="11" t="s">
        <v>869</v>
      </c>
      <c r="B51" s="11"/>
      <c r="C51" s="11" t="s">
        <v>53</v>
      </c>
      <c r="W51" s="2">
        <f t="shared" si="4"/>
        <v>0</v>
      </c>
      <c r="Y51" s="6">
        <v>0</v>
      </c>
      <c r="AA51" s="6">
        <v>0</v>
      </c>
      <c r="AC51" s="6">
        <v>0</v>
      </c>
      <c r="AE51" s="6">
        <v>0</v>
      </c>
      <c r="AG51" s="6">
        <v>0</v>
      </c>
      <c r="AI51" s="6">
        <f t="shared" si="5"/>
        <v>0</v>
      </c>
      <c r="AK51" s="6">
        <f t="shared" si="15"/>
        <v>0</v>
      </c>
    </row>
    <row r="52" spans="1:37">
      <c r="A52" s="11" t="s">
        <v>263</v>
      </c>
      <c r="B52" s="11"/>
      <c r="C52" s="11" t="s">
        <v>20</v>
      </c>
      <c r="E52" s="6">
        <v>49144011</v>
      </c>
      <c r="G52" s="6">
        <v>0</v>
      </c>
      <c r="I52" s="6">
        <v>23183106</v>
      </c>
      <c r="K52" s="6">
        <v>31690</v>
      </c>
      <c r="M52" s="6">
        <v>2847388</v>
      </c>
      <c r="O52" s="6">
        <v>311805</v>
      </c>
      <c r="Q52" s="6">
        <v>0</v>
      </c>
      <c r="S52" s="6">
        <v>84690</v>
      </c>
      <c r="U52" s="6">
        <f>805798+174798</f>
        <v>980596</v>
      </c>
      <c r="W52" s="2">
        <f t="shared" si="4"/>
        <v>76583286</v>
      </c>
      <c r="Y52" s="6">
        <v>0</v>
      </c>
      <c r="AA52" s="6">
        <v>0</v>
      </c>
      <c r="AC52" s="6">
        <v>0</v>
      </c>
      <c r="AE52" s="6">
        <v>0</v>
      </c>
      <c r="AG52" s="6">
        <v>0</v>
      </c>
      <c r="AI52" s="6">
        <f t="shared" si="5"/>
        <v>0</v>
      </c>
      <c r="AK52" s="6">
        <f t="shared" si="15"/>
        <v>76583286</v>
      </c>
    </row>
    <row r="53" spans="1:37">
      <c r="A53" s="11" t="s">
        <v>639</v>
      </c>
      <c r="B53" s="11"/>
      <c r="C53" s="11" t="s">
        <v>30</v>
      </c>
      <c r="E53" s="6">
        <v>4135060</v>
      </c>
      <c r="G53" s="6">
        <v>1548753</v>
      </c>
      <c r="I53" s="6">
        <v>4260877</v>
      </c>
      <c r="K53" s="6">
        <v>6285</v>
      </c>
      <c r="M53" s="6">
        <v>387610</v>
      </c>
      <c r="O53" s="6">
        <v>129767</v>
      </c>
      <c r="Q53" s="6">
        <v>0</v>
      </c>
      <c r="S53" s="6">
        <v>27793</v>
      </c>
      <c r="U53" s="6">
        <f>1700+21691</f>
        <v>23391</v>
      </c>
      <c r="W53" s="2">
        <f t="shared" si="4"/>
        <v>10519536</v>
      </c>
      <c r="Y53" s="6">
        <v>0</v>
      </c>
      <c r="AA53" s="6">
        <v>0</v>
      </c>
      <c r="AC53" s="6">
        <v>0</v>
      </c>
      <c r="AE53" s="6">
        <v>0</v>
      </c>
      <c r="AG53" s="6">
        <v>0</v>
      </c>
      <c r="AI53" s="6">
        <f t="shared" si="5"/>
        <v>0</v>
      </c>
      <c r="AK53" s="6">
        <f t="shared" si="15"/>
        <v>10519536</v>
      </c>
    </row>
    <row r="54" spans="1:37" hidden="1">
      <c r="A54" s="11" t="s">
        <v>285</v>
      </c>
      <c r="B54" s="11"/>
      <c r="C54" s="11" t="s">
        <v>24</v>
      </c>
      <c r="W54" s="2">
        <f t="shared" si="4"/>
        <v>0</v>
      </c>
      <c r="Y54" s="6">
        <v>0</v>
      </c>
      <c r="AA54" s="6">
        <v>0</v>
      </c>
      <c r="AC54" s="6">
        <v>0</v>
      </c>
      <c r="AE54" s="6">
        <v>0</v>
      </c>
      <c r="AG54" s="6">
        <v>0</v>
      </c>
      <c r="AI54" s="6">
        <f t="shared" si="5"/>
        <v>0</v>
      </c>
      <c r="AK54" s="6">
        <f t="shared" si="15"/>
        <v>0</v>
      </c>
    </row>
    <row r="55" spans="1:37" hidden="1">
      <c r="A55" s="11" t="s">
        <v>792</v>
      </c>
      <c r="B55" s="11"/>
      <c r="C55" s="11" t="s">
        <v>25</v>
      </c>
      <c r="W55" s="2">
        <f t="shared" si="4"/>
        <v>0</v>
      </c>
      <c r="AG55" s="6">
        <v>0</v>
      </c>
      <c r="AI55" s="6">
        <f t="shared" si="5"/>
        <v>0</v>
      </c>
      <c r="AK55" s="6">
        <f t="shared" si="15"/>
        <v>0</v>
      </c>
    </row>
    <row r="56" spans="1:37">
      <c r="A56" s="11" t="s">
        <v>423</v>
      </c>
      <c r="B56" s="11"/>
      <c r="C56" s="11" t="s">
        <v>48</v>
      </c>
      <c r="E56" s="6">
        <v>4070399</v>
      </c>
      <c r="G56" s="6">
        <v>0</v>
      </c>
      <c r="I56" s="6">
        <v>3166108</v>
      </c>
      <c r="K56" s="6">
        <v>2422</v>
      </c>
      <c r="M56" s="6">
        <v>852187</v>
      </c>
      <c r="O56" s="6">
        <v>30746</v>
      </c>
      <c r="Q56" s="6">
        <v>0</v>
      </c>
      <c r="S56" s="6">
        <v>0</v>
      </c>
      <c r="U56" s="6">
        <v>87397</v>
      </c>
      <c r="W56" s="2">
        <f t="shared" si="4"/>
        <v>8209259</v>
      </c>
      <c r="Y56" s="6">
        <v>0</v>
      </c>
      <c r="AA56" s="6">
        <v>0</v>
      </c>
      <c r="AC56" s="6">
        <v>0</v>
      </c>
      <c r="AE56" s="6">
        <v>0</v>
      </c>
      <c r="AG56" s="6">
        <v>0</v>
      </c>
      <c r="AI56" s="6">
        <f t="shared" si="5"/>
        <v>0</v>
      </c>
      <c r="AK56" s="6">
        <f t="shared" si="15"/>
        <v>8209259</v>
      </c>
    </row>
    <row r="57" spans="1:37">
      <c r="A57" s="11" t="s">
        <v>238</v>
      </c>
      <c r="B57" s="11"/>
      <c r="C57" s="11" t="s">
        <v>113</v>
      </c>
      <c r="D57" s="9"/>
      <c r="E57" s="6">
        <v>2648958</v>
      </c>
      <c r="G57" s="6">
        <v>0</v>
      </c>
      <c r="I57" s="6">
        <v>9714194</v>
      </c>
      <c r="K57" s="6">
        <v>8701</v>
      </c>
      <c r="M57" s="6">
        <v>1341954</v>
      </c>
      <c r="O57" s="6">
        <v>46614</v>
      </c>
      <c r="Q57" s="6">
        <v>0</v>
      </c>
      <c r="S57" s="6">
        <v>11581</v>
      </c>
      <c r="U57" s="6">
        <f>35401+13025+7963</f>
        <v>56389</v>
      </c>
      <c r="W57" s="2">
        <f t="shared" si="4"/>
        <v>13828391</v>
      </c>
      <c r="Y57" s="6">
        <v>13253</v>
      </c>
      <c r="AA57" s="6">
        <v>0</v>
      </c>
      <c r="AC57" s="6">
        <v>0</v>
      </c>
      <c r="AE57" s="6">
        <v>0</v>
      </c>
      <c r="AG57" s="6">
        <v>0</v>
      </c>
      <c r="AI57" s="6">
        <f t="shared" si="5"/>
        <v>13253</v>
      </c>
      <c r="AK57" s="6">
        <f t="shared" si="15"/>
        <v>13841644</v>
      </c>
    </row>
    <row r="58" spans="1:37" hidden="1">
      <c r="A58" s="11" t="s">
        <v>672</v>
      </c>
      <c r="B58" s="11"/>
      <c r="C58" s="11" t="s">
        <v>60</v>
      </c>
      <c r="W58" s="2">
        <f t="shared" si="4"/>
        <v>0</v>
      </c>
      <c r="AG58" s="6">
        <v>0</v>
      </c>
      <c r="AI58" s="6">
        <f t="shared" si="5"/>
        <v>0</v>
      </c>
      <c r="AK58" s="6">
        <f t="shared" si="15"/>
        <v>0</v>
      </c>
    </row>
    <row r="59" spans="1:37">
      <c r="A59" s="11" t="s">
        <v>299</v>
      </c>
      <c r="B59" s="11"/>
      <c r="C59" s="11" t="s">
        <v>27</v>
      </c>
      <c r="E59" s="6">
        <v>19863852</v>
      </c>
      <c r="G59" s="6">
        <v>5868617</v>
      </c>
      <c r="I59" s="6">
        <v>6599651</v>
      </c>
      <c r="K59" s="6">
        <v>85849</v>
      </c>
      <c r="M59" s="6">
        <v>68120</v>
      </c>
      <c r="O59" s="6">
        <v>58213</v>
      </c>
      <c r="Q59" s="6">
        <v>0</v>
      </c>
      <c r="S59" s="6">
        <v>0</v>
      </c>
      <c r="U59" s="6">
        <v>109694</v>
      </c>
      <c r="W59" s="2">
        <f t="shared" si="4"/>
        <v>32653996</v>
      </c>
      <c r="Y59" s="6">
        <v>0</v>
      </c>
      <c r="AA59" s="6">
        <v>0</v>
      </c>
      <c r="AC59" s="6">
        <v>0</v>
      </c>
      <c r="AE59" s="6">
        <v>0</v>
      </c>
      <c r="AG59" s="6">
        <v>0</v>
      </c>
      <c r="AI59" s="6">
        <f t="shared" si="5"/>
        <v>0</v>
      </c>
      <c r="AK59" s="6">
        <f t="shared" si="15"/>
        <v>32653996</v>
      </c>
    </row>
    <row r="60" spans="1:37">
      <c r="A60" s="11" t="s">
        <v>635</v>
      </c>
      <c r="B60" s="11"/>
      <c r="C60" s="11" t="s">
        <v>23</v>
      </c>
      <c r="E60" s="6">
        <v>16531097</v>
      </c>
      <c r="G60" s="6">
        <v>4797450</v>
      </c>
      <c r="I60" s="6">
        <v>7250610</v>
      </c>
      <c r="K60" s="6">
        <v>15306</v>
      </c>
      <c r="M60" s="6">
        <v>447035</v>
      </c>
      <c r="O60" s="6">
        <v>1544</v>
      </c>
      <c r="Q60" s="6">
        <v>0</v>
      </c>
      <c r="S60" s="6">
        <v>153048</v>
      </c>
      <c r="U60" s="6">
        <f>298713+7625</f>
        <v>306338</v>
      </c>
      <c r="W60" s="2">
        <f t="shared" si="4"/>
        <v>29502428</v>
      </c>
      <c r="Y60" s="6">
        <v>0</v>
      </c>
      <c r="AA60" s="6">
        <v>0</v>
      </c>
      <c r="AC60" s="6">
        <v>0</v>
      </c>
      <c r="AE60" s="6">
        <v>2297</v>
      </c>
      <c r="AG60" s="6">
        <v>0</v>
      </c>
      <c r="AI60" s="6">
        <f t="shared" si="5"/>
        <v>2297</v>
      </c>
      <c r="AK60" s="6">
        <f t="shared" si="15"/>
        <v>29504725</v>
      </c>
    </row>
    <row r="61" spans="1:37">
      <c r="A61" s="11" t="s">
        <v>414</v>
      </c>
      <c r="B61" s="11"/>
      <c r="C61" s="11" t="s">
        <v>47</v>
      </c>
      <c r="E61" s="6">
        <v>3634418</v>
      </c>
      <c r="G61" s="6">
        <v>0</v>
      </c>
      <c r="I61" s="6">
        <f>7736197+14805</f>
        <v>7751002</v>
      </c>
      <c r="K61" s="6">
        <v>13447</v>
      </c>
      <c r="M61" s="6">
        <f>296934+77566</f>
        <v>374500</v>
      </c>
      <c r="O61" s="6">
        <v>294934</v>
      </c>
      <c r="Q61" s="6">
        <v>0</v>
      </c>
      <c r="S61" s="6">
        <v>2500</v>
      </c>
      <c r="U61" s="6">
        <f>12354+600+15468</f>
        <v>28422</v>
      </c>
      <c r="W61" s="2">
        <f t="shared" si="4"/>
        <v>12099223</v>
      </c>
      <c r="Y61" s="6">
        <v>0</v>
      </c>
      <c r="AA61" s="6">
        <v>0</v>
      </c>
      <c r="AC61" s="6">
        <v>0</v>
      </c>
      <c r="AE61" s="6">
        <v>0</v>
      </c>
      <c r="AG61" s="6">
        <v>0</v>
      </c>
      <c r="AI61" s="6">
        <f t="shared" si="5"/>
        <v>0</v>
      </c>
      <c r="AK61" s="6">
        <f t="shared" si="15"/>
        <v>12099223</v>
      </c>
    </row>
    <row r="62" spans="1:37">
      <c r="A62" s="11" t="s">
        <v>242</v>
      </c>
      <c r="B62" s="11"/>
      <c r="C62" s="11" t="s">
        <v>18</v>
      </c>
      <c r="D62" s="9"/>
      <c r="E62" s="6">
        <v>2600691</v>
      </c>
      <c r="G62" s="6">
        <v>0</v>
      </c>
      <c r="I62" s="6">
        <v>9549646</v>
      </c>
      <c r="K62" s="6">
        <v>26531</v>
      </c>
      <c r="M62" s="6">
        <v>1474800</v>
      </c>
      <c r="O62" s="6">
        <v>887</v>
      </c>
      <c r="Q62" s="6">
        <v>0</v>
      </c>
      <c r="S62" s="6">
        <v>0</v>
      </c>
      <c r="U62" s="6">
        <v>91208</v>
      </c>
      <c r="W62" s="2">
        <f t="shared" si="4"/>
        <v>13743763</v>
      </c>
      <c r="Y62" s="6">
        <v>0</v>
      </c>
      <c r="AA62" s="6">
        <v>0</v>
      </c>
      <c r="AC62" s="6">
        <v>0</v>
      </c>
      <c r="AE62" s="6">
        <v>0</v>
      </c>
      <c r="AG62" s="6">
        <v>0</v>
      </c>
      <c r="AI62" s="6">
        <f t="shared" si="5"/>
        <v>0</v>
      </c>
      <c r="AK62" s="6">
        <f t="shared" si="15"/>
        <v>13743763</v>
      </c>
    </row>
    <row r="63" spans="1:37">
      <c r="A63" s="11" t="s">
        <v>293</v>
      </c>
      <c r="B63" s="11"/>
      <c r="C63" s="11" t="s">
        <v>25</v>
      </c>
      <c r="E63" s="6">
        <v>6099810</v>
      </c>
      <c r="G63" s="6">
        <v>3713440</v>
      </c>
      <c r="I63" s="6">
        <v>3847748</v>
      </c>
      <c r="K63" s="6">
        <v>15531</v>
      </c>
      <c r="M63" s="6">
        <v>1115431</v>
      </c>
      <c r="O63" s="6">
        <v>26022</v>
      </c>
      <c r="Q63" s="6">
        <v>0</v>
      </c>
      <c r="S63" s="6">
        <v>5691</v>
      </c>
      <c r="U63" s="6">
        <f>2850+79551</f>
        <v>82401</v>
      </c>
      <c r="W63" s="2">
        <f t="shared" si="4"/>
        <v>14906074</v>
      </c>
      <c r="Y63" s="6">
        <v>0</v>
      </c>
      <c r="AA63" s="6">
        <v>0</v>
      </c>
      <c r="AC63" s="6">
        <v>0</v>
      </c>
      <c r="AE63" s="6">
        <v>0</v>
      </c>
      <c r="AG63" s="6">
        <v>0</v>
      </c>
      <c r="AI63" s="6">
        <f t="shared" si="5"/>
        <v>0</v>
      </c>
      <c r="AK63" s="6">
        <f t="shared" si="15"/>
        <v>14906074</v>
      </c>
    </row>
    <row r="64" spans="1:37">
      <c r="A64" s="11" t="s">
        <v>518</v>
      </c>
      <c r="B64" s="11"/>
      <c r="C64" s="11" t="s">
        <v>64</v>
      </c>
      <c r="E64" s="6">
        <v>1125559</v>
      </c>
      <c r="G64" s="6">
        <v>0</v>
      </c>
      <c r="I64" s="6">
        <v>1565301</v>
      </c>
      <c r="K64" s="6">
        <v>441</v>
      </c>
      <c r="M64" s="6">
        <f>179041+3297</f>
        <v>182338</v>
      </c>
      <c r="O64" s="6">
        <v>2787</v>
      </c>
      <c r="Q64" s="6">
        <v>0</v>
      </c>
      <c r="S64" s="6">
        <v>0</v>
      </c>
      <c r="U64" s="6">
        <f>5803+52+10220</f>
        <v>16075</v>
      </c>
      <c r="W64" s="2">
        <f t="shared" si="4"/>
        <v>2892501</v>
      </c>
      <c r="Y64" s="6">
        <v>0</v>
      </c>
      <c r="AA64" s="6">
        <v>0</v>
      </c>
      <c r="AC64" s="6">
        <v>44880</v>
      </c>
      <c r="AE64" s="6">
        <v>2651</v>
      </c>
      <c r="AG64" s="6">
        <v>0</v>
      </c>
      <c r="AI64" s="6">
        <f t="shared" si="5"/>
        <v>47531</v>
      </c>
      <c r="AK64" s="6">
        <f t="shared" si="15"/>
        <v>2940032</v>
      </c>
    </row>
    <row r="65" spans="1:37">
      <c r="A65" s="11" t="s">
        <v>479</v>
      </c>
      <c r="B65" s="11"/>
      <c r="C65" s="11" t="s">
        <v>59</v>
      </c>
      <c r="E65" s="6">
        <v>1109475</v>
      </c>
      <c r="G65" s="6">
        <v>0</v>
      </c>
      <c r="I65" s="6">
        <v>6255593</v>
      </c>
      <c r="K65" s="6">
        <v>5474</v>
      </c>
      <c r="M65" s="6">
        <v>972781</v>
      </c>
      <c r="O65" s="6">
        <v>10201</v>
      </c>
      <c r="Q65" s="6">
        <v>0</v>
      </c>
      <c r="S65" s="6">
        <v>3024</v>
      </c>
      <c r="U65" s="6">
        <v>191606</v>
      </c>
      <c r="W65" s="2">
        <f t="shared" ref="W65" si="19">SUM(E65:V65)</f>
        <v>8548154</v>
      </c>
      <c r="Y65" s="6">
        <v>0</v>
      </c>
      <c r="AA65" s="6">
        <v>0</v>
      </c>
      <c r="AC65" s="6">
        <v>0</v>
      </c>
      <c r="AE65" s="6">
        <v>0</v>
      </c>
      <c r="AG65" s="6">
        <v>0</v>
      </c>
      <c r="AI65" s="6">
        <f t="shared" ref="AI65" si="20">SUM(Y65:AH65)</f>
        <v>0</v>
      </c>
      <c r="AK65" s="6">
        <f t="shared" si="15"/>
        <v>8548154</v>
      </c>
    </row>
    <row r="66" spans="1:37" hidden="1">
      <c r="A66" s="11" t="s">
        <v>887</v>
      </c>
      <c r="B66" s="11"/>
      <c r="C66" s="11" t="s">
        <v>10</v>
      </c>
      <c r="W66" s="2">
        <f>SUM(E66:V66)</f>
        <v>0</v>
      </c>
      <c r="AG66" s="6">
        <v>0</v>
      </c>
      <c r="AI66" s="6">
        <f>SUM(Y66:AH66)</f>
        <v>0</v>
      </c>
      <c r="AK66" s="6">
        <f t="shared" si="15"/>
        <v>0</v>
      </c>
    </row>
    <row r="67" spans="1:37">
      <c r="A67" s="11" t="s">
        <v>402</v>
      </c>
      <c r="B67" s="11"/>
      <c r="C67" s="11" t="s">
        <v>45</v>
      </c>
      <c r="E67" s="6">
        <v>25233367</v>
      </c>
      <c r="G67" s="6">
        <v>0</v>
      </c>
      <c r="I67" s="6">
        <v>13804824</v>
      </c>
      <c r="K67" s="6">
        <v>24982</v>
      </c>
      <c r="M67" s="6">
        <v>679898</v>
      </c>
      <c r="O67" s="6">
        <v>85505</v>
      </c>
      <c r="Q67" s="6">
        <v>0</v>
      </c>
      <c r="S67" s="6">
        <v>76223</v>
      </c>
      <c r="U67" s="6">
        <f>307920+82707</f>
        <v>390627</v>
      </c>
      <c r="W67" s="2">
        <f t="shared" si="4"/>
        <v>40295426</v>
      </c>
      <c r="Y67" s="6">
        <v>0</v>
      </c>
      <c r="AA67" s="6">
        <v>0</v>
      </c>
      <c r="AC67" s="6">
        <v>0</v>
      </c>
      <c r="AE67" s="6">
        <v>0</v>
      </c>
      <c r="AG67" s="6">
        <v>0</v>
      </c>
      <c r="AI67" s="6">
        <f t="shared" si="5"/>
        <v>0</v>
      </c>
      <c r="AK67" s="6">
        <f t="shared" si="15"/>
        <v>40295426</v>
      </c>
    </row>
    <row r="68" spans="1:37">
      <c r="A68" s="11" t="s">
        <v>489</v>
      </c>
      <c r="B68" s="11"/>
      <c r="C68" s="11" t="s">
        <v>61</v>
      </c>
      <c r="E68" s="6">
        <v>873243</v>
      </c>
      <c r="G68" s="6">
        <v>581195</v>
      </c>
      <c r="I68" s="6">
        <v>2370719</v>
      </c>
      <c r="K68" s="6">
        <v>3268</v>
      </c>
      <c r="M68" s="6">
        <v>1107834</v>
      </c>
      <c r="O68" s="6">
        <v>36686</v>
      </c>
      <c r="Q68" s="6">
        <v>0</v>
      </c>
      <c r="S68" s="6">
        <v>5957</v>
      </c>
      <c r="U68" s="6">
        <f>16745+6105</f>
        <v>22850</v>
      </c>
      <c r="W68" s="2">
        <f t="shared" si="4"/>
        <v>5001752</v>
      </c>
      <c r="Y68" s="6">
        <v>0</v>
      </c>
      <c r="AA68" s="6">
        <v>0</v>
      </c>
      <c r="AC68" s="6">
        <v>0</v>
      </c>
      <c r="AE68" s="6">
        <v>85</v>
      </c>
      <c r="AG68" s="6">
        <v>0</v>
      </c>
      <c r="AI68" s="6">
        <f>SUM(Y68:AH68)</f>
        <v>85</v>
      </c>
      <c r="AK68" s="6">
        <f t="shared" si="15"/>
        <v>5001837</v>
      </c>
    </row>
    <row r="69" spans="1:37">
      <c r="A69" s="11" t="s">
        <v>554</v>
      </c>
      <c r="B69" s="11"/>
      <c r="C69" s="11" t="s">
        <v>72</v>
      </c>
      <c r="E69" s="6">
        <v>13839066</v>
      </c>
      <c r="G69" s="6">
        <v>2838873</v>
      </c>
      <c r="I69" s="6">
        <v>10229852</v>
      </c>
      <c r="K69" s="6">
        <v>51545</v>
      </c>
      <c r="M69" s="6">
        <v>439316</v>
      </c>
      <c r="O69" s="6">
        <v>42438</v>
      </c>
      <c r="Q69" s="6">
        <v>0</v>
      </c>
      <c r="S69" s="6">
        <v>0</v>
      </c>
      <c r="U69" s="6">
        <f>122970+4446</f>
        <v>127416</v>
      </c>
      <c r="W69" s="2">
        <f t="shared" si="4"/>
        <v>27568506</v>
      </c>
      <c r="Y69" s="6">
        <v>0</v>
      </c>
      <c r="AA69" s="6">
        <v>0</v>
      </c>
      <c r="AC69" s="6">
        <v>0</v>
      </c>
      <c r="AE69" s="6">
        <f>3925+20463</f>
        <v>24388</v>
      </c>
      <c r="AG69" s="6">
        <v>0</v>
      </c>
      <c r="AI69" s="6">
        <f t="shared" si="5"/>
        <v>24388</v>
      </c>
      <c r="AK69" s="6">
        <f t="shared" si="15"/>
        <v>27592894</v>
      </c>
    </row>
    <row r="70" spans="1:37" hidden="1">
      <c r="A70" s="11" t="s">
        <v>888</v>
      </c>
      <c r="B70" s="11"/>
      <c r="C70" s="11" t="s">
        <v>48</v>
      </c>
      <c r="W70" s="2">
        <f>SUM(E70:V70)</f>
        <v>0</v>
      </c>
      <c r="AG70" s="6">
        <v>0</v>
      </c>
      <c r="AI70" s="6">
        <f>SUM(Y70:AH70)</f>
        <v>0</v>
      </c>
      <c r="AK70" s="6">
        <f t="shared" si="15"/>
        <v>0</v>
      </c>
    </row>
    <row r="71" spans="1:37">
      <c r="A71" s="11" t="s">
        <v>785</v>
      </c>
      <c r="B71" s="11"/>
      <c r="C71" s="11" t="s">
        <v>20</v>
      </c>
      <c r="E71" s="6">
        <v>31405016</v>
      </c>
      <c r="G71" s="6">
        <v>0</v>
      </c>
      <c r="I71" s="6">
        <v>11741534</v>
      </c>
      <c r="K71" s="6">
        <v>53259</v>
      </c>
      <c r="M71" s="6">
        <v>564698</v>
      </c>
      <c r="O71" s="6">
        <v>961145</v>
      </c>
      <c r="Q71" s="6">
        <v>376359</v>
      </c>
      <c r="S71" s="6">
        <v>25333</v>
      </c>
      <c r="U71" s="6">
        <f>247536+21590+16518</f>
        <v>285644</v>
      </c>
      <c r="W71" s="2">
        <f t="shared" si="4"/>
        <v>45412988</v>
      </c>
      <c r="Y71" s="6">
        <v>0</v>
      </c>
      <c r="AA71" s="6">
        <v>0</v>
      </c>
      <c r="AC71" s="6">
        <v>176382</v>
      </c>
      <c r="AE71" s="6">
        <v>0</v>
      </c>
      <c r="AG71" s="6">
        <v>0</v>
      </c>
      <c r="AI71" s="6">
        <f t="shared" si="5"/>
        <v>176382</v>
      </c>
      <c r="AK71" s="6">
        <f t="shared" si="15"/>
        <v>45589370</v>
      </c>
    </row>
    <row r="72" spans="1:37">
      <c r="A72" s="11" t="s">
        <v>751</v>
      </c>
      <c r="B72" s="11"/>
      <c r="C72" s="11" t="s">
        <v>15</v>
      </c>
      <c r="D72" s="9"/>
      <c r="E72" s="6">
        <v>1534349</v>
      </c>
      <c r="G72" s="6">
        <v>0</v>
      </c>
      <c r="I72" s="6">
        <f>4690075+10505</f>
        <v>4700580</v>
      </c>
      <c r="K72" s="6">
        <v>1404</v>
      </c>
      <c r="M72" s="6">
        <f>51+576568</f>
        <v>576619</v>
      </c>
      <c r="O72" s="6">
        <v>2744</v>
      </c>
      <c r="Q72" s="6">
        <v>0</v>
      </c>
      <c r="S72" s="6">
        <v>0</v>
      </c>
      <c r="U72" s="6">
        <v>28083</v>
      </c>
      <c r="W72" s="2">
        <f t="shared" si="4"/>
        <v>6843779</v>
      </c>
      <c r="Y72" s="6">
        <v>0</v>
      </c>
      <c r="AA72" s="6">
        <v>0</v>
      </c>
      <c r="AC72" s="6">
        <v>0</v>
      </c>
      <c r="AE72" s="6">
        <v>0</v>
      </c>
      <c r="AG72" s="6">
        <v>0</v>
      </c>
      <c r="AI72" s="6">
        <f t="shared" si="5"/>
        <v>0</v>
      </c>
      <c r="AK72" s="6">
        <f t="shared" si="15"/>
        <v>6843779</v>
      </c>
    </row>
    <row r="73" spans="1:37" hidden="1">
      <c r="A73" s="11" t="s">
        <v>793</v>
      </c>
      <c r="B73" s="11"/>
      <c r="C73" s="11" t="s">
        <v>348</v>
      </c>
      <c r="W73" s="2">
        <f t="shared" si="4"/>
        <v>0</v>
      </c>
      <c r="AG73" s="6">
        <v>0</v>
      </c>
      <c r="AI73" s="6">
        <f t="shared" si="5"/>
        <v>0</v>
      </c>
      <c r="AK73" s="6">
        <f t="shared" si="15"/>
        <v>0</v>
      </c>
    </row>
    <row r="74" spans="1:37">
      <c r="A74" s="11" t="s">
        <v>519</v>
      </c>
      <c r="B74" s="11"/>
      <c r="C74" s="11" t="s">
        <v>64</v>
      </c>
      <c r="E74" s="6">
        <v>2201474</v>
      </c>
      <c r="G74" s="6">
        <v>0</v>
      </c>
      <c r="I74" s="6">
        <v>3793004</v>
      </c>
      <c r="K74" s="6">
        <v>2885</v>
      </c>
      <c r="M74" s="6">
        <f>323961+1551</f>
        <v>325512</v>
      </c>
      <c r="O74" s="6">
        <v>29262</v>
      </c>
      <c r="Q74" s="6">
        <v>0</v>
      </c>
      <c r="S74" s="6">
        <v>207</v>
      </c>
      <c r="U74" s="6">
        <f>10910+6300</f>
        <v>17210</v>
      </c>
      <c r="W74" s="2">
        <f t="shared" si="4"/>
        <v>6369554</v>
      </c>
      <c r="Y74" s="6">
        <v>0</v>
      </c>
      <c r="AA74" s="6">
        <v>0</v>
      </c>
      <c r="AC74" s="6">
        <v>0</v>
      </c>
      <c r="AE74" s="6">
        <v>0</v>
      </c>
      <c r="AG74" s="6">
        <v>0</v>
      </c>
      <c r="AI74" s="6">
        <f t="shared" si="5"/>
        <v>0</v>
      </c>
      <c r="AK74" s="6">
        <f t="shared" si="15"/>
        <v>6369554</v>
      </c>
    </row>
    <row r="75" spans="1:37">
      <c r="A75" s="11" t="s">
        <v>673</v>
      </c>
      <c r="B75" s="11"/>
      <c r="C75" s="11" t="s">
        <v>64</v>
      </c>
      <c r="E75" s="6">
        <v>2639227</v>
      </c>
      <c r="G75" s="6">
        <v>0</v>
      </c>
      <c r="I75" s="6">
        <f>6194739+32319</f>
        <v>6227058</v>
      </c>
      <c r="K75" s="6">
        <v>1518</v>
      </c>
      <c r="M75" s="6">
        <f>26238+4151+309178</f>
        <v>339567</v>
      </c>
      <c r="O75" s="6">
        <v>41415</v>
      </c>
      <c r="Q75" s="6">
        <v>0</v>
      </c>
      <c r="S75" s="6">
        <v>0</v>
      </c>
      <c r="U75" s="6">
        <v>181647</v>
      </c>
      <c r="W75" s="2">
        <f t="shared" si="4"/>
        <v>9430432</v>
      </c>
      <c r="Y75" s="6">
        <v>0</v>
      </c>
      <c r="AA75" s="6">
        <v>0</v>
      </c>
      <c r="AC75" s="6">
        <v>0</v>
      </c>
      <c r="AE75" s="6">
        <v>0</v>
      </c>
      <c r="AG75" s="6">
        <v>0</v>
      </c>
      <c r="AI75" s="6">
        <f t="shared" si="5"/>
        <v>0</v>
      </c>
      <c r="AK75" s="6">
        <f t="shared" si="15"/>
        <v>9430432</v>
      </c>
    </row>
    <row r="76" spans="1:37">
      <c r="A76" s="11" t="s">
        <v>264</v>
      </c>
      <c r="B76" s="11"/>
      <c r="C76" s="11" t="s">
        <v>20</v>
      </c>
      <c r="E76" s="6">
        <v>10571755</v>
      </c>
      <c r="G76" s="6">
        <v>0</v>
      </c>
      <c r="I76" s="6">
        <v>3981957</v>
      </c>
      <c r="K76" s="6">
        <v>0</v>
      </c>
      <c r="M76" s="6">
        <v>174356</v>
      </c>
      <c r="O76" s="6">
        <v>0</v>
      </c>
      <c r="Q76" s="6">
        <v>0</v>
      </c>
      <c r="S76" s="6">
        <v>7591</v>
      </c>
      <c r="U76" s="6">
        <f>4765+379191</f>
        <v>383956</v>
      </c>
      <c r="W76" s="2">
        <f t="shared" si="4"/>
        <v>15119615</v>
      </c>
      <c r="Y76" s="6">
        <v>0</v>
      </c>
      <c r="AA76" s="6">
        <v>0</v>
      </c>
      <c r="AC76" s="6">
        <v>0</v>
      </c>
      <c r="AE76" s="6">
        <v>0</v>
      </c>
      <c r="AG76" s="6">
        <v>0</v>
      </c>
      <c r="AI76" s="6">
        <f t="shared" si="5"/>
        <v>0</v>
      </c>
      <c r="AK76" s="6">
        <f t="shared" si="15"/>
        <v>15119615</v>
      </c>
    </row>
    <row r="77" spans="1:37">
      <c r="A77" s="11" t="s">
        <v>428</v>
      </c>
      <c r="B77" s="11"/>
      <c r="C77" s="11" t="s">
        <v>50</v>
      </c>
      <c r="E77" s="6">
        <v>5341716</v>
      </c>
      <c r="G77" s="6">
        <v>0</v>
      </c>
      <c r="I77" s="6">
        <v>6146482</v>
      </c>
      <c r="K77" s="6">
        <v>0</v>
      </c>
      <c r="M77" s="6">
        <v>330491</v>
      </c>
      <c r="O77" s="6">
        <v>123264</v>
      </c>
      <c r="Q77" s="6">
        <v>65763</v>
      </c>
      <c r="S77" s="6">
        <v>0</v>
      </c>
      <c r="U77" s="6">
        <f>69744+51834</f>
        <v>121578</v>
      </c>
      <c r="W77" s="2">
        <f t="shared" si="4"/>
        <v>12129294</v>
      </c>
      <c r="Y77" s="6">
        <v>0</v>
      </c>
      <c r="AA77" s="6">
        <v>0</v>
      </c>
      <c r="AC77" s="6">
        <v>0</v>
      </c>
      <c r="AE77" s="6">
        <v>0</v>
      </c>
      <c r="AG77" s="6">
        <v>0</v>
      </c>
      <c r="AI77" s="6">
        <f t="shared" si="5"/>
        <v>0</v>
      </c>
      <c r="AK77" s="6">
        <f t="shared" si="15"/>
        <v>12129294</v>
      </c>
    </row>
    <row r="78" spans="1:37">
      <c r="A78" s="11" t="s">
        <v>227</v>
      </c>
      <c r="B78" s="11"/>
      <c r="C78" s="11" t="s">
        <v>16</v>
      </c>
      <c r="D78" s="9"/>
      <c r="E78" s="6">
        <v>3367592</v>
      </c>
      <c r="G78" s="6">
        <v>0</v>
      </c>
      <c r="I78" s="6">
        <v>3105956</v>
      </c>
      <c r="K78" s="6">
        <v>13211</v>
      </c>
      <c r="M78" s="6">
        <v>325183</v>
      </c>
      <c r="O78" s="6">
        <v>38913</v>
      </c>
      <c r="Q78" s="6">
        <v>0</v>
      </c>
      <c r="S78" s="6">
        <v>0</v>
      </c>
      <c r="U78" s="6">
        <f>4730+5348</f>
        <v>10078</v>
      </c>
      <c r="W78" s="2">
        <f t="shared" si="4"/>
        <v>6860933</v>
      </c>
      <c r="Y78" s="6">
        <v>0</v>
      </c>
      <c r="AA78" s="6">
        <v>0</v>
      </c>
      <c r="AC78" s="6">
        <v>0</v>
      </c>
      <c r="AE78" s="6">
        <v>0</v>
      </c>
      <c r="AG78" s="6">
        <v>0</v>
      </c>
      <c r="AI78" s="6">
        <f t="shared" si="5"/>
        <v>0</v>
      </c>
      <c r="AK78" s="6">
        <f t="shared" si="15"/>
        <v>6860933</v>
      </c>
    </row>
    <row r="79" spans="1:37">
      <c r="A79" s="11" t="s">
        <v>415</v>
      </c>
      <c r="B79" s="11"/>
      <c r="C79" s="11" t="s">
        <v>47</v>
      </c>
      <c r="E79" s="6">
        <v>33911378</v>
      </c>
      <c r="G79" s="6">
        <v>0</v>
      </c>
      <c r="I79" s="6">
        <v>26490146</v>
      </c>
      <c r="K79" s="6">
        <v>81640</v>
      </c>
      <c r="M79" s="6">
        <v>819366</v>
      </c>
      <c r="O79" s="6">
        <v>902363</v>
      </c>
      <c r="Q79" s="6">
        <v>0</v>
      </c>
      <c r="S79" s="6">
        <v>18416</v>
      </c>
      <c r="U79" s="6">
        <f>190604+54386</f>
        <v>244990</v>
      </c>
      <c r="W79" s="2">
        <f t="shared" si="4"/>
        <v>62468299</v>
      </c>
      <c r="Y79" s="6">
        <v>0</v>
      </c>
      <c r="AA79" s="6">
        <v>0</v>
      </c>
      <c r="AC79" s="6">
        <v>0</v>
      </c>
      <c r="AE79" s="6">
        <v>0</v>
      </c>
      <c r="AG79" s="6">
        <v>0</v>
      </c>
      <c r="AI79" s="6">
        <f t="shared" si="5"/>
        <v>0</v>
      </c>
      <c r="AK79" s="6">
        <f t="shared" si="15"/>
        <v>62468299</v>
      </c>
    </row>
    <row r="80" spans="1:37" hidden="1">
      <c r="A80" s="11" t="s">
        <v>674</v>
      </c>
      <c r="B80" s="11"/>
      <c r="C80" s="11" t="s">
        <v>552</v>
      </c>
      <c r="W80" s="2">
        <f t="shared" si="4"/>
        <v>0</v>
      </c>
      <c r="AG80" s="6">
        <v>0</v>
      </c>
      <c r="AI80" s="6">
        <f t="shared" si="5"/>
        <v>0</v>
      </c>
      <c r="AK80" s="6">
        <f t="shared" si="15"/>
        <v>0</v>
      </c>
    </row>
    <row r="81" spans="1:37">
      <c r="A81" s="11" t="s">
        <v>256</v>
      </c>
      <c r="B81" s="11"/>
      <c r="C81" s="11" t="s">
        <v>111</v>
      </c>
      <c r="D81" s="9"/>
      <c r="E81" s="6">
        <v>1448971</v>
      </c>
      <c r="G81" s="6">
        <v>1554978</v>
      </c>
      <c r="I81" s="6">
        <f>4444810+34654</f>
        <v>4479464</v>
      </c>
      <c r="K81" s="6">
        <v>5148</v>
      </c>
      <c r="M81" s="6">
        <f>213465+16305</f>
        <v>229770</v>
      </c>
      <c r="O81" s="6">
        <v>17835</v>
      </c>
      <c r="Q81" s="6">
        <v>0</v>
      </c>
      <c r="S81" s="6">
        <v>2000</v>
      </c>
      <c r="U81" s="6">
        <f>49185+2610</f>
        <v>51795</v>
      </c>
      <c r="W81" s="2">
        <f t="shared" si="4"/>
        <v>7789961</v>
      </c>
      <c r="Y81" s="6">
        <v>0</v>
      </c>
      <c r="AA81" s="6">
        <v>0</v>
      </c>
      <c r="AC81" s="6">
        <v>0</v>
      </c>
      <c r="AE81" s="6">
        <v>0</v>
      </c>
      <c r="AG81" s="6">
        <v>0</v>
      </c>
      <c r="AI81" s="6">
        <f t="shared" si="5"/>
        <v>0</v>
      </c>
      <c r="AK81" s="6">
        <f t="shared" ref="AK81:AK112" si="21">+AI81+W81</f>
        <v>7789961</v>
      </c>
    </row>
    <row r="82" spans="1:37">
      <c r="A82" s="11" t="s">
        <v>206</v>
      </c>
      <c r="B82" s="11"/>
      <c r="C82" s="11" t="s">
        <v>12</v>
      </c>
      <c r="D82" s="9"/>
      <c r="E82" s="6">
        <v>5827072</v>
      </c>
      <c r="G82" s="6">
        <v>0</v>
      </c>
      <c r="I82" s="6">
        <v>9126272</v>
      </c>
      <c r="K82" s="6">
        <v>23492</v>
      </c>
      <c r="M82" s="6">
        <v>1215698</v>
      </c>
      <c r="O82" s="6">
        <v>0</v>
      </c>
      <c r="Q82" s="6">
        <v>0</v>
      </c>
      <c r="S82" s="6">
        <v>5450</v>
      </c>
      <c r="U82" s="6">
        <f>29175+3474</f>
        <v>32649</v>
      </c>
      <c r="W82" s="2">
        <f t="shared" si="4"/>
        <v>16230633</v>
      </c>
      <c r="Y82" s="6">
        <v>0</v>
      </c>
      <c r="AA82" s="6">
        <v>0</v>
      </c>
      <c r="AC82" s="6">
        <v>0</v>
      </c>
      <c r="AE82" s="6">
        <v>11139</v>
      </c>
      <c r="AG82" s="6">
        <v>0</v>
      </c>
      <c r="AI82" s="6">
        <f t="shared" si="5"/>
        <v>11139</v>
      </c>
      <c r="AK82" s="6">
        <f t="shared" si="21"/>
        <v>16241772</v>
      </c>
    </row>
    <row r="83" spans="1:37">
      <c r="A83" s="11" t="s">
        <v>206</v>
      </c>
      <c r="B83" s="11"/>
      <c r="C83" s="11" t="s">
        <v>39</v>
      </c>
      <c r="E83" s="6">
        <v>6616182</v>
      </c>
      <c r="G83" s="6">
        <v>0</v>
      </c>
      <c r="I83" s="6">
        <v>10441031</v>
      </c>
      <c r="K83" s="6">
        <v>3234</v>
      </c>
      <c r="M83" s="6">
        <v>463268</v>
      </c>
      <c r="O83" s="6">
        <v>33650</v>
      </c>
      <c r="Q83" s="6">
        <v>0</v>
      </c>
      <c r="S83" s="6">
        <v>24454</v>
      </c>
      <c r="U83" s="6">
        <f>2875+19670</f>
        <v>22545</v>
      </c>
      <c r="W83" s="2">
        <f t="shared" si="4"/>
        <v>17604364</v>
      </c>
      <c r="Y83" s="6">
        <v>0</v>
      </c>
      <c r="AA83" s="6">
        <v>0</v>
      </c>
      <c r="AC83" s="6">
        <v>30300</v>
      </c>
      <c r="AE83" s="6">
        <v>23941</v>
      </c>
      <c r="AG83" s="6">
        <v>0</v>
      </c>
      <c r="AI83" s="6">
        <f t="shared" si="5"/>
        <v>54241</v>
      </c>
      <c r="AK83" s="6">
        <f t="shared" si="21"/>
        <v>17658605</v>
      </c>
    </row>
    <row r="84" spans="1:37">
      <c r="A84" s="11" t="s">
        <v>675</v>
      </c>
      <c r="B84" s="11"/>
      <c r="C84" s="11" t="s">
        <v>47</v>
      </c>
      <c r="E84" s="6">
        <v>8191493</v>
      </c>
      <c r="G84" s="6">
        <v>0</v>
      </c>
      <c r="I84" s="6">
        <v>8586640</v>
      </c>
      <c r="K84" s="6">
        <v>2743</v>
      </c>
      <c r="M84" s="6">
        <v>408460</v>
      </c>
      <c r="O84" s="6">
        <v>185479</v>
      </c>
      <c r="Q84" s="6">
        <v>0</v>
      </c>
      <c r="S84" s="6">
        <v>810</v>
      </c>
      <c r="U84" s="6">
        <f>6245+44050</f>
        <v>50295</v>
      </c>
      <c r="W84" s="2">
        <f>SUM(E84:V84)</f>
        <v>17425920</v>
      </c>
      <c r="Y84" s="6">
        <v>0</v>
      </c>
      <c r="AA84" s="6">
        <v>0</v>
      </c>
      <c r="AC84" s="6">
        <v>0</v>
      </c>
      <c r="AE84" s="6">
        <v>5646</v>
      </c>
      <c r="AG84" s="6">
        <v>0</v>
      </c>
      <c r="AI84" s="6">
        <f>SUM(Y84:AH84)</f>
        <v>5646</v>
      </c>
      <c r="AK84" s="6">
        <f t="shared" si="21"/>
        <v>17431566</v>
      </c>
    </row>
    <row r="85" spans="1:37" hidden="1">
      <c r="A85" s="42" t="s">
        <v>794</v>
      </c>
      <c r="B85" s="11"/>
      <c r="C85" s="11" t="s">
        <v>112</v>
      </c>
      <c r="W85" s="2">
        <f>SUM(E85:V85)</f>
        <v>0</v>
      </c>
      <c r="AG85" s="6">
        <v>0</v>
      </c>
      <c r="AI85" s="6">
        <f>SUM(Y85:AH85)</f>
        <v>0</v>
      </c>
      <c r="AK85" s="6">
        <f t="shared" si="21"/>
        <v>0</v>
      </c>
    </row>
    <row r="86" spans="1:37">
      <c r="A86" s="11" t="s">
        <v>636</v>
      </c>
      <c r="B86" s="11"/>
      <c r="C86" s="11" t="s">
        <v>23</v>
      </c>
      <c r="E86" s="6">
        <v>9234081</v>
      </c>
      <c r="G86" s="6">
        <v>4942204</v>
      </c>
      <c r="I86" s="6">
        <f>5951113+55989</f>
        <v>6007102</v>
      </c>
      <c r="K86" s="6">
        <v>4644</v>
      </c>
      <c r="M86" s="6">
        <f>1090667+91939</f>
        <v>1182606</v>
      </c>
      <c r="O86" s="6">
        <v>108677</v>
      </c>
      <c r="Q86" s="6">
        <v>0</v>
      </c>
      <c r="S86" s="6">
        <v>27012</v>
      </c>
      <c r="U86" s="6">
        <f>154721+975+13097</f>
        <v>168793</v>
      </c>
      <c r="W86" s="2">
        <f>SUM(E86:V86)</f>
        <v>21675119</v>
      </c>
      <c r="Y86" s="6">
        <v>0</v>
      </c>
      <c r="AA86" s="6">
        <v>0</v>
      </c>
      <c r="AC86" s="6">
        <v>0</v>
      </c>
      <c r="AE86" s="6">
        <v>0</v>
      </c>
      <c r="AG86" s="6">
        <v>0</v>
      </c>
      <c r="AI86" s="6">
        <f>SUM(Y86:AH86)</f>
        <v>0</v>
      </c>
      <c r="AK86" s="6">
        <f t="shared" si="21"/>
        <v>21675119</v>
      </c>
    </row>
    <row r="87" spans="1:37">
      <c r="A87" s="11" t="s">
        <v>257</v>
      </c>
      <c r="B87" s="11"/>
      <c r="C87" s="11" t="s">
        <v>111</v>
      </c>
      <c r="D87" s="9"/>
      <c r="E87" s="6">
        <v>4126417</v>
      </c>
      <c r="G87" s="6">
        <v>0</v>
      </c>
      <c r="I87" s="6">
        <v>9521681</v>
      </c>
      <c r="K87" s="6">
        <v>25732</v>
      </c>
      <c r="M87" s="6">
        <v>580785</v>
      </c>
      <c r="O87" s="6">
        <v>1095</v>
      </c>
      <c r="Q87" s="6">
        <v>45917</v>
      </c>
      <c r="S87" s="6">
        <v>3455</v>
      </c>
      <c r="U87" s="6">
        <v>120840</v>
      </c>
      <c r="W87" s="2">
        <f>SUM(E87:V87)</f>
        <v>14425922</v>
      </c>
      <c r="Y87" s="6">
        <v>0</v>
      </c>
      <c r="AA87" s="6">
        <v>0</v>
      </c>
      <c r="AC87" s="6">
        <v>0</v>
      </c>
      <c r="AE87" s="6">
        <v>0</v>
      </c>
      <c r="AG87" s="6">
        <v>0</v>
      </c>
      <c r="AI87" s="6">
        <f>SUM(Y87:AH87)</f>
        <v>0</v>
      </c>
      <c r="AK87" s="6">
        <f t="shared" si="21"/>
        <v>14425922</v>
      </c>
    </row>
    <row r="88" spans="1:37">
      <c r="A88" s="11" t="s">
        <v>752</v>
      </c>
      <c r="B88" s="11"/>
      <c r="C88" s="11" t="s">
        <v>52</v>
      </c>
      <c r="E88" s="6">
        <v>2143496</v>
      </c>
      <c r="G88" s="6">
        <v>0</v>
      </c>
      <c r="I88" s="6">
        <v>4337848</v>
      </c>
      <c r="K88" s="6">
        <v>6674</v>
      </c>
      <c r="M88" s="6">
        <f>282685</f>
        <v>282685</v>
      </c>
      <c r="O88" s="6">
        <v>50314</v>
      </c>
      <c r="Q88" s="6">
        <v>0</v>
      </c>
      <c r="S88" s="6">
        <v>1001</v>
      </c>
      <c r="U88" s="6">
        <v>38549</v>
      </c>
      <c r="W88" s="2">
        <f t="shared" ref="W88" si="22">SUM(E88:V88)</f>
        <v>6860567</v>
      </c>
      <c r="Y88" s="6">
        <v>55537</v>
      </c>
      <c r="AA88" s="6">
        <v>0</v>
      </c>
      <c r="AC88" s="6">
        <v>16972</v>
      </c>
      <c r="AE88" s="6">
        <v>0</v>
      </c>
      <c r="AG88" s="6">
        <v>0</v>
      </c>
      <c r="AI88" s="6">
        <f t="shared" ref="AI88:AI104" si="23">SUM(Y88:AH88)</f>
        <v>72509</v>
      </c>
      <c r="AK88" s="6">
        <f t="shared" si="21"/>
        <v>6933076</v>
      </c>
    </row>
    <row r="89" spans="1:37">
      <c r="A89" s="11" t="s">
        <v>319</v>
      </c>
      <c r="B89" s="11"/>
      <c r="C89" s="11" t="s">
        <v>31</v>
      </c>
      <c r="E89" s="6">
        <v>5321555</v>
      </c>
      <c r="G89" s="6">
        <v>0</v>
      </c>
      <c r="I89" s="6">
        <v>13645581</v>
      </c>
      <c r="K89" s="6">
        <v>9664</v>
      </c>
      <c r="M89" s="6">
        <f>686328+15842</f>
        <v>702170</v>
      </c>
      <c r="O89" s="6">
        <v>47780</v>
      </c>
      <c r="Q89" s="6">
        <v>0</v>
      </c>
      <c r="S89" s="6">
        <v>28477</v>
      </c>
      <c r="U89" s="6">
        <v>164005</v>
      </c>
      <c r="W89" s="2">
        <f t="shared" ref="W89:W104" si="24">SUM(E89:V89)</f>
        <v>19919232</v>
      </c>
      <c r="Y89" s="6">
        <v>0</v>
      </c>
      <c r="AA89" s="6">
        <v>0</v>
      </c>
      <c r="AC89" s="6">
        <v>0</v>
      </c>
      <c r="AE89" s="6">
        <v>1700</v>
      </c>
      <c r="AG89" s="6">
        <v>0</v>
      </c>
      <c r="AI89" s="6">
        <f>SUM(Y89:AH89)</f>
        <v>1700</v>
      </c>
      <c r="AK89" s="6">
        <f t="shared" si="21"/>
        <v>19920932</v>
      </c>
    </row>
    <row r="90" spans="1:37">
      <c r="A90" s="11" t="s">
        <v>647</v>
      </c>
      <c r="B90" s="11"/>
      <c r="C90" s="11" t="s">
        <v>45</v>
      </c>
      <c r="E90" s="6">
        <v>1867977</v>
      </c>
      <c r="G90" s="6">
        <v>0</v>
      </c>
      <c r="I90" s="6">
        <v>10826620</v>
      </c>
      <c r="K90" s="6">
        <v>376</v>
      </c>
      <c r="M90" s="6">
        <f>31270+8000</f>
        <v>39270</v>
      </c>
      <c r="O90" s="6">
        <v>17616</v>
      </c>
      <c r="Q90" s="6">
        <v>0</v>
      </c>
      <c r="S90" s="6">
        <v>2292</v>
      </c>
      <c r="U90" s="6">
        <v>70278</v>
      </c>
      <c r="W90" s="2">
        <f t="shared" si="24"/>
        <v>12824429</v>
      </c>
      <c r="Y90" s="6">
        <v>0</v>
      </c>
      <c r="AA90" s="6">
        <v>0</v>
      </c>
      <c r="AC90" s="6">
        <v>0</v>
      </c>
      <c r="AE90" s="6">
        <v>0</v>
      </c>
      <c r="AG90" s="6">
        <v>0</v>
      </c>
      <c r="AI90" s="6">
        <f t="shared" si="23"/>
        <v>0</v>
      </c>
      <c r="AK90" s="6">
        <f t="shared" si="21"/>
        <v>12824429</v>
      </c>
    </row>
    <row r="91" spans="1:37">
      <c r="A91" s="11" t="s">
        <v>300</v>
      </c>
      <c r="B91" s="11"/>
      <c r="C91" s="11" t="s">
        <v>27</v>
      </c>
      <c r="E91" s="6">
        <v>14694691</v>
      </c>
      <c r="G91" s="6">
        <v>3450748</v>
      </c>
      <c r="I91" s="6">
        <f>15075554+49179</f>
        <v>15124733</v>
      </c>
      <c r="K91" s="6">
        <v>33206</v>
      </c>
      <c r="M91" s="6">
        <f>181788+55534+168530+56996</f>
        <v>462848</v>
      </c>
      <c r="O91" s="6">
        <v>393809</v>
      </c>
      <c r="Q91" s="6">
        <v>244242</v>
      </c>
      <c r="S91" s="6">
        <v>106</v>
      </c>
      <c r="U91" s="6">
        <v>102177</v>
      </c>
      <c r="W91" s="2">
        <f t="shared" si="24"/>
        <v>34506560</v>
      </c>
      <c r="Y91" s="6">
        <v>0</v>
      </c>
      <c r="AA91" s="6">
        <v>0</v>
      </c>
      <c r="AC91" s="6">
        <v>0</v>
      </c>
      <c r="AE91" s="6">
        <v>0</v>
      </c>
      <c r="AG91" s="6">
        <v>0</v>
      </c>
      <c r="AI91" s="6">
        <f t="shared" si="23"/>
        <v>0</v>
      </c>
      <c r="AK91" s="6">
        <f t="shared" si="21"/>
        <v>34506560</v>
      </c>
    </row>
    <row r="92" spans="1:37">
      <c r="A92" s="11" t="s">
        <v>403</v>
      </c>
      <c r="B92" s="11"/>
      <c r="C92" s="11" t="s">
        <v>45</v>
      </c>
      <c r="E92" s="6">
        <v>14363675</v>
      </c>
      <c r="G92" s="6">
        <v>0</v>
      </c>
      <c r="I92" s="6">
        <v>8538731</v>
      </c>
      <c r="K92" s="6">
        <v>15734</v>
      </c>
      <c r="M92" s="6">
        <f>145913+35082</f>
        <v>180995</v>
      </c>
      <c r="O92" s="6">
        <v>169215</v>
      </c>
      <c r="Q92" s="6">
        <v>0</v>
      </c>
      <c r="S92" s="6">
        <v>19290</v>
      </c>
      <c r="U92" s="6">
        <v>24799</v>
      </c>
      <c r="W92" s="2">
        <f t="shared" si="24"/>
        <v>23312439</v>
      </c>
      <c r="Y92" s="6">
        <v>0</v>
      </c>
      <c r="AA92" s="6">
        <v>0</v>
      </c>
      <c r="AC92" s="6">
        <v>0</v>
      </c>
      <c r="AE92" s="6">
        <v>4400</v>
      </c>
      <c r="AG92" s="6">
        <v>0</v>
      </c>
      <c r="AI92" s="6">
        <f t="shared" si="23"/>
        <v>4400</v>
      </c>
      <c r="AK92" s="6">
        <f t="shared" si="21"/>
        <v>23316839</v>
      </c>
    </row>
    <row r="93" spans="1:37">
      <c r="A93" s="11" t="s">
        <v>494</v>
      </c>
      <c r="B93" s="11"/>
      <c r="C93" s="11" t="s">
        <v>62</v>
      </c>
      <c r="E93" s="6">
        <v>21159000</v>
      </c>
      <c r="G93" s="6">
        <v>0</v>
      </c>
      <c r="I93" s="6">
        <f>78069000+421000</f>
        <v>78490000</v>
      </c>
      <c r="K93" s="6">
        <v>376000</v>
      </c>
      <c r="M93" s="6">
        <f>1362000+56000</f>
        <v>1418000</v>
      </c>
      <c r="O93" s="6">
        <v>244000</v>
      </c>
      <c r="Q93" s="6">
        <v>0</v>
      </c>
      <c r="S93" s="6">
        <v>0</v>
      </c>
      <c r="U93" s="6">
        <v>825000</v>
      </c>
      <c r="W93" s="2">
        <f>SUM(E93:V93)</f>
        <v>102512000</v>
      </c>
      <c r="Y93" s="6">
        <v>0</v>
      </c>
      <c r="AA93" s="6">
        <v>0</v>
      </c>
      <c r="AC93" s="6">
        <v>0</v>
      </c>
      <c r="AE93" s="6">
        <v>0</v>
      </c>
      <c r="AG93" s="6">
        <v>0</v>
      </c>
      <c r="AI93" s="6">
        <f>SUM(Y93:AH93)</f>
        <v>0</v>
      </c>
      <c r="AK93" s="6">
        <f>+AI93+W93</f>
        <v>102512000</v>
      </c>
    </row>
    <row r="94" spans="1:37">
      <c r="A94" s="11" t="s">
        <v>495</v>
      </c>
      <c r="B94" s="11"/>
      <c r="C94" s="11" t="s">
        <v>62</v>
      </c>
      <c r="E94" s="6">
        <v>7120289</v>
      </c>
      <c r="G94" s="6">
        <v>0</v>
      </c>
      <c r="I94" s="6">
        <f>12020421+45899</f>
        <v>12066320</v>
      </c>
      <c r="K94" s="6">
        <v>680</v>
      </c>
      <c r="M94" s="6">
        <f>1368758+384152+91891+78536</f>
        <v>1923337</v>
      </c>
      <c r="O94" s="6">
        <v>56317</v>
      </c>
      <c r="Q94" s="6">
        <v>134966</v>
      </c>
      <c r="S94" s="6">
        <v>0</v>
      </c>
      <c r="U94" s="6">
        <v>63106</v>
      </c>
      <c r="W94" s="2">
        <f t="shared" si="24"/>
        <v>21365015</v>
      </c>
      <c r="Y94" s="6">
        <v>0</v>
      </c>
      <c r="AA94" s="6">
        <v>0</v>
      </c>
      <c r="AC94" s="6">
        <v>0</v>
      </c>
      <c r="AE94" s="6">
        <v>18936</v>
      </c>
      <c r="AG94" s="6">
        <v>0</v>
      </c>
      <c r="AI94" s="6">
        <f t="shared" si="23"/>
        <v>18936</v>
      </c>
      <c r="AK94" s="6">
        <f t="shared" si="21"/>
        <v>21383951</v>
      </c>
    </row>
    <row r="95" spans="1:37">
      <c r="A95" s="11" t="s">
        <v>648</v>
      </c>
      <c r="B95" s="11"/>
      <c r="C95" s="11" t="s">
        <v>30</v>
      </c>
      <c r="E95" s="6">
        <v>6281026</v>
      </c>
      <c r="G95" s="6">
        <v>0</v>
      </c>
      <c r="I95" s="6">
        <v>5698430</v>
      </c>
      <c r="K95" s="6">
        <v>12529</v>
      </c>
      <c r="M95" s="6">
        <f>695374+74099</f>
        <v>769473</v>
      </c>
      <c r="O95" s="6">
        <v>204238</v>
      </c>
      <c r="Q95" s="6">
        <v>0</v>
      </c>
      <c r="S95" s="6">
        <v>17130</v>
      </c>
      <c r="U95" s="6">
        <v>92354</v>
      </c>
      <c r="W95" s="2">
        <f t="shared" si="24"/>
        <v>13075180</v>
      </c>
      <c r="Y95" s="6">
        <v>0</v>
      </c>
      <c r="AA95" s="6">
        <v>0</v>
      </c>
      <c r="AC95" s="6">
        <v>0</v>
      </c>
      <c r="AE95" s="6">
        <v>0</v>
      </c>
      <c r="AG95" s="6">
        <v>0</v>
      </c>
      <c r="AI95" s="6">
        <f t="shared" si="23"/>
        <v>0</v>
      </c>
      <c r="AK95" s="6">
        <f t="shared" si="21"/>
        <v>13075180</v>
      </c>
    </row>
    <row r="96" spans="1:37">
      <c r="A96" s="11" t="s">
        <v>441</v>
      </c>
      <c r="B96" s="11"/>
      <c r="C96" s="11" t="s">
        <v>78</v>
      </c>
      <c r="E96" s="6">
        <v>2151079</v>
      </c>
      <c r="G96" s="6">
        <v>0</v>
      </c>
      <c r="I96" s="6">
        <f>7244970+87891</f>
        <v>7332861</v>
      </c>
      <c r="K96" s="6">
        <v>1061</v>
      </c>
      <c r="M96" s="6">
        <f>602356</f>
        <v>602356</v>
      </c>
      <c r="O96" s="6">
        <v>30815</v>
      </c>
      <c r="Q96" s="6">
        <v>122906</v>
      </c>
      <c r="S96" s="6">
        <v>0</v>
      </c>
      <c r="U96" s="6">
        <v>125157</v>
      </c>
      <c r="W96" s="2">
        <f t="shared" si="24"/>
        <v>10366235</v>
      </c>
      <c r="Y96" s="6">
        <v>0</v>
      </c>
      <c r="AC96" s="6">
        <v>0</v>
      </c>
      <c r="AE96" s="6">
        <v>0</v>
      </c>
      <c r="AG96" s="6">
        <v>0</v>
      </c>
      <c r="AI96" s="6">
        <f t="shared" si="23"/>
        <v>0</v>
      </c>
      <c r="AK96" s="6">
        <f t="shared" si="21"/>
        <v>10366235</v>
      </c>
    </row>
    <row r="97" spans="1:37" hidden="1">
      <c r="A97" s="11" t="s">
        <v>867</v>
      </c>
      <c r="B97" s="11"/>
      <c r="C97" s="11" t="s">
        <v>558</v>
      </c>
      <c r="W97" s="2">
        <f t="shared" si="24"/>
        <v>0</v>
      </c>
      <c r="AG97" s="6">
        <v>0</v>
      </c>
      <c r="AI97" s="6">
        <f t="shared" si="23"/>
        <v>0</v>
      </c>
      <c r="AK97" s="6">
        <f t="shared" si="21"/>
        <v>0</v>
      </c>
    </row>
    <row r="98" spans="1:37">
      <c r="A98" s="11" t="s">
        <v>543</v>
      </c>
      <c r="B98" s="11"/>
      <c r="C98" s="11" t="s">
        <v>69</v>
      </c>
      <c r="E98" s="6">
        <v>3939558</v>
      </c>
      <c r="G98" s="6">
        <v>1842340</v>
      </c>
      <c r="I98" s="6">
        <v>8227717</v>
      </c>
      <c r="K98" s="6">
        <v>2308</v>
      </c>
      <c r="M98" s="6">
        <f>164356+23602</f>
        <v>187958</v>
      </c>
      <c r="O98" s="6">
        <v>12844</v>
      </c>
      <c r="Q98" s="6">
        <v>110202</v>
      </c>
      <c r="S98" s="6">
        <v>0</v>
      </c>
      <c r="U98" s="6">
        <v>73805</v>
      </c>
      <c r="W98" s="2">
        <f t="shared" si="24"/>
        <v>14396732</v>
      </c>
      <c r="Y98" s="6">
        <v>0</v>
      </c>
      <c r="AA98" s="6">
        <v>0</v>
      </c>
      <c r="AC98" s="6">
        <v>0</v>
      </c>
      <c r="AE98" s="6">
        <v>491</v>
      </c>
      <c r="AG98" s="6">
        <v>0</v>
      </c>
      <c r="AI98" s="6">
        <f t="shared" si="23"/>
        <v>491</v>
      </c>
      <c r="AK98" s="6">
        <f t="shared" si="21"/>
        <v>14397223</v>
      </c>
    </row>
    <row r="99" spans="1:37" s="28" customFormat="1">
      <c r="A99" s="27" t="s">
        <v>753</v>
      </c>
      <c r="B99" s="27"/>
      <c r="C99" s="27" t="s">
        <v>16</v>
      </c>
      <c r="D99" s="55"/>
      <c r="E99" s="28">
        <v>5878727</v>
      </c>
      <c r="G99" s="28">
        <v>0</v>
      </c>
      <c r="I99" s="28">
        <v>11966567</v>
      </c>
      <c r="K99" s="28">
        <v>3008</v>
      </c>
      <c r="M99" s="28">
        <f>633345+8902+3338</f>
        <v>645585</v>
      </c>
      <c r="O99" s="28">
        <v>40873</v>
      </c>
      <c r="Q99" s="28">
        <v>0</v>
      </c>
      <c r="S99" s="28">
        <v>12423</v>
      </c>
      <c r="U99" s="28">
        <v>64216</v>
      </c>
      <c r="W99" s="30">
        <f t="shared" si="24"/>
        <v>18611399</v>
      </c>
      <c r="Y99" s="28">
        <v>0</v>
      </c>
      <c r="AA99" s="28">
        <v>0</v>
      </c>
      <c r="AC99" s="28">
        <v>500000</v>
      </c>
      <c r="AE99" s="28">
        <v>0</v>
      </c>
      <c r="AG99" s="28">
        <v>0</v>
      </c>
      <c r="AI99" s="28">
        <f t="shared" si="23"/>
        <v>500000</v>
      </c>
      <c r="AK99" s="28">
        <f t="shared" si="21"/>
        <v>19111399</v>
      </c>
    </row>
    <row r="100" spans="1:37">
      <c r="A100" s="11" t="s">
        <v>649</v>
      </c>
      <c r="B100" s="11"/>
      <c r="C100" s="11" t="s">
        <v>114</v>
      </c>
      <c r="E100" s="6">
        <v>1869277</v>
      </c>
      <c r="G100" s="6">
        <v>836660</v>
      </c>
      <c r="I100" s="6">
        <v>2791564</v>
      </c>
      <c r="K100" s="6">
        <v>4548</v>
      </c>
      <c r="M100" s="6">
        <f>408394+475</f>
        <v>408869</v>
      </c>
      <c r="O100" s="6">
        <v>60716</v>
      </c>
      <c r="Q100" s="6">
        <v>0</v>
      </c>
      <c r="S100" s="6">
        <v>9507</v>
      </c>
      <c r="U100" s="6">
        <v>39310</v>
      </c>
      <c r="W100" s="2">
        <f t="shared" si="24"/>
        <v>6020451</v>
      </c>
      <c r="Y100" s="6">
        <v>0</v>
      </c>
      <c r="AA100" s="6">
        <v>0</v>
      </c>
      <c r="AC100" s="6">
        <v>0</v>
      </c>
      <c r="AE100" s="6">
        <v>0</v>
      </c>
      <c r="AG100" s="6">
        <v>0</v>
      </c>
      <c r="AI100" s="6">
        <f t="shared" si="23"/>
        <v>0</v>
      </c>
      <c r="AK100" s="6">
        <f t="shared" si="21"/>
        <v>6020451</v>
      </c>
    </row>
    <row r="101" spans="1:37" hidden="1">
      <c r="A101" s="11" t="s">
        <v>618</v>
      </c>
      <c r="B101" s="11"/>
      <c r="C101" s="11" t="s">
        <v>422</v>
      </c>
      <c r="W101" s="2">
        <f t="shared" si="24"/>
        <v>0</v>
      </c>
      <c r="AG101" s="6">
        <v>0</v>
      </c>
      <c r="AI101" s="6">
        <f t="shared" si="23"/>
        <v>0</v>
      </c>
      <c r="AK101" s="6">
        <f t="shared" si="21"/>
        <v>0</v>
      </c>
    </row>
    <row r="102" spans="1:37" hidden="1">
      <c r="A102" s="11" t="s">
        <v>868</v>
      </c>
      <c r="B102" s="11"/>
      <c r="C102" s="11" t="s">
        <v>40</v>
      </c>
      <c r="E102" s="6">
        <v>0</v>
      </c>
      <c r="G102" s="6">
        <v>0</v>
      </c>
      <c r="I102" s="6">
        <v>0</v>
      </c>
      <c r="K102" s="6">
        <v>0</v>
      </c>
      <c r="M102" s="6">
        <v>0</v>
      </c>
      <c r="O102" s="6">
        <v>0</v>
      </c>
      <c r="Q102" s="6">
        <v>0</v>
      </c>
      <c r="S102" s="6">
        <v>0</v>
      </c>
      <c r="U102" s="6">
        <v>0</v>
      </c>
      <c r="W102" s="2">
        <f t="shared" si="24"/>
        <v>0</v>
      </c>
      <c r="Y102" s="6">
        <v>0</v>
      </c>
      <c r="AA102" s="6">
        <v>0</v>
      </c>
      <c r="AC102" s="6">
        <v>0</v>
      </c>
      <c r="AE102" s="6">
        <v>0</v>
      </c>
      <c r="AG102" s="6">
        <v>0</v>
      </c>
      <c r="AI102" s="6">
        <f t="shared" si="23"/>
        <v>0</v>
      </c>
      <c r="AK102" s="6">
        <f t="shared" si="21"/>
        <v>0</v>
      </c>
    </row>
    <row r="103" spans="1:37">
      <c r="A103" s="11" t="s">
        <v>650</v>
      </c>
      <c r="B103" s="11"/>
      <c r="C103" s="11" t="s">
        <v>50</v>
      </c>
      <c r="E103" s="6">
        <v>57255635</v>
      </c>
      <c r="G103" s="6">
        <v>0</v>
      </c>
      <c r="I103" s="6">
        <v>21072506</v>
      </c>
      <c r="K103" s="6">
        <v>171219</v>
      </c>
      <c r="M103" s="6">
        <f>1466412</f>
        <v>1466412</v>
      </c>
      <c r="O103" s="6">
        <v>613181</v>
      </c>
      <c r="Q103" s="6">
        <v>0</v>
      </c>
      <c r="S103" s="6">
        <v>0</v>
      </c>
      <c r="U103" s="6">
        <v>155535</v>
      </c>
      <c r="W103" s="2">
        <f t="shared" si="24"/>
        <v>80734488</v>
      </c>
      <c r="Y103" s="6">
        <v>0</v>
      </c>
      <c r="AA103" s="6">
        <v>0</v>
      </c>
      <c r="AC103" s="6">
        <v>0</v>
      </c>
      <c r="AE103" s="6">
        <v>3810</v>
      </c>
      <c r="AG103" s="6">
        <v>0</v>
      </c>
      <c r="AI103" s="6">
        <f t="shared" si="23"/>
        <v>3810</v>
      </c>
      <c r="AK103" s="6">
        <f t="shared" si="21"/>
        <v>80738298</v>
      </c>
    </row>
    <row r="104" spans="1:37" hidden="1">
      <c r="A104" s="11" t="s">
        <v>736</v>
      </c>
      <c r="B104" s="11"/>
      <c r="C104" s="11" t="s">
        <v>22</v>
      </c>
      <c r="W104" s="2">
        <f t="shared" si="24"/>
        <v>0</v>
      </c>
      <c r="AG104" s="6">
        <v>0</v>
      </c>
      <c r="AI104" s="6">
        <f t="shared" si="23"/>
        <v>0</v>
      </c>
      <c r="AK104" s="6">
        <f t="shared" si="21"/>
        <v>0</v>
      </c>
    </row>
    <row r="105" spans="1:37">
      <c r="A105" s="11" t="s">
        <v>754</v>
      </c>
      <c r="B105" s="11"/>
      <c r="C105" s="11" t="s">
        <v>20</v>
      </c>
      <c r="E105" s="6">
        <v>18784829</v>
      </c>
      <c r="G105" s="6">
        <v>0</v>
      </c>
      <c r="I105" s="6">
        <v>4623422</v>
      </c>
      <c r="K105" s="6">
        <v>67385</v>
      </c>
      <c r="M105" s="6">
        <f>1082797+5410</f>
        <v>1088207</v>
      </c>
      <c r="O105" s="6">
        <v>195471</v>
      </c>
      <c r="Q105" s="6">
        <v>0</v>
      </c>
      <c r="S105" s="6">
        <v>1655</v>
      </c>
      <c r="U105" s="6">
        <v>168275</v>
      </c>
      <c r="W105" s="2">
        <f>SUM(E105:V105)</f>
        <v>24929244</v>
      </c>
      <c r="Y105" s="6">
        <v>0</v>
      </c>
      <c r="AA105" s="6">
        <v>0</v>
      </c>
      <c r="AC105" s="6">
        <v>0</v>
      </c>
      <c r="AE105" s="6">
        <v>0</v>
      </c>
      <c r="AG105" s="6">
        <v>0</v>
      </c>
      <c r="AI105" s="6">
        <f>SUM(Y105:AH105)</f>
        <v>0</v>
      </c>
      <c r="AK105" s="6">
        <f t="shared" si="21"/>
        <v>24929244</v>
      </c>
    </row>
    <row r="106" spans="1:37">
      <c r="A106" s="11" t="s">
        <v>520</v>
      </c>
      <c r="B106" s="11"/>
      <c r="C106" s="11" t="s">
        <v>64</v>
      </c>
      <c r="E106" s="6">
        <v>4480063</v>
      </c>
      <c r="G106" s="6">
        <v>0</v>
      </c>
      <c r="I106" s="6">
        <v>7347048</v>
      </c>
      <c r="K106" s="6">
        <v>2869</v>
      </c>
      <c r="M106" s="6">
        <f>698692+28580+45118+3667</f>
        <v>776057</v>
      </c>
      <c r="O106" s="6">
        <v>0</v>
      </c>
      <c r="Q106" s="6">
        <v>0</v>
      </c>
      <c r="S106" s="6">
        <v>23398</v>
      </c>
      <c r="U106" s="6">
        <v>49714</v>
      </c>
      <c r="W106" s="2">
        <f t="shared" ref="W106:W159" si="25">SUM(E106:V106)</f>
        <v>12679149</v>
      </c>
      <c r="Y106" s="6">
        <v>0</v>
      </c>
      <c r="AA106" s="6">
        <v>0</v>
      </c>
      <c r="AC106" s="6">
        <v>0</v>
      </c>
      <c r="AE106" s="6">
        <v>0</v>
      </c>
      <c r="AG106" s="6">
        <v>0</v>
      </c>
      <c r="AI106" s="6">
        <f t="shared" ref="AI106:AI153" si="26">SUM(Y106:AH106)</f>
        <v>0</v>
      </c>
      <c r="AK106" s="6">
        <f t="shared" si="21"/>
        <v>12679149</v>
      </c>
    </row>
    <row r="107" spans="1:37" hidden="1">
      <c r="A107" s="11" t="s">
        <v>737</v>
      </c>
      <c r="B107" s="11"/>
      <c r="C107" s="11" t="s">
        <v>30</v>
      </c>
      <c r="W107" s="2">
        <f t="shared" si="25"/>
        <v>0</v>
      </c>
      <c r="AG107" s="6">
        <v>0</v>
      </c>
      <c r="AI107" s="6">
        <f t="shared" si="26"/>
        <v>0</v>
      </c>
      <c r="AK107" s="6">
        <f t="shared" si="21"/>
        <v>0</v>
      </c>
    </row>
    <row r="108" spans="1:37">
      <c r="A108" s="11" t="s">
        <v>755</v>
      </c>
      <c r="B108" s="11"/>
      <c r="C108" s="11" t="s">
        <v>366</v>
      </c>
      <c r="E108" s="6">
        <v>2088240</v>
      </c>
      <c r="G108" s="6">
        <v>0</v>
      </c>
      <c r="I108" s="6">
        <v>8732765</v>
      </c>
      <c r="K108" s="6">
        <v>3187</v>
      </c>
      <c r="M108" s="6">
        <f>1030253+1400</f>
        <v>1031653</v>
      </c>
      <c r="O108" s="6">
        <v>5442</v>
      </c>
      <c r="Q108" s="6">
        <v>0</v>
      </c>
      <c r="S108" s="6">
        <v>35022</v>
      </c>
      <c r="U108" s="6">
        <v>24840</v>
      </c>
      <c r="W108" s="2">
        <f t="shared" si="25"/>
        <v>11921149</v>
      </c>
      <c r="Y108" s="6">
        <v>0</v>
      </c>
      <c r="AA108" s="6">
        <v>0</v>
      </c>
      <c r="AC108" s="6">
        <v>0</v>
      </c>
      <c r="AE108" s="6">
        <v>1277</v>
      </c>
      <c r="AG108" s="6">
        <v>0</v>
      </c>
      <c r="AI108" s="6">
        <f t="shared" si="26"/>
        <v>1277</v>
      </c>
      <c r="AK108" s="6">
        <f t="shared" si="21"/>
        <v>11922426</v>
      </c>
    </row>
    <row r="109" spans="1:37">
      <c r="A109" s="11" t="s">
        <v>473</v>
      </c>
      <c r="B109" s="11"/>
      <c r="C109" s="11" t="s">
        <v>58</v>
      </c>
      <c r="E109" s="6">
        <v>8130052</v>
      </c>
      <c r="G109" s="6">
        <v>0</v>
      </c>
      <c r="I109" s="6">
        <v>14593355</v>
      </c>
      <c r="K109" s="6">
        <v>16702</v>
      </c>
      <c r="M109" s="6">
        <f>1278006+8629+54761</f>
        <v>1341396</v>
      </c>
      <c r="O109" s="6">
        <v>80319</v>
      </c>
      <c r="Q109" s="6">
        <v>0</v>
      </c>
      <c r="S109" s="6">
        <v>4830</v>
      </c>
      <c r="U109" s="6">
        <v>75512</v>
      </c>
      <c r="W109" s="2">
        <f t="shared" si="25"/>
        <v>24242166</v>
      </c>
      <c r="Y109" s="6">
        <v>0</v>
      </c>
      <c r="AA109" s="6">
        <v>0</v>
      </c>
      <c r="AC109" s="6">
        <v>1000000</v>
      </c>
      <c r="AE109" s="6">
        <v>0</v>
      </c>
      <c r="AG109" s="6">
        <v>0</v>
      </c>
      <c r="AI109" s="6">
        <f t="shared" si="26"/>
        <v>1000000</v>
      </c>
      <c r="AK109" s="6">
        <f t="shared" si="21"/>
        <v>25242166</v>
      </c>
    </row>
    <row r="110" spans="1:37">
      <c r="A110" s="11" t="s">
        <v>551</v>
      </c>
      <c r="B110" s="11"/>
      <c r="C110" s="11" t="s">
        <v>71</v>
      </c>
      <c r="E110" s="6">
        <v>3964250</v>
      </c>
      <c r="G110" s="6">
        <v>1765583</v>
      </c>
      <c r="I110" s="6">
        <f>4921+5268469</f>
        <v>5273390</v>
      </c>
      <c r="K110" s="6">
        <v>3719</v>
      </c>
      <c r="M110" s="6">
        <f>90536+10866</f>
        <v>101402</v>
      </c>
      <c r="O110" s="6">
        <v>91422</v>
      </c>
      <c r="Q110" s="6">
        <v>0</v>
      </c>
      <c r="S110" s="6">
        <v>0</v>
      </c>
      <c r="U110" s="6">
        <v>25285</v>
      </c>
      <c r="W110" s="2">
        <f t="shared" si="25"/>
        <v>11225051</v>
      </c>
      <c r="Y110" s="6">
        <v>0</v>
      </c>
      <c r="AA110" s="6">
        <v>0</v>
      </c>
      <c r="AC110" s="6">
        <v>0</v>
      </c>
      <c r="AE110" s="6">
        <v>0</v>
      </c>
      <c r="AG110" s="6">
        <v>0</v>
      </c>
      <c r="AI110" s="6">
        <f t="shared" si="26"/>
        <v>0</v>
      </c>
      <c r="AK110" s="6">
        <f t="shared" si="21"/>
        <v>11225051</v>
      </c>
    </row>
    <row r="111" spans="1:37">
      <c r="A111" s="11" t="s">
        <v>652</v>
      </c>
      <c r="B111" s="11"/>
      <c r="C111" s="11" t="s">
        <v>32</v>
      </c>
      <c r="E111" s="6">
        <v>235891856</v>
      </c>
      <c r="G111" s="6">
        <v>8013617</v>
      </c>
      <c r="I111" s="6">
        <f>184739816+589815</f>
        <v>185329631</v>
      </c>
      <c r="K111" s="6">
        <v>276599</v>
      </c>
      <c r="M111" s="6">
        <f>1558235</f>
        <v>1558235</v>
      </c>
      <c r="O111" s="6">
        <v>0</v>
      </c>
      <c r="Q111" s="6">
        <v>0</v>
      </c>
      <c r="S111" s="6">
        <v>0</v>
      </c>
      <c r="U111" s="6">
        <v>1053961</v>
      </c>
      <c r="W111" s="2">
        <f t="shared" si="25"/>
        <v>432123899</v>
      </c>
      <c r="Y111" s="6">
        <v>5234143</v>
      </c>
      <c r="AA111" s="6">
        <v>0</v>
      </c>
      <c r="AC111" s="6">
        <v>0</v>
      </c>
      <c r="AE111" s="6">
        <v>0</v>
      </c>
      <c r="AG111" s="6">
        <v>0</v>
      </c>
      <c r="AI111" s="6">
        <f t="shared" si="26"/>
        <v>5234143</v>
      </c>
      <c r="AK111" s="6">
        <f t="shared" si="21"/>
        <v>437358042</v>
      </c>
    </row>
    <row r="112" spans="1:37">
      <c r="A112" s="11" t="s">
        <v>452</v>
      </c>
      <c r="B112" s="11"/>
      <c r="C112" s="11" t="s">
        <v>54</v>
      </c>
      <c r="E112" s="6">
        <v>5807631</v>
      </c>
      <c r="G112" s="6">
        <v>1530263</v>
      </c>
      <c r="I112" s="6">
        <f>600+11249255+93131</f>
        <v>11342986</v>
      </c>
      <c r="K112" s="6">
        <v>63357</v>
      </c>
      <c r="M112" s="6">
        <f>495451+23908+76693+733</f>
        <v>596785</v>
      </c>
      <c r="O112" s="6">
        <v>34876</v>
      </c>
      <c r="Q112" s="6">
        <v>113573</v>
      </c>
      <c r="S112" s="6">
        <v>0</v>
      </c>
      <c r="U112" s="6">
        <v>177175</v>
      </c>
      <c r="W112" s="2">
        <f t="shared" si="25"/>
        <v>19666646</v>
      </c>
      <c r="Y112" s="6">
        <v>0</v>
      </c>
      <c r="AA112" s="6">
        <v>0</v>
      </c>
      <c r="AC112" s="6">
        <v>0</v>
      </c>
      <c r="AE112" s="6">
        <v>0</v>
      </c>
      <c r="AG112" s="6">
        <v>0</v>
      </c>
      <c r="AI112" s="6">
        <f t="shared" si="26"/>
        <v>0</v>
      </c>
      <c r="AK112" s="6">
        <f t="shared" si="21"/>
        <v>19666646</v>
      </c>
    </row>
    <row r="113" spans="1:37">
      <c r="A113" s="11" t="s">
        <v>231</v>
      </c>
      <c r="B113" s="11"/>
      <c r="C113" s="11" t="s">
        <v>17</v>
      </c>
      <c r="D113" s="9"/>
      <c r="E113" s="6">
        <v>7045714</v>
      </c>
      <c r="G113" s="6">
        <v>0</v>
      </c>
      <c r="I113" s="6">
        <v>6900348</v>
      </c>
      <c r="K113" s="6">
        <v>140</v>
      </c>
      <c r="M113" s="6">
        <f>2517327+62657+10271</f>
        <v>2590255</v>
      </c>
      <c r="O113" s="6">
        <v>188010</v>
      </c>
      <c r="Q113" s="6">
        <v>0</v>
      </c>
      <c r="S113" s="6">
        <v>603</v>
      </c>
      <c r="U113" s="6">
        <v>38441</v>
      </c>
      <c r="W113" s="2">
        <f t="shared" si="25"/>
        <v>16763511</v>
      </c>
      <c r="Y113" s="6">
        <v>0</v>
      </c>
      <c r="AA113" s="6">
        <v>0</v>
      </c>
      <c r="AC113" s="6">
        <v>0</v>
      </c>
      <c r="AE113" s="6">
        <v>7797</v>
      </c>
      <c r="AG113" s="6">
        <v>0</v>
      </c>
      <c r="AI113" s="6">
        <f t="shared" si="26"/>
        <v>7797</v>
      </c>
      <c r="AK113" s="6">
        <f t="shared" ref="AK113:AK144" si="27">+AI113+W113</f>
        <v>16771308</v>
      </c>
    </row>
    <row r="114" spans="1:37">
      <c r="A114" s="11" t="s">
        <v>480</v>
      </c>
      <c r="B114" s="11"/>
      <c r="C114" s="11" t="s">
        <v>59</v>
      </c>
      <c r="E114" s="6">
        <v>940842</v>
      </c>
      <c r="G114" s="6">
        <v>0</v>
      </c>
      <c r="I114" s="6">
        <v>3457417</v>
      </c>
      <c r="K114" s="6">
        <v>1166</v>
      </c>
      <c r="M114" s="6">
        <f>737939</f>
        <v>737939</v>
      </c>
      <c r="O114" s="6">
        <v>18021</v>
      </c>
      <c r="Q114" s="6">
        <v>0</v>
      </c>
      <c r="S114" s="6">
        <v>13102</v>
      </c>
      <c r="U114" s="6">
        <v>183550</v>
      </c>
      <c r="W114" s="2">
        <f t="shared" si="25"/>
        <v>5352037</v>
      </c>
      <c r="Y114" s="6">
        <v>0</v>
      </c>
      <c r="AA114" s="6">
        <v>0</v>
      </c>
      <c r="AC114" s="6">
        <v>0</v>
      </c>
      <c r="AE114" s="6">
        <v>0</v>
      </c>
      <c r="AG114" s="6">
        <v>0</v>
      </c>
      <c r="AI114" s="6">
        <f t="shared" si="26"/>
        <v>0</v>
      </c>
      <c r="AK114" s="6">
        <f t="shared" si="27"/>
        <v>5352037</v>
      </c>
    </row>
    <row r="115" spans="1:37">
      <c r="A115" s="11" t="s">
        <v>533</v>
      </c>
      <c r="B115" s="11"/>
      <c r="C115" s="11" t="s">
        <v>65</v>
      </c>
      <c r="E115" s="6">
        <v>3136569</v>
      </c>
      <c r="G115" s="6">
        <v>0</v>
      </c>
      <c r="I115" s="6">
        <f>13261426+18484</f>
        <v>13279910</v>
      </c>
      <c r="K115" s="6">
        <v>3085</v>
      </c>
      <c r="M115" s="6">
        <f>1112709+41581+3622+2716</f>
        <v>1160628</v>
      </c>
      <c r="O115" s="6">
        <v>57470</v>
      </c>
      <c r="Q115" s="6">
        <v>10000</v>
      </c>
      <c r="S115" s="6">
        <v>16451</v>
      </c>
      <c r="U115" s="6">
        <v>20721</v>
      </c>
      <c r="W115" s="2">
        <f t="shared" si="25"/>
        <v>17684834</v>
      </c>
      <c r="Y115" s="6">
        <v>0</v>
      </c>
      <c r="AA115" s="6">
        <v>0</v>
      </c>
      <c r="AC115" s="6">
        <v>0</v>
      </c>
      <c r="AE115" s="6">
        <v>0</v>
      </c>
      <c r="AG115" s="6">
        <v>0</v>
      </c>
      <c r="AI115" s="6">
        <f t="shared" si="26"/>
        <v>0</v>
      </c>
      <c r="AK115" s="6">
        <f t="shared" si="27"/>
        <v>17684834</v>
      </c>
    </row>
    <row r="116" spans="1:37">
      <c r="A116" s="11" t="s">
        <v>468</v>
      </c>
      <c r="B116" s="11"/>
      <c r="C116" s="11" t="s">
        <v>110</v>
      </c>
      <c r="E116" s="6">
        <v>3569760</v>
      </c>
      <c r="G116" s="6">
        <v>0</v>
      </c>
      <c r="I116" s="6">
        <v>8583956</v>
      </c>
      <c r="K116" s="6">
        <v>65380</v>
      </c>
      <c r="M116" s="6">
        <f>1222713+11000+43435+8980+4495</f>
        <v>1290623</v>
      </c>
      <c r="O116" s="6">
        <v>8881</v>
      </c>
      <c r="Q116" s="6">
        <v>0</v>
      </c>
      <c r="S116" s="6">
        <v>10963</v>
      </c>
      <c r="U116" s="6">
        <v>14781</v>
      </c>
      <c r="W116" s="2">
        <f t="shared" si="25"/>
        <v>13544344</v>
      </c>
      <c r="Y116" s="6">
        <v>0</v>
      </c>
      <c r="AA116" s="6">
        <v>0</v>
      </c>
      <c r="AC116" s="6">
        <v>0</v>
      </c>
      <c r="AE116" s="6">
        <v>0</v>
      </c>
      <c r="AG116" s="6">
        <v>0</v>
      </c>
      <c r="AI116" s="6">
        <f t="shared" si="26"/>
        <v>0</v>
      </c>
      <c r="AK116" s="6">
        <f t="shared" si="27"/>
        <v>13544344</v>
      </c>
    </row>
    <row r="117" spans="1:37">
      <c r="A117" s="11" t="s">
        <v>382</v>
      </c>
      <c r="B117" s="11"/>
      <c r="C117" s="11" t="s">
        <v>44</v>
      </c>
      <c r="E117" s="6">
        <v>2454618</v>
      </c>
      <c r="G117" s="6">
        <v>0</v>
      </c>
      <c r="I117" s="6">
        <v>7156354</v>
      </c>
      <c r="K117" s="6">
        <v>6986</v>
      </c>
      <c r="M117" s="6">
        <f>3175382</f>
        <v>3175382</v>
      </c>
      <c r="O117" s="6">
        <v>48632</v>
      </c>
      <c r="Q117" s="6">
        <v>0</v>
      </c>
      <c r="S117" s="6">
        <v>0</v>
      </c>
      <c r="U117" s="6">
        <v>82302</v>
      </c>
      <c r="W117" s="2">
        <f t="shared" si="25"/>
        <v>12924274</v>
      </c>
      <c r="Y117" s="6">
        <v>0</v>
      </c>
      <c r="AA117" s="6">
        <v>0</v>
      </c>
      <c r="AC117" s="6">
        <v>0</v>
      </c>
      <c r="AE117" s="6">
        <v>0</v>
      </c>
      <c r="AG117" s="6">
        <v>0</v>
      </c>
      <c r="AI117" s="6">
        <f t="shared" si="26"/>
        <v>0</v>
      </c>
      <c r="AK117" s="6">
        <f t="shared" si="27"/>
        <v>12924274</v>
      </c>
    </row>
    <row r="118" spans="1:37">
      <c r="A118" s="11" t="s">
        <v>653</v>
      </c>
      <c r="B118" s="11"/>
      <c r="C118" s="11" t="s">
        <v>113</v>
      </c>
      <c r="E118" s="6">
        <v>7554598</v>
      </c>
      <c r="G118" s="6">
        <v>0</v>
      </c>
      <c r="I118" s="6">
        <v>6114595</v>
      </c>
      <c r="K118" s="6">
        <v>11554</v>
      </c>
      <c r="M118" s="6">
        <v>589981</v>
      </c>
      <c r="O118" s="6">
        <v>0</v>
      </c>
      <c r="Q118" s="6">
        <v>0</v>
      </c>
      <c r="S118" s="6">
        <v>0</v>
      </c>
      <c r="U118" s="6">
        <v>593214</v>
      </c>
      <c r="W118" s="2">
        <f t="shared" si="25"/>
        <v>14863942</v>
      </c>
      <c r="Y118" s="6">
        <v>0</v>
      </c>
      <c r="AA118" s="6">
        <v>0</v>
      </c>
      <c r="AC118" s="6">
        <v>0</v>
      </c>
      <c r="AE118" s="6">
        <v>0</v>
      </c>
      <c r="AG118" s="6">
        <v>0</v>
      </c>
      <c r="AI118" s="6">
        <f t="shared" si="26"/>
        <v>0</v>
      </c>
      <c r="AK118" s="6">
        <f t="shared" si="27"/>
        <v>14863942</v>
      </c>
    </row>
    <row r="119" spans="1:37">
      <c r="A119" s="11" t="s">
        <v>651</v>
      </c>
      <c r="B119" s="11"/>
      <c r="C119" s="11" t="s">
        <v>20</v>
      </c>
      <c r="E119" s="6">
        <v>64257164</v>
      </c>
      <c r="G119" s="6">
        <v>0</v>
      </c>
      <c r="I119" s="6">
        <v>31945895</v>
      </c>
      <c r="K119" s="6">
        <v>68424</v>
      </c>
      <c r="M119" s="6">
        <f>2103521+6628</f>
        <v>2110149</v>
      </c>
      <c r="O119" s="6">
        <v>83288</v>
      </c>
      <c r="Q119" s="6">
        <v>0</v>
      </c>
      <c r="S119" s="6">
        <v>0</v>
      </c>
      <c r="U119" s="6">
        <v>538807</v>
      </c>
      <c r="W119" s="2">
        <f t="shared" si="25"/>
        <v>99003727</v>
      </c>
      <c r="Y119" s="6">
        <v>0</v>
      </c>
      <c r="AA119" s="6">
        <v>0</v>
      </c>
      <c r="AC119" s="6">
        <v>0</v>
      </c>
      <c r="AE119" s="6">
        <v>0</v>
      </c>
      <c r="AG119" s="6">
        <v>0</v>
      </c>
      <c r="AI119" s="6">
        <f t="shared" si="26"/>
        <v>0</v>
      </c>
      <c r="AK119" s="6">
        <f t="shared" si="27"/>
        <v>99003727</v>
      </c>
    </row>
    <row r="120" spans="1:37">
      <c r="A120" s="11" t="s">
        <v>265</v>
      </c>
      <c r="B120" s="11"/>
      <c r="C120" s="11" t="s">
        <v>20</v>
      </c>
      <c r="E120" s="6">
        <v>150441710</v>
      </c>
      <c r="G120" s="6">
        <v>0</v>
      </c>
      <c r="I120" s="6">
        <f>457635453+4316561+3060502</f>
        <v>465012516</v>
      </c>
      <c r="K120" s="6">
        <v>496929</v>
      </c>
      <c r="M120" s="6">
        <v>3984121</v>
      </c>
      <c r="O120" s="6">
        <v>0</v>
      </c>
      <c r="Q120" s="6">
        <v>0</v>
      </c>
      <c r="S120" s="6">
        <v>9853</v>
      </c>
      <c r="U120" s="6">
        <f>3899+12141372</f>
        <v>12145271</v>
      </c>
      <c r="W120" s="2">
        <f t="shared" si="25"/>
        <v>632090400</v>
      </c>
      <c r="Y120" s="6">
        <v>0</v>
      </c>
      <c r="AA120" s="6">
        <v>0</v>
      </c>
      <c r="AC120" s="6">
        <v>0</v>
      </c>
      <c r="AE120" s="6">
        <v>0</v>
      </c>
      <c r="AG120" s="6">
        <v>0</v>
      </c>
      <c r="AI120" s="6">
        <f t="shared" si="26"/>
        <v>0</v>
      </c>
      <c r="AK120" s="6">
        <f t="shared" si="27"/>
        <v>632090400</v>
      </c>
    </row>
    <row r="121" spans="1:37">
      <c r="A121" s="11" t="s">
        <v>243</v>
      </c>
      <c r="B121" s="11"/>
      <c r="C121" s="11" t="s">
        <v>18</v>
      </c>
      <c r="D121" s="9"/>
      <c r="E121" s="6">
        <v>4505280</v>
      </c>
      <c r="G121" s="6">
        <v>0</v>
      </c>
      <c r="I121" s="6">
        <v>9151141</v>
      </c>
      <c r="K121" s="6">
        <v>1005</v>
      </c>
      <c r="M121" s="6">
        <f>1196028+2115</f>
        <v>1198143</v>
      </c>
      <c r="O121" s="6">
        <v>40716</v>
      </c>
      <c r="Q121" s="6">
        <v>10291</v>
      </c>
      <c r="S121" s="6">
        <v>0</v>
      </c>
      <c r="U121" s="6">
        <v>127844</v>
      </c>
      <c r="W121" s="2">
        <f t="shared" si="25"/>
        <v>15034420</v>
      </c>
      <c r="Y121" s="6">
        <v>0</v>
      </c>
      <c r="AA121" s="6">
        <v>0</v>
      </c>
      <c r="AC121" s="6">
        <v>793824</v>
      </c>
      <c r="AE121" s="6">
        <v>2500</v>
      </c>
      <c r="AG121" s="6">
        <v>0</v>
      </c>
      <c r="AI121" s="6">
        <f t="shared" si="26"/>
        <v>796324</v>
      </c>
      <c r="AK121" s="6">
        <f t="shared" si="27"/>
        <v>15830744</v>
      </c>
    </row>
    <row r="122" spans="1:37">
      <c r="A122" s="11" t="s">
        <v>416</v>
      </c>
      <c r="B122" s="11"/>
      <c r="C122" s="11" t="s">
        <v>47</v>
      </c>
      <c r="E122" s="6">
        <v>11784109</v>
      </c>
      <c r="G122" s="6">
        <v>1984004</v>
      </c>
      <c r="I122" s="6">
        <f>11408588+48870</f>
        <v>11457458</v>
      </c>
      <c r="K122" s="6">
        <v>6682</v>
      </c>
      <c r="M122" s="6">
        <f>525940+248840+131070+101355</f>
        <v>1007205</v>
      </c>
      <c r="O122" s="6">
        <v>208440</v>
      </c>
      <c r="Q122" s="6">
        <v>40606</v>
      </c>
      <c r="S122" s="6">
        <v>11876</v>
      </c>
      <c r="U122" s="6">
        <v>31372</v>
      </c>
      <c r="W122" s="2">
        <f t="shared" si="25"/>
        <v>26531752</v>
      </c>
      <c r="Y122" s="6">
        <v>0</v>
      </c>
      <c r="AA122" s="6">
        <v>0</v>
      </c>
      <c r="AC122" s="6">
        <v>0</v>
      </c>
      <c r="AE122" s="6">
        <v>0</v>
      </c>
      <c r="AG122" s="6">
        <v>0</v>
      </c>
      <c r="AI122" s="6">
        <f t="shared" si="26"/>
        <v>0</v>
      </c>
      <c r="AK122" s="6">
        <f t="shared" si="27"/>
        <v>26531752</v>
      </c>
    </row>
    <row r="123" spans="1:37">
      <c r="A123" s="11" t="s">
        <v>756</v>
      </c>
      <c r="B123" s="11"/>
      <c r="C123" s="11" t="s">
        <v>79</v>
      </c>
      <c r="E123" s="6">
        <v>7418348</v>
      </c>
      <c r="G123" s="6">
        <v>0</v>
      </c>
      <c r="I123" s="6">
        <v>11108803</v>
      </c>
      <c r="K123" s="6">
        <v>1714</v>
      </c>
      <c r="M123" s="6">
        <f>806635+40990</f>
        <v>847625</v>
      </c>
      <c r="O123" s="6">
        <v>36534</v>
      </c>
      <c r="Q123" s="6">
        <v>118331</v>
      </c>
      <c r="S123" s="6">
        <v>0</v>
      </c>
      <c r="U123" s="6">
        <v>75002</v>
      </c>
      <c r="W123" s="2">
        <f t="shared" si="25"/>
        <v>19606357</v>
      </c>
      <c r="Y123" s="6">
        <v>0</v>
      </c>
      <c r="AA123" s="6">
        <v>0</v>
      </c>
      <c r="AC123" s="6">
        <v>0</v>
      </c>
      <c r="AE123" s="6">
        <v>459</v>
      </c>
      <c r="AG123" s="6">
        <v>0</v>
      </c>
      <c r="AI123" s="6">
        <f t="shared" si="26"/>
        <v>459</v>
      </c>
      <c r="AK123" s="6">
        <f t="shared" si="27"/>
        <v>19606816</v>
      </c>
    </row>
    <row r="124" spans="1:37" hidden="1">
      <c r="A124" s="11" t="s">
        <v>654</v>
      </c>
      <c r="B124" s="11"/>
      <c r="C124" s="11" t="s">
        <v>422</v>
      </c>
      <c r="W124" s="2">
        <f t="shared" si="25"/>
        <v>0</v>
      </c>
      <c r="AG124" s="6">
        <v>0</v>
      </c>
      <c r="AK124" s="6">
        <f t="shared" si="27"/>
        <v>0</v>
      </c>
    </row>
    <row r="125" spans="1:37" hidden="1">
      <c r="A125" s="11" t="s">
        <v>610</v>
      </c>
      <c r="B125" s="11"/>
      <c r="C125" s="11" t="s">
        <v>57</v>
      </c>
      <c r="W125" s="2">
        <f t="shared" si="25"/>
        <v>0</v>
      </c>
      <c r="AG125" s="6">
        <v>0</v>
      </c>
      <c r="AI125" s="6">
        <f t="shared" si="26"/>
        <v>0</v>
      </c>
      <c r="AK125" s="6">
        <f t="shared" si="27"/>
        <v>0</v>
      </c>
    </row>
    <row r="126" spans="1:37">
      <c r="A126" s="11" t="s">
        <v>258</v>
      </c>
      <c r="B126" s="11"/>
      <c r="C126" s="11" t="s">
        <v>111</v>
      </c>
      <c r="D126" s="9"/>
      <c r="E126" s="6">
        <v>2413868</v>
      </c>
      <c r="G126" s="6">
        <v>1491647</v>
      </c>
      <c r="I126" s="6">
        <f>12340+3651098+29280</f>
        <v>3692718</v>
      </c>
      <c r="K126" s="6">
        <v>8848</v>
      </c>
      <c r="M126" s="6">
        <f>1117737+4424+64306+1515+8637</f>
        <v>1196619</v>
      </c>
      <c r="O126" s="6">
        <v>24122</v>
      </c>
      <c r="Q126" s="6">
        <v>0</v>
      </c>
      <c r="S126" s="6">
        <v>7305</v>
      </c>
      <c r="U126" s="6">
        <v>20746</v>
      </c>
      <c r="W126" s="2">
        <f t="shared" si="25"/>
        <v>8855873</v>
      </c>
      <c r="Y126" s="6">
        <v>0</v>
      </c>
      <c r="AA126" s="6">
        <v>0</v>
      </c>
      <c r="AC126" s="6">
        <v>0</v>
      </c>
      <c r="AE126" s="6">
        <v>4647</v>
      </c>
      <c r="AG126" s="6">
        <v>0</v>
      </c>
      <c r="AI126" s="6">
        <f t="shared" si="26"/>
        <v>4647</v>
      </c>
      <c r="AK126" s="6">
        <f t="shared" si="27"/>
        <v>8860520</v>
      </c>
    </row>
    <row r="127" spans="1:37">
      <c r="A127" s="11" t="s">
        <v>383</v>
      </c>
      <c r="B127" s="11"/>
      <c r="C127" s="11" t="s">
        <v>44</v>
      </c>
      <c r="E127" s="6">
        <v>5718760</v>
      </c>
      <c r="G127" s="6">
        <v>0</v>
      </c>
      <c r="I127" s="6">
        <f>3078281+15000</f>
        <v>3093281</v>
      </c>
      <c r="K127" s="6">
        <v>1001</v>
      </c>
      <c r="M127" s="6">
        <f>514241+50916+18555</f>
        <v>583712</v>
      </c>
      <c r="O127" s="6">
        <v>19668</v>
      </c>
      <c r="Q127" s="6">
        <v>0</v>
      </c>
      <c r="S127" s="6">
        <v>12917</v>
      </c>
      <c r="U127" s="6">
        <v>57393</v>
      </c>
      <c r="W127" s="2">
        <f t="shared" si="25"/>
        <v>9486732</v>
      </c>
      <c r="Y127" s="6">
        <v>0</v>
      </c>
      <c r="AA127" s="6">
        <v>0</v>
      </c>
      <c r="AC127" s="6">
        <v>30003</v>
      </c>
      <c r="AE127" s="6">
        <v>0</v>
      </c>
      <c r="AG127" s="6">
        <v>0</v>
      </c>
      <c r="AI127" s="6">
        <f t="shared" si="26"/>
        <v>30003</v>
      </c>
      <c r="AK127" s="6">
        <f t="shared" si="27"/>
        <v>9516735</v>
      </c>
    </row>
    <row r="128" spans="1:37">
      <c r="A128" s="11" t="s">
        <v>757</v>
      </c>
      <c r="B128" s="11"/>
      <c r="C128" s="11" t="s">
        <v>112</v>
      </c>
      <c r="D128" s="9"/>
      <c r="E128" s="6">
        <v>3274503</v>
      </c>
      <c r="G128" s="6">
        <v>1619673</v>
      </c>
      <c r="I128" s="6">
        <v>2806530</v>
      </c>
      <c r="K128" s="6">
        <v>53287</v>
      </c>
      <c r="M128" s="6">
        <f>1288421+165656+70</f>
        <v>1454147</v>
      </c>
      <c r="O128" s="6">
        <v>75654</v>
      </c>
      <c r="Q128" s="6">
        <v>0</v>
      </c>
      <c r="S128" s="6">
        <v>3472</v>
      </c>
      <c r="U128" s="6">
        <v>11110</v>
      </c>
      <c r="W128" s="2">
        <f t="shared" si="25"/>
        <v>9298376</v>
      </c>
      <c r="Y128" s="6">
        <v>0</v>
      </c>
      <c r="AA128" s="6">
        <v>0</v>
      </c>
      <c r="AC128" s="6">
        <v>0</v>
      </c>
      <c r="AE128" s="6">
        <v>0</v>
      </c>
      <c r="AG128" s="6">
        <v>0</v>
      </c>
      <c r="AI128" s="6">
        <f t="shared" si="26"/>
        <v>0</v>
      </c>
      <c r="AK128" s="6">
        <f t="shared" si="27"/>
        <v>9298376</v>
      </c>
    </row>
    <row r="129" spans="1:37">
      <c r="A129" s="11" t="s">
        <v>301</v>
      </c>
      <c r="B129" s="11"/>
      <c r="C129" s="11" t="s">
        <v>27</v>
      </c>
      <c r="E129" s="6">
        <v>359123451</v>
      </c>
      <c r="G129" s="6">
        <v>0</v>
      </c>
      <c r="I129" s="6">
        <v>306260528</v>
      </c>
      <c r="K129" s="6">
        <v>707026</v>
      </c>
      <c r="M129" s="6">
        <f>5074440+834776+882797</f>
        <v>6792013</v>
      </c>
      <c r="O129" s="6">
        <v>436401</v>
      </c>
      <c r="Q129" s="6">
        <v>38803888</v>
      </c>
      <c r="S129" s="6">
        <v>259288</v>
      </c>
      <c r="U129" s="6">
        <v>3264045</v>
      </c>
      <c r="W129" s="2">
        <f t="shared" si="25"/>
        <v>715646640</v>
      </c>
      <c r="Y129" s="6">
        <v>56</v>
      </c>
      <c r="AA129" s="6">
        <v>0</v>
      </c>
      <c r="AC129" s="6">
        <v>0</v>
      </c>
      <c r="AE129" s="6">
        <v>35088</v>
      </c>
      <c r="AG129" s="6">
        <v>0</v>
      </c>
      <c r="AI129" s="6">
        <f t="shared" si="26"/>
        <v>35144</v>
      </c>
      <c r="AK129" s="6">
        <f t="shared" si="27"/>
        <v>715681784</v>
      </c>
    </row>
    <row r="130" spans="1:37" hidden="1">
      <c r="A130" s="11" t="s">
        <v>611</v>
      </c>
      <c r="B130" s="11"/>
      <c r="C130" s="11" t="s">
        <v>467</v>
      </c>
      <c r="W130" s="2">
        <f t="shared" si="25"/>
        <v>0</v>
      </c>
      <c r="AG130" s="6">
        <v>0</v>
      </c>
      <c r="AI130" s="6">
        <f t="shared" si="26"/>
        <v>0</v>
      </c>
      <c r="AK130" s="6">
        <f t="shared" si="27"/>
        <v>0</v>
      </c>
    </row>
    <row r="131" spans="1:37">
      <c r="A131" s="11" t="s">
        <v>207</v>
      </c>
      <c r="B131" s="11"/>
      <c r="C131" s="11" t="s">
        <v>12</v>
      </c>
      <c r="D131" s="9"/>
      <c r="E131" s="6">
        <v>3545116</v>
      </c>
      <c r="G131" s="6">
        <v>0</v>
      </c>
      <c r="I131" s="6">
        <v>12236874</v>
      </c>
      <c r="K131" s="6">
        <v>3236</v>
      </c>
      <c r="M131" s="6">
        <f>2949+217629+206</f>
        <v>220784</v>
      </c>
      <c r="O131" s="6">
        <v>950</v>
      </c>
      <c r="Q131" s="6">
        <v>0</v>
      </c>
      <c r="S131" s="6">
        <v>8331</v>
      </c>
      <c r="U131" s="6">
        <v>164878</v>
      </c>
      <c r="W131" s="2">
        <f t="shared" si="25"/>
        <v>16180169</v>
      </c>
      <c r="Y131" s="6">
        <v>0</v>
      </c>
      <c r="AA131" s="6">
        <v>0</v>
      </c>
      <c r="AC131" s="6">
        <v>0</v>
      </c>
      <c r="AE131" s="6">
        <v>0</v>
      </c>
      <c r="AG131" s="6">
        <v>0</v>
      </c>
      <c r="AI131" s="6">
        <f t="shared" si="26"/>
        <v>0</v>
      </c>
      <c r="AK131" s="6">
        <f t="shared" si="27"/>
        <v>16180169</v>
      </c>
    </row>
    <row r="132" spans="1:37">
      <c r="A132" s="11" t="s">
        <v>342</v>
      </c>
      <c r="B132" s="11"/>
      <c r="C132" s="11" t="s">
        <v>343</v>
      </c>
      <c r="E132" s="6">
        <v>1852916</v>
      </c>
      <c r="G132" s="6">
        <v>0</v>
      </c>
      <c r="I132" s="6">
        <v>2544470</v>
      </c>
      <c r="K132" s="6">
        <v>883</v>
      </c>
      <c r="M132" s="6">
        <f>380930</f>
        <v>380930</v>
      </c>
      <c r="O132" s="6">
        <v>11482</v>
      </c>
      <c r="Q132" s="6">
        <v>0</v>
      </c>
      <c r="S132" s="6">
        <v>1600</v>
      </c>
      <c r="U132" s="6">
        <v>15500</v>
      </c>
      <c r="W132" s="2">
        <f t="shared" si="25"/>
        <v>4807781</v>
      </c>
      <c r="Y132" s="6">
        <v>0</v>
      </c>
      <c r="AA132" s="6">
        <v>0</v>
      </c>
      <c r="AC132" s="6">
        <v>28051</v>
      </c>
      <c r="AE132" s="6">
        <v>0</v>
      </c>
      <c r="AG132" s="6">
        <v>0</v>
      </c>
      <c r="AI132" s="6">
        <f t="shared" si="26"/>
        <v>28051</v>
      </c>
      <c r="AK132" s="6">
        <f t="shared" si="27"/>
        <v>4835832</v>
      </c>
    </row>
    <row r="133" spans="1:37" hidden="1">
      <c r="A133" s="11" t="s">
        <v>676</v>
      </c>
      <c r="B133" s="11"/>
      <c r="C133" s="11" t="s">
        <v>467</v>
      </c>
      <c r="W133" s="2">
        <f t="shared" si="25"/>
        <v>0</v>
      </c>
      <c r="AG133" s="6">
        <v>0</v>
      </c>
      <c r="AI133" s="6">
        <f t="shared" si="26"/>
        <v>0</v>
      </c>
      <c r="AK133" s="6">
        <f t="shared" si="27"/>
        <v>0</v>
      </c>
    </row>
    <row r="134" spans="1:37">
      <c r="A134" s="11" t="s">
        <v>508</v>
      </c>
      <c r="B134" s="11"/>
      <c r="C134" s="11" t="s">
        <v>63</v>
      </c>
      <c r="E134" s="6">
        <v>25981999</v>
      </c>
      <c r="G134" s="6">
        <v>0</v>
      </c>
      <c r="I134" s="6">
        <v>6767028</v>
      </c>
      <c r="K134" s="6">
        <v>28990</v>
      </c>
      <c r="M134" s="6">
        <f>412085+25894+23779</f>
        <v>461758</v>
      </c>
      <c r="O134" s="6">
        <v>0</v>
      </c>
      <c r="Q134" s="6">
        <v>0</v>
      </c>
      <c r="S134" s="6">
        <v>15350</v>
      </c>
      <c r="U134" s="6">
        <v>186480</v>
      </c>
      <c r="W134" s="2">
        <f t="shared" si="25"/>
        <v>33441605</v>
      </c>
      <c r="Y134" s="6">
        <v>0</v>
      </c>
      <c r="AA134" s="6">
        <v>0</v>
      </c>
      <c r="AC134" s="6">
        <v>100000</v>
      </c>
      <c r="AE134" s="6">
        <v>0</v>
      </c>
      <c r="AG134" s="6">
        <v>0</v>
      </c>
      <c r="AI134" s="6">
        <f t="shared" si="26"/>
        <v>100000</v>
      </c>
      <c r="AK134" s="6">
        <f t="shared" si="27"/>
        <v>33541605</v>
      </c>
    </row>
    <row r="135" spans="1:37">
      <c r="A135" s="11" t="s">
        <v>336</v>
      </c>
      <c r="B135" s="11"/>
      <c r="C135" s="11" t="s">
        <v>33</v>
      </c>
      <c r="E135" s="6">
        <v>1710647</v>
      </c>
      <c r="G135" s="6">
        <v>1440154</v>
      </c>
      <c r="I135" s="6">
        <v>3130337</v>
      </c>
      <c r="K135" s="6">
        <v>1406</v>
      </c>
      <c r="M135" s="6">
        <v>476003</v>
      </c>
      <c r="O135" s="6">
        <v>0</v>
      </c>
      <c r="Q135" s="6">
        <v>0</v>
      </c>
      <c r="S135" s="6">
        <v>41628</v>
      </c>
      <c r="U135" s="6">
        <v>50448</v>
      </c>
      <c r="W135" s="2">
        <f t="shared" si="25"/>
        <v>6850623</v>
      </c>
      <c r="Y135" s="6">
        <v>0</v>
      </c>
      <c r="AA135" s="6">
        <v>0</v>
      </c>
      <c r="AC135" s="6">
        <v>58950</v>
      </c>
      <c r="AE135" s="6">
        <v>0</v>
      </c>
      <c r="AG135" s="6">
        <v>0</v>
      </c>
      <c r="AI135" s="6">
        <f t="shared" si="26"/>
        <v>58950</v>
      </c>
      <c r="AK135" s="6">
        <f t="shared" si="27"/>
        <v>6909573</v>
      </c>
    </row>
    <row r="136" spans="1:37">
      <c r="A136" s="11" t="s">
        <v>253</v>
      </c>
      <c r="B136" s="11"/>
      <c r="C136" s="11" t="s">
        <v>19</v>
      </c>
      <c r="D136" s="9"/>
      <c r="E136" s="6">
        <v>5473459</v>
      </c>
      <c r="G136" s="6">
        <v>0</v>
      </c>
      <c r="I136" s="6">
        <v>9789772</v>
      </c>
      <c r="K136" s="6">
        <v>8083</v>
      </c>
      <c r="M136" s="6">
        <f>910715+28254+87575</f>
        <v>1026544</v>
      </c>
      <c r="O136" s="6">
        <v>32769</v>
      </c>
      <c r="Q136" s="6">
        <v>0</v>
      </c>
      <c r="S136" s="6">
        <v>0</v>
      </c>
      <c r="U136" s="6">
        <v>67604</v>
      </c>
      <c r="W136" s="2">
        <f t="shared" si="25"/>
        <v>16398231</v>
      </c>
      <c r="Y136" s="6">
        <v>0</v>
      </c>
      <c r="AA136" s="6">
        <v>0</v>
      </c>
      <c r="AC136" s="6">
        <v>0</v>
      </c>
      <c r="AE136" s="6">
        <v>5608</v>
      </c>
      <c r="AG136" s="6">
        <v>0</v>
      </c>
      <c r="AI136" s="6">
        <f>SUM(Y136:AH136)</f>
        <v>5608</v>
      </c>
      <c r="AK136" s="6">
        <f t="shared" si="27"/>
        <v>16403839</v>
      </c>
    </row>
    <row r="137" spans="1:37">
      <c r="A137" s="11" t="s">
        <v>604</v>
      </c>
      <c r="B137" s="11"/>
      <c r="C137" s="11" t="s">
        <v>63</v>
      </c>
      <c r="D137" s="9"/>
      <c r="E137" s="6">
        <v>10242833</v>
      </c>
      <c r="G137" s="6">
        <v>0</v>
      </c>
      <c r="I137" s="6">
        <v>5008557</v>
      </c>
      <c r="K137" s="6">
        <v>5972</v>
      </c>
      <c r="M137" s="6">
        <f>5365402+55330+46912</f>
        <v>5467644</v>
      </c>
      <c r="O137" s="6">
        <v>94208</v>
      </c>
      <c r="Q137" s="6">
        <v>0</v>
      </c>
      <c r="S137" s="6">
        <v>385</v>
      </c>
      <c r="U137" s="6">
        <v>223825</v>
      </c>
      <c r="W137" s="2">
        <f t="shared" si="25"/>
        <v>21043424</v>
      </c>
      <c r="Y137" s="6">
        <v>0</v>
      </c>
      <c r="AA137" s="6">
        <v>0</v>
      </c>
      <c r="AC137" s="6">
        <v>1018876</v>
      </c>
      <c r="AE137" s="6">
        <v>38822</v>
      </c>
      <c r="AG137" s="6">
        <v>0</v>
      </c>
      <c r="AI137" s="6">
        <f t="shared" si="26"/>
        <v>1057698</v>
      </c>
      <c r="AK137" s="6">
        <f t="shared" si="27"/>
        <v>22101122</v>
      </c>
    </row>
    <row r="138" spans="1:37">
      <c r="A138" s="11" t="s">
        <v>758</v>
      </c>
      <c r="B138" s="11"/>
      <c r="C138" s="11" t="s">
        <v>48</v>
      </c>
      <c r="E138" s="6">
        <v>1709164</v>
      </c>
      <c r="G138" s="6">
        <v>1726294</v>
      </c>
      <c r="I138" s="6">
        <f>3342635+148</f>
        <v>3342783</v>
      </c>
      <c r="K138" s="6">
        <v>2668</v>
      </c>
      <c r="M138" s="6">
        <f>449172+36303+3672</f>
        <v>489147</v>
      </c>
      <c r="O138" s="6">
        <v>20779</v>
      </c>
      <c r="Q138" s="6">
        <v>0</v>
      </c>
      <c r="S138" s="6">
        <v>30672</v>
      </c>
      <c r="U138" s="6">
        <v>21824</v>
      </c>
      <c r="W138" s="2">
        <f t="shared" si="25"/>
        <v>7343331</v>
      </c>
      <c r="Y138" s="6">
        <v>0</v>
      </c>
      <c r="AA138" s="6">
        <v>0</v>
      </c>
      <c r="AC138" s="6">
        <v>93357</v>
      </c>
      <c r="AE138" s="6">
        <v>0</v>
      </c>
      <c r="AG138" s="6">
        <v>0</v>
      </c>
      <c r="AI138" s="6">
        <f t="shared" si="26"/>
        <v>93357</v>
      </c>
      <c r="AK138" s="6">
        <f t="shared" si="27"/>
        <v>7436688</v>
      </c>
    </row>
    <row r="139" spans="1:37" hidden="1">
      <c r="A139" s="11" t="s">
        <v>831</v>
      </c>
      <c r="B139" s="11"/>
      <c r="C139" s="11" t="s">
        <v>111</v>
      </c>
      <c r="W139" s="2">
        <f t="shared" si="25"/>
        <v>0</v>
      </c>
      <c r="AG139" s="6">
        <v>0</v>
      </c>
      <c r="AI139" s="6">
        <f t="shared" si="26"/>
        <v>0</v>
      </c>
      <c r="AK139" s="6">
        <f t="shared" si="27"/>
        <v>0</v>
      </c>
    </row>
    <row r="140" spans="1:37">
      <c r="A140" s="11" t="s">
        <v>247</v>
      </c>
      <c r="B140" s="11"/>
      <c r="C140" s="11" t="s">
        <v>112</v>
      </c>
      <c r="D140" s="9"/>
      <c r="E140" s="6">
        <v>1920769</v>
      </c>
      <c r="G140" s="6">
        <v>1290989</v>
      </c>
      <c r="I140" s="6">
        <v>4739885</v>
      </c>
      <c r="K140" s="6">
        <v>14084</v>
      </c>
      <c r="M140" s="6">
        <f>2597513+3023</f>
        <v>2600536</v>
      </c>
      <c r="O140" s="6">
        <v>29347</v>
      </c>
      <c r="Q140" s="6">
        <v>0</v>
      </c>
      <c r="S140" s="6">
        <v>15943</v>
      </c>
      <c r="U140" s="6">
        <v>13826</v>
      </c>
      <c r="W140" s="2">
        <f t="shared" si="25"/>
        <v>10625379</v>
      </c>
      <c r="Y140" s="6">
        <v>0</v>
      </c>
      <c r="AA140" s="6">
        <v>0</v>
      </c>
      <c r="AC140" s="6">
        <v>270240</v>
      </c>
      <c r="AE140" s="6">
        <v>0</v>
      </c>
      <c r="AG140" s="6">
        <v>0</v>
      </c>
      <c r="AI140" s="6">
        <f t="shared" si="26"/>
        <v>270240</v>
      </c>
      <c r="AK140" s="6">
        <f t="shared" si="27"/>
        <v>10895619</v>
      </c>
    </row>
    <row r="141" spans="1:37">
      <c r="A141" s="11" t="s">
        <v>247</v>
      </c>
      <c r="B141" s="11"/>
      <c r="C141" s="11" t="s">
        <v>110</v>
      </c>
      <c r="E141" s="6">
        <v>2235313</v>
      </c>
      <c r="G141" s="6">
        <v>0</v>
      </c>
      <c r="I141" s="6">
        <v>7378105</v>
      </c>
      <c r="K141" s="6">
        <v>9338</v>
      </c>
      <c r="M141" s="6">
        <f>95749+41245+1347+33750</f>
        <v>172091</v>
      </c>
      <c r="O141" s="6">
        <v>13794</v>
      </c>
      <c r="Q141" s="6">
        <v>0</v>
      </c>
      <c r="S141" s="6">
        <v>4513</v>
      </c>
      <c r="U141" s="6">
        <v>45323</v>
      </c>
      <c r="W141" s="2">
        <f t="shared" si="25"/>
        <v>9858477</v>
      </c>
      <c r="Y141" s="6">
        <v>0</v>
      </c>
      <c r="AA141" s="6">
        <v>0</v>
      </c>
      <c r="AC141" s="6">
        <v>0</v>
      </c>
      <c r="AE141" s="6">
        <v>0</v>
      </c>
      <c r="AG141" s="6">
        <v>0</v>
      </c>
      <c r="AI141" s="6">
        <f t="shared" si="26"/>
        <v>0</v>
      </c>
      <c r="AK141" s="6">
        <f t="shared" si="27"/>
        <v>9858477</v>
      </c>
    </row>
    <row r="142" spans="1:37" hidden="1">
      <c r="A142" s="11" t="s">
        <v>655</v>
      </c>
      <c r="B142" s="11"/>
      <c r="C142" s="11" t="s">
        <v>67</v>
      </c>
      <c r="W142" s="2">
        <f t="shared" si="25"/>
        <v>0</v>
      </c>
      <c r="AG142" s="6">
        <v>0</v>
      </c>
      <c r="AK142" s="6">
        <f t="shared" si="27"/>
        <v>0</v>
      </c>
    </row>
    <row r="143" spans="1:37">
      <c r="A143" s="11" t="s">
        <v>718</v>
      </c>
      <c r="B143" s="11"/>
      <c r="C143" s="11" t="s">
        <v>56</v>
      </c>
      <c r="E143" s="6">
        <v>5622618</v>
      </c>
      <c r="G143" s="6">
        <v>0</v>
      </c>
      <c r="I143" s="6">
        <v>11867469</v>
      </c>
      <c r="K143" s="6">
        <v>10112</v>
      </c>
      <c r="M143" s="6">
        <f>1255362+9982+350</f>
        <v>1265694</v>
      </c>
      <c r="O143" s="6">
        <v>183383</v>
      </c>
      <c r="Q143" s="6">
        <v>0</v>
      </c>
      <c r="S143" s="6">
        <v>27462</v>
      </c>
      <c r="U143" s="6">
        <v>117977</v>
      </c>
      <c r="W143" s="2">
        <f t="shared" si="25"/>
        <v>19094715</v>
      </c>
      <c r="Y143" s="6">
        <v>0</v>
      </c>
      <c r="AA143" s="6">
        <v>0</v>
      </c>
      <c r="AC143" s="6">
        <v>0</v>
      </c>
      <c r="AE143" s="6">
        <v>800</v>
      </c>
      <c r="AG143" s="6">
        <v>0</v>
      </c>
      <c r="AI143" s="6">
        <f t="shared" si="26"/>
        <v>800</v>
      </c>
      <c r="AK143" s="6">
        <f t="shared" si="27"/>
        <v>19095515</v>
      </c>
    </row>
    <row r="144" spans="1:37">
      <c r="A144" s="11" t="s">
        <v>759</v>
      </c>
      <c r="B144" s="11"/>
      <c r="C144" s="11" t="s">
        <v>451</v>
      </c>
      <c r="E144" s="6">
        <v>1533036</v>
      </c>
      <c r="G144" s="6">
        <v>0</v>
      </c>
      <c r="I144" s="6">
        <f>7222006+65248</f>
        <v>7287254</v>
      </c>
      <c r="K144" s="6">
        <v>13510</v>
      </c>
      <c r="M144" s="6">
        <f>655869+1376</f>
        <v>657245</v>
      </c>
      <c r="O144" s="6">
        <v>52905</v>
      </c>
      <c r="Q144" s="6">
        <v>0</v>
      </c>
      <c r="S144" s="6">
        <v>0</v>
      </c>
      <c r="U144" s="6">
        <v>99734</v>
      </c>
      <c r="W144" s="2">
        <f t="shared" si="25"/>
        <v>9643684</v>
      </c>
      <c r="Y144" s="6">
        <v>3500</v>
      </c>
      <c r="AA144" s="6">
        <v>0</v>
      </c>
      <c r="AC144" s="6">
        <f>8917+320000</f>
        <v>328917</v>
      </c>
      <c r="AE144" s="6">
        <v>0</v>
      </c>
      <c r="AG144" s="6">
        <v>0</v>
      </c>
      <c r="AI144" s="6">
        <f t="shared" si="26"/>
        <v>332417</v>
      </c>
      <c r="AK144" s="6">
        <f t="shared" si="27"/>
        <v>9976101</v>
      </c>
    </row>
    <row r="145" spans="1:37">
      <c r="A145" s="11" t="s">
        <v>656</v>
      </c>
      <c r="B145" s="11"/>
      <c r="C145" s="11" t="s">
        <v>63</v>
      </c>
      <c r="E145" s="6">
        <v>25580432</v>
      </c>
      <c r="G145" s="6">
        <v>0</v>
      </c>
      <c r="I145" s="6">
        <f>16357234+127537</f>
        <v>16484771</v>
      </c>
      <c r="K145" s="6">
        <v>4360</v>
      </c>
      <c r="M145" s="6">
        <f>2393443+22911+147536+10143</f>
        <v>2574033</v>
      </c>
      <c r="O145" s="6">
        <v>198770</v>
      </c>
      <c r="Q145" s="6">
        <v>0</v>
      </c>
      <c r="S145" s="6">
        <v>220</v>
      </c>
      <c r="U145" s="6">
        <v>276801</v>
      </c>
      <c r="W145" s="2">
        <f t="shared" si="25"/>
        <v>45119387</v>
      </c>
      <c r="Y145" s="6">
        <v>0</v>
      </c>
      <c r="AA145" s="6">
        <v>0</v>
      </c>
      <c r="AC145" s="6">
        <v>0</v>
      </c>
      <c r="AE145" s="6">
        <v>0</v>
      </c>
      <c r="AG145" s="6">
        <v>0</v>
      </c>
      <c r="AI145" s="6">
        <f t="shared" si="26"/>
        <v>0</v>
      </c>
      <c r="AK145" s="6">
        <f t="shared" ref="AK145:AK178" si="28">+AI145+W145</f>
        <v>45119387</v>
      </c>
    </row>
    <row r="146" spans="1:37">
      <c r="A146" s="11" t="s">
        <v>719</v>
      </c>
      <c r="B146" s="11"/>
      <c r="C146" s="11" t="s">
        <v>20</v>
      </c>
      <c r="E146" s="6">
        <v>7726925</v>
      </c>
      <c r="G146" s="6">
        <v>0</v>
      </c>
      <c r="I146" s="6">
        <v>4637761</v>
      </c>
      <c r="K146" s="6">
        <v>4301</v>
      </c>
      <c r="M146" s="6">
        <f>592524+76348+1774</f>
        <v>670646</v>
      </c>
      <c r="O146" s="6">
        <v>13101</v>
      </c>
      <c r="Q146" s="6">
        <v>378050</v>
      </c>
      <c r="S146" s="6">
        <v>9421</v>
      </c>
      <c r="U146" s="6">
        <v>21926</v>
      </c>
      <c r="W146" s="2">
        <f t="shared" si="25"/>
        <v>13462131</v>
      </c>
      <c r="Y146" s="6">
        <v>0</v>
      </c>
      <c r="AA146" s="6">
        <v>0</v>
      </c>
      <c r="AC146" s="6">
        <v>0</v>
      </c>
      <c r="AE146" s="6">
        <v>0</v>
      </c>
      <c r="AG146" s="6">
        <v>0</v>
      </c>
      <c r="AI146" s="6">
        <f t="shared" si="26"/>
        <v>0</v>
      </c>
      <c r="AK146" s="6">
        <f t="shared" si="28"/>
        <v>13462131</v>
      </c>
    </row>
    <row r="147" spans="1:37">
      <c r="A147" s="11" t="s">
        <v>609</v>
      </c>
      <c r="B147" s="11"/>
      <c r="C147" s="11" t="s">
        <v>71</v>
      </c>
      <c r="E147" s="6">
        <v>2594624</v>
      </c>
      <c r="G147" s="6">
        <v>1059859</v>
      </c>
      <c r="I147" s="6">
        <f>9686+3512619+3978</f>
        <v>3526283</v>
      </c>
      <c r="K147" s="6">
        <v>993</v>
      </c>
      <c r="M147" s="6">
        <f>423701+1398+1556</f>
        <v>426655</v>
      </c>
      <c r="O147" s="6">
        <v>87119</v>
      </c>
      <c r="Q147" s="6">
        <v>0</v>
      </c>
      <c r="S147" s="6">
        <v>75</v>
      </c>
      <c r="U147" s="6">
        <v>31671</v>
      </c>
      <c r="W147" s="2">
        <f t="shared" si="25"/>
        <v>7727279</v>
      </c>
      <c r="Y147" s="6">
        <v>0</v>
      </c>
      <c r="AA147" s="6">
        <v>0</v>
      </c>
      <c r="AC147" s="6">
        <v>0</v>
      </c>
      <c r="AE147" s="6">
        <v>0</v>
      </c>
      <c r="AG147" s="6">
        <v>0</v>
      </c>
      <c r="AI147" s="6">
        <f t="shared" si="26"/>
        <v>0</v>
      </c>
      <c r="AK147" s="6">
        <f t="shared" si="28"/>
        <v>7727279</v>
      </c>
    </row>
    <row r="148" spans="1:37" hidden="1">
      <c r="A148" s="11" t="s">
        <v>741</v>
      </c>
      <c r="B148" s="11"/>
      <c r="C148" s="11" t="s">
        <v>53</v>
      </c>
      <c r="W148" s="2">
        <f t="shared" si="25"/>
        <v>0</v>
      </c>
      <c r="AG148" s="6">
        <v>0</v>
      </c>
      <c r="AI148" s="6">
        <f t="shared" si="26"/>
        <v>0</v>
      </c>
      <c r="AK148" s="6">
        <f t="shared" si="28"/>
        <v>0</v>
      </c>
    </row>
    <row r="149" spans="1:37" hidden="1">
      <c r="A149" s="11" t="s">
        <v>657</v>
      </c>
      <c r="B149" s="11"/>
      <c r="C149" s="11" t="s">
        <v>40</v>
      </c>
      <c r="W149" s="2">
        <f t="shared" si="25"/>
        <v>0</v>
      </c>
      <c r="AG149" s="6">
        <v>0</v>
      </c>
      <c r="AI149" s="6">
        <f t="shared" si="26"/>
        <v>0</v>
      </c>
      <c r="AK149" s="6">
        <f t="shared" si="28"/>
        <v>0</v>
      </c>
    </row>
    <row r="150" spans="1:37">
      <c r="A150" s="11" t="s">
        <v>367</v>
      </c>
      <c r="B150" s="11"/>
      <c r="C150" s="11" t="s">
        <v>366</v>
      </c>
      <c r="E150" s="6">
        <v>1345007</v>
      </c>
      <c r="G150" s="6">
        <v>0</v>
      </c>
      <c r="I150" s="6">
        <v>8547311</v>
      </c>
      <c r="K150" s="6">
        <v>12959</v>
      </c>
      <c r="M150" s="6">
        <f>1117766+7025</f>
        <v>1124791</v>
      </c>
      <c r="O150" s="6">
        <v>74844</v>
      </c>
      <c r="Q150" s="6">
        <v>0</v>
      </c>
      <c r="S150" s="6">
        <v>180843</v>
      </c>
      <c r="U150" s="6">
        <v>4672</v>
      </c>
      <c r="W150" s="2">
        <f t="shared" si="25"/>
        <v>11290427</v>
      </c>
      <c r="Y150" s="6">
        <v>0</v>
      </c>
      <c r="AA150" s="6">
        <v>0</v>
      </c>
      <c r="AC150" s="6">
        <v>0</v>
      </c>
      <c r="AE150" s="6">
        <v>0</v>
      </c>
      <c r="AG150" s="6">
        <v>0</v>
      </c>
      <c r="AI150" s="6">
        <f t="shared" si="26"/>
        <v>0</v>
      </c>
      <c r="AK150" s="6">
        <f t="shared" si="28"/>
        <v>11290427</v>
      </c>
    </row>
    <row r="151" spans="1:37">
      <c r="A151" s="11" t="s">
        <v>429</v>
      </c>
      <c r="B151" s="11"/>
      <c r="C151" s="11" t="s">
        <v>50</v>
      </c>
      <c r="E151" s="6">
        <v>56231622</v>
      </c>
      <c r="G151" s="6">
        <v>0</v>
      </c>
      <c r="I151" s="6">
        <v>152229897</v>
      </c>
      <c r="K151" s="6">
        <v>247821</v>
      </c>
      <c r="M151" s="6">
        <f>2181368+574411+116137</f>
        <v>2871916</v>
      </c>
      <c r="O151" s="6">
        <v>225404</v>
      </c>
      <c r="Q151" s="6">
        <v>0</v>
      </c>
      <c r="S151" s="6">
        <v>0</v>
      </c>
      <c r="U151" s="6">
        <v>4701351</v>
      </c>
      <c r="W151" s="2">
        <f t="shared" si="25"/>
        <v>216508011</v>
      </c>
      <c r="Y151" s="6">
        <v>0</v>
      </c>
      <c r="AA151" s="6">
        <v>0</v>
      </c>
      <c r="AC151" s="6">
        <f>14735000+628370</f>
        <v>15363370</v>
      </c>
      <c r="AE151" s="6">
        <v>130000</v>
      </c>
      <c r="AG151" s="6">
        <v>0</v>
      </c>
      <c r="AI151" s="6">
        <f t="shared" si="26"/>
        <v>15493370</v>
      </c>
      <c r="AK151" s="6">
        <f t="shared" si="28"/>
        <v>232001381</v>
      </c>
    </row>
    <row r="152" spans="1:37">
      <c r="A152" s="11" t="s">
        <v>889</v>
      </c>
      <c r="B152" s="11"/>
      <c r="C152" s="11" t="s">
        <v>32</v>
      </c>
      <c r="E152" s="6">
        <v>7960627</v>
      </c>
      <c r="G152" s="6">
        <v>0</v>
      </c>
      <c r="I152" s="6">
        <v>4485094</v>
      </c>
      <c r="K152" s="6">
        <v>14326</v>
      </c>
      <c r="M152" s="6">
        <f>129768+400</f>
        <v>130168</v>
      </c>
      <c r="O152" s="6">
        <v>35270</v>
      </c>
      <c r="Q152" s="6">
        <v>434265</v>
      </c>
      <c r="S152" s="6">
        <v>0</v>
      </c>
      <c r="U152" s="6">
        <v>109419</v>
      </c>
      <c r="W152" s="2">
        <f t="shared" si="25"/>
        <v>13169169</v>
      </c>
      <c r="Y152" s="6">
        <v>0</v>
      </c>
      <c r="AA152" s="6">
        <v>0</v>
      </c>
      <c r="AC152" s="6">
        <v>0</v>
      </c>
      <c r="AE152" s="6">
        <v>240</v>
      </c>
      <c r="AG152" s="6">
        <v>0</v>
      </c>
      <c r="AI152" s="6">
        <f t="shared" si="26"/>
        <v>240</v>
      </c>
      <c r="AK152" s="6">
        <f t="shared" si="28"/>
        <v>13169409</v>
      </c>
    </row>
    <row r="153" spans="1:37" hidden="1">
      <c r="A153" s="11" t="s">
        <v>658</v>
      </c>
      <c r="B153" s="11"/>
      <c r="C153" s="11" t="s">
        <v>22</v>
      </c>
      <c r="W153" s="2">
        <f t="shared" si="25"/>
        <v>0</v>
      </c>
      <c r="AG153" s="6">
        <v>0</v>
      </c>
      <c r="AI153" s="6">
        <f t="shared" si="26"/>
        <v>0</v>
      </c>
      <c r="AK153" s="6">
        <f t="shared" si="28"/>
        <v>0</v>
      </c>
    </row>
    <row r="154" spans="1:37">
      <c r="A154" s="11" t="s">
        <v>742</v>
      </c>
      <c r="B154" s="11"/>
      <c r="C154" s="11" t="s">
        <v>23</v>
      </c>
      <c r="E154" s="6">
        <v>26955389</v>
      </c>
      <c r="G154" s="6">
        <v>0</v>
      </c>
      <c r="I154" s="6">
        <v>16646801</v>
      </c>
      <c r="K154" s="6">
        <v>2397</v>
      </c>
      <c r="M154" s="6">
        <f>1536768+81507+28172</f>
        <v>1646447</v>
      </c>
      <c r="O154" s="6">
        <v>128189</v>
      </c>
      <c r="Q154" s="6">
        <v>0</v>
      </c>
      <c r="S154" s="6">
        <v>104444</v>
      </c>
      <c r="U154" s="6">
        <v>684970</v>
      </c>
      <c r="W154" s="2">
        <f t="shared" si="25"/>
        <v>46168637</v>
      </c>
      <c r="Y154" s="6">
        <v>0</v>
      </c>
      <c r="AA154" s="6">
        <v>0</v>
      </c>
      <c r="AC154" s="6">
        <v>0</v>
      </c>
      <c r="AE154" s="6">
        <v>0</v>
      </c>
      <c r="AG154" s="6">
        <v>0</v>
      </c>
      <c r="AK154" s="6">
        <f t="shared" si="28"/>
        <v>46168637</v>
      </c>
    </row>
    <row r="155" spans="1:37">
      <c r="A155" s="11" t="s">
        <v>201</v>
      </c>
      <c r="B155" s="11"/>
      <c r="C155" s="11" t="s">
        <v>10</v>
      </c>
      <c r="D155" s="9"/>
      <c r="E155" s="6">
        <v>3715496</v>
      </c>
      <c r="G155" s="6">
        <v>0</v>
      </c>
      <c r="I155" s="6">
        <v>4031664</v>
      </c>
      <c r="K155" s="6">
        <v>16427</v>
      </c>
      <c r="M155" s="6">
        <f>770113</f>
        <v>770113</v>
      </c>
      <c r="O155" s="6">
        <v>122534</v>
      </c>
      <c r="Q155" s="6">
        <v>38562</v>
      </c>
      <c r="S155" s="6">
        <v>7790</v>
      </c>
      <c r="U155" s="6">
        <v>38900</v>
      </c>
      <c r="W155" s="2">
        <f t="shared" si="25"/>
        <v>8741486</v>
      </c>
      <c r="Y155" s="6">
        <v>0</v>
      </c>
      <c r="AA155" s="6">
        <v>0</v>
      </c>
      <c r="AC155" s="6">
        <v>0</v>
      </c>
      <c r="AE155" s="6">
        <v>0</v>
      </c>
      <c r="AG155" s="6">
        <v>0</v>
      </c>
      <c r="AI155" s="6">
        <f t="shared" ref="AI155:AI202" si="29">SUM(Y155:AH155)</f>
        <v>0</v>
      </c>
      <c r="AK155" s="6">
        <f t="shared" si="28"/>
        <v>8741486</v>
      </c>
    </row>
    <row r="156" spans="1:37">
      <c r="A156" s="11" t="s">
        <v>534</v>
      </c>
      <c r="B156" s="11"/>
      <c r="C156" s="11" t="s">
        <v>65</v>
      </c>
      <c r="E156" s="6">
        <v>11225108</v>
      </c>
      <c r="G156" s="6">
        <v>0</v>
      </c>
      <c r="I156" s="6">
        <v>9309441</v>
      </c>
      <c r="K156" s="6">
        <v>4193</v>
      </c>
      <c r="M156" s="6">
        <v>169086</v>
      </c>
      <c r="O156" s="6">
        <v>141005</v>
      </c>
      <c r="Q156" s="6">
        <v>0</v>
      </c>
      <c r="S156" s="6">
        <v>33265</v>
      </c>
      <c r="U156" s="6">
        <v>98926</v>
      </c>
      <c r="W156" s="2">
        <f t="shared" si="25"/>
        <v>20981024</v>
      </c>
      <c r="Y156" s="6">
        <v>0</v>
      </c>
      <c r="AA156" s="6">
        <v>0</v>
      </c>
      <c r="AC156" s="6">
        <v>158863</v>
      </c>
      <c r="AE156" s="6">
        <v>1615</v>
      </c>
      <c r="AG156" s="6">
        <v>0</v>
      </c>
      <c r="AI156" s="6">
        <f t="shared" si="29"/>
        <v>160478</v>
      </c>
      <c r="AK156" s="6">
        <f t="shared" si="28"/>
        <v>21141502</v>
      </c>
    </row>
    <row r="157" spans="1:37">
      <c r="A157" s="11" t="s">
        <v>302</v>
      </c>
      <c r="B157" s="11"/>
      <c r="C157" s="11" t="s">
        <v>27</v>
      </c>
      <c r="E157" s="6">
        <v>127409324</v>
      </c>
      <c r="G157" s="6">
        <v>0</v>
      </c>
      <c r="I157" s="6">
        <v>32221219</v>
      </c>
      <c r="K157" s="6">
        <v>219730</v>
      </c>
      <c r="M157" s="6">
        <v>570407</v>
      </c>
      <c r="O157" s="6">
        <v>0</v>
      </c>
      <c r="Q157" s="6">
        <v>0</v>
      </c>
      <c r="S157" s="6">
        <v>0</v>
      </c>
      <c r="U157" s="6">
        <f>767940+12067</f>
        <v>780007</v>
      </c>
      <c r="W157" s="2">
        <f t="shared" si="25"/>
        <v>161200687</v>
      </c>
      <c r="Y157" s="6">
        <v>0</v>
      </c>
      <c r="AA157" s="6">
        <v>0</v>
      </c>
      <c r="AC157" s="6">
        <v>0</v>
      </c>
      <c r="AE157" s="6">
        <v>0</v>
      </c>
      <c r="AG157" s="6">
        <v>0</v>
      </c>
      <c r="AI157" s="6">
        <f t="shared" si="29"/>
        <v>0</v>
      </c>
      <c r="AK157" s="6">
        <f t="shared" si="28"/>
        <v>161200687</v>
      </c>
    </row>
    <row r="158" spans="1:37">
      <c r="A158" s="11" t="s">
        <v>266</v>
      </c>
      <c r="B158" s="11"/>
      <c r="C158" s="11" t="s">
        <v>20</v>
      </c>
      <c r="E158" s="6">
        <v>7368792</v>
      </c>
      <c r="G158" s="6">
        <v>0</v>
      </c>
      <c r="I158" s="6">
        <v>35728197</v>
      </c>
      <c r="K158" s="6">
        <v>206769</v>
      </c>
      <c r="M158" s="6">
        <f>3675024+550</f>
        <v>3675574</v>
      </c>
      <c r="O158" s="6">
        <v>12251</v>
      </c>
      <c r="Q158" s="6">
        <v>0</v>
      </c>
      <c r="S158" s="6">
        <v>10369</v>
      </c>
      <c r="U158" s="6">
        <v>1423601</v>
      </c>
      <c r="W158" s="2">
        <f t="shared" si="25"/>
        <v>48425553</v>
      </c>
      <c r="Y158" s="6">
        <v>0</v>
      </c>
      <c r="AA158" s="6">
        <v>0</v>
      </c>
      <c r="AC158" s="6">
        <v>0</v>
      </c>
      <c r="AE158" s="6">
        <v>0</v>
      </c>
      <c r="AG158" s="6">
        <v>0</v>
      </c>
      <c r="AI158" s="6">
        <f t="shared" si="29"/>
        <v>0</v>
      </c>
      <c r="AK158" s="6">
        <f t="shared" si="28"/>
        <v>48425553</v>
      </c>
    </row>
    <row r="159" spans="1:37">
      <c r="A159" s="11" t="s">
        <v>244</v>
      </c>
      <c r="B159" s="11"/>
      <c r="C159" s="11" t="s">
        <v>18</v>
      </c>
      <c r="D159" s="9"/>
      <c r="E159" s="6">
        <v>2516630</v>
      </c>
      <c r="G159" s="6">
        <v>0</v>
      </c>
      <c r="I159" s="6">
        <v>8445041</v>
      </c>
      <c r="K159" s="6">
        <v>40130</v>
      </c>
      <c r="M159" s="6">
        <f>707431+4080</f>
        <v>711511</v>
      </c>
      <c r="O159" s="6">
        <v>0</v>
      </c>
      <c r="Q159" s="6">
        <v>0</v>
      </c>
      <c r="S159" s="6">
        <v>0</v>
      </c>
      <c r="U159" s="6">
        <v>79625</v>
      </c>
      <c r="W159" s="2">
        <f t="shared" si="25"/>
        <v>11792937</v>
      </c>
      <c r="Y159" s="6">
        <v>0</v>
      </c>
      <c r="AA159" s="6">
        <v>0</v>
      </c>
      <c r="AC159" s="6">
        <v>0</v>
      </c>
      <c r="AE159" s="6">
        <v>8780</v>
      </c>
      <c r="AG159" s="6">
        <v>0</v>
      </c>
      <c r="AI159" s="6">
        <f t="shared" si="29"/>
        <v>8780</v>
      </c>
      <c r="AK159" s="6">
        <f t="shared" si="28"/>
        <v>11801717</v>
      </c>
    </row>
    <row r="160" spans="1:37">
      <c r="A160" s="11" t="s">
        <v>320</v>
      </c>
      <c r="B160" s="11"/>
      <c r="C160" s="11" t="s">
        <v>31</v>
      </c>
      <c r="E160" s="6">
        <v>2257174</v>
      </c>
      <c r="G160" s="6">
        <v>0</v>
      </c>
      <c r="I160" s="6">
        <v>6575962</v>
      </c>
      <c r="K160" s="6">
        <v>3323</v>
      </c>
      <c r="M160" s="6">
        <f>1056646+347683</f>
        <v>1404329</v>
      </c>
      <c r="O160" s="6">
        <v>112409</v>
      </c>
      <c r="Q160" s="6">
        <v>0</v>
      </c>
      <c r="S160" s="6">
        <v>75314</v>
      </c>
      <c r="U160" s="6">
        <v>77934</v>
      </c>
      <c r="W160" s="2">
        <f t="shared" ref="W160:W210" si="30">SUM(E160:V160)</f>
        <v>10506445</v>
      </c>
      <c r="Y160" s="6">
        <v>0</v>
      </c>
      <c r="AA160" s="6">
        <v>0</v>
      </c>
      <c r="AC160" s="6">
        <v>0</v>
      </c>
      <c r="AE160" s="6">
        <v>0</v>
      </c>
      <c r="AG160" s="6">
        <v>0</v>
      </c>
      <c r="AI160" s="6">
        <f t="shared" si="29"/>
        <v>0</v>
      </c>
      <c r="AK160" s="6">
        <f t="shared" si="28"/>
        <v>10506445</v>
      </c>
    </row>
    <row r="161" spans="1:37">
      <c r="A161" s="11" t="s">
        <v>353</v>
      </c>
      <c r="B161" s="11"/>
      <c r="C161" s="11" t="s">
        <v>36</v>
      </c>
      <c r="E161" s="6">
        <v>7656174</v>
      </c>
      <c r="G161" s="6">
        <v>0</v>
      </c>
      <c r="I161" s="6">
        <v>5947489</v>
      </c>
      <c r="K161" s="6">
        <v>42494</v>
      </c>
      <c r="M161" s="6">
        <f>697947+9484</f>
        <v>707431</v>
      </c>
      <c r="O161" s="6">
        <v>274521</v>
      </c>
      <c r="Q161" s="6">
        <v>0</v>
      </c>
      <c r="S161" s="6">
        <v>6581</v>
      </c>
      <c r="U161" s="6">
        <v>77180</v>
      </c>
      <c r="W161" s="2">
        <f t="shared" si="30"/>
        <v>14711870</v>
      </c>
      <c r="Y161" s="6">
        <v>0</v>
      </c>
      <c r="AA161" s="6">
        <v>0</v>
      </c>
      <c r="AC161" s="6">
        <v>0</v>
      </c>
      <c r="AE161" s="6">
        <v>8985</v>
      </c>
      <c r="AG161" s="6">
        <v>0</v>
      </c>
      <c r="AI161" s="6">
        <f t="shared" si="29"/>
        <v>8985</v>
      </c>
      <c r="AK161" s="6">
        <f t="shared" si="28"/>
        <v>14720855</v>
      </c>
    </row>
    <row r="162" spans="1:37" hidden="1">
      <c r="A162" s="11" t="s">
        <v>659</v>
      </c>
      <c r="B162" s="11"/>
      <c r="C162" s="11" t="s">
        <v>40</v>
      </c>
      <c r="W162" s="2">
        <f t="shared" si="30"/>
        <v>0</v>
      </c>
      <c r="AG162" s="6">
        <v>0</v>
      </c>
      <c r="AK162" s="6">
        <f t="shared" si="28"/>
        <v>0</v>
      </c>
    </row>
    <row r="163" spans="1:37">
      <c r="A163" s="11" t="s">
        <v>248</v>
      </c>
      <c r="B163" s="11"/>
      <c r="C163" s="11" t="s">
        <v>112</v>
      </c>
      <c r="D163" s="9"/>
      <c r="E163" s="6">
        <v>3655901</v>
      </c>
      <c r="G163" s="6">
        <v>0</v>
      </c>
      <c r="I163" s="6">
        <v>18521389</v>
      </c>
      <c r="K163" s="6">
        <v>39262</v>
      </c>
      <c r="M163" s="6">
        <f>761427+5121+208</f>
        <v>766756</v>
      </c>
      <c r="O163" s="6">
        <v>25059</v>
      </c>
      <c r="Q163" s="6">
        <v>0</v>
      </c>
      <c r="S163" s="6">
        <v>3233</v>
      </c>
      <c r="U163" s="6">
        <v>101143</v>
      </c>
      <c r="W163" s="2">
        <f t="shared" si="30"/>
        <v>23112743</v>
      </c>
      <c r="Y163" s="6">
        <v>0</v>
      </c>
      <c r="AA163" s="6">
        <v>0</v>
      </c>
      <c r="AC163" s="6">
        <v>0</v>
      </c>
      <c r="AE163" s="6">
        <v>4390</v>
      </c>
      <c r="AG163" s="6">
        <v>0</v>
      </c>
      <c r="AI163" s="6">
        <f t="shared" si="29"/>
        <v>4390</v>
      </c>
      <c r="AK163" s="6">
        <f t="shared" si="28"/>
        <v>23117133</v>
      </c>
    </row>
    <row r="164" spans="1:37">
      <c r="A164" s="11" t="s">
        <v>443</v>
      </c>
      <c r="B164" s="11"/>
      <c r="C164" s="11" t="s">
        <v>51</v>
      </c>
      <c r="E164" s="6">
        <v>7291352</v>
      </c>
      <c r="G164" s="6">
        <v>0</v>
      </c>
      <c r="I164" s="6">
        <v>9669610</v>
      </c>
      <c r="K164" s="6">
        <v>62942</v>
      </c>
      <c r="M164" s="6">
        <f>1469130+11213</f>
        <v>1480343</v>
      </c>
      <c r="O164" s="6">
        <v>0</v>
      </c>
      <c r="Q164" s="6">
        <v>58739</v>
      </c>
      <c r="S164" s="6">
        <v>33250</v>
      </c>
      <c r="U164" s="6">
        <v>139997</v>
      </c>
      <c r="W164" s="2">
        <f t="shared" si="30"/>
        <v>18736233</v>
      </c>
      <c r="Y164" s="6">
        <v>0</v>
      </c>
      <c r="AA164" s="6">
        <v>0</v>
      </c>
      <c r="AC164" s="6">
        <v>0</v>
      </c>
      <c r="AE164" s="6">
        <v>5200</v>
      </c>
      <c r="AG164" s="6">
        <v>0</v>
      </c>
      <c r="AI164" s="6">
        <f t="shared" si="29"/>
        <v>5200</v>
      </c>
      <c r="AK164" s="6">
        <f t="shared" si="28"/>
        <v>18741433</v>
      </c>
    </row>
    <row r="165" spans="1:37">
      <c r="A165" s="11" t="s">
        <v>249</v>
      </c>
      <c r="B165" s="11"/>
      <c r="C165" s="11" t="s">
        <v>112</v>
      </c>
      <c r="D165" s="9"/>
      <c r="E165" s="6">
        <v>2211751</v>
      </c>
      <c r="G165" s="6">
        <v>0</v>
      </c>
      <c r="I165" s="6">
        <v>7142946</v>
      </c>
      <c r="K165" s="6">
        <v>7910</v>
      </c>
      <c r="M165" s="6">
        <f>304778+167106</f>
        <v>471884</v>
      </c>
      <c r="O165" s="6">
        <v>31131</v>
      </c>
      <c r="Q165" s="6">
        <v>0</v>
      </c>
      <c r="S165" s="6">
        <v>1409</v>
      </c>
      <c r="U165" s="6">
        <v>58372</v>
      </c>
      <c r="W165" s="2">
        <f t="shared" si="30"/>
        <v>9925403</v>
      </c>
      <c r="Y165" s="6">
        <v>0</v>
      </c>
      <c r="AA165" s="6">
        <v>0</v>
      </c>
      <c r="AC165" s="6">
        <v>0</v>
      </c>
      <c r="AE165" s="6">
        <v>0</v>
      </c>
      <c r="AG165" s="6">
        <v>0</v>
      </c>
      <c r="AI165" s="6">
        <f t="shared" si="29"/>
        <v>0</v>
      </c>
      <c r="AK165" s="6">
        <f t="shared" si="28"/>
        <v>9925403</v>
      </c>
    </row>
    <row r="166" spans="1:37">
      <c r="A166" s="11" t="s">
        <v>218</v>
      </c>
      <c r="B166" s="11"/>
      <c r="C166" s="11" t="s">
        <v>77</v>
      </c>
      <c r="D166" s="9"/>
      <c r="E166" s="6">
        <v>2793654</v>
      </c>
      <c r="G166" s="6">
        <v>0</v>
      </c>
      <c r="I166" s="6">
        <v>7596262</v>
      </c>
      <c r="K166" s="6">
        <v>0</v>
      </c>
      <c r="M166" s="6">
        <f>727711+15141</f>
        <v>742852</v>
      </c>
      <c r="O166" s="6">
        <v>0</v>
      </c>
      <c r="Q166" s="6">
        <v>40174</v>
      </c>
      <c r="S166" s="6">
        <v>21018</v>
      </c>
      <c r="U166" s="6">
        <v>71085</v>
      </c>
      <c r="W166" s="2">
        <f t="shared" si="30"/>
        <v>11265045</v>
      </c>
      <c r="Y166" s="6">
        <v>0</v>
      </c>
      <c r="AA166" s="6">
        <v>0</v>
      </c>
      <c r="AC166" s="6">
        <v>0</v>
      </c>
      <c r="AE166" s="6">
        <v>10204</v>
      </c>
      <c r="AG166" s="6">
        <v>0</v>
      </c>
      <c r="AI166" s="6">
        <f t="shared" si="29"/>
        <v>10204</v>
      </c>
      <c r="AK166" s="6">
        <f t="shared" si="28"/>
        <v>11275249</v>
      </c>
    </row>
    <row r="167" spans="1:37">
      <c r="A167" s="11" t="s">
        <v>218</v>
      </c>
      <c r="B167" s="11"/>
      <c r="C167" s="11" t="s">
        <v>420</v>
      </c>
      <c r="D167" s="9"/>
      <c r="E167" s="6">
        <v>1496581</v>
      </c>
      <c r="G167" s="6">
        <v>0</v>
      </c>
      <c r="I167" s="6">
        <v>5431394</v>
      </c>
      <c r="K167" s="6">
        <v>4465</v>
      </c>
      <c r="M167" s="6">
        <f>608465+41434</f>
        <v>649899</v>
      </c>
      <c r="O167" s="6">
        <v>0</v>
      </c>
      <c r="Q167" s="6">
        <v>0</v>
      </c>
      <c r="S167" s="6">
        <v>34861</v>
      </c>
      <c r="U167" s="6">
        <v>27907</v>
      </c>
      <c r="W167" s="2">
        <f t="shared" si="30"/>
        <v>7645107</v>
      </c>
      <c r="Y167" s="6">
        <v>0</v>
      </c>
      <c r="AA167" s="6">
        <v>0</v>
      </c>
      <c r="AC167" s="6">
        <v>0</v>
      </c>
      <c r="AE167" s="6">
        <v>0</v>
      </c>
      <c r="AG167" s="6">
        <v>0</v>
      </c>
      <c r="AI167" s="6">
        <f t="shared" si="29"/>
        <v>0</v>
      </c>
      <c r="AK167" s="6">
        <f t="shared" si="28"/>
        <v>7645107</v>
      </c>
    </row>
    <row r="168" spans="1:37" hidden="1">
      <c r="A168" s="11" t="s">
        <v>660</v>
      </c>
      <c r="B168" s="11"/>
      <c r="C168" s="11" t="s">
        <v>55</v>
      </c>
      <c r="W168" s="2">
        <f t="shared" si="30"/>
        <v>0</v>
      </c>
      <c r="AI168" s="6">
        <f t="shared" si="29"/>
        <v>0</v>
      </c>
      <c r="AK168" s="6">
        <f t="shared" si="28"/>
        <v>0</v>
      </c>
    </row>
    <row r="169" spans="1:37">
      <c r="A169" s="11" t="s">
        <v>555</v>
      </c>
      <c r="B169" s="11"/>
      <c r="C169" s="11" t="s">
        <v>72</v>
      </c>
      <c r="E169" s="6">
        <v>4863618</v>
      </c>
      <c r="G169" s="6">
        <v>1721819</v>
      </c>
      <c r="I169" s="6">
        <v>7182289</v>
      </c>
      <c r="K169" s="6">
        <v>125899</v>
      </c>
      <c r="M169" s="6">
        <v>492364</v>
      </c>
      <c r="O169" s="6">
        <v>56528</v>
      </c>
      <c r="Q169" s="6">
        <v>480000</v>
      </c>
      <c r="S169" s="6">
        <v>0</v>
      </c>
      <c r="U169" s="6">
        <v>6610</v>
      </c>
      <c r="W169" s="2">
        <f t="shared" si="30"/>
        <v>14929127</v>
      </c>
      <c r="Y169" s="6">
        <v>0</v>
      </c>
      <c r="AA169" s="6">
        <v>0</v>
      </c>
      <c r="AC169" s="6">
        <v>0</v>
      </c>
      <c r="AE169" s="6">
        <v>0</v>
      </c>
      <c r="AG169" s="6">
        <v>0</v>
      </c>
      <c r="AI169" s="6">
        <f t="shared" si="29"/>
        <v>0</v>
      </c>
      <c r="AK169" s="6">
        <f t="shared" si="28"/>
        <v>14929127</v>
      </c>
    </row>
    <row r="170" spans="1:37" hidden="1">
      <c r="A170" s="10" t="s">
        <v>870</v>
      </c>
      <c r="B170" s="11"/>
      <c r="C170" s="11" t="s">
        <v>57</v>
      </c>
      <c r="E170" s="6">
        <v>0</v>
      </c>
      <c r="G170" s="6">
        <v>0</v>
      </c>
      <c r="I170" s="6">
        <v>0</v>
      </c>
      <c r="K170" s="6">
        <v>0</v>
      </c>
      <c r="M170" s="6">
        <v>0</v>
      </c>
      <c r="O170" s="6">
        <v>0</v>
      </c>
      <c r="Q170" s="6">
        <v>0</v>
      </c>
      <c r="S170" s="6">
        <v>0</v>
      </c>
      <c r="U170" s="6">
        <v>0</v>
      </c>
      <c r="W170" s="2">
        <f t="shared" si="30"/>
        <v>0</v>
      </c>
      <c r="Y170" s="6">
        <v>0</v>
      </c>
      <c r="AA170" s="6">
        <v>0</v>
      </c>
      <c r="AC170" s="6">
        <v>0</v>
      </c>
      <c r="AE170" s="6">
        <v>0</v>
      </c>
      <c r="AG170" s="6">
        <v>0</v>
      </c>
      <c r="AI170" s="6">
        <f t="shared" si="29"/>
        <v>0</v>
      </c>
      <c r="AK170" s="6">
        <f t="shared" si="28"/>
        <v>0</v>
      </c>
    </row>
    <row r="171" spans="1:37" hidden="1">
      <c r="A171" s="11" t="s">
        <v>661</v>
      </c>
      <c r="B171" s="11"/>
      <c r="C171" s="11" t="s">
        <v>552</v>
      </c>
      <c r="W171" s="2">
        <f t="shared" si="30"/>
        <v>0</v>
      </c>
      <c r="AI171" s="6">
        <f t="shared" si="29"/>
        <v>0</v>
      </c>
      <c r="AK171" s="6">
        <f t="shared" si="28"/>
        <v>0</v>
      </c>
    </row>
    <row r="172" spans="1:37">
      <c r="A172" s="11" t="s">
        <v>662</v>
      </c>
      <c r="B172" s="11"/>
      <c r="C172" s="11" t="s">
        <v>221</v>
      </c>
      <c r="D172" s="9"/>
      <c r="E172" s="6">
        <v>11028377</v>
      </c>
      <c r="G172" s="6">
        <v>0</v>
      </c>
      <c r="I172" s="6">
        <f>16096034+159409</f>
        <v>16255443</v>
      </c>
      <c r="K172" s="6">
        <v>1495</v>
      </c>
      <c r="M172" s="6">
        <f>517400+868+254715+2665+38943</f>
        <v>814591</v>
      </c>
      <c r="O172" s="6">
        <v>110545</v>
      </c>
      <c r="Q172" s="6">
        <v>109460</v>
      </c>
      <c r="S172" s="6">
        <v>1848</v>
      </c>
      <c r="U172" s="6">
        <v>102799</v>
      </c>
      <c r="W172" s="2">
        <f t="shared" si="30"/>
        <v>28424558</v>
      </c>
      <c r="Y172" s="6">
        <v>0</v>
      </c>
      <c r="AA172" s="6">
        <v>0</v>
      </c>
      <c r="AC172" s="6">
        <v>0</v>
      </c>
      <c r="AE172" s="6">
        <v>13626</v>
      </c>
      <c r="AG172" s="6">
        <v>0</v>
      </c>
      <c r="AI172" s="6">
        <f t="shared" si="29"/>
        <v>13626</v>
      </c>
      <c r="AK172" s="6">
        <f t="shared" si="28"/>
        <v>28438184</v>
      </c>
    </row>
    <row r="173" spans="1:37">
      <c r="A173" s="11" t="s">
        <v>362</v>
      </c>
      <c r="B173" s="11"/>
      <c r="C173" s="11" t="s">
        <v>24</v>
      </c>
      <c r="E173" s="6">
        <v>5574142</v>
      </c>
      <c r="G173" s="6">
        <v>0</v>
      </c>
      <c r="I173" s="6">
        <f>7210982+41363</f>
        <v>7252345</v>
      </c>
      <c r="K173" s="6">
        <v>10697</v>
      </c>
      <c r="M173" s="6">
        <f>522018+635+44716</f>
        <v>567369</v>
      </c>
      <c r="O173" s="6">
        <v>138913</v>
      </c>
      <c r="Q173" s="6">
        <v>0</v>
      </c>
      <c r="S173" s="6">
        <v>0</v>
      </c>
      <c r="U173" s="6">
        <v>8945</v>
      </c>
      <c r="W173" s="2">
        <f t="shared" ref="W173" si="31">SUM(E173:V173)</f>
        <v>13552411</v>
      </c>
      <c r="Y173" s="6">
        <v>0</v>
      </c>
      <c r="AA173" s="6">
        <v>0</v>
      </c>
      <c r="AC173" s="6">
        <v>0</v>
      </c>
      <c r="AE173" s="6">
        <v>0</v>
      </c>
      <c r="AG173" s="6">
        <v>0</v>
      </c>
      <c r="AI173" s="6">
        <f t="shared" ref="AI173" si="32">SUM(Y173:AH173)</f>
        <v>0</v>
      </c>
      <c r="AK173" s="6">
        <f t="shared" ref="AK173" si="33">+AI173+W173</f>
        <v>13552411</v>
      </c>
    </row>
    <row r="174" spans="1:37">
      <c r="A174" s="11" t="s">
        <v>362</v>
      </c>
      <c r="B174" s="11"/>
      <c r="C174" s="11" t="s">
        <v>39</v>
      </c>
      <c r="E174" s="6">
        <v>7291231</v>
      </c>
      <c r="G174" s="6">
        <v>0</v>
      </c>
      <c r="I174" s="6">
        <v>8768663</v>
      </c>
      <c r="K174" s="6">
        <v>848</v>
      </c>
      <c r="M174" s="6">
        <f>843991+17930</f>
        <v>861921</v>
      </c>
      <c r="O174" s="6">
        <v>42174</v>
      </c>
      <c r="Q174" s="6">
        <v>0</v>
      </c>
      <c r="S174" s="6">
        <v>662850</v>
      </c>
      <c r="U174" s="6">
        <v>115458</v>
      </c>
      <c r="W174" s="2">
        <f t="shared" si="30"/>
        <v>17743145</v>
      </c>
      <c r="Y174" s="6">
        <v>713</v>
      </c>
      <c r="AA174" s="6">
        <v>0</v>
      </c>
      <c r="AC174" s="6">
        <v>0</v>
      </c>
      <c r="AE174" s="6">
        <v>0</v>
      </c>
      <c r="AG174" s="6">
        <v>14353</v>
      </c>
      <c r="AI174" s="6">
        <f t="shared" si="29"/>
        <v>15066</v>
      </c>
      <c r="AK174" s="6">
        <f t="shared" si="28"/>
        <v>17758211</v>
      </c>
    </row>
    <row r="175" spans="1:37" hidden="1">
      <c r="A175" s="11" t="s">
        <v>871</v>
      </c>
      <c r="B175" s="11"/>
      <c r="C175" s="11" t="s">
        <v>552</v>
      </c>
      <c r="W175" s="2">
        <f t="shared" si="30"/>
        <v>0</v>
      </c>
      <c r="AI175" s="6">
        <f t="shared" si="29"/>
        <v>0</v>
      </c>
      <c r="AK175" s="6">
        <f t="shared" si="28"/>
        <v>0</v>
      </c>
    </row>
    <row r="176" spans="1:37">
      <c r="A176" s="11" t="s">
        <v>677</v>
      </c>
      <c r="B176" s="11"/>
      <c r="C176" s="11" t="s">
        <v>46</v>
      </c>
      <c r="E176" s="6">
        <v>3197097</v>
      </c>
      <c r="G176" s="6">
        <v>865719</v>
      </c>
      <c r="I176" s="6">
        <v>7056211</v>
      </c>
      <c r="K176" s="6">
        <v>9726</v>
      </c>
      <c r="M176" s="6">
        <f>995511</f>
        <v>995511</v>
      </c>
      <c r="O176" s="6">
        <v>36715</v>
      </c>
      <c r="Q176" s="6">
        <v>28000</v>
      </c>
      <c r="S176" s="6">
        <v>10206</v>
      </c>
      <c r="U176" s="6">
        <v>290080</v>
      </c>
      <c r="W176" s="2">
        <f t="shared" ref="W176" si="34">SUM(E176:V176)</f>
        <v>12489265</v>
      </c>
      <c r="Y176" s="6">
        <v>0</v>
      </c>
      <c r="AA176" s="6">
        <v>0</v>
      </c>
      <c r="AC176" s="6">
        <v>57807</v>
      </c>
      <c r="AE176" s="6">
        <v>0</v>
      </c>
      <c r="AG176" s="6">
        <v>0</v>
      </c>
      <c r="AI176" s="6">
        <f t="shared" ref="AI176" si="35">SUM(Y176:AH176)</f>
        <v>57807</v>
      </c>
      <c r="AK176" s="6">
        <f t="shared" ref="AK176" si="36">+AI176+W176</f>
        <v>12547072</v>
      </c>
    </row>
    <row r="177" spans="1:37" hidden="1">
      <c r="A177" s="11" t="s">
        <v>663</v>
      </c>
      <c r="B177" s="11"/>
      <c r="C177" s="11" t="s">
        <v>10</v>
      </c>
      <c r="W177" s="2">
        <f t="shared" si="30"/>
        <v>0</v>
      </c>
      <c r="AK177" s="6">
        <f t="shared" si="28"/>
        <v>0</v>
      </c>
    </row>
    <row r="178" spans="1:37" hidden="1">
      <c r="A178" s="11" t="s">
        <v>692</v>
      </c>
      <c r="B178" s="11"/>
      <c r="C178" s="11" t="s">
        <v>72</v>
      </c>
      <c r="W178" s="2">
        <f t="shared" ref="W178" si="37">SUM(E178:V178)</f>
        <v>0</v>
      </c>
      <c r="AI178" s="6">
        <f t="shared" ref="AI178" si="38">SUM(Y178:AH178)</f>
        <v>0</v>
      </c>
      <c r="AK178" s="6">
        <f t="shared" si="28"/>
        <v>0</v>
      </c>
    </row>
    <row r="179" spans="1:37">
      <c r="A179" s="11" t="s">
        <v>384</v>
      </c>
      <c r="B179" s="11"/>
      <c r="C179" s="11" t="s">
        <v>44</v>
      </c>
      <c r="E179" s="6">
        <v>29929030</v>
      </c>
      <c r="G179" s="6">
        <v>0</v>
      </c>
      <c r="I179" s="6">
        <v>41247353</v>
      </c>
      <c r="K179" s="6">
        <v>48133</v>
      </c>
      <c r="M179" s="6">
        <f>1625513+38344</f>
        <v>1663857</v>
      </c>
      <c r="O179" s="6">
        <v>157020</v>
      </c>
      <c r="Q179" s="6">
        <v>0</v>
      </c>
      <c r="S179" s="6">
        <v>21726</v>
      </c>
      <c r="U179" s="6">
        <v>539977</v>
      </c>
      <c r="W179" s="2">
        <f t="shared" si="30"/>
        <v>73607096</v>
      </c>
      <c r="Y179" s="6">
        <v>1740526</v>
      </c>
      <c r="AA179" s="6">
        <v>0</v>
      </c>
      <c r="AC179" s="6">
        <v>0</v>
      </c>
      <c r="AE179" s="6">
        <v>5862</v>
      </c>
      <c r="AG179" s="6">
        <v>0</v>
      </c>
      <c r="AI179" s="6">
        <f t="shared" si="29"/>
        <v>1746388</v>
      </c>
      <c r="AK179" s="6">
        <f t="shared" ref="AK179:AK210" si="39">+AI179+W179</f>
        <v>75353484</v>
      </c>
    </row>
    <row r="180" spans="1:37">
      <c r="A180" s="11" t="s">
        <v>267</v>
      </c>
      <c r="B180" s="11"/>
      <c r="C180" s="11" t="s">
        <v>20</v>
      </c>
      <c r="E180" s="6">
        <v>37209197</v>
      </c>
      <c r="G180" s="6">
        <v>0</v>
      </c>
      <c r="I180" s="6">
        <v>29600887</v>
      </c>
      <c r="K180" s="6">
        <v>16391</v>
      </c>
      <c r="M180" s="6">
        <f>53523+152707+48858+71129</f>
        <v>326217</v>
      </c>
      <c r="O180" s="6">
        <v>112297</v>
      </c>
      <c r="Q180" s="6">
        <v>0</v>
      </c>
      <c r="S180" s="6">
        <v>0</v>
      </c>
      <c r="U180" s="6">
        <v>26750</v>
      </c>
      <c r="W180" s="2">
        <f t="shared" si="30"/>
        <v>67291739</v>
      </c>
      <c r="Y180" s="6">
        <v>0</v>
      </c>
      <c r="AA180" s="6">
        <v>0</v>
      </c>
      <c r="AC180" s="6">
        <v>0</v>
      </c>
      <c r="AE180" s="6">
        <v>10910</v>
      </c>
      <c r="AG180" s="6">
        <v>0</v>
      </c>
      <c r="AI180" s="6">
        <f t="shared" si="29"/>
        <v>10910</v>
      </c>
      <c r="AK180" s="6">
        <f t="shared" si="39"/>
        <v>67302649</v>
      </c>
    </row>
    <row r="181" spans="1:37" hidden="1">
      <c r="A181" s="11" t="s">
        <v>619</v>
      </c>
      <c r="B181" s="11"/>
      <c r="C181" s="11" t="s">
        <v>28</v>
      </c>
      <c r="W181" s="2">
        <f t="shared" si="30"/>
        <v>0</v>
      </c>
      <c r="AI181" s="6">
        <f t="shared" si="29"/>
        <v>0</v>
      </c>
      <c r="AK181" s="6">
        <f t="shared" si="39"/>
        <v>0</v>
      </c>
    </row>
    <row r="182" spans="1:37">
      <c r="A182" s="11" t="s">
        <v>539</v>
      </c>
      <c r="B182" s="11"/>
      <c r="C182" s="11" t="s">
        <v>66</v>
      </c>
      <c r="E182" s="6">
        <v>6616921</v>
      </c>
      <c r="G182" s="6">
        <v>0</v>
      </c>
      <c r="I182" s="6">
        <f>600+2951322</f>
        <v>2951922</v>
      </c>
      <c r="K182" s="6">
        <v>24626</v>
      </c>
      <c r="M182" s="6">
        <f>345416+15425+48031</f>
        <v>408872</v>
      </c>
      <c r="O182" s="6">
        <v>0</v>
      </c>
      <c r="Q182" s="6">
        <v>0</v>
      </c>
      <c r="S182" s="6">
        <v>0</v>
      </c>
      <c r="U182" s="6">
        <v>57544</v>
      </c>
      <c r="W182" s="2">
        <f t="shared" si="30"/>
        <v>10059885</v>
      </c>
      <c r="Y182" s="6">
        <v>0</v>
      </c>
      <c r="AA182" s="6">
        <v>0</v>
      </c>
      <c r="AC182" s="6">
        <v>0</v>
      </c>
      <c r="AE182" s="6">
        <v>0</v>
      </c>
      <c r="AG182" s="6">
        <v>0</v>
      </c>
      <c r="AI182" s="6">
        <f t="shared" si="29"/>
        <v>0</v>
      </c>
      <c r="AK182" s="6">
        <f t="shared" si="39"/>
        <v>10059885</v>
      </c>
    </row>
    <row r="183" spans="1:37">
      <c r="A183" s="11" t="s">
        <v>626</v>
      </c>
      <c r="B183" s="11"/>
      <c r="C183" s="11" t="s">
        <v>114</v>
      </c>
      <c r="D183" s="9"/>
      <c r="E183" s="6">
        <v>20201520</v>
      </c>
      <c r="G183" s="6">
        <v>0</v>
      </c>
      <c r="I183" s="6">
        <v>20401058</v>
      </c>
      <c r="K183" s="6">
        <v>59175</v>
      </c>
      <c r="M183" s="6">
        <f>554165+221202</f>
        <v>775367</v>
      </c>
      <c r="O183" s="6">
        <v>151536</v>
      </c>
      <c r="Q183" s="6">
        <v>197220</v>
      </c>
      <c r="S183" s="6">
        <v>0</v>
      </c>
      <c r="U183" s="6">
        <v>131518</v>
      </c>
      <c r="W183" s="2">
        <f>SUM(E183:V183)</f>
        <v>41917394</v>
      </c>
      <c r="Y183" s="6">
        <v>0</v>
      </c>
      <c r="AA183" s="6">
        <v>0</v>
      </c>
      <c r="AC183" s="6">
        <v>0</v>
      </c>
      <c r="AE183" s="6">
        <v>0</v>
      </c>
      <c r="AG183" s="6">
        <v>0</v>
      </c>
      <c r="AI183" s="6">
        <f>SUM(Y183:AH183)</f>
        <v>0</v>
      </c>
      <c r="AK183" s="6">
        <f t="shared" si="39"/>
        <v>41917394</v>
      </c>
    </row>
    <row r="184" spans="1:37">
      <c r="A184" s="11" t="s">
        <v>222</v>
      </c>
      <c r="B184" s="11"/>
      <c r="C184" s="11" t="s">
        <v>221</v>
      </c>
      <c r="D184" s="9"/>
      <c r="E184" s="6">
        <v>41269111</v>
      </c>
      <c r="G184" s="6">
        <v>0</v>
      </c>
      <c r="I184" s="6">
        <v>30260930</v>
      </c>
      <c r="K184" s="6">
        <v>31057</v>
      </c>
      <c r="M184" s="6">
        <f>1777208+703516</f>
        <v>2480724</v>
      </c>
      <c r="O184" s="6">
        <v>216795</v>
      </c>
      <c r="Q184" s="6">
        <v>1360289</v>
      </c>
      <c r="S184" s="6">
        <v>0</v>
      </c>
      <c r="U184" s="6">
        <v>809864</v>
      </c>
      <c r="W184" s="2">
        <f t="shared" si="30"/>
        <v>76428770</v>
      </c>
      <c r="Y184" s="6">
        <v>0</v>
      </c>
      <c r="AA184" s="6">
        <v>0</v>
      </c>
      <c r="AC184" s="6">
        <v>0</v>
      </c>
      <c r="AE184" s="6">
        <v>342</v>
      </c>
      <c r="AG184" s="6">
        <v>0</v>
      </c>
      <c r="AI184" s="6">
        <f t="shared" si="29"/>
        <v>342</v>
      </c>
      <c r="AK184" s="6">
        <f t="shared" si="39"/>
        <v>76429112</v>
      </c>
    </row>
    <row r="185" spans="1:37">
      <c r="A185" s="11" t="s">
        <v>349</v>
      </c>
      <c r="B185" s="11"/>
      <c r="C185" s="11" t="s">
        <v>348</v>
      </c>
      <c r="E185" s="6">
        <v>1345845</v>
      </c>
      <c r="G185" s="6">
        <v>0</v>
      </c>
      <c r="I185" s="6">
        <v>5127235</v>
      </c>
      <c r="K185" s="6">
        <v>12842</v>
      </c>
      <c r="M185" s="6">
        <f>508107+4000+2763</f>
        <v>514870</v>
      </c>
      <c r="O185" s="6">
        <v>22821</v>
      </c>
      <c r="Q185" s="6">
        <v>0</v>
      </c>
      <c r="S185" s="6">
        <v>12127</v>
      </c>
      <c r="U185" s="6">
        <v>42002</v>
      </c>
      <c r="W185" s="2">
        <f t="shared" si="30"/>
        <v>7077742</v>
      </c>
      <c r="Y185" s="6">
        <v>0</v>
      </c>
      <c r="AA185" s="6">
        <v>0</v>
      </c>
      <c r="AC185" s="6">
        <v>0</v>
      </c>
      <c r="AE185" s="6">
        <v>0</v>
      </c>
      <c r="AG185" s="6">
        <v>0</v>
      </c>
      <c r="AI185" s="6">
        <f t="shared" si="29"/>
        <v>0</v>
      </c>
      <c r="AK185" s="6">
        <f t="shared" si="39"/>
        <v>7077742</v>
      </c>
    </row>
    <row r="186" spans="1:37">
      <c r="A186" s="11" t="s">
        <v>294</v>
      </c>
      <c r="B186" s="11"/>
      <c r="C186" s="11" t="s">
        <v>25</v>
      </c>
      <c r="E186" s="6">
        <v>3733505</v>
      </c>
      <c r="G186" s="6">
        <v>4558928</v>
      </c>
      <c r="I186" s="6">
        <f>9527622+24955</f>
        <v>9552577</v>
      </c>
      <c r="K186" s="6">
        <v>16665</v>
      </c>
      <c r="M186" s="6">
        <f>1435616+43167+17685</f>
        <v>1496468</v>
      </c>
      <c r="O186" s="6">
        <v>46500</v>
      </c>
      <c r="Q186" s="6">
        <v>0</v>
      </c>
      <c r="S186" s="6">
        <v>0</v>
      </c>
      <c r="U186" s="6">
        <v>53259</v>
      </c>
      <c r="W186" s="2">
        <f t="shared" si="30"/>
        <v>19457902</v>
      </c>
      <c r="Y186" s="6">
        <v>0</v>
      </c>
      <c r="AA186" s="6">
        <v>0</v>
      </c>
      <c r="AC186" s="6">
        <v>18617</v>
      </c>
      <c r="AE186" s="6">
        <v>29401</v>
      </c>
      <c r="AG186" s="6">
        <v>0</v>
      </c>
      <c r="AI186" s="6">
        <f t="shared" si="29"/>
        <v>48018</v>
      </c>
      <c r="AK186" s="6">
        <f t="shared" si="39"/>
        <v>19505920</v>
      </c>
    </row>
    <row r="187" spans="1:37">
      <c r="A187" s="11" t="s">
        <v>368</v>
      </c>
      <c r="B187" s="11"/>
      <c r="C187" s="11" t="s">
        <v>366</v>
      </c>
      <c r="E187" s="6">
        <v>3569168</v>
      </c>
      <c r="G187" s="6">
        <v>0</v>
      </c>
      <c r="I187" s="6">
        <v>9228691</v>
      </c>
      <c r="K187" s="6">
        <v>19817</v>
      </c>
      <c r="M187" s="6">
        <f>815954</f>
        <v>815954</v>
      </c>
      <c r="O187" s="6">
        <v>84056</v>
      </c>
      <c r="Q187" s="6">
        <v>0</v>
      </c>
      <c r="S187" s="6">
        <v>7450</v>
      </c>
      <c r="U187" s="6">
        <v>23622</v>
      </c>
      <c r="W187" s="2">
        <f t="shared" si="30"/>
        <v>13748758</v>
      </c>
      <c r="Y187" s="6">
        <v>0</v>
      </c>
      <c r="AA187" s="6">
        <v>0</v>
      </c>
      <c r="AC187" s="6">
        <v>0</v>
      </c>
      <c r="AE187" s="6">
        <v>3300</v>
      </c>
      <c r="AG187" s="6">
        <v>0</v>
      </c>
      <c r="AI187" s="6">
        <f t="shared" si="29"/>
        <v>3300</v>
      </c>
      <c r="AK187" s="6">
        <f t="shared" si="39"/>
        <v>13752058</v>
      </c>
    </row>
    <row r="188" spans="1:37" hidden="1">
      <c r="A188" s="11" t="s">
        <v>620</v>
      </c>
      <c r="B188" s="11"/>
      <c r="C188" s="11" t="s">
        <v>61</v>
      </c>
      <c r="W188" s="2">
        <f t="shared" si="30"/>
        <v>0</v>
      </c>
      <c r="AI188" s="6">
        <f t="shared" si="29"/>
        <v>0</v>
      </c>
      <c r="AK188" s="6">
        <f t="shared" si="39"/>
        <v>0</v>
      </c>
    </row>
    <row r="189" spans="1:37">
      <c r="A189" s="11" t="s">
        <v>496</v>
      </c>
      <c r="B189" s="11"/>
      <c r="C189" s="11" t="s">
        <v>62</v>
      </c>
      <c r="E189" s="6">
        <v>4702494</v>
      </c>
      <c r="G189" s="6">
        <v>0</v>
      </c>
      <c r="I189" s="6">
        <v>8815036</v>
      </c>
      <c r="K189" s="6">
        <v>2132</v>
      </c>
      <c r="M189" s="6">
        <f>591953+49634</f>
        <v>641587</v>
      </c>
      <c r="O189" s="6">
        <v>109022</v>
      </c>
      <c r="Q189" s="6">
        <v>0</v>
      </c>
      <c r="S189" s="6">
        <v>0</v>
      </c>
      <c r="U189" s="6">
        <v>186978</v>
      </c>
      <c r="W189" s="2">
        <f t="shared" si="30"/>
        <v>14457249</v>
      </c>
      <c r="Y189" s="6">
        <v>0</v>
      </c>
      <c r="AA189" s="6">
        <v>0</v>
      </c>
      <c r="AC189" s="6">
        <v>0</v>
      </c>
      <c r="AE189" s="6">
        <v>0</v>
      </c>
      <c r="AG189" s="6">
        <v>0</v>
      </c>
      <c r="AI189" s="6">
        <f t="shared" si="29"/>
        <v>0</v>
      </c>
      <c r="AK189" s="6">
        <f t="shared" si="39"/>
        <v>14457249</v>
      </c>
    </row>
    <row r="190" spans="1:37" hidden="1">
      <c r="A190" s="10" t="s">
        <v>890</v>
      </c>
      <c r="B190" s="11"/>
      <c r="C190" s="11" t="s">
        <v>41</v>
      </c>
      <c r="W190" s="2">
        <f t="shared" si="30"/>
        <v>0</v>
      </c>
      <c r="AI190" s="6">
        <f t="shared" si="29"/>
        <v>0</v>
      </c>
      <c r="AK190" s="6">
        <f t="shared" si="39"/>
        <v>0</v>
      </c>
    </row>
    <row r="191" spans="1:37" s="28" customFormat="1">
      <c r="A191" s="27" t="s">
        <v>268</v>
      </c>
      <c r="B191" s="27"/>
      <c r="C191" s="27" t="s">
        <v>20</v>
      </c>
      <c r="E191" s="28">
        <v>15013527</v>
      </c>
      <c r="G191" s="28">
        <v>0</v>
      </c>
      <c r="I191" s="28">
        <f>16378+4450170+28957</f>
        <v>4495505</v>
      </c>
      <c r="K191" s="28">
        <v>112348</v>
      </c>
      <c r="M191" s="28">
        <f>266691+31640+96508+104119</f>
        <v>498958</v>
      </c>
      <c r="O191" s="28">
        <v>57472</v>
      </c>
      <c r="Q191" s="28">
        <v>0</v>
      </c>
      <c r="S191" s="28">
        <v>9017</v>
      </c>
      <c r="U191" s="28">
        <v>103804</v>
      </c>
      <c r="W191" s="30">
        <f t="shared" si="30"/>
        <v>20290631</v>
      </c>
      <c r="Y191" s="28">
        <v>0</v>
      </c>
      <c r="AA191" s="28">
        <v>0</v>
      </c>
      <c r="AC191" s="28">
        <v>0</v>
      </c>
      <c r="AE191" s="28">
        <v>0</v>
      </c>
      <c r="AG191" s="28">
        <v>0</v>
      </c>
      <c r="AI191" s="28">
        <f t="shared" si="29"/>
        <v>0</v>
      </c>
      <c r="AK191" s="28">
        <f t="shared" si="39"/>
        <v>20290631</v>
      </c>
    </row>
    <row r="192" spans="1:37" hidden="1">
      <c r="A192" s="11" t="s">
        <v>745</v>
      </c>
      <c r="B192" s="11"/>
      <c r="C192" s="11" t="s">
        <v>28</v>
      </c>
      <c r="W192" s="2">
        <f t="shared" si="30"/>
        <v>0</v>
      </c>
      <c r="AI192" s="6">
        <f t="shared" si="29"/>
        <v>0</v>
      </c>
      <c r="AK192" s="6">
        <f t="shared" si="39"/>
        <v>0</v>
      </c>
    </row>
    <row r="193" spans="1:37">
      <c r="A193" s="11" t="s">
        <v>219</v>
      </c>
      <c r="B193" s="11"/>
      <c r="C193" s="11" t="s">
        <v>77</v>
      </c>
      <c r="D193" s="9"/>
      <c r="E193" s="6">
        <v>1678475</v>
      </c>
      <c r="G193" s="6">
        <v>0</v>
      </c>
      <c r="I193" s="6">
        <v>4865735</v>
      </c>
      <c r="K193" s="6">
        <v>17778</v>
      </c>
      <c r="M193" s="6">
        <v>940036</v>
      </c>
      <c r="O193" s="6">
        <v>0</v>
      </c>
      <c r="Q193" s="6">
        <v>0</v>
      </c>
      <c r="S193" s="6">
        <v>9385</v>
      </c>
      <c r="U193" s="6">
        <v>77166</v>
      </c>
      <c r="W193" s="2">
        <f t="shared" si="30"/>
        <v>7588575</v>
      </c>
      <c r="Y193" s="6">
        <v>39</v>
      </c>
      <c r="AA193" s="6">
        <v>0</v>
      </c>
      <c r="AC193" s="6">
        <v>0</v>
      </c>
      <c r="AE193" s="6">
        <v>1151</v>
      </c>
      <c r="AG193" s="6">
        <v>0</v>
      </c>
      <c r="AI193" s="6">
        <f t="shared" si="29"/>
        <v>1190</v>
      </c>
      <c r="AK193" s="6">
        <f t="shared" si="39"/>
        <v>7589765</v>
      </c>
    </row>
    <row r="194" spans="1:37">
      <c r="A194" s="11" t="s">
        <v>743</v>
      </c>
      <c r="B194" s="11"/>
      <c r="C194" s="11" t="s">
        <v>13</v>
      </c>
      <c r="D194" s="9"/>
      <c r="E194" s="6">
        <v>2617977</v>
      </c>
      <c r="G194" s="6">
        <v>0</v>
      </c>
      <c r="I194" s="6">
        <v>7765167</v>
      </c>
      <c r="K194" s="6">
        <v>4517</v>
      </c>
      <c r="M194" s="6">
        <f>389065+3205+101803</f>
        <v>494073</v>
      </c>
      <c r="O194" s="6">
        <v>27010</v>
      </c>
      <c r="Q194" s="6">
        <v>0</v>
      </c>
      <c r="S194" s="6">
        <v>14569</v>
      </c>
      <c r="U194" s="6">
        <v>16986</v>
      </c>
      <c r="W194" s="2">
        <f t="shared" si="30"/>
        <v>10940299</v>
      </c>
      <c r="Y194" s="6">
        <v>0</v>
      </c>
      <c r="AA194" s="6">
        <v>0</v>
      </c>
      <c r="AC194" s="6">
        <v>0</v>
      </c>
      <c r="AE194" s="6">
        <v>0</v>
      </c>
      <c r="AG194" s="6">
        <v>0</v>
      </c>
      <c r="AI194" s="6">
        <f t="shared" si="29"/>
        <v>0</v>
      </c>
      <c r="AK194" s="6">
        <f t="shared" si="39"/>
        <v>10940299</v>
      </c>
    </row>
    <row r="195" spans="1:37">
      <c r="A195" s="11" t="s">
        <v>239</v>
      </c>
      <c r="B195" s="11"/>
      <c r="C195" s="11" t="s">
        <v>113</v>
      </c>
      <c r="D195" s="9"/>
      <c r="E195" s="6">
        <v>1375214</v>
      </c>
      <c r="G195" s="6">
        <v>0</v>
      </c>
      <c r="I195" s="6">
        <v>7171208</v>
      </c>
      <c r="K195" s="6">
        <v>13504</v>
      </c>
      <c r="M195" s="6">
        <v>490172</v>
      </c>
      <c r="O195" s="6">
        <v>0</v>
      </c>
      <c r="Q195" s="6">
        <v>0</v>
      </c>
      <c r="S195" s="6">
        <v>0</v>
      </c>
      <c r="U195" s="6">
        <v>100972</v>
      </c>
      <c r="W195" s="2">
        <f t="shared" si="30"/>
        <v>9151070</v>
      </c>
      <c r="Y195" s="6">
        <v>0</v>
      </c>
      <c r="AA195" s="6">
        <v>0</v>
      </c>
      <c r="AC195" s="6">
        <v>0</v>
      </c>
      <c r="AE195" s="6">
        <v>0</v>
      </c>
      <c r="AG195" s="6">
        <v>0</v>
      </c>
      <c r="AI195" s="6">
        <f t="shared" si="29"/>
        <v>0</v>
      </c>
      <c r="AK195" s="6">
        <f t="shared" si="39"/>
        <v>9151070</v>
      </c>
    </row>
    <row r="196" spans="1:37">
      <c r="A196" s="11" t="s">
        <v>720</v>
      </c>
      <c r="B196" s="11"/>
      <c r="C196" s="11" t="s">
        <v>56</v>
      </c>
      <c r="E196" s="6">
        <v>7604579</v>
      </c>
      <c r="G196" s="6">
        <v>0</v>
      </c>
      <c r="I196" s="6">
        <v>8316475</v>
      </c>
      <c r="K196" s="6">
        <v>3290</v>
      </c>
      <c r="M196" s="6">
        <f>1343268+758456+74154</f>
        <v>2175878</v>
      </c>
      <c r="O196" s="6">
        <v>0</v>
      </c>
      <c r="Q196" s="6">
        <v>501598</v>
      </c>
      <c r="S196" s="6">
        <v>0</v>
      </c>
      <c r="U196" s="6">
        <v>141164</v>
      </c>
      <c r="W196" s="2">
        <f t="shared" si="30"/>
        <v>18742984</v>
      </c>
      <c r="Y196" s="6">
        <v>0</v>
      </c>
      <c r="AA196" s="6">
        <v>0</v>
      </c>
      <c r="AC196" s="6">
        <v>0</v>
      </c>
      <c r="AE196" s="6">
        <v>0</v>
      </c>
      <c r="AG196" s="6">
        <v>0</v>
      </c>
      <c r="AI196" s="6">
        <f t="shared" si="29"/>
        <v>0</v>
      </c>
      <c r="AK196" s="6">
        <f t="shared" si="39"/>
        <v>18742984</v>
      </c>
    </row>
    <row r="197" spans="1:37">
      <c r="A197" s="11" t="s">
        <v>337</v>
      </c>
      <c r="B197" s="11"/>
      <c r="C197" s="11" t="s">
        <v>33</v>
      </c>
      <c r="E197" s="6">
        <v>26128271</v>
      </c>
      <c r="G197" s="6">
        <v>0</v>
      </c>
      <c r="I197" s="6">
        <f>26679327+155505</f>
        <v>26834832</v>
      </c>
      <c r="K197" s="6">
        <v>436065</v>
      </c>
      <c r="M197" s="6">
        <f>2754251+375215+24554+30903</f>
        <v>3184923</v>
      </c>
      <c r="O197" s="6">
        <v>9871</v>
      </c>
      <c r="Q197" s="6">
        <v>143192</v>
      </c>
      <c r="S197" s="6">
        <v>6001</v>
      </c>
      <c r="U197" s="6">
        <v>392316</v>
      </c>
      <c r="W197" s="2">
        <f t="shared" si="30"/>
        <v>57135471</v>
      </c>
      <c r="Y197" s="6">
        <v>0</v>
      </c>
      <c r="AA197" s="6">
        <v>0</v>
      </c>
      <c r="AC197" s="6">
        <v>0</v>
      </c>
      <c r="AE197" s="6">
        <v>0</v>
      </c>
      <c r="AG197" s="6">
        <v>0</v>
      </c>
      <c r="AI197" s="6">
        <f t="shared" si="29"/>
        <v>0</v>
      </c>
      <c r="AK197" s="6">
        <f t="shared" si="39"/>
        <v>57135471</v>
      </c>
    </row>
    <row r="198" spans="1:37">
      <c r="A198" s="11" t="s">
        <v>322</v>
      </c>
      <c r="B198" s="11"/>
      <c r="C198" s="11" t="s">
        <v>32</v>
      </c>
      <c r="E198" s="6">
        <v>9986810</v>
      </c>
      <c r="G198" s="6">
        <v>0</v>
      </c>
      <c r="I198" s="6">
        <v>6988785</v>
      </c>
      <c r="K198" s="6">
        <v>2579</v>
      </c>
      <c r="M198" s="6">
        <f>495815+55117</f>
        <v>550932</v>
      </c>
      <c r="O198" s="6">
        <v>8661</v>
      </c>
      <c r="Q198" s="6">
        <v>310563</v>
      </c>
      <c r="S198" s="6">
        <v>0</v>
      </c>
      <c r="U198" s="6">
        <v>133398</v>
      </c>
      <c r="W198" s="2">
        <f t="shared" si="30"/>
        <v>17981728</v>
      </c>
      <c r="Y198" s="6">
        <v>0</v>
      </c>
      <c r="AA198" s="6">
        <v>0</v>
      </c>
      <c r="AC198" s="6">
        <v>0</v>
      </c>
      <c r="AE198" s="6">
        <v>2411</v>
      </c>
      <c r="AG198" s="6">
        <v>0</v>
      </c>
      <c r="AI198" s="6">
        <f t="shared" si="29"/>
        <v>2411</v>
      </c>
      <c r="AK198" s="6">
        <f t="shared" si="39"/>
        <v>17984139</v>
      </c>
    </row>
    <row r="199" spans="1:37">
      <c r="A199" s="11" t="s">
        <v>385</v>
      </c>
      <c r="B199" s="11"/>
      <c r="C199" s="11" t="s">
        <v>44</v>
      </c>
      <c r="E199" s="6">
        <v>7275728</v>
      </c>
      <c r="G199" s="6">
        <v>0</v>
      </c>
      <c r="I199" s="6">
        <f>8364168+49252</f>
        <v>8413420</v>
      </c>
      <c r="K199" s="6">
        <v>26113</v>
      </c>
      <c r="M199" s="6">
        <f>1113676+8785+87752+14872+3150</f>
        <v>1228235</v>
      </c>
      <c r="O199" s="6">
        <v>131872</v>
      </c>
      <c r="Q199" s="6">
        <v>0</v>
      </c>
      <c r="S199" s="6">
        <v>8302</v>
      </c>
      <c r="U199" s="6">
        <v>151396</v>
      </c>
      <c r="W199" s="2">
        <f t="shared" si="30"/>
        <v>17235066</v>
      </c>
      <c r="Y199" s="6">
        <v>0</v>
      </c>
      <c r="AA199" s="6">
        <v>0</v>
      </c>
      <c r="AC199" s="6">
        <v>0</v>
      </c>
      <c r="AE199" s="6">
        <v>0</v>
      </c>
      <c r="AG199" s="6">
        <v>0</v>
      </c>
      <c r="AI199" s="6">
        <f t="shared" si="29"/>
        <v>0</v>
      </c>
      <c r="AK199" s="6">
        <f t="shared" si="39"/>
        <v>17235066</v>
      </c>
    </row>
    <row r="200" spans="1:37">
      <c r="A200" s="11" t="s">
        <v>323</v>
      </c>
      <c r="B200" s="11"/>
      <c r="C200" s="11" t="s">
        <v>32</v>
      </c>
      <c r="E200" s="6">
        <v>37642080</v>
      </c>
      <c r="G200" s="6">
        <v>0</v>
      </c>
      <c r="I200" s="6">
        <v>23225455</v>
      </c>
      <c r="K200" s="6">
        <v>33396</v>
      </c>
      <c r="M200" s="6">
        <v>1262659</v>
      </c>
      <c r="O200" s="6">
        <v>0</v>
      </c>
      <c r="Q200" s="6">
        <v>6336676</v>
      </c>
      <c r="S200" s="6">
        <v>0</v>
      </c>
      <c r="U200" s="6">
        <v>1103878</v>
      </c>
      <c r="W200" s="2">
        <f t="shared" si="30"/>
        <v>69604144</v>
      </c>
      <c r="Y200" s="6">
        <v>0</v>
      </c>
      <c r="AA200" s="6">
        <v>0</v>
      </c>
      <c r="AC200" s="6">
        <v>0</v>
      </c>
      <c r="AE200" s="6">
        <v>0</v>
      </c>
      <c r="AG200" s="6">
        <v>0</v>
      </c>
      <c r="AI200" s="6">
        <f t="shared" si="29"/>
        <v>0</v>
      </c>
      <c r="AK200" s="6">
        <f t="shared" si="39"/>
        <v>69604144</v>
      </c>
    </row>
    <row r="201" spans="1:37" hidden="1">
      <c r="A201" s="11" t="s">
        <v>616</v>
      </c>
      <c r="B201" s="11"/>
      <c r="C201" s="11" t="s">
        <v>70</v>
      </c>
      <c r="W201" s="2">
        <f t="shared" si="30"/>
        <v>0</v>
      </c>
      <c r="AI201" s="6">
        <f t="shared" si="29"/>
        <v>0</v>
      </c>
      <c r="AK201" s="6">
        <f t="shared" si="39"/>
        <v>0</v>
      </c>
    </row>
    <row r="202" spans="1:37">
      <c r="A202" s="11" t="s">
        <v>490</v>
      </c>
      <c r="B202" s="11"/>
      <c r="C202" s="11" t="s">
        <v>61</v>
      </c>
      <c r="E202" s="6">
        <v>1617915</v>
      </c>
      <c r="G202" s="6">
        <v>1567744</v>
      </c>
      <c r="I202" s="6">
        <v>3614182</v>
      </c>
      <c r="K202" s="6">
        <v>11686</v>
      </c>
      <c r="M202" s="6">
        <f>114233+9257</f>
        <v>123490</v>
      </c>
      <c r="O202" s="6">
        <v>121586</v>
      </c>
      <c r="Q202" s="6">
        <v>0</v>
      </c>
      <c r="S202" s="6">
        <v>10003</v>
      </c>
      <c r="U202" s="6">
        <v>9429</v>
      </c>
      <c r="W202" s="2">
        <f t="shared" si="30"/>
        <v>7076035</v>
      </c>
      <c r="Y202" s="6">
        <v>0</v>
      </c>
      <c r="AA202" s="6">
        <v>0</v>
      </c>
      <c r="AC202" s="6">
        <v>0</v>
      </c>
      <c r="AE202" s="6">
        <v>0</v>
      </c>
      <c r="AG202" s="6">
        <v>0</v>
      </c>
      <c r="AI202" s="6">
        <f t="shared" si="29"/>
        <v>0</v>
      </c>
      <c r="AK202" s="6">
        <f t="shared" si="39"/>
        <v>7076035</v>
      </c>
    </row>
    <row r="203" spans="1:37" hidden="1">
      <c r="A203" s="11" t="s">
        <v>764</v>
      </c>
      <c r="B203" s="11"/>
      <c r="C203" s="11" t="s">
        <v>422</v>
      </c>
      <c r="W203" s="2">
        <f t="shared" si="30"/>
        <v>0</v>
      </c>
      <c r="AK203" s="6">
        <f t="shared" si="39"/>
        <v>0</v>
      </c>
    </row>
    <row r="204" spans="1:37" hidden="1">
      <c r="A204" s="11" t="s">
        <v>747</v>
      </c>
      <c r="B204" s="11"/>
      <c r="C204" s="11" t="s">
        <v>60</v>
      </c>
      <c r="W204" s="2">
        <f t="shared" si="30"/>
        <v>0</v>
      </c>
      <c r="AI204" s="6">
        <f t="shared" ref="AI204:AI225" si="40">SUM(Y204:AH204)</f>
        <v>0</v>
      </c>
      <c r="AK204" s="6">
        <f t="shared" si="39"/>
        <v>0</v>
      </c>
    </row>
    <row r="205" spans="1:37">
      <c r="A205" s="11" t="s">
        <v>544</v>
      </c>
      <c r="B205" s="11"/>
      <c r="C205" s="11" t="s">
        <v>69</v>
      </c>
      <c r="E205" s="6">
        <v>11090580</v>
      </c>
      <c r="G205" s="6">
        <v>0</v>
      </c>
      <c r="I205" s="6">
        <v>13281603</v>
      </c>
      <c r="K205" s="6">
        <v>6885</v>
      </c>
      <c r="M205" s="6">
        <f>1108557+86326</f>
        <v>1194883</v>
      </c>
      <c r="O205" s="6">
        <v>38706</v>
      </c>
      <c r="Q205" s="6">
        <v>185014</v>
      </c>
      <c r="S205" s="6">
        <v>131222</v>
      </c>
      <c r="U205" s="6">
        <v>58642</v>
      </c>
      <c r="W205" s="2">
        <f t="shared" si="30"/>
        <v>25987535</v>
      </c>
      <c r="Y205" s="6">
        <v>0</v>
      </c>
      <c r="AA205" s="6">
        <v>0</v>
      </c>
      <c r="AC205" s="6">
        <v>0</v>
      </c>
      <c r="AE205" s="6">
        <v>0</v>
      </c>
      <c r="AG205" s="6">
        <v>0</v>
      </c>
      <c r="AI205" s="6">
        <f t="shared" si="40"/>
        <v>0</v>
      </c>
      <c r="AK205" s="6">
        <f t="shared" si="39"/>
        <v>25987535</v>
      </c>
    </row>
    <row r="206" spans="1:37">
      <c r="A206" s="11" t="s">
        <v>444</v>
      </c>
      <c r="B206" s="11"/>
      <c r="C206" s="11" t="s">
        <v>51</v>
      </c>
      <c r="E206" s="6">
        <v>8935987</v>
      </c>
      <c r="G206" s="6">
        <v>0</v>
      </c>
      <c r="I206" s="6">
        <v>13212117</v>
      </c>
      <c r="K206" s="6">
        <v>187508</v>
      </c>
      <c r="M206" s="6">
        <v>1306585</v>
      </c>
      <c r="O206" s="6">
        <v>28548</v>
      </c>
      <c r="Q206" s="6">
        <v>1846</v>
      </c>
      <c r="S206" s="6">
        <v>3733</v>
      </c>
      <c r="U206" s="6">
        <v>528</v>
      </c>
      <c r="W206" s="2">
        <f t="shared" si="30"/>
        <v>23676852</v>
      </c>
      <c r="Y206" s="6">
        <v>0</v>
      </c>
      <c r="AA206" s="6">
        <v>0</v>
      </c>
      <c r="AC206" s="6">
        <v>219633</v>
      </c>
      <c r="AE206" s="6">
        <v>59820</v>
      </c>
      <c r="AG206" s="6">
        <v>0</v>
      </c>
      <c r="AI206" s="6">
        <f t="shared" si="40"/>
        <v>279453</v>
      </c>
      <c r="AK206" s="6">
        <f t="shared" si="39"/>
        <v>23956305</v>
      </c>
    </row>
    <row r="207" spans="1:37" hidden="1">
      <c r="A207" s="11" t="s">
        <v>615</v>
      </c>
      <c r="B207" s="11"/>
      <c r="C207" s="11" t="s">
        <v>21</v>
      </c>
      <c r="W207" s="2">
        <f t="shared" si="30"/>
        <v>0</v>
      </c>
      <c r="AI207" s="6">
        <f t="shared" si="40"/>
        <v>0</v>
      </c>
      <c r="AK207" s="6">
        <f t="shared" si="39"/>
        <v>0</v>
      </c>
    </row>
    <row r="208" spans="1:37" hidden="1">
      <c r="A208" s="11" t="s">
        <v>664</v>
      </c>
      <c r="B208" s="11"/>
      <c r="C208" s="11" t="s">
        <v>40</v>
      </c>
      <c r="W208" s="2">
        <f t="shared" si="30"/>
        <v>0</v>
      </c>
      <c r="AI208" s="6">
        <f t="shared" si="40"/>
        <v>0</v>
      </c>
      <c r="AK208" s="6">
        <f t="shared" si="39"/>
        <v>0</v>
      </c>
    </row>
    <row r="209" spans="1:37">
      <c r="A209" s="11" t="s">
        <v>644</v>
      </c>
      <c r="B209" s="11"/>
      <c r="C209" s="11" t="s">
        <v>79</v>
      </c>
      <c r="E209" s="6">
        <v>11092920</v>
      </c>
      <c r="G209" s="6">
        <v>6540437</v>
      </c>
      <c r="I209" s="6">
        <v>16131801</v>
      </c>
      <c r="K209" s="6">
        <v>90727</v>
      </c>
      <c r="M209" s="6">
        <f>740132+43041+18041</f>
        <v>801214</v>
      </c>
      <c r="O209" s="6">
        <v>147756</v>
      </c>
      <c r="Q209" s="6">
        <v>763641</v>
      </c>
      <c r="S209" s="6">
        <v>13069</v>
      </c>
      <c r="U209" s="6">
        <v>194668</v>
      </c>
      <c r="W209" s="2">
        <f t="shared" si="30"/>
        <v>35776233</v>
      </c>
      <c r="Y209" s="6">
        <v>0</v>
      </c>
      <c r="AA209" s="6">
        <v>0</v>
      </c>
      <c r="AC209" s="6">
        <v>0</v>
      </c>
      <c r="AE209" s="6">
        <v>0</v>
      </c>
      <c r="AG209" s="6">
        <v>0</v>
      </c>
      <c r="AI209" s="6">
        <f t="shared" si="40"/>
        <v>0</v>
      </c>
      <c r="AK209" s="6">
        <f t="shared" si="39"/>
        <v>35776233</v>
      </c>
    </row>
    <row r="210" spans="1:37">
      <c r="A210" s="11" t="s">
        <v>548</v>
      </c>
      <c r="B210" s="11"/>
      <c r="C210" s="11" t="s">
        <v>70</v>
      </c>
      <c r="E210" s="6">
        <v>1221888</v>
      </c>
      <c r="G210" s="6">
        <v>0</v>
      </c>
      <c r="I210" s="6">
        <v>5392801</v>
      </c>
      <c r="K210" s="6">
        <v>5833</v>
      </c>
      <c r="M210" s="6">
        <f>129341+11040</f>
        <v>140381</v>
      </c>
      <c r="O210" s="6">
        <v>303</v>
      </c>
      <c r="Q210" s="6">
        <v>70030</v>
      </c>
      <c r="S210" s="6">
        <v>5057</v>
      </c>
      <c r="U210" s="6">
        <v>44109</v>
      </c>
      <c r="W210" s="2">
        <f t="shared" si="30"/>
        <v>6880402</v>
      </c>
      <c r="Y210" s="6">
        <v>0</v>
      </c>
      <c r="AA210" s="6">
        <v>0</v>
      </c>
      <c r="AC210" s="6">
        <v>0</v>
      </c>
      <c r="AE210" s="6">
        <v>0</v>
      </c>
      <c r="AG210" s="6">
        <v>0</v>
      </c>
      <c r="AI210" s="6">
        <f t="shared" si="40"/>
        <v>0</v>
      </c>
      <c r="AK210" s="6">
        <f t="shared" si="39"/>
        <v>6880402</v>
      </c>
    </row>
    <row r="211" spans="1:37">
      <c r="A211" s="11" t="s">
        <v>641</v>
      </c>
      <c r="B211" s="11"/>
      <c r="C211" s="11" t="s">
        <v>27</v>
      </c>
      <c r="E211" s="6">
        <v>51994742</v>
      </c>
      <c r="G211" s="6">
        <v>0</v>
      </c>
      <c r="I211" s="6">
        <v>19863172</v>
      </c>
      <c r="K211" s="6">
        <v>30291</v>
      </c>
      <c r="M211" s="6">
        <f>328310+563092</f>
        <v>891402</v>
      </c>
      <c r="O211" s="6">
        <v>0</v>
      </c>
      <c r="Q211" s="6">
        <v>4097691</v>
      </c>
      <c r="S211" s="6">
        <v>0</v>
      </c>
      <c r="U211" s="6">
        <v>1970482</v>
      </c>
      <c r="W211" s="2">
        <f t="shared" ref="W211:W225" si="41">SUM(E211:V211)</f>
        <v>78847780</v>
      </c>
      <c r="Y211" s="6">
        <v>0</v>
      </c>
      <c r="AA211" s="6">
        <v>0</v>
      </c>
      <c r="AC211" s="6">
        <v>0</v>
      </c>
      <c r="AE211" s="6">
        <v>195</v>
      </c>
      <c r="AG211" s="6">
        <v>0</v>
      </c>
      <c r="AI211" s="6">
        <f t="shared" si="40"/>
        <v>195</v>
      </c>
      <c r="AK211" s="6">
        <f t="shared" ref="AK211:AK242" si="42">+AI211+W211</f>
        <v>78847975</v>
      </c>
    </row>
    <row r="212" spans="1:37">
      <c r="A212" s="11" t="s">
        <v>259</v>
      </c>
      <c r="B212" s="11"/>
      <c r="C212" s="11" t="s">
        <v>111</v>
      </c>
      <c r="E212" s="6">
        <v>4375301</v>
      </c>
      <c r="G212" s="6">
        <v>0</v>
      </c>
      <c r="I212" s="6">
        <v>10755725</v>
      </c>
      <c r="K212" s="6">
        <v>4185</v>
      </c>
      <c r="M212" s="6">
        <f>514994</f>
        <v>514994</v>
      </c>
      <c r="O212" s="6">
        <v>7300</v>
      </c>
      <c r="Q212" s="6">
        <v>0</v>
      </c>
      <c r="S212" s="6">
        <v>7645</v>
      </c>
      <c r="U212" s="6">
        <v>134288</v>
      </c>
      <c r="W212" s="2">
        <f t="shared" si="41"/>
        <v>15799438</v>
      </c>
      <c r="Y212" s="6">
        <v>0</v>
      </c>
      <c r="AA212" s="6">
        <v>0</v>
      </c>
      <c r="AC212" s="6">
        <v>0</v>
      </c>
      <c r="AE212" s="6">
        <v>0</v>
      </c>
      <c r="AG212" s="6">
        <v>0</v>
      </c>
      <c r="AI212" s="6">
        <f t="shared" si="40"/>
        <v>0</v>
      </c>
      <c r="AK212" s="6">
        <f t="shared" si="42"/>
        <v>15799438</v>
      </c>
    </row>
    <row r="213" spans="1:37" ht="12" customHeight="1">
      <c r="A213" s="11" t="s">
        <v>642</v>
      </c>
      <c r="B213" s="11"/>
      <c r="C213" s="11" t="s">
        <v>29</v>
      </c>
      <c r="E213" s="6">
        <v>8866502</v>
      </c>
      <c r="G213" s="6">
        <v>0</v>
      </c>
      <c r="I213" s="6">
        <v>11468780</v>
      </c>
      <c r="K213" s="6">
        <v>311482</v>
      </c>
      <c r="M213" s="6">
        <f>1056861+510</f>
        <v>1057371</v>
      </c>
      <c r="O213" s="6">
        <v>53511</v>
      </c>
      <c r="Q213" s="6">
        <v>0</v>
      </c>
      <c r="S213" s="6">
        <v>0</v>
      </c>
      <c r="U213" s="6">
        <v>201960</v>
      </c>
      <c r="W213" s="2">
        <f t="shared" si="41"/>
        <v>21959606</v>
      </c>
      <c r="Y213" s="6">
        <v>0</v>
      </c>
      <c r="AA213" s="6">
        <v>0</v>
      </c>
      <c r="AC213" s="6">
        <v>0</v>
      </c>
      <c r="AE213" s="6">
        <v>3500</v>
      </c>
      <c r="AG213" s="6">
        <v>0</v>
      </c>
      <c r="AI213" s="6">
        <f t="shared" si="40"/>
        <v>3500</v>
      </c>
      <c r="AK213" s="6">
        <f t="shared" si="42"/>
        <v>21963106</v>
      </c>
    </row>
    <row r="214" spans="1:37">
      <c r="A214" s="11" t="s">
        <v>313</v>
      </c>
      <c r="B214" s="11"/>
      <c r="C214" s="11" t="s">
        <v>29</v>
      </c>
      <c r="E214" s="6">
        <v>4591742</v>
      </c>
      <c r="G214" s="6">
        <v>0</v>
      </c>
      <c r="I214" s="6">
        <v>12757270</v>
      </c>
      <c r="K214" s="6">
        <v>69435</v>
      </c>
      <c r="M214" s="6">
        <f>1250501+66001+2+32359</f>
        <v>1348863</v>
      </c>
      <c r="O214" s="6">
        <v>3630</v>
      </c>
      <c r="Q214" s="6">
        <v>0</v>
      </c>
      <c r="S214" s="6">
        <v>4710</v>
      </c>
      <c r="U214" s="6">
        <v>304433</v>
      </c>
      <c r="W214" s="2">
        <f t="shared" si="41"/>
        <v>19080083</v>
      </c>
      <c r="Y214" s="6">
        <v>0</v>
      </c>
      <c r="AA214" s="6">
        <v>0</v>
      </c>
      <c r="AC214" s="6">
        <v>0</v>
      </c>
      <c r="AE214" s="6">
        <v>55211</v>
      </c>
      <c r="AG214" s="6">
        <v>0</v>
      </c>
      <c r="AI214" s="6">
        <f t="shared" si="40"/>
        <v>55211</v>
      </c>
      <c r="AK214" s="6">
        <f t="shared" si="42"/>
        <v>19135294</v>
      </c>
    </row>
    <row r="215" spans="1:37">
      <c r="A215" s="11" t="s">
        <v>535</v>
      </c>
      <c r="B215" s="11"/>
      <c r="C215" s="11" t="s">
        <v>65</v>
      </c>
      <c r="E215" s="6">
        <v>4785090</v>
      </c>
      <c r="G215" s="6">
        <v>0</v>
      </c>
      <c r="I215" s="6">
        <v>4273688</v>
      </c>
      <c r="K215" s="6">
        <v>5851</v>
      </c>
      <c r="M215" s="6">
        <f>629402+18545+54478+103</f>
        <v>702528</v>
      </c>
      <c r="O215" s="6">
        <v>33330</v>
      </c>
      <c r="Q215" s="6">
        <v>0</v>
      </c>
      <c r="S215" s="6">
        <v>0</v>
      </c>
      <c r="U215" s="6">
        <v>45388</v>
      </c>
      <c r="W215" s="2">
        <f t="shared" si="41"/>
        <v>9845875</v>
      </c>
      <c r="Y215" s="6">
        <v>0</v>
      </c>
      <c r="AA215" s="6">
        <v>0</v>
      </c>
      <c r="AC215" s="6">
        <v>0</v>
      </c>
      <c r="AE215" s="6">
        <v>0</v>
      </c>
      <c r="AG215" s="6">
        <v>0</v>
      </c>
      <c r="AI215" s="6">
        <f t="shared" si="40"/>
        <v>0</v>
      </c>
      <c r="AK215" s="6">
        <f t="shared" si="42"/>
        <v>9845875</v>
      </c>
    </row>
    <row r="216" spans="1:37">
      <c r="A216" s="11" t="s">
        <v>678</v>
      </c>
      <c r="B216" s="11"/>
      <c r="C216" s="11" t="s">
        <v>20</v>
      </c>
      <c r="E216" s="6">
        <v>11721671</v>
      </c>
      <c r="G216" s="6">
        <v>0</v>
      </c>
      <c r="I216" s="6">
        <v>19538814</v>
      </c>
      <c r="K216" s="6">
        <v>320180</v>
      </c>
      <c r="M216" s="6">
        <f>568875+47702+26022</f>
        <v>642599</v>
      </c>
      <c r="O216" s="6">
        <v>0</v>
      </c>
      <c r="Q216" s="6">
        <v>428606</v>
      </c>
      <c r="S216" s="6">
        <v>0</v>
      </c>
      <c r="U216" s="6">
        <v>39939</v>
      </c>
      <c r="W216" s="2">
        <f t="shared" si="41"/>
        <v>32691809</v>
      </c>
      <c r="Y216" s="6">
        <v>0</v>
      </c>
      <c r="AA216" s="6">
        <v>0</v>
      </c>
      <c r="AC216" s="6">
        <v>0</v>
      </c>
      <c r="AE216" s="6">
        <v>0</v>
      </c>
      <c r="AG216" s="6">
        <v>0</v>
      </c>
      <c r="AI216" s="6">
        <f t="shared" si="40"/>
        <v>0</v>
      </c>
      <c r="AK216" s="6">
        <f t="shared" si="42"/>
        <v>32691809</v>
      </c>
    </row>
    <row r="217" spans="1:37">
      <c r="A217" s="11" t="s">
        <v>643</v>
      </c>
      <c r="B217" s="11"/>
      <c r="C217" s="11" t="s">
        <v>12</v>
      </c>
      <c r="D217" s="9"/>
      <c r="E217" s="6">
        <v>6498314</v>
      </c>
      <c r="G217" s="6">
        <v>0</v>
      </c>
      <c r="I217" s="6">
        <v>12722374</v>
      </c>
      <c r="K217" s="6">
        <v>23889</v>
      </c>
      <c r="M217" s="6">
        <f>1695701+5076+100101</f>
        <v>1800878</v>
      </c>
      <c r="O217" s="6">
        <v>500</v>
      </c>
      <c r="Q217" s="6">
        <v>114696</v>
      </c>
      <c r="S217" s="6">
        <v>53559</v>
      </c>
      <c r="U217" s="6">
        <v>96804</v>
      </c>
      <c r="W217" s="2">
        <f t="shared" si="41"/>
        <v>21311014</v>
      </c>
      <c r="Y217" s="6">
        <v>0</v>
      </c>
      <c r="AA217" s="6">
        <v>0</v>
      </c>
      <c r="AC217" s="6">
        <v>0</v>
      </c>
      <c r="AE217" s="6">
        <v>0</v>
      </c>
      <c r="AG217" s="6">
        <v>0</v>
      </c>
      <c r="AI217" s="6">
        <f t="shared" si="40"/>
        <v>0</v>
      </c>
      <c r="AK217" s="6">
        <f t="shared" si="42"/>
        <v>21311014</v>
      </c>
    </row>
    <row r="218" spans="1:37" hidden="1">
      <c r="A218" s="11" t="s">
        <v>832</v>
      </c>
      <c r="B218" s="11"/>
      <c r="C218" s="11" t="s">
        <v>53</v>
      </c>
      <c r="W218" s="2">
        <f t="shared" si="41"/>
        <v>0</v>
      </c>
      <c r="AI218" s="6">
        <f t="shared" si="40"/>
        <v>0</v>
      </c>
      <c r="AK218" s="6">
        <f t="shared" si="42"/>
        <v>0</v>
      </c>
    </row>
    <row r="219" spans="1:37" hidden="1">
      <c r="A219" s="11" t="s">
        <v>665</v>
      </c>
      <c r="B219" s="11"/>
      <c r="C219" s="11" t="s">
        <v>77</v>
      </c>
      <c r="D219" s="9"/>
      <c r="W219" s="2">
        <f t="shared" si="41"/>
        <v>0</v>
      </c>
      <c r="AI219" s="6">
        <f t="shared" si="40"/>
        <v>0</v>
      </c>
      <c r="AK219" s="6">
        <f t="shared" si="42"/>
        <v>0</v>
      </c>
    </row>
    <row r="220" spans="1:37">
      <c r="A220" s="11" t="s">
        <v>748</v>
      </c>
      <c r="B220" s="11"/>
      <c r="C220" s="11" t="s">
        <v>79</v>
      </c>
      <c r="E220" s="6">
        <v>1863929</v>
      </c>
      <c r="G220" s="6">
        <v>0</v>
      </c>
      <c r="I220" s="6">
        <v>5646283</v>
      </c>
      <c r="K220" s="6">
        <v>1442</v>
      </c>
      <c r="M220" s="6">
        <f>473768+40262</f>
        <v>514030</v>
      </c>
      <c r="O220" s="6">
        <v>3124</v>
      </c>
      <c r="Q220" s="6">
        <v>0</v>
      </c>
      <c r="S220" s="6">
        <v>2369</v>
      </c>
      <c r="U220" s="6">
        <v>10169</v>
      </c>
      <c r="W220" s="2">
        <f t="shared" si="41"/>
        <v>8041346</v>
      </c>
      <c r="Y220" s="6">
        <v>0</v>
      </c>
      <c r="AA220" s="6">
        <v>0</v>
      </c>
      <c r="AC220" s="6">
        <v>0</v>
      </c>
      <c r="AE220" s="6">
        <v>0</v>
      </c>
      <c r="AG220" s="6">
        <v>0</v>
      </c>
      <c r="AI220" s="6">
        <f t="shared" si="40"/>
        <v>0</v>
      </c>
      <c r="AK220" s="6">
        <f t="shared" si="42"/>
        <v>8041346</v>
      </c>
    </row>
    <row r="221" spans="1:37">
      <c r="A221" s="11" t="s">
        <v>521</v>
      </c>
      <c r="B221" s="11"/>
      <c r="C221" s="11" t="s">
        <v>64</v>
      </c>
      <c r="E221" s="6">
        <v>3568508</v>
      </c>
      <c r="G221" s="6">
        <v>0</v>
      </c>
      <c r="I221" s="6">
        <f>9041745+1400</f>
        <v>9043145</v>
      </c>
      <c r="K221" s="6">
        <v>37133</v>
      </c>
      <c r="M221" s="6">
        <f>416514+12018+483</f>
        <v>429015</v>
      </c>
      <c r="O221" s="6">
        <v>4162</v>
      </c>
      <c r="Q221" s="6">
        <v>0</v>
      </c>
      <c r="S221" s="6">
        <v>0</v>
      </c>
      <c r="U221" s="6">
        <v>161316</v>
      </c>
      <c r="W221" s="2">
        <f t="shared" si="41"/>
        <v>13243279</v>
      </c>
      <c r="Y221" s="6">
        <v>0</v>
      </c>
      <c r="AA221" s="6">
        <v>0</v>
      </c>
      <c r="AC221" s="6">
        <v>0</v>
      </c>
      <c r="AE221" s="6">
        <v>0</v>
      </c>
      <c r="AG221" s="6">
        <v>0</v>
      </c>
      <c r="AI221" s="6">
        <f t="shared" si="40"/>
        <v>0</v>
      </c>
      <c r="AK221" s="6">
        <f t="shared" si="42"/>
        <v>13243279</v>
      </c>
    </row>
    <row r="222" spans="1:37" hidden="1">
      <c r="A222" s="11" t="s">
        <v>790</v>
      </c>
      <c r="B222" s="11"/>
      <c r="C222" s="11" t="s">
        <v>28</v>
      </c>
      <c r="W222" s="2">
        <f t="shared" si="41"/>
        <v>0</v>
      </c>
      <c r="AI222" s="6">
        <f t="shared" si="40"/>
        <v>0</v>
      </c>
      <c r="AK222" s="6">
        <f t="shared" si="42"/>
        <v>0</v>
      </c>
    </row>
    <row r="223" spans="1:37">
      <c r="A223" s="11" t="s">
        <v>240</v>
      </c>
      <c r="B223" s="11"/>
      <c r="C223" s="11" t="s">
        <v>113</v>
      </c>
      <c r="D223" s="9"/>
      <c r="E223" s="6">
        <v>5262331</v>
      </c>
      <c r="G223" s="6">
        <v>2866726</v>
      </c>
      <c r="I223" s="6">
        <v>12831562</v>
      </c>
      <c r="K223" s="6">
        <v>44554</v>
      </c>
      <c r="M223" s="6">
        <f>1715903+20060+29212</f>
        <v>1765175</v>
      </c>
      <c r="O223" s="6">
        <v>52168</v>
      </c>
      <c r="Q223" s="6">
        <v>83472</v>
      </c>
      <c r="S223" s="6">
        <v>1600</v>
      </c>
      <c r="U223" s="6">
        <v>262885</v>
      </c>
      <c r="W223" s="2">
        <f t="shared" si="41"/>
        <v>23170473</v>
      </c>
      <c r="Y223" s="6">
        <v>0</v>
      </c>
      <c r="AA223" s="6">
        <v>0</v>
      </c>
      <c r="AC223" s="6">
        <v>0</v>
      </c>
      <c r="AE223" s="6">
        <v>0</v>
      </c>
      <c r="AG223" s="6">
        <v>0</v>
      </c>
      <c r="AI223" s="6">
        <f t="shared" si="40"/>
        <v>0</v>
      </c>
      <c r="AK223" s="6">
        <f t="shared" si="42"/>
        <v>23170473</v>
      </c>
    </row>
    <row r="224" spans="1:37" hidden="1">
      <c r="A224" s="11" t="s">
        <v>791</v>
      </c>
      <c r="B224" s="11"/>
      <c r="C224" s="11" t="s">
        <v>228</v>
      </c>
      <c r="D224" s="9"/>
      <c r="W224" s="2">
        <f t="shared" si="41"/>
        <v>0</v>
      </c>
      <c r="AI224" s="6">
        <f t="shared" si="40"/>
        <v>0</v>
      </c>
      <c r="AK224" s="6">
        <f t="shared" si="42"/>
        <v>0</v>
      </c>
    </row>
    <row r="225" spans="1:37">
      <c r="A225" s="11" t="s">
        <v>208</v>
      </c>
      <c r="B225" s="11"/>
      <c r="C225" s="11" t="s">
        <v>12</v>
      </c>
      <c r="D225" s="9"/>
      <c r="E225" s="6">
        <v>3237140</v>
      </c>
      <c r="G225" s="6">
        <v>0</v>
      </c>
      <c r="I225" s="6">
        <v>6691639</v>
      </c>
      <c r="K225" s="6">
        <v>10762</v>
      </c>
      <c r="M225" s="6">
        <f>583760+25084</f>
        <v>608844</v>
      </c>
      <c r="O225" s="6">
        <v>71678</v>
      </c>
      <c r="Q225" s="6">
        <v>0</v>
      </c>
      <c r="S225" s="6">
        <v>0</v>
      </c>
      <c r="U225" s="6">
        <v>65467</v>
      </c>
      <c r="W225" s="2">
        <f t="shared" si="41"/>
        <v>10685530</v>
      </c>
      <c r="Y225" s="6">
        <v>0</v>
      </c>
      <c r="AA225" s="6">
        <v>0</v>
      </c>
      <c r="AC225" s="6">
        <v>0</v>
      </c>
      <c r="AE225" s="6">
        <v>0</v>
      </c>
      <c r="AG225" s="6">
        <v>0</v>
      </c>
      <c r="AI225" s="6">
        <f t="shared" si="40"/>
        <v>0</v>
      </c>
      <c r="AK225" s="6">
        <f t="shared" si="42"/>
        <v>10685530</v>
      </c>
    </row>
    <row r="226" spans="1:37">
      <c r="A226" s="11" t="s">
        <v>303</v>
      </c>
      <c r="B226" s="11"/>
      <c r="C226" s="11" t="s">
        <v>27</v>
      </c>
      <c r="E226" s="6">
        <v>11064667</v>
      </c>
      <c r="G226" s="6">
        <v>0</v>
      </c>
      <c r="I226" s="6">
        <v>3898661</v>
      </c>
      <c r="K226" s="6">
        <v>18543</v>
      </c>
      <c r="M226" s="6">
        <v>253801</v>
      </c>
      <c r="O226" s="6">
        <v>0</v>
      </c>
      <c r="Q226" s="6">
        <v>409091</v>
      </c>
      <c r="S226" s="6">
        <v>0</v>
      </c>
      <c r="U226" s="6">
        <v>166590</v>
      </c>
      <c r="W226" s="2">
        <f t="shared" ref="W226:W291" si="43">SUM(E226:V226)</f>
        <v>15811353</v>
      </c>
      <c r="Y226" s="6">
        <v>0</v>
      </c>
      <c r="AA226" s="6">
        <v>0</v>
      </c>
      <c r="AC226" s="6">
        <v>110476</v>
      </c>
      <c r="AE226" s="6">
        <v>0</v>
      </c>
      <c r="AG226" s="6">
        <v>0</v>
      </c>
      <c r="AI226" s="6">
        <f t="shared" ref="AI226:AI291" si="44">SUM(Y226:AH226)</f>
        <v>110476</v>
      </c>
      <c r="AK226" s="6">
        <f t="shared" si="42"/>
        <v>15921829</v>
      </c>
    </row>
    <row r="227" spans="1:37">
      <c r="A227" s="11" t="s">
        <v>666</v>
      </c>
      <c r="B227" s="11"/>
      <c r="C227" s="11" t="s">
        <v>42</v>
      </c>
      <c r="E227" s="6">
        <v>13297531</v>
      </c>
      <c r="G227" s="6">
        <v>0</v>
      </c>
      <c r="I227" s="6">
        <v>7368574</v>
      </c>
      <c r="K227" s="6">
        <v>8152</v>
      </c>
      <c r="M227" s="6">
        <v>151123</v>
      </c>
      <c r="O227" s="6">
        <v>175642</v>
      </c>
      <c r="Q227" s="6">
        <v>94681</v>
      </c>
      <c r="S227" s="6">
        <v>16682</v>
      </c>
      <c r="U227" s="6">
        <v>178438</v>
      </c>
      <c r="W227" s="2">
        <f t="shared" si="43"/>
        <v>21290823</v>
      </c>
      <c r="Y227" s="6">
        <v>0</v>
      </c>
      <c r="AA227" s="6">
        <v>0</v>
      </c>
      <c r="AC227" s="6">
        <v>0</v>
      </c>
      <c r="AE227" s="6">
        <v>1500</v>
      </c>
      <c r="AG227" s="6">
        <v>0</v>
      </c>
      <c r="AI227" s="6">
        <f t="shared" si="44"/>
        <v>1500</v>
      </c>
      <c r="AK227" s="6">
        <f t="shared" si="42"/>
        <v>21292323</v>
      </c>
    </row>
    <row r="228" spans="1:37">
      <c r="A228" s="11" t="s">
        <v>481</v>
      </c>
      <c r="B228" s="11"/>
      <c r="C228" s="11" t="s">
        <v>59</v>
      </c>
      <c r="E228" s="6">
        <v>1287759</v>
      </c>
      <c r="G228" s="6">
        <v>0</v>
      </c>
      <c r="I228" s="6">
        <v>3828941</v>
      </c>
      <c r="K228" s="6">
        <v>31</v>
      </c>
      <c r="M228" s="6">
        <f>472644+25546</f>
        <v>498190</v>
      </c>
      <c r="O228" s="6">
        <v>15878</v>
      </c>
      <c r="Q228" s="6">
        <v>105375</v>
      </c>
      <c r="S228" s="6">
        <v>34327</v>
      </c>
      <c r="U228" s="6">
        <v>182533</v>
      </c>
      <c r="W228" s="2">
        <f t="shared" si="43"/>
        <v>5953034</v>
      </c>
      <c r="Y228" s="6">
        <v>0</v>
      </c>
      <c r="AA228" s="6">
        <v>0</v>
      </c>
      <c r="AC228" s="6">
        <v>0</v>
      </c>
      <c r="AE228" s="6">
        <v>1908</v>
      </c>
      <c r="AG228" s="6">
        <v>0</v>
      </c>
      <c r="AI228" s="6">
        <f t="shared" si="44"/>
        <v>1908</v>
      </c>
      <c r="AK228" s="6">
        <f t="shared" si="42"/>
        <v>5954942</v>
      </c>
    </row>
    <row r="229" spans="1:37">
      <c r="A229" s="11" t="s">
        <v>481</v>
      </c>
      <c r="B229" s="11"/>
      <c r="C229" s="11" t="s">
        <v>63</v>
      </c>
      <c r="E229" s="6">
        <v>18821341</v>
      </c>
      <c r="G229" s="6">
        <v>0</v>
      </c>
      <c r="I229" s="6">
        <v>13106278</v>
      </c>
      <c r="K229" s="6">
        <v>7774</v>
      </c>
      <c r="M229" s="6">
        <f>1002271+12713</f>
        <v>1014984</v>
      </c>
      <c r="O229" s="6">
        <v>505363</v>
      </c>
      <c r="Q229" s="6">
        <v>0</v>
      </c>
      <c r="S229" s="6">
        <v>0</v>
      </c>
      <c r="U229" s="6">
        <v>63695</v>
      </c>
      <c r="W229" s="2">
        <f t="shared" si="43"/>
        <v>33519435</v>
      </c>
      <c r="Y229" s="6">
        <v>0</v>
      </c>
      <c r="AA229" s="6">
        <v>0</v>
      </c>
      <c r="AC229" s="6">
        <v>0</v>
      </c>
      <c r="AE229" s="6">
        <v>36763</v>
      </c>
      <c r="AG229" s="6">
        <v>0</v>
      </c>
      <c r="AI229" s="6">
        <f t="shared" si="44"/>
        <v>36763</v>
      </c>
      <c r="AK229" s="6">
        <f t="shared" si="42"/>
        <v>33556198</v>
      </c>
    </row>
    <row r="230" spans="1:37" hidden="1">
      <c r="A230" s="10" t="s">
        <v>856</v>
      </c>
      <c r="B230" s="11"/>
      <c r="C230" s="11" t="s">
        <v>71</v>
      </c>
      <c r="W230" s="2">
        <f t="shared" si="43"/>
        <v>0</v>
      </c>
      <c r="AI230" s="6">
        <f t="shared" si="44"/>
        <v>0</v>
      </c>
      <c r="AK230" s="6">
        <f t="shared" si="42"/>
        <v>0</v>
      </c>
    </row>
    <row r="231" spans="1:37">
      <c r="A231" s="11" t="s">
        <v>318</v>
      </c>
      <c r="B231" s="11"/>
      <c r="C231" s="11" t="s">
        <v>114</v>
      </c>
      <c r="E231" s="6">
        <v>3696870</v>
      </c>
      <c r="G231" s="6">
        <v>1682455</v>
      </c>
      <c r="I231" s="6">
        <v>5796945</v>
      </c>
      <c r="K231" s="6">
        <v>27144</v>
      </c>
      <c r="M231" s="6">
        <f>924448+2755+8072</f>
        <v>935275</v>
      </c>
      <c r="O231" s="6">
        <v>61464</v>
      </c>
      <c r="Q231" s="6">
        <v>0</v>
      </c>
      <c r="S231" s="6">
        <v>7160</v>
      </c>
      <c r="U231" s="6">
        <v>29105</v>
      </c>
      <c r="W231" s="2">
        <f t="shared" si="43"/>
        <v>12236418</v>
      </c>
      <c r="Y231" s="6">
        <v>0</v>
      </c>
      <c r="AA231" s="6">
        <v>0</v>
      </c>
      <c r="AC231" s="6">
        <v>0</v>
      </c>
      <c r="AE231" s="6">
        <v>0</v>
      </c>
      <c r="AG231" s="6">
        <v>0</v>
      </c>
      <c r="AI231" s="6">
        <f t="shared" si="44"/>
        <v>0</v>
      </c>
      <c r="AK231" s="6">
        <f t="shared" si="42"/>
        <v>12236418</v>
      </c>
    </row>
    <row r="232" spans="1:37">
      <c r="A232" s="11" t="s">
        <v>760</v>
      </c>
      <c r="B232" s="11"/>
      <c r="C232" s="11" t="s">
        <v>348</v>
      </c>
      <c r="E232" s="6">
        <v>3090149</v>
      </c>
      <c r="G232" s="6">
        <v>1737664</v>
      </c>
      <c r="I232" s="6">
        <v>13077742</v>
      </c>
      <c r="K232" s="6">
        <v>32318</v>
      </c>
      <c r="M232" s="6">
        <f>499778+1850+34760</f>
        <v>536388</v>
      </c>
      <c r="O232" s="6">
        <v>0</v>
      </c>
      <c r="Q232" s="6">
        <v>0</v>
      </c>
      <c r="S232" s="6">
        <v>12308</v>
      </c>
      <c r="U232" s="6">
        <v>178329</v>
      </c>
      <c r="W232" s="2">
        <f t="shared" si="43"/>
        <v>18664898</v>
      </c>
      <c r="Y232" s="6">
        <v>0</v>
      </c>
      <c r="AA232" s="6">
        <v>0</v>
      </c>
      <c r="AC232" s="6">
        <v>0</v>
      </c>
      <c r="AE232" s="6">
        <v>0</v>
      </c>
      <c r="AG232" s="6">
        <v>0</v>
      </c>
      <c r="AI232" s="6">
        <f t="shared" si="44"/>
        <v>0</v>
      </c>
      <c r="AK232" s="6">
        <f t="shared" si="42"/>
        <v>18664898</v>
      </c>
    </row>
    <row r="233" spans="1:37">
      <c r="A233" s="11" t="s">
        <v>232</v>
      </c>
      <c r="B233" s="11"/>
      <c r="C233" s="11" t="s">
        <v>17</v>
      </c>
      <c r="D233" s="9"/>
      <c r="E233" s="6">
        <v>5986984</v>
      </c>
      <c r="G233" s="6">
        <v>0</v>
      </c>
      <c r="I233" s="6">
        <v>7520750</v>
      </c>
      <c r="K233" s="6">
        <v>9236</v>
      </c>
      <c r="M233" s="6">
        <f>857517+10532</f>
        <v>868049</v>
      </c>
      <c r="O233" s="6">
        <v>136039</v>
      </c>
      <c r="Q233" s="6">
        <v>0</v>
      </c>
      <c r="S233" s="6">
        <v>2576</v>
      </c>
      <c r="U233" s="6">
        <v>16187</v>
      </c>
      <c r="W233" s="2">
        <f t="shared" si="43"/>
        <v>14539821</v>
      </c>
      <c r="Y233" s="6">
        <v>0</v>
      </c>
      <c r="AA233" s="6">
        <v>0</v>
      </c>
      <c r="AC233" s="6">
        <v>0</v>
      </c>
      <c r="AE233" s="6">
        <v>0</v>
      </c>
      <c r="AG233" s="6">
        <v>0</v>
      </c>
      <c r="AI233" s="6">
        <f t="shared" si="44"/>
        <v>0</v>
      </c>
      <c r="AK233" s="6">
        <f t="shared" si="42"/>
        <v>14539821</v>
      </c>
    </row>
    <row r="234" spans="1:37">
      <c r="A234" s="11" t="s">
        <v>282</v>
      </c>
      <c r="B234" s="11"/>
      <c r="C234" s="11" t="s">
        <v>21</v>
      </c>
      <c r="E234" s="6">
        <v>9081292</v>
      </c>
      <c r="G234" s="6">
        <v>1889147</v>
      </c>
      <c r="I234" s="6">
        <v>13326067</v>
      </c>
      <c r="K234" s="6">
        <v>24966</v>
      </c>
      <c r="M234" s="6">
        <f>456467+13296</f>
        <v>469763</v>
      </c>
      <c r="O234" s="6">
        <v>25246</v>
      </c>
      <c r="Q234" s="6">
        <v>42418</v>
      </c>
      <c r="S234" s="6">
        <v>4671</v>
      </c>
      <c r="U234" s="6">
        <v>41708</v>
      </c>
      <c r="W234" s="2">
        <f>SUM(E234:V234)</f>
        <v>24905278</v>
      </c>
      <c r="Y234" s="6">
        <v>0</v>
      </c>
      <c r="AA234" s="6">
        <v>0</v>
      </c>
      <c r="AC234" s="6">
        <v>0</v>
      </c>
      <c r="AE234" s="6">
        <v>0</v>
      </c>
      <c r="AG234" s="6">
        <v>0</v>
      </c>
      <c r="AI234" s="6">
        <f t="shared" si="44"/>
        <v>0</v>
      </c>
      <c r="AK234" s="6">
        <f t="shared" si="42"/>
        <v>24905278</v>
      </c>
    </row>
    <row r="235" spans="1:37">
      <c r="A235" s="11" t="s">
        <v>304</v>
      </c>
      <c r="B235" s="11"/>
      <c r="C235" s="11" t="s">
        <v>27</v>
      </c>
      <c r="E235" s="6">
        <v>23848621</v>
      </c>
      <c r="G235" s="6">
        <v>0</v>
      </c>
      <c r="I235" s="6">
        <v>34371640</v>
      </c>
      <c r="K235" s="6">
        <v>4239</v>
      </c>
      <c r="M235" s="6">
        <f>728911+1044260</f>
        <v>1773171</v>
      </c>
      <c r="O235" s="6">
        <v>40042</v>
      </c>
      <c r="Q235" s="6">
        <v>286028</v>
      </c>
      <c r="S235" s="6">
        <v>7261</v>
      </c>
      <c r="U235" s="6">
        <v>367674</v>
      </c>
      <c r="W235" s="2">
        <f t="shared" si="43"/>
        <v>60698676</v>
      </c>
      <c r="Y235" s="6">
        <v>0</v>
      </c>
      <c r="AA235" s="6">
        <v>0</v>
      </c>
      <c r="AC235" s="6">
        <v>0</v>
      </c>
      <c r="AE235" s="6">
        <v>911</v>
      </c>
      <c r="AG235" s="6">
        <v>0</v>
      </c>
      <c r="AI235" s="6">
        <f t="shared" si="44"/>
        <v>911</v>
      </c>
      <c r="AK235" s="6">
        <f t="shared" si="42"/>
        <v>60699587</v>
      </c>
    </row>
    <row r="236" spans="1:37" hidden="1">
      <c r="A236" s="10" t="s">
        <v>857</v>
      </c>
      <c r="B236" s="11"/>
      <c r="C236" s="11" t="s">
        <v>221</v>
      </c>
      <c r="D236" s="9"/>
      <c r="W236" s="2">
        <f t="shared" si="43"/>
        <v>0</v>
      </c>
      <c r="AI236" s="6">
        <f t="shared" si="44"/>
        <v>0</v>
      </c>
      <c r="AK236" s="6">
        <f t="shared" si="42"/>
        <v>0</v>
      </c>
    </row>
    <row r="237" spans="1:37">
      <c r="A237" s="10" t="s">
        <v>802</v>
      </c>
      <c r="B237" s="11"/>
      <c r="C237" s="11" t="s">
        <v>27</v>
      </c>
      <c r="E237" s="6">
        <v>4820654</v>
      </c>
      <c r="G237" s="6">
        <v>0</v>
      </c>
      <c r="I237" s="6">
        <v>17780771</v>
      </c>
      <c r="K237" s="6">
        <v>16359</v>
      </c>
      <c r="M237" s="6">
        <v>34184</v>
      </c>
      <c r="O237" s="6">
        <v>172907</v>
      </c>
      <c r="Q237" s="6">
        <v>708466</v>
      </c>
      <c r="S237" s="6">
        <v>0</v>
      </c>
      <c r="U237" s="6">
        <v>189261</v>
      </c>
      <c r="W237" s="2">
        <f t="shared" si="43"/>
        <v>23722602</v>
      </c>
      <c r="Y237" s="6">
        <v>0</v>
      </c>
      <c r="AA237" s="6">
        <v>0</v>
      </c>
      <c r="AC237" s="6">
        <v>0</v>
      </c>
      <c r="AE237" s="6">
        <v>0</v>
      </c>
      <c r="AG237" s="6">
        <v>0</v>
      </c>
      <c r="AI237" s="6">
        <f t="shared" si="44"/>
        <v>0</v>
      </c>
      <c r="AK237" s="6">
        <f t="shared" si="42"/>
        <v>23722602</v>
      </c>
    </row>
    <row r="238" spans="1:37">
      <c r="A238" s="10" t="s">
        <v>340</v>
      </c>
      <c r="B238" s="11"/>
      <c r="C238" s="11" t="s">
        <v>339</v>
      </c>
      <c r="E238" s="6">
        <v>1167246</v>
      </c>
      <c r="G238" s="6">
        <v>922795</v>
      </c>
      <c r="I238" s="6">
        <v>2429627</v>
      </c>
      <c r="K238" s="6">
        <v>2656</v>
      </c>
      <c r="M238" s="6">
        <f>458252+15620</f>
        <v>473872</v>
      </c>
      <c r="O238" s="6">
        <v>0</v>
      </c>
      <c r="Q238" s="6">
        <v>0</v>
      </c>
      <c r="S238" s="6">
        <v>0</v>
      </c>
      <c r="U238" s="6">
        <v>3721</v>
      </c>
      <c r="W238" s="2">
        <f t="shared" si="43"/>
        <v>4999917</v>
      </c>
      <c r="Y238" s="6">
        <v>0</v>
      </c>
      <c r="AA238" s="6">
        <v>0</v>
      </c>
      <c r="AC238" s="6">
        <v>0</v>
      </c>
      <c r="AE238" s="6">
        <v>341</v>
      </c>
      <c r="AG238" s="6">
        <v>0</v>
      </c>
      <c r="AI238" s="6">
        <f t="shared" si="44"/>
        <v>341</v>
      </c>
      <c r="AK238" s="6">
        <f t="shared" si="42"/>
        <v>5000258</v>
      </c>
    </row>
    <row r="239" spans="1:37">
      <c r="A239" s="10" t="s">
        <v>491</v>
      </c>
      <c r="B239" s="11"/>
      <c r="C239" s="11" t="s">
        <v>61</v>
      </c>
      <c r="E239" s="6">
        <v>1710701</v>
      </c>
      <c r="G239" s="6">
        <v>462773</v>
      </c>
      <c r="I239" s="6">
        <v>4254256</v>
      </c>
      <c r="K239" s="6">
        <v>6302</v>
      </c>
      <c r="M239" s="6">
        <f>1220430</f>
        <v>1220430</v>
      </c>
      <c r="O239" s="6">
        <v>8882</v>
      </c>
      <c r="Q239" s="6">
        <v>0</v>
      </c>
      <c r="S239" s="6">
        <v>2300</v>
      </c>
      <c r="U239" s="6">
        <v>15263</v>
      </c>
      <c r="W239" s="2">
        <f t="shared" si="43"/>
        <v>7680907</v>
      </c>
      <c r="Y239" s="6">
        <v>0</v>
      </c>
      <c r="AA239" s="6">
        <v>0</v>
      </c>
      <c r="AC239" s="6">
        <v>0</v>
      </c>
      <c r="AE239" s="6">
        <v>0</v>
      </c>
      <c r="AG239" s="6">
        <v>0</v>
      </c>
      <c r="AI239" s="6">
        <f t="shared" si="44"/>
        <v>0</v>
      </c>
      <c r="AK239" s="6">
        <f t="shared" si="42"/>
        <v>7680907</v>
      </c>
    </row>
    <row r="240" spans="1:37" hidden="1">
      <c r="A240" s="10" t="s">
        <v>858</v>
      </c>
      <c r="B240" s="11"/>
      <c r="C240" s="11" t="s">
        <v>343</v>
      </c>
      <c r="W240" s="2">
        <f t="shared" si="43"/>
        <v>0</v>
      </c>
      <c r="AI240" s="6">
        <f t="shared" si="44"/>
        <v>0</v>
      </c>
      <c r="AK240" s="6">
        <f t="shared" si="42"/>
        <v>0</v>
      </c>
    </row>
    <row r="241" spans="1:37">
      <c r="A241" s="11" t="s">
        <v>373</v>
      </c>
      <c r="B241" s="11"/>
      <c r="C241" s="11" t="s">
        <v>42</v>
      </c>
      <c r="E241" s="6">
        <v>7047171</v>
      </c>
      <c r="G241" s="6">
        <v>0</v>
      </c>
      <c r="I241" s="6">
        <v>5821399</v>
      </c>
      <c r="K241" s="6">
        <v>4747</v>
      </c>
      <c r="M241" s="6">
        <f>66003+64454</f>
        <v>130457</v>
      </c>
      <c r="O241" s="6">
        <v>0</v>
      </c>
      <c r="Q241" s="6">
        <v>0</v>
      </c>
      <c r="S241" s="6">
        <v>0</v>
      </c>
      <c r="U241" s="6">
        <v>526188</v>
      </c>
      <c r="W241" s="2">
        <f t="shared" si="43"/>
        <v>13529962</v>
      </c>
      <c r="Y241" s="6">
        <v>0</v>
      </c>
      <c r="AA241" s="6">
        <v>0</v>
      </c>
      <c r="AC241" s="6">
        <v>0</v>
      </c>
      <c r="AE241" s="6">
        <v>0</v>
      </c>
      <c r="AG241" s="6">
        <v>0</v>
      </c>
      <c r="AI241" s="6">
        <f t="shared" si="44"/>
        <v>0</v>
      </c>
      <c r="AK241" s="6">
        <f t="shared" si="42"/>
        <v>13529962</v>
      </c>
    </row>
    <row r="242" spans="1:37" hidden="1">
      <c r="A242" s="11" t="s">
        <v>667</v>
      </c>
      <c r="B242" s="11"/>
      <c r="C242" s="11" t="s">
        <v>22</v>
      </c>
      <c r="W242" s="2">
        <f t="shared" si="43"/>
        <v>0</v>
      </c>
      <c r="AI242" s="6">
        <f t="shared" si="44"/>
        <v>0</v>
      </c>
      <c r="AK242" s="6">
        <f t="shared" si="42"/>
        <v>0</v>
      </c>
    </row>
    <row r="243" spans="1:37">
      <c r="A243" s="11" t="s">
        <v>417</v>
      </c>
      <c r="B243" s="11"/>
      <c r="C243" s="11" t="s">
        <v>47</v>
      </c>
      <c r="E243" s="6">
        <v>18364483</v>
      </c>
      <c r="G243" s="6">
        <v>0</v>
      </c>
      <c r="I243" s="6">
        <v>7495665</v>
      </c>
      <c r="K243" s="6">
        <v>37648</v>
      </c>
      <c r="M243" s="6">
        <f>766747+29679</f>
        <v>796426</v>
      </c>
      <c r="O243" s="6">
        <v>393761</v>
      </c>
      <c r="Q243" s="6">
        <v>0</v>
      </c>
      <c r="S243" s="6">
        <v>701</v>
      </c>
      <c r="U243" s="6">
        <v>68786</v>
      </c>
      <c r="W243" s="2">
        <f t="shared" si="43"/>
        <v>27157470</v>
      </c>
      <c r="Y243" s="6">
        <v>0</v>
      </c>
      <c r="AA243" s="6">
        <v>0</v>
      </c>
      <c r="AC243" s="6">
        <v>0</v>
      </c>
      <c r="AE243" s="6">
        <v>0</v>
      </c>
      <c r="AG243" s="6">
        <v>0</v>
      </c>
      <c r="AI243" s="6">
        <f t="shared" si="44"/>
        <v>0</v>
      </c>
      <c r="AK243" s="6">
        <f t="shared" ref="AK243:AK276" si="45">+AI243+W243</f>
        <v>27157470</v>
      </c>
    </row>
    <row r="244" spans="1:37">
      <c r="A244" s="11" t="s">
        <v>417</v>
      </c>
      <c r="B244" s="11"/>
      <c r="C244" s="11" t="s">
        <v>78</v>
      </c>
      <c r="E244" s="6">
        <v>3534249</v>
      </c>
      <c r="G244" s="6">
        <v>973330</v>
      </c>
      <c r="I244" s="6">
        <v>9474972</v>
      </c>
      <c r="K244" s="6">
        <v>4010</v>
      </c>
      <c r="M244" s="6">
        <f>202631</f>
        <v>202631</v>
      </c>
      <c r="O244" s="6">
        <v>12925</v>
      </c>
      <c r="Q244" s="6">
        <v>0</v>
      </c>
      <c r="S244" s="6">
        <v>4982</v>
      </c>
      <c r="U244" s="6">
        <v>463316</v>
      </c>
      <c r="W244" s="2">
        <f t="shared" si="43"/>
        <v>14670415</v>
      </c>
      <c r="Y244" s="6">
        <v>0</v>
      </c>
      <c r="AA244" s="6">
        <v>0</v>
      </c>
      <c r="AC244" s="6">
        <v>0</v>
      </c>
      <c r="AE244" s="6">
        <v>25351</v>
      </c>
      <c r="AG244" s="6">
        <v>0</v>
      </c>
      <c r="AI244" s="6">
        <f t="shared" si="44"/>
        <v>25351</v>
      </c>
      <c r="AK244" s="6">
        <f t="shared" si="45"/>
        <v>14695766</v>
      </c>
    </row>
    <row r="245" spans="1:37">
      <c r="A245" s="11" t="s">
        <v>305</v>
      </c>
      <c r="B245" s="11"/>
      <c r="C245" s="11" t="s">
        <v>27</v>
      </c>
      <c r="E245" s="6">
        <v>105923776</v>
      </c>
      <c r="G245" s="6">
        <v>0</v>
      </c>
      <c r="I245" s="6">
        <f>54373590+419467</f>
        <v>54793057</v>
      </c>
      <c r="K245" s="6">
        <v>183838</v>
      </c>
      <c r="M245" s="6">
        <f>693399+922624</f>
        <v>1616023</v>
      </c>
      <c r="O245" s="6">
        <v>25820</v>
      </c>
      <c r="Q245" s="6">
        <v>0</v>
      </c>
      <c r="S245" s="6">
        <v>0</v>
      </c>
      <c r="U245" s="6">
        <v>3712499</v>
      </c>
      <c r="W245" s="2">
        <f t="shared" si="43"/>
        <v>166255013</v>
      </c>
      <c r="Y245" s="6">
        <v>0</v>
      </c>
      <c r="AA245" s="6">
        <v>0</v>
      </c>
      <c r="AC245" s="6">
        <v>0</v>
      </c>
      <c r="AE245" s="6">
        <f>931577+45713+1124</f>
        <v>978414</v>
      </c>
      <c r="AG245" s="6">
        <v>0</v>
      </c>
      <c r="AI245" s="6">
        <f t="shared" si="44"/>
        <v>978414</v>
      </c>
      <c r="AK245" s="6">
        <f t="shared" si="45"/>
        <v>167233427</v>
      </c>
    </row>
    <row r="246" spans="1:37">
      <c r="A246" s="11" t="s">
        <v>350</v>
      </c>
      <c r="B246" s="11"/>
      <c r="C246" s="11" t="s">
        <v>348</v>
      </c>
      <c r="E246" s="6">
        <v>5237557</v>
      </c>
      <c r="G246" s="6">
        <v>2314717</v>
      </c>
      <c r="I246" s="6">
        <v>12900673</v>
      </c>
      <c r="K246" s="6">
        <v>53950</v>
      </c>
      <c r="M246" s="6">
        <f>1272137+23919+1662</f>
        <v>1297718</v>
      </c>
      <c r="O246" s="6">
        <v>43482</v>
      </c>
      <c r="Q246" s="6">
        <v>0</v>
      </c>
      <c r="S246" s="6">
        <v>13642</v>
      </c>
      <c r="U246" s="6">
        <v>292482</v>
      </c>
      <c r="W246" s="2">
        <f t="shared" si="43"/>
        <v>22154221</v>
      </c>
      <c r="Y246" s="6">
        <v>0</v>
      </c>
      <c r="AA246" s="6">
        <v>0</v>
      </c>
      <c r="AC246" s="6">
        <v>0</v>
      </c>
      <c r="AE246" s="6">
        <v>25701</v>
      </c>
      <c r="AG246" s="6">
        <v>0</v>
      </c>
      <c r="AI246" s="6">
        <f t="shared" si="44"/>
        <v>25701</v>
      </c>
      <c r="AK246" s="6">
        <f t="shared" si="45"/>
        <v>22179922</v>
      </c>
    </row>
    <row r="247" spans="1:37">
      <c r="A247" s="11" t="s">
        <v>204</v>
      </c>
      <c r="B247" s="11"/>
      <c r="C247" s="11" t="s">
        <v>11</v>
      </c>
      <c r="D247" s="9"/>
      <c r="E247" s="6">
        <v>3598720</v>
      </c>
      <c r="G247" s="6">
        <v>0</v>
      </c>
      <c r="I247" s="6">
        <f>4269797+4707</f>
        <v>4274504</v>
      </c>
      <c r="K247" s="6">
        <v>3015</v>
      </c>
      <c r="M247" s="6">
        <f>375545+41291</f>
        <v>416836</v>
      </c>
      <c r="O247" s="6">
        <v>0</v>
      </c>
      <c r="Q247" s="6">
        <v>0</v>
      </c>
      <c r="S247" s="6">
        <v>15547</v>
      </c>
      <c r="U247" s="6">
        <v>77225</v>
      </c>
      <c r="W247" s="2">
        <f t="shared" si="43"/>
        <v>8385847</v>
      </c>
      <c r="Y247" s="6">
        <v>0</v>
      </c>
      <c r="AA247" s="6">
        <v>0</v>
      </c>
      <c r="AC247" s="6">
        <v>0</v>
      </c>
      <c r="AE247" s="6">
        <v>0</v>
      </c>
      <c r="AG247" s="6">
        <v>0</v>
      </c>
      <c r="AI247" s="6">
        <f t="shared" si="44"/>
        <v>0</v>
      </c>
      <c r="AK247" s="6">
        <f t="shared" si="45"/>
        <v>8385847</v>
      </c>
    </row>
    <row r="248" spans="1:37">
      <c r="A248" s="11" t="s">
        <v>344</v>
      </c>
      <c r="B248" s="11"/>
      <c r="C248" s="11" t="s">
        <v>34</v>
      </c>
      <c r="E248" s="6">
        <v>1049544</v>
      </c>
      <c r="G248" s="6">
        <v>697318</v>
      </c>
      <c r="I248" s="6">
        <v>2663577</v>
      </c>
      <c r="K248" s="6">
        <v>16933</v>
      </c>
      <c r="M248" s="6">
        <f>428373</f>
        <v>428373</v>
      </c>
      <c r="O248" s="6">
        <v>5659</v>
      </c>
      <c r="Q248" s="6">
        <v>1477</v>
      </c>
      <c r="S248" s="6">
        <v>3621</v>
      </c>
      <c r="U248" s="6">
        <v>44401</v>
      </c>
      <c r="W248" s="2">
        <f t="shared" si="43"/>
        <v>4910903</v>
      </c>
      <c r="Y248" s="6">
        <v>0</v>
      </c>
      <c r="AA248" s="6">
        <v>0</v>
      </c>
      <c r="AC248" s="6">
        <v>0</v>
      </c>
      <c r="AE248" s="6">
        <v>870</v>
      </c>
      <c r="AG248" s="6">
        <v>0</v>
      </c>
      <c r="AI248" s="6">
        <f t="shared" si="44"/>
        <v>870</v>
      </c>
      <c r="AK248" s="6">
        <f t="shared" si="45"/>
        <v>4911773</v>
      </c>
    </row>
    <row r="249" spans="1:37" hidden="1">
      <c r="A249" s="10" t="s">
        <v>891</v>
      </c>
      <c r="B249" s="10"/>
      <c r="C249" s="10" t="s">
        <v>60</v>
      </c>
      <c r="W249" s="2">
        <f t="shared" ref="W249" si="46">SUM(E249:V249)</f>
        <v>0</v>
      </c>
      <c r="AA249" s="6">
        <v>0</v>
      </c>
      <c r="AG249" s="6">
        <v>0</v>
      </c>
      <c r="AK249" s="6">
        <f t="shared" ref="AK249" si="47">+AI249+W249</f>
        <v>0</v>
      </c>
    </row>
    <row r="250" spans="1:37">
      <c r="A250" s="11" t="s">
        <v>522</v>
      </c>
      <c r="B250" s="11"/>
      <c r="C250" s="11" t="s">
        <v>64</v>
      </c>
      <c r="E250" s="6">
        <v>15767581</v>
      </c>
      <c r="G250" s="6">
        <v>0</v>
      </c>
      <c r="I250" s="6">
        <v>10397981</v>
      </c>
      <c r="K250" s="6">
        <v>21324</v>
      </c>
      <c r="M250" s="6">
        <f>1343380+15513+678+79285+4349</f>
        <v>1443205</v>
      </c>
      <c r="O250" s="6">
        <v>111074</v>
      </c>
      <c r="Q250" s="6">
        <v>0</v>
      </c>
      <c r="S250" s="6">
        <v>34424</v>
      </c>
      <c r="U250" s="6">
        <v>163144</v>
      </c>
      <c r="W250" s="2">
        <f t="shared" si="43"/>
        <v>27938733</v>
      </c>
      <c r="Y250" s="6">
        <v>0</v>
      </c>
      <c r="AA250" s="6">
        <v>0</v>
      </c>
      <c r="AC250" s="6">
        <v>0</v>
      </c>
      <c r="AE250" s="6">
        <v>0</v>
      </c>
      <c r="AG250" s="6">
        <v>0</v>
      </c>
      <c r="AI250" s="6">
        <f t="shared" si="44"/>
        <v>0</v>
      </c>
      <c r="AK250" s="6">
        <f t="shared" si="45"/>
        <v>27938733</v>
      </c>
    </row>
    <row r="251" spans="1:37">
      <c r="A251" s="11" t="s">
        <v>761</v>
      </c>
      <c r="B251" s="11"/>
      <c r="C251" s="11" t="s">
        <v>64</v>
      </c>
      <c r="E251" s="6">
        <v>5641671</v>
      </c>
      <c r="G251" s="6">
        <v>0</v>
      </c>
      <c r="I251" s="6">
        <v>9922248</v>
      </c>
      <c r="K251" s="6">
        <v>34145</v>
      </c>
      <c r="M251" s="6">
        <f>5020+1155722+51340</f>
        <v>1212082</v>
      </c>
      <c r="O251" s="6">
        <v>0</v>
      </c>
      <c r="Q251" s="6">
        <v>0</v>
      </c>
      <c r="S251" s="6">
        <v>68242</v>
      </c>
      <c r="U251" s="6">
        <v>606837</v>
      </c>
      <c r="W251" s="2">
        <f t="shared" si="43"/>
        <v>17485225</v>
      </c>
      <c r="Y251" s="6">
        <v>0</v>
      </c>
      <c r="AA251" s="6">
        <v>0</v>
      </c>
      <c r="AC251" s="6">
        <v>0</v>
      </c>
      <c r="AE251" s="6">
        <v>0</v>
      </c>
      <c r="AG251" s="6">
        <v>0</v>
      </c>
      <c r="AI251" s="6">
        <f t="shared" si="44"/>
        <v>0</v>
      </c>
      <c r="AK251" s="6">
        <f t="shared" si="45"/>
        <v>17485225</v>
      </c>
    </row>
    <row r="252" spans="1:37">
      <c r="A252" s="11" t="s">
        <v>430</v>
      </c>
      <c r="B252" s="11"/>
      <c r="C252" s="11" t="s">
        <v>50</v>
      </c>
      <c r="E252" s="6">
        <v>26814000</v>
      </c>
      <c r="G252" s="6">
        <v>0</v>
      </c>
      <c r="I252" s="6">
        <f>30911343+155792</f>
        <v>31067135</v>
      </c>
      <c r="K252" s="6">
        <v>50728</v>
      </c>
      <c r="M252" s="6">
        <f>658879+146143</f>
        <v>805022</v>
      </c>
      <c r="O252" s="6">
        <v>433351</v>
      </c>
      <c r="Q252" s="6">
        <v>0</v>
      </c>
      <c r="S252" s="6">
        <v>0</v>
      </c>
      <c r="U252" s="6">
        <v>521752</v>
      </c>
      <c r="W252" s="2">
        <f t="shared" si="43"/>
        <v>59691988</v>
      </c>
      <c r="Y252" s="6">
        <v>0</v>
      </c>
      <c r="AA252" s="6">
        <v>0</v>
      </c>
      <c r="AC252" s="6">
        <v>0</v>
      </c>
      <c r="AE252" s="6">
        <v>0</v>
      </c>
      <c r="AG252" s="6">
        <v>0</v>
      </c>
      <c r="AI252" s="6">
        <f t="shared" si="44"/>
        <v>0</v>
      </c>
      <c r="AK252" s="6">
        <f t="shared" si="45"/>
        <v>59691988</v>
      </c>
    </row>
    <row r="253" spans="1:37">
      <c r="A253" s="11" t="s">
        <v>509</v>
      </c>
      <c r="B253" s="11"/>
      <c r="C253" s="11" t="s">
        <v>63</v>
      </c>
      <c r="E253" s="6">
        <v>37435368</v>
      </c>
      <c r="G253" s="6">
        <v>0</v>
      </c>
      <c r="I253" s="6">
        <v>18417942</v>
      </c>
      <c r="K253" s="6">
        <v>53551</v>
      </c>
      <c r="M253" s="6">
        <f>205244+3144+328148</f>
        <v>536536</v>
      </c>
      <c r="O253" s="6">
        <v>778077</v>
      </c>
      <c r="Q253" s="6">
        <v>314000</v>
      </c>
      <c r="S253" s="6">
        <v>0</v>
      </c>
      <c r="U253" s="6">
        <v>259058</v>
      </c>
      <c r="W253" s="2">
        <f t="shared" si="43"/>
        <v>57794532</v>
      </c>
      <c r="Y253" s="6">
        <v>0</v>
      </c>
      <c r="AA253" s="6">
        <v>0</v>
      </c>
      <c r="AC253" s="6">
        <v>0</v>
      </c>
      <c r="AE253" s="6">
        <v>13356</v>
      </c>
      <c r="AG253" s="6">
        <v>0</v>
      </c>
      <c r="AI253" s="6">
        <f t="shared" si="44"/>
        <v>13356</v>
      </c>
      <c r="AK253" s="6">
        <f t="shared" si="45"/>
        <v>57807888</v>
      </c>
    </row>
    <row r="254" spans="1:37">
      <c r="A254" s="11" t="s">
        <v>474</v>
      </c>
      <c r="B254" s="11"/>
      <c r="C254" s="11" t="s">
        <v>58</v>
      </c>
      <c r="E254" s="6">
        <v>994218</v>
      </c>
      <c r="G254" s="6">
        <v>0</v>
      </c>
      <c r="I254" s="6">
        <v>8965146</v>
      </c>
      <c r="K254" s="6">
        <v>2644</v>
      </c>
      <c r="M254" s="6">
        <f>984745+8700+20167</f>
        <v>1013612</v>
      </c>
      <c r="O254" s="6">
        <v>27293</v>
      </c>
      <c r="Q254" s="6">
        <v>0</v>
      </c>
      <c r="S254" s="6">
        <v>0</v>
      </c>
      <c r="U254" s="6">
        <v>60399</v>
      </c>
      <c r="W254" s="2">
        <f t="shared" si="43"/>
        <v>11063312</v>
      </c>
      <c r="Y254" s="6">
        <v>0</v>
      </c>
      <c r="AA254" s="6">
        <v>0</v>
      </c>
      <c r="AC254" s="6">
        <v>0</v>
      </c>
      <c r="AE254" s="6">
        <v>0</v>
      </c>
      <c r="AG254" s="6">
        <v>0</v>
      </c>
      <c r="AI254" s="6">
        <f t="shared" si="44"/>
        <v>0</v>
      </c>
      <c r="AK254" s="6">
        <f t="shared" si="45"/>
        <v>11063312</v>
      </c>
    </row>
    <row r="255" spans="1:37">
      <c r="A255" s="11" t="s">
        <v>286</v>
      </c>
      <c r="B255" s="11"/>
      <c r="C255" s="11" t="s">
        <v>24</v>
      </c>
      <c r="E255" s="6">
        <v>9341006</v>
      </c>
      <c r="G255" s="6">
        <v>0</v>
      </c>
      <c r="I255" s="6">
        <v>4877431</v>
      </c>
      <c r="K255" s="6">
        <v>31675</v>
      </c>
      <c r="M255" s="6">
        <f>399235+347+56851+61062</f>
        <v>517495</v>
      </c>
      <c r="O255" s="6">
        <v>14990</v>
      </c>
      <c r="Q255" s="6">
        <v>0</v>
      </c>
      <c r="S255" s="6">
        <v>19907</v>
      </c>
      <c r="U255" s="6">
        <v>94053</v>
      </c>
      <c r="W255" s="2">
        <f t="shared" si="43"/>
        <v>14896557</v>
      </c>
      <c r="Y255" s="6">
        <v>0</v>
      </c>
      <c r="AA255" s="6">
        <v>0</v>
      </c>
      <c r="AC255" s="6">
        <v>105156</v>
      </c>
      <c r="AE255" s="6">
        <v>0</v>
      </c>
      <c r="AG255" s="6">
        <v>0</v>
      </c>
      <c r="AI255" s="6">
        <f t="shared" si="44"/>
        <v>105156</v>
      </c>
      <c r="AK255" s="6">
        <f t="shared" si="45"/>
        <v>15001713</v>
      </c>
    </row>
    <row r="256" spans="1:37">
      <c r="A256" s="11" t="s">
        <v>269</v>
      </c>
      <c r="B256" s="11"/>
      <c r="C256" s="11" t="s">
        <v>20</v>
      </c>
      <c r="E256" s="6">
        <v>13411078</v>
      </c>
      <c r="G256" s="6">
        <v>0</v>
      </c>
      <c r="I256" s="6">
        <v>2520505</v>
      </c>
      <c r="K256" s="6">
        <v>17778</v>
      </c>
      <c r="M256" s="6">
        <f>140875+67246+920</f>
        <v>209041</v>
      </c>
      <c r="O256" s="6">
        <v>105115</v>
      </c>
      <c r="Q256" s="6">
        <v>50000</v>
      </c>
      <c r="S256" s="6">
        <v>588</v>
      </c>
      <c r="U256" s="6">
        <v>153712</v>
      </c>
      <c r="W256" s="2">
        <f t="shared" si="43"/>
        <v>16467817</v>
      </c>
      <c r="Y256" s="6">
        <v>0</v>
      </c>
      <c r="AA256" s="6">
        <v>0</v>
      </c>
      <c r="AC256" s="6">
        <v>91778</v>
      </c>
      <c r="AE256" s="6">
        <v>0</v>
      </c>
      <c r="AG256" s="6">
        <v>0</v>
      </c>
      <c r="AI256" s="6">
        <f t="shared" si="44"/>
        <v>91778</v>
      </c>
      <c r="AK256" s="6">
        <f t="shared" si="45"/>
        <v>16559595</v>
      </c>
    </row>
    <row r="257" spans="1:37">
      <c r="A257" s="11" t="s">
        <v>363</v>
      </c>
      <c r="B257" s="11"/>
      <c r="C257" s="11" t="s">
        <v>39</v>
      </c>
      <c r="E257" s="6">
        <v>6607800</v>
      </c>
      <c r="G257" s="6">
        <v>0</v>
      </c>
      <c r="I257" s="6">
        <v>9477911</v>
      </c>
      <c r="K257" s="6">
        <v>2237</v>
      </c>
      <c r="M257" s="6">
        <f>3309+2030282</f>
        <v>2033591</v>
      </c>
      <c r="O257" s="6">
        <v>62067</v>
      </c>
      <c r="Q257" s="6">
        <v>0</v>
      </c>
      <c r="S257" s="6">
        <v>24536</v>
      </c>
      <c r="U257" s="6">
        <v>18136</v>
      </c>
      <c r="W257" s="2">
        <f t="shared" si="43"/>
        <v>18226278</v>
      </c>
      <c r="Y257" s="6">
        <v>1030000</v>
      </c>
      <c r="AA257" s="6">
        <v>0</v>
      </c>
      <c r="AC257" s="6">
        <v>174216</v>
      </c>
      <c r="AE257" s="6">
        <v>0</v>
      </c>
      <c r="AG257" s="6">
        <v>0</v>
      </c>
      <c r="AI257" s="6">
        <f t="shared" si="44"/>
        <v>1204216</v>
      </c>
      <c r="AK257" s="6">
        <f t="shared" si="45"/>
        <v>19430494</v>
      </c>
    </row>
    <row r="258" spans="1:37">
      <c r="A258" s="11" t="s">
        <v>762</v>
      </c>
      <c r="B258" s="11"/>
      <c r="C258" s="11" t="s">
        <v>32</v>
      </c>
      <c r="E258" s="6">
        <v>23128848</v>
      </c>
      <c r="G258" s="6">
        <v>0</v>
      </c>
      <c r="I258" s="6">
        <v>4327676</v>
      </c>
      <c r="K258" s="6">
        <v>132847</v>
      </c>
      <c r="M258" s="6">
        <f>29352+13300</f>
        <v>42652</v>
      </c>
      <c r="O258" s="6">
        <v>4724</v>
      </c>
      <c r="Q258" s="6">
        <v>3437359</v>
      </c>
      <c r="S258" s="6">
        <v>0</v>
      </c>
      <c r="U258" s="6">
        <v>155862</v>
      </c>
      <c r="W258" s="2">
        <f t="shared" si="43"/>
        <v>31229968</v>
      </c>
      <c r="Y258" s="6">
        <v>0</v>
      </c>
      <c r="AA258" s="6">
        <v>0</v>
      </c>
      <c r="AC258" s="6">
        <v>0</v>
      </c>
      <c r="AE258" s="6">
        <v>0</v>
      </c>
      <c r="AG258" s="6">
        <v>0</v>
      </c>
      <c r="AI258" s="6">
        <f t="shared" si="44"/>
        <v>0</v>
      </c>
      <c r="AK258" s="6">
        <f t="shared" si="45"/>
        <v>31229968</v>
      </c>
    </row>
    <row r="259" spans="1:37" hidden="1">
      <c r="A259" s="11" t="s">
        <v>795</v>
      </c>
      <c r="B259" s="11"/>
      <c r="C259" s="11" t="s">
        <v>43</v>
      </c>
      <c r="W259" s="2">
        <f t="shared" si="43"/>
        <v>0</v>
      </c>
      <c r="AA259" s="6">
        <v>0</v>
      </c>
      <c r="AG259" s="6">
        <v>0</v>
      </c>
      <c r="AK259" s="6">
        <f t="shared" si="45"/>
        <v>0</v>
      </c>
    </row>
    <row r="260" spans="1:37">
      <c r="A260" s="11" t="s">
        <v>536</v>
      </c>
      <c r="B260" s="11"/>
      <c r="C260" s="11" t="s">
        <v>65</v>
      </c>
      <c r="E260" s="6">
        <v>3921856</v>
      </c>
      <c r="G260" s="6">
        <v>0</v>
      </c>
      <c r="I260" s="6">
        <v>9159691</v>
      </c>
      <c r="K260" s="6">
        <v>2574</v>
      </c>
      <c r="M260" s="6">
        <f>1560219+2176</f>
        <v>1562395</v>
      </c>
      <c r="O260" s="6">
        <v>95238</v>
      </c>
      <c r="Q260" s="6">
        <v>0</v>
      </c>
      <c r="S260" s="6">
        <v>25909</v>
      </c>
      <c r="U260" s="6">
        <v>204548</v>
      </c>
      <c r="W260" s="2">
        <f t="shared" si="43"/>
        <v>14972211</v>
      </c>
      <c r="Y260" s="6">
        <v>0</v>
      </c>
      <c r="AA260" s="6">
        <v>0</v>
      </c>
      <c r="AC260" s="6">
        <v>0</v>
      </c>
      <c r="AE260" s="6">
        <v>3650</v>
      </c>
      <c r="AG260" s="6">
        <v>0</v>
      </c>
      <c r="AI260" s="6">
        <f t="shared" si="44"/>
        <v>3650</v>
      </c>
      <c r="AK260" s="6">
        <f t="shared" si="45"/>
        <v>14975861</v>
      </c>
    </row>
    <row r="261" spans="1:37">
      <c r="A261" s="11" t="s">
        <v>369</v>
      </c>
      <c r="B261" s="11"/>
      <c r="C261" s="11" t="s">
        <v>366</v>
      </c>
      <c r="E261" s="6">
        <v>2665637</v>
      </c>
      <c r="G261" s="6">
        <v>0</v>
      </c>
      <c r="I261" s="6">
        <v>8197479</v>
      </c>
      <c r="K261" s="6">
        <v>10050</v>
      </c>
      <c r="M261" s="6">
        <f>1178215+5600</f>
        <v>1183815</v>
      </c>
      <c r="O261" s="6">
        <v>57083</v>
      </c>
      <c r="Q261" s="6">
        <v>0</v>
      </c>
      <c r="S261" s="6">
        <v>0</v>
      </c>
      <c r="U261" s="6">
        <v>38288</v>
      </c>
      <c r="W261" s="2">
        <f t="shared" si="43"/>
        <v>12152352</v>
      </c>
      <c r="Y261" s="6">
        <v>0</v>
      </c>
      <c r="AA261" s="6">
        <v>0</v>
      </c>
      <c r="AC261" s="6">
        <v>0</v>
      </c>
      <c r="AE261" s="6">
        <v>0</v>
      </c>
      <c r="AG261" s="6">
        <v>0</v>
      </c>
      <c r="AI261" s="6">
        <f t="shared" si="44"/>
        <v>0</v>
      </c>
      <c r="AK261" s="6">
        <f t="shared" si="45"/>
        <v>12152352</v>
      </c>
    </row>
    <row r="262" spans="1:37" hidden="1">
      <c r="A262" s="11" t="s">
        <v>668</v>
      </c>
      <c r="B262" s="11"/>
      <c r="C262" s="11" t="s">
        <v>61</v>
      </c>
      <c r="W262" s="2">
        <f t="shared" si="43"/>
        <v>0</v>
      </c>
      <c r="AA262" s="6">
        <v>0</v>
      </c>
      <c r="AG262" s="6">
        <v>0</v>
      </c>
      <c r="AI262" s="6">
        <f t="shared" si="44"/>
        <v>0</v>
      </c>
      <c r="AK262" s="6">
        <f t="shared" si="45"/>
        <v>0</v>
      </c>
    </row>
    <row r="263" spans="1:37" hidden="1">
      <c r="A263" s="11" t="s">
        <v>679</v>
      </c>
      <c r="B263" s="11"/>
      <c r="C263" s="11" t="s">
        <v>38</v>
      </c>
      <c r="W263" s="2">
        <f>SUM(E263:V263)</f>
        <v>0</v>
      </c>
      <c r="AA263" s="6">
        <v>0</v>
      </c>
      <c r="AG263" s="6">
        <v>0</v>
      </c>
      <c r="AI263" s="6">
        <f>SUM(Y263:AH263)</f>
        <v>0</v>
      </c>
      <c r="AK263" s="6">
        <f t="shared" si="45"/>
        <v>0</v>
      </c>
    </row>
    <row r="264" spans="1:37">
      <c r="A264" s="11" t="s">
        <v>497</v>
      </c>
      <c r="B264" s="11"/>
      <c r="C264" s="11" t="s">
        <v>62</v>
      </c>
      <c r="E264" s="6">
        <v>34675148</v>
      </c>
      <c r="G264" s="6">
        <v>0</v>
      </c>
      <c r="I264" s="6">
        <f>33600+12506424+91071</f>
        <v>12631095</v>
      </c>
      <c r="K264" s="6">
        <v>83865</v>
      </c>
      <c r="M264" s="6">
        <f>500813+8572+229032+132362+29793</f>
        <v>900572</v>
      </c>
      <c r="O264" s="6">
        <v>280836</v>
      </c>
      <c r="Q264" s="6">
        <v>110331</v>
      </c>
      <c r="S264" s="6">
        <v>127234</v>
      </c>
      <c r="U264" s="6">
        <v>217050</v>
      </c>
      <c r="W264" s="2">
        <f t="shared" si="43"/>
        <v>49026131</v>
      </c>
      <c r="Y264" s="6">
        <v>0</v>
      </c>
      <c r="AA264" s="6">
        <v>0</v>
      </c>
      <c r="AC264" s="6">
        <v>0</v>
      </c>
      <c r="AE264" s="6">
        <v>19435</v>
      </c>
      <c r="AG264" s="6">
        <v>0</v>
      </c>
      <c r="AI264" s="6">
        <f t="shared" si="44"/>
        <v>19435</v>
      </c>
      <c r="AK264" s="6">
        <f t="shared" si="45"/>
        <v>49045566</v>
      </c>
    </row>
    <row r="265" spans="1:37">
      <c r="A265" s="11" t="s">
        <v>404</v>
      </c>
      <c r="B265" s="11"/>
      <c r="C265" s="11" t="s">
        <v>45</v>
      </c>
      <c r="E265" s="6">
        <v>3409269</v>
      </c>
      <c r="G265" s="6">
        <v>0</v>
      </c>
      <c r="I265" s="6">
        <f>17370+2990082+57193</f>
        <v>3064645</v>
      </c>
      <c r="K265" s="6">
        <v>1422</v>
      </c>
      <c r="M265" s="6">
        <f>595833+8335</f>
        <v>604168</v>
      </c>
      <c r="O265" s="6">
        <v>23390</v>
      </c>
      <c r="Q265" s="6">
        <v>0</v>
      </c>
      <c r="S265" s="6">
        <v>5905</v>
      </c>
      <c r="U265" s="6">
        <v>32049</v>
      </c>
      <c r="W265" s="2">
        <f t="shared" si="43"/>
        <v>7140848</v>
      </c>
      <c r="Y265" s="6">
        <v>0</v>
      </c>
      <c r="AA265" s="6">
        <v>0</v>
      </c>
      <c r="AC265" s="6">
        <v>0</v>
      </c>
      <c r="AE265" s="6">
        <v>0</v>
      </c>
      <c r="AG265" s="6">
        <v>0</v>
      </c>
      <c r="AI265" s="6">
        <f t="shared" si="44"/>
        <v>0</v>
      </c>
      <c r="AK265" s="6">
        <f t="shared" si="45"/>
        <v>7140848</v>
      </c>
    </row>
    <row r="266" spans="1:37">
      <c r="A266" s="11" t="s">
        <v>460</v>
      </c>
      <c r="B266" s="11"/>
      <c r="C266" s="11" t="s">
        <v>56</v>
      </c>
      <c r="E266" s="6">
        <v>4042585</v>
      </c>
      <c r="G266" s="6">
        <v>0</v>
      </c>
      <c r="I266" s="6">
        <f>6432749+116212</f>
        <v>6548961</v>
      </c>
      <c r="K266" s="6">
        <v>11552</v>
      </c>
      <c r="M266" s="6">
        <f>1190222+3893+14917</f>
        <v>1209032</v>
      </c>
      <c r="O266" s="6">
        <v>25493</v>
      </c>
      <c r="Q266" s="6">
        <v>0</v>
      </c>
      <c r="S266" s="6">
        <v>0</v>
      </c>
      <c r="U266" s="6">
        <v>82121</v>
      </c>
      <c r="W266" s="2">
        <f t="shared" si="43"/>
        <v>11919744</v>
      </c>
      <c r="Y266" s="6">
        <v>0</v>
      </c>
      <c r="AA266" s="6">
        <v>0</v>
      </c>
      <c r="AC266" s="6">
        <v>175243</v>
      </c>
      <c r="AE266" s="6">
        <v>648</v>
      </c>
      <c r="AG266" s="6">
        <v>0</v>
      </c>
      <c r="AI266" s="6">
        <f t="shared" si="44"/>
        <v>175891</v>
      </c>
      <c r="AK266" s="6">
        <f t="shared" si="45"/>
        <v>12095635</v>
      </c>
    </row>
    <row r="267" spans="1:37">
      <c r="A267" s="11" t="s">
        <v>209</v>
      </c>
      <c r="B267" s="11"/>
      <c r="C267" s="11" t="s">
        <v>12</v>
      </c>
      <c r="D267" s="9"/>
      <c r="E267" s="6">
        <v>4944152</v>
      </c>
      <c r="G267" s="6">
        <v>0</v>
      </c>
      <c r="I267" s="6">
        <v>9100009</v>
      </c>
      <c r="K267" s="6">
        <v>2118</v>
      </c>
      <c r="M267" s="6">
        <v>1321317</v>
      </c>
      <c r="O267" s="6">
        <v>121843</v>
      </c>
      <c r="Q267" s="6">
        <v>0</v>
      </c>
      <c r="S267" s="6">
        <v>8559</v>
      </c>
      <c r="U267" s="6">
        <v>63753</v>
      </c>
      <c r="W267" s="2">
        <f t="shared" si="43"/>
        <v>15561751</v>
      </c>
      <c r="Y267" s="6">
        <v>0</v>
      </c>
      <c r="AA267" s="6">
        <v>0</v>
      </c>
      <c r="AC267" s="6">
        <v>0</v>
      </c>
      <c r="AE267" s="6">
        <v>0</v>
      </c>
      <c r="AG267" s="6">
        <v>0</v>
      </c>
      <c r="AI267" s="6">
        <f t="shared" si="44"/>
        <v>0</v>
      </c>
      <c r="AK267" s="6">
        <f t="shared" si="45"/>
        <v>15561751</v>
      </c>
    </row>
    <row r="268" spans="1:37">
      <c r="A268" s="11" t="s">
        <v>397</v>
      </c>
      <c r="B268" s="11"/>
      <c r="C268" s="11" t="s">
        <v>398</v>
      </c>
      <c r="E268" s="6">
        <v>4302023</v>
      </c>
      <c r="G268" s="6">
        <v>773437</v>
      </c>
      <c r="I268" s="6">
        <f>4532317+25544</f>
        <v>4557861</v>
      </c>
      <c r="K268" s="6">
        <v>6096</v>
      </c>
      <c r="M268" s="6">
        <f>765692+24827+3561</f>
        <v>794080</v>
      </c>
      <c r="O268" s="6">
        <v>34016</v>
      </c>
      <c r="Q268" s="6">
        <v>758694</v>
      </c>
      <c r="S268" s="6">
        <v>5294</v>
      </c>
      <c r="U268" s="6">
        <v>8134</v>
      </c>
      <c r="W268" s="2">
        <f t="shared" si="43"/>
        <v>11239635</v>
      </c>
      <c r="Y268" s="6">
        <v>0</v>
      </c>
      <c r="AA268" s="6">
        <v>0</v>
      </c>
      <c r="AC268" s="6">
        <v>0</v>
      </c>
      <c r="AE268" s="6">
        <v>0</v>
      </c>
      <c r="AG268" s="6">
        <v>0</v>
      </c>
      <c r="AI268" s="6">
        <f t="shared" si="44"/>
        <v>0</v>
      </c>
      <c r="AK268" s="6">
        <f t="shared" si="45"/>
        <v>11239635</v>
      </c>
    </row>
    <row r="269" spans="1:37">
      <c r="A269" s="11" t="s">
        <v>680</v>
      </c>
      <c r="B269" s="11"/>
      <c r="C269" s="11" t="s">
        <v>50</v>
      </c>
      <c r="E269" s="6">
        <v>2728609</v>
      </c>
      <c r="G269" s="6">
        <v>0</v>
      </c>
      <c r="I269" s="6">
        <v>4478341</v>
      </c>
      <c r="K269" s="6">
        <v>1305</v>
      </c>
      <c r="M269" s="6">
        <f>437793+1538</f>
        <v>439331</v>
      </c>
      <c r="O269" s="6">
        <v>586</v>
      </c>
      <c r="Q269" s="6">
        <v>6779</v>
      </c>
      <c r="S269" s="6">
        <v>2233</v>
      </c>
      <c r="U269" s="6">
        <v>9384</v>
      </c>
      <c r="W269" s="2">
        <f t="shared" si="43"/>
        <v>7666568</v>
      </c>
      <c r="Y269" s="6">
        <v>0</v>
      </c>
      <c r="AA269" s="6">
        <v>0</v>
      </c>
      <c r="AC269" s="6">
        <v>80527</v>
      </c>
      <c r="AE269" s="6">
        <v>0</v>
      </c>
      <c r="AG269" s="6">
        <v>0</v>
      </c>
      <c r="AI269" s="6">
        <f t="shared" si="44"/>
        <v>80527</v>
      </c>
      <c r="AK269" s="6">
        <f t="shared" si="45"/>
        <v>7747095</v>
      </c>
    </row>
    <row r="270" spans="1:37" hidden="1">
      <c r="A270" s="11" t="s">
        <v>872</v>
      </c>
      <c r="B270" s="11"/>
      <c r="C270" s="11" t="s">
        <v>467</v>
      </c>
      <c r="W270" s="2">
        <f t="shared" si="43"/>
        <v>0</v>
      </c>
      <c r="AA270" s="6">
        <v>0</v>
      </c>
      <c r="AG270" s="6">
        <v>0</v>
      </c>
      <c r="AK270" s="6">
        <f t="shared" si="45"/>
        <v>0</v>
      </c>
    </row>
    <row r="271" spans="1:37">
      <c r="A271" s="11" t="s">
        <v>374</v>
      </c>
      <c r="B271" s="11"/>
      <c r="C271" s="11" t="s">
        <v>42</v>
      </c>
      <c r="E271" s="6">
        <v>6367590</v>
      </c>
      <c r="G271" s="6">
        <v>2260171</v>
      </c>
      <c r="I271" s="6">
        <v>5368522</v>
      </c>
      <c r="K271" s="6">
        <v>33896</v>
      </c>
      <c r="M271" s="6">
        <f>245718+50285+3495</f>
        <v>299498</v>
      </c>
      <c r="O271" s="6">
        <v>49427</v>
      </c>
      <c r="Q271" s="6">
        <v>0</v>
      </c>
      <c r="S271" s="6">
        <v>5975</v>
      </c>
      <c r="U271" s="6">
        <v>51736</v>
      </c>
      <c r="W271" s="2">
        <f t="shared" si="43"/>
        <v>14436815</v>
      </c>
      <c r="Y271" s="6">
        <v>0</v>
      </c>
      <c r="AA271" s="6">
        <v>0</v>
      </c>
      <c r="AC271" s="6">
        <v>0</v>
      </c>
      <c r="AE271" s="6">
        <v>43192</v>
      </c>
      <c r="AG271" s="6">
        <v>0</v>
      </c>
      <c r="AI271" s="6">
        <f t="shared" si="44"/>
        <v>43192</v>
      </c>
      <c r="AK271" s="6">
        <f t="shared" si="45"/>
        <v>14480007</v>
      </c>
    </row>
    <row r="272" spans="1:37">
      <c r="A272" s="11" t="s">
        <v>399</v>
      </c>
      <c r="B272" s="11"/>
      <c r="C272" s="11" t="s">
        <v>398</v>
      </c>
      <c r="E272" s="6">
        <v>5755645</v>
      </c>
      <c r="G272" s="6">
        <v>2047742</v>
      </c>
      <c r="I272" s="6">
        <f>7451038+16768</f>
        <v>7467806</v>
      </c>
      <c r="K272" s="6">
        <v>1679</v>
      </c>
      <c r="M272" s="6">
        <f>879555+105422+7458</f>
        <v>992435</v>
      </c>
      <c r="O272" s="6">
        <v>146283</v>
      </c>
      <c r="Q272" s="6">
        <v>0</v>
      </c>
      <c r="S272" s="6">
        <v>0</v>
      </c>
      <c r="U272" s="6">
        <v>52132</v>
      </c>
      <c r="W272" s="2">
        <f t="shared" si="43"/>
        <v>16463722</v>
      </c>
      <c r="Y272" s="6">
        <v>0</v>
      </c>
      <c r="AA272" s="6">
        <v>0</v>
      </c>
      <c r="AC272" s="6">
        <v>0</v>
      </c>
      <c r="AE272" s="6">
        <v>0</v>
      </c>
      <c r="AG272" s="6">
        <v>0</v>
      </c>
      <c r="AI272" s="6">
        <f t="shared" si="44"/>
        <v>0</v>
      </c>
      <c r="AK272" s="6">
        <f t="shared" si="45"/>
        <v>16463722</v>
      </c>
    </row>
    <row r="273" spans="1:37">
      <c r="A273" s="11" t="s">
        <v>523</v>
      </c>
      <c r="B273" s="11"/>
      <c r="C273" s="11" t="s">
        <v>64</v>
      </c>
      <c r="E273" s="6">
        <v>2808535</v>
      </c>
      <c r="G273" s="6">
        <v>0</v>
      </c>
      <c r="I273" s="6">
        <v>4477950</v>
      </c>
      <c r="K273" s="6">
        <v>5243</v>
      </c>
      <c r="M273" s="6">
        <f>332737+6729</f>
        <v>339466</v>
      </c>
      <c r="O273" s="6">
        <v>12916</v>
      </c>
      <c r="Q273" s="6">
        <v>0</v>
      </c>
      <c r="S273" s="6">
        <v>2500</v>
      </c>
      <c r="U273" s="6">
        <v>768</v>
      </c>
      <c r="W273" s="2">
        <f t="shared" si="43"/>
        <v>7647378</v>
      </c>
      <c r="Y273" s="6">
        <v>17793</v>
      </c>
      <c r="AA273" s="6">
        <v>0</v>
      </c>
      <c r="AC273" s="6">
        <v>0</v>
      </c>
      <c r="AE273" s="6">
        <v>4921</v>
      </c>
      <c r="AG273" s="6">
        <v>0</v>
      </c>
      <c r="AI273" s="6">
        <f t="shared" si="44"/>
        <v>22714</v>
      </c>
      <c r="AK273" s="6">
        <f t="shared" si="45"/>
        <v>7670092</v>
      </c>
    </row>
    <row r="274" spans="1:37" hidden="1">
      <c r="A274" s="10" t="s">
        <v>873</v>
      </c>
      <c r="B274" s="10"/>
      <c r="C274" s="10" t="s">
        <v>467</v>
      </c>
      <c r="E274" s="6">
        <v>0</v>
      </c>
      <c r="G274" s="6">
        <v>0</v>
      </c>
      <c r="I274" s="6">
        <v>0</v>
      </c>
      <c r="K274" s="6">
        <v>0</v>
      </c>
      <c r="M274" s="6">
        <v>0</v>
      </c>
      <c r="O274" s="6">
        <v>0</v>
      </c>
      <c r="Q274" s="6">
        <v>0</v>
      </c>
      <c r="S274" s="6">
        <v>0</v>
      </c>
      <c r="U274" s="6">
        <v>0</v>
      </c>
      <c r="W274" s="2">
        <f t="shared" ref="W274" si="48">SUM(E274:V274)</f>
        <v>0</v>
      </c>
      <c r="Y274" s="6">
        <v>0</v>
      </c>
      <c r="AA274" s="6">
        <v>0</v>
      </c>
      <c r="AC274" s="6">
        <v>0</v>
      </c>
      <c r="AE274" s="6">
        <v>0</v>
      </c>
      <c r="AG274" s="6">
        <v>0</v>
      </c>
      <c r="AI274" s="6">
        <f t="shared" ref="AI274" si="49">SUM(Y274:AH274)</f>
        <v>0</v>
      </c>
      <c r="AK274" s="6">
        <f t="shared" ref="AK274" si="50">+AI274+W274</f>
        <v>0</v>
      </c>
    </row>
    <row r="275" spans="1:37">
      <c r="A275" s="11" t="s">
        <v>287</v>
      </c>
      <c r="B275" s="11"/>
      <c r="C275" s="11" t="s">
        <v>24</v>
      </c>
      <c r="E275" s="6">
        <v>561258</v>
      </c>
      <c r="G275" s="6">
        <v>0</v>
      </c>
      <c r="I275" s="6">
        <v>77991</v>
      </c>
      <c r="K275" s="6">
        <v>2364</v>
      </c>
      <c r="M275" s="6">
        <v>1</v>
      </c>
      <c r="O275" s="6">
        <v>0</v>
      </c>
      <c r="Q275" s="6">
        <v>0</v>
      </c>
      <c r="S275" s="6">
        <v>360</v>
      </c>
      <c r="U275" s="6">
        <v>0</v>
      </c>
      <c r="W275" s="2">
        <f t="shared" si="43"/>
        <v>641974</v>
      </c>
      <c r="Y275" s="6">
        <v>0</v>
      </c>
      <c r="AA275" s="6">
        <v>0</v>
      </c>
      <c r="AC275" s="6">
        <v>0</v>
      </c>
      <c r="AE275" s="6">
        <v>0</v>
      </c>
      <c r="AG275" s="6">
        <v>0</v>
      </c>
      <c r="AI275" s="6">
        <f t="shared" si="44"/>
        <v>0</v>
      </c>
      <c r="AK275" s="6">
        <f t="shared" si="45"/>
        <v>641974</v>
      </c>
    </row>
    <row r="276" spans="1:37">
      <c r="A276" s="11" t="s">
        <v>314</v>
      </c>
      <c r="B276" s="11"/>
      <c r="C276" s="11" t="s">
        <v>30</v>
      </c>
      <c r="E276" s="6">
        <v>24785986</v>
      </c>
      <c r="G276" s="6">
        <v>0</v>
      </c>
      <c r="I276" s="6">
        <v>9459276</v>
      </c>
      <c r="K276" s="6">
        <v>40864</v>
      </c>
      <c r="M276" s="6">
        <v>171328</v>
      </c>
      <c r="O276" s="6">
        <v>115950</v>
      </c>
      <c r="Q276" s="6">
        <v>0</v>
      </c>
      <c r="S276" s="6">
        <v>0</v>
      </c>
      <c r="U276" s="6">
        <v>200451</v>
      </c>
      <c r="W276" s="2">
        <f t="shared" si="43"/>
        <v>34773855</v>
      </c>
      <c r="Y276" s="6">
        <v>0</v>
      </c>
      <c r="AA276" s="6">
        <v>0</v>
      </c>
      <c r="AC276" s="6">
        <v>0</v>
      </c>
      <c r="AE276" s="6">
        <v>0</v>
      </c>
      <c r="AG276" s="6">
        <v>0</v>
      </c>
      <c r="AI276" s="6">
        <f t="shared" si="44"/>
        <v>0</v>
      </c>
      <c r="AK276" s="6">
        <f t="shared" si="45"/>
        <v>34773855</v>
      </c>
    </row>
    <row r="277" spans="1:37">
      <c r="A277" s="11" t="s">
        <v>461</v>
      </c>
      <c r="B277" s="11"/>
      <c r="C277" s="11" t="s">
        <v>56</v>
      </c>
      <c r="E277" s="6">
        <v>20296555</v>
      </c>
      <c r="G277" s="6">
        <v>0</v>
      </c>
      <c r="I277" s="6">
        <v>17018372</v>
      </c>
      <c r="K277" s="6">
        <v>21897</v>
      </c>
      <c r="M277" s="6">
        <f>3147552+51795+202990</f>
        <v>3402337</v>
      </c>
      <c r="O277" s="6">
        <v>43686</v>
      </c>
      <c r="Q277" s="6">
        <v>0</v>
      </c>
      <c r="S277" s="6">
        <v>1400</v>
      </c>
      <c r="U277" s="6">
        <v>60001</v>
      </c>
      <c r="W277" s="2">
        <f t="shared" si="43"/>
        <v>40844248</v>
      </c>
      <c r="Y277" s="6">
        <v>0</v>
      </c>
      <c r="AA277" s="6">
        <v>0</v>
      </c>
      <c r="AC277" s="6">
        <v>0</v>
      </c>
      <c r="AE277" s="6">
        <v>4800</v>
      </c>
      <c r="AG277" s="6">
        <v>0</v>
      </c>
      <c r="AI277" s="6">
        <f t="shared" si="44"/>
        <v>4800</v>
      </c>
      <c r="AK277" s="6">
        <f t="shared" ref="AK277:AK293" si="51">+AI277+W277</f>
        <v>40849048</v>
      </c>
    </row>
    <row r="278" spans="1:37">
      <c r="A278" s="11" t="s">
        <v>341</v>
      </c>
      <c r="B278" s="11"/>
      <c r="C278" s="11" t="s">
        <v>339</v>
      </c>
      <c r="E278" s="6">
        <v>3837364</v>
      </c>
      <c r="G278" s="6">
        <v>2738524</v>
      </c>
      <c r="I278" s="6">
        <v>9709110</v>
      </c>
      <c r="K278" s="6">
        <v>2892</v>
      </c>
      <c r="M278" s="6">
        <v>862396</v>
      </c>
      <c r="O278" s="6">
        <v>0</v>
      </c>
      <c r="Q278" s="6">
        <v>0</v>
      </c>
      <c r="S278" s="6">
        <v>0</v>
      </c>
      <c r="U278" s="6">
        <v>157578</v>
      </c>
      <c r="W278" s="2">
        <f t="shared" si="43"/>
        <v>17307864</v>
      </c>
      <c r="Y278" s="6">
        <v>0</v>
      </c>
      <c r="AA278" s="6">
        <v>0</v>
      </c>
      <c r="AC278" s="6">
        <v>0</v>
      </c>
      <c r="AE278" s="6">
        <v>0</v>
      </c>
      <c r="AG278" s="6">
        <v>0</v>
      </c>
      <c r="AI278" s="6">
        <f t="shared" si="44"/>
        <v>0</v>
      </c>
      <c r="AK278" s="6">
        <f t="shared" si="51"/>
        <v>17307864</v>
      </c>
    </row>
    <row r="279" spans="1:37">
      <c r="A279" s="11" t="s">
        <v>431</v>
      </c>
      <c r="B279" s="11"/>
      <c r="C279" s="11" t="s">
        <v>50</v>
      </c>
      <c r="E279" s="6">
        <v>53984620</v>
      </c>
      <c r="G279" s="6">
        <v>0</v>
      </c>
      <c r="I279" s="6">
        <v>25842381</v>
      </c>
      <c r="K279" s="6">
        <v>113623</v>
      </c>
      <c r="M279" s="6">
        <f>655281+45698+193980</f>
        <v>894959</v>
      </c>
      <c r="O279" s="6">
        <v>295571</v>
      </c>
      <c r="Q279" s="6">
        <v>151425</v>
      </c>
      <c r="S279" s="6">
        <v>0</v>
      </c>
      <c r="U279" s="6">
        <v>1023589</v>
      </c>
      <c r="W279" s="2">
        <f t="shared" si="43"/>
        <v>82306168</v>
      </c>
      <c r="Y279" s="6">
        <v>0</v>
      </c>
      <c r="AA279" s="6">
        <v>0</v>
      </c>
      <c r="AC279" s="6">
        <v>0</v>
      </c>
      <c r="AE279" s="6">
        <v>0</v>
      </c>
      <c r="AG279" s="6">
        <v>0</v>
      </c>
      <c r="AI279" s="6">
        <f t="shared" si="44"/>
        <v>0</v>
      </c>
      <c r="AK279" s="6">
        <f t="shared" si="51"/>
        <v>82306168</v>
      </c>
    </row>
    <row r="280" spans="1:37" s="28" customFormat="1">
      <c r="A280" s="27" t="s">
        <v>637</v>
      </c>
      <c r="B280" s="27"/>
      <c r="C280" s="27" t="s">
        <v>44</v>
      </c>
      <c r="E280" s="28">
        <v>5249981</v>
      </c>
      <c r="G280" s="28">
        <v>0</v>
      </c>
      <c r="I280" s="28">
        <f>7162336+29455</f>
        <v>7191791</v>
      </c>
      <c r="K280" s="28">
        <v>24201</v>
      </c>
      <c r="M280" s="28">
        <f>930521+200+69433+7817+3911</f>
        <v>1011882</v>
      </c>
      <c r="O280" s="28">
        <v>16578</v>
      </c>
      <c r="Q280" s="28">
        <v>0</v>
      </c>
      <c r="S280" s="28">
        <v>0</v>
      </c>
      <c r="U280" s="28">
        <v>337259</v>
      </c>
      <c r="W280" s="30">
        <f t="shared" si="43"/>
        <v>13831692</v>
      </c>
      <c r="Y280" s="28">
        <v>0</v>
      </c>
      <c r="AA280" s="28">
        <v>0</v>
      </c>
      <c r="AC280" s="28">
        <v>0</v>
      </c>
      <c r="AE280" s="28">
        <v>0</v>
      </c>
      <c r="AG280" s="28">
        <v>0</v>
      </c>
      <c r="AI280" s="28">
        <f t="shared" si="44"/>
        <v>0</v>
      </c>
      <c r="AK280" s="28">
        <f t="shared" si="51"/>
        <v>13831692</v>
      </c>
    </row>
    <row r="281" spans="1:37">
      <c r="A281" s="11" t="s">
        <v>721</v>
      </c>
      <c r="B281" s="11"/>
      <c r="C281" s="11" t="s">
        <v>69</v>
      </c>
      <c r="E281" s="6">
        <v>23076130</v>
      </c>
      <c r="G281" s="6">
        <v>0</v>
      </c>
      <c r="I281" s="6">
        <v>12849543</v>
      </c>
      <c r="K281" s="6">
        <v>7702</v>
      </c>
      <c r="M281" s="6">
        <f>718689+115012+19825</f>
        <v>853526</v>
      </c>
      <c r="O281" s="6">
        <v>17870</v>
      </c>
      <c r="Q281" s="6">
        <v>1737271</v>
      </c>
      <c r="S281" s="6">
        <v>264070</v>
      </c>
      <c r="U281" s="6">
        <v>262414</v>
      </c>
      <c r="W281" s="2">
        <f t="shared" si="43"/>
        <v>39068526</v>
      </c>
      <c r="Y281" s="6">
        <v>0</v>
      </c>
      <c r="AA281" s="6">
        <v>0</v>
      </c>
      <c r="AC281" s="6">
        <v>0</v>
      </c>
      <c r="AE281" s="6">
        <v>0</v>
      </c>
      <c r="AG281" s="6">
        <v>0</v>
      </c>
      <c r="AI281" s="6">
        <f t="shared" si="44"/>
        <v>0</v>
      </c>
      <c r="AK281" s="6">
        <f t="shared" si="51"/>
        <v>39068526</v>
      </c>
    </row>
    <row r="282" spans="1:37" s="9" customFormat="1" hidden="1">
      <c r="A282" s="64" t="s">
        <v>693</v>
      </c>
      <c r="B282" s="64"/>
      <c r="C282" s="64" t="s">
        <v>41</v>
      </c>
      <c r="W282" s="2">
        <f t="shared" si="43"/>
        <v>0</v>
      </c>
      <c r="AA282" s="6">
        <v>0</v>
      </c>
      <c r="AG282" s="6">
        <v>0</v>
      </c>
      <c r="AI282" s="9">
        <f t="shared" si="44"/>
        <v>0</v>
      </c>
      <c r="AK282" s="9">
        <f t="shared" si="51"/>
        <v>0</v>
      </c>
    </row>
    <row r="283" spans="1:37">
      <c r="A283" s="11" t="s">
        <v>524</v>
      </c>
      <c r="B283" s="11"/>
      <c r="C283" s="11" t="s">
        <v>64</v>
      </c>
      <c r="E283" s="6">
        <v>2392141</v>
      </c>
      <c r="G283" s="6">
        <v>0</v>
      </c>
      <c r="I283" s="6">
        <v>8385013</v>
      </c>
      <c r="K283" s="6">
        <v>7727</v>
      </c>
      <c r="M283" s="6">
        <f>1256452+30446+53992</f>
        <v>1340890</v>
      </c>
      <c r="O283" s="6">
        <v>76259</v>
      </c>
      <c r="Q283" s="6">
        <v>0</v>
      </c>
      <c r="S283" s="6">
        <v>18608</v>
      </c>
      <c r="U283" s="6">
        <v>68935</v>
      </c>
      <c r="W283" s="2">
        <f t="shared" si="43"/>
        <v>12289573</v>
      </c>
      <c r="Y283" s="6">
        <v>0</v>
      </c>
      <c r="AA283" s="6">
        <v>0</v>
      </c>
      <c r="AC283" s="6">
        <v>0</v>
      </c>
      <c r="AE283" s="6">
        <v>20000</v>
      </c>
      <c r="AG283" s="6">
        <v>0</v>
      </c>
      <c r="AI283" s="6">
        <f t="shared" si="44"/>
        <v>20000</v>
      </c>
      <c r="AK283" s="6">
        <f t="shared" si="51"/>
        <v>12309573</v>
      </c>
    </row>
    <row r="284" spans="1:37">
      <c r="A284" s="11" t="s">
        <v>498</v>
      </c>
      <c r="B284" s="11"/>
      <c r="C284" s="11" t="s">
        <v>62</v>
      </c>
      <c r="E284" s="6">
        <v>11661880</v>
      </c>
      <c r="G284" s="6">
        <v>0</v>
      </c>
      <c r="I284" s="6">
        <v>15626668</v>
      </c>
      <c r="K284" s="6">
        <v>3327</v>
      </c>
      <c r="M284" s="6">
        <f>228984+104248</f>
        <v>333232</v>
      </c>
      <c r="O284" s="6">
        <v>151077</v>
      </c>
      <c r="Q284" s="6">
        <v>0</v>
      </c>
      <c r="S284" s="6">
        <v>5236</v>
      </c>
      <c r="U284" s="6">
        <v>20128</v>
      </c>
      <c r="W284" s="2">
        <f t="shared" si="43"/>
        <v>27801548</v>
      </c>
      <c r="Y284" s="6">
        <v>0</v>
      </c>
      <c r="AA284" s="6">
        <v>0</v>
      </c>
      <c r="AC284" s="6">
        <v>0</v>
      </c>
      <c r="AE284" s="6">
        <v>0</v>
      </c>
      <c r="AG284" s="6">
        <v>0</v>
      </c>
      <c r="AI284" s="6">
        <f t="shared" si="44"/>
        <v>0</v>
      </c>
      <c r="AK284" s="6">
        <f t="shared" si="51"/>
        <v>27801548</v>
      </c>
    </row>
    <row r="285" spans="1:37" hidden="1">
      <c r="A285" s="11" t="s">
        <v>796</v>
      </c>
      <c r="B285" s="11"/>
      <c r="C285" s="11" t="s">
        <v>72</v>
      </c>
      <c r="W285" s="2">
        <f t="shared" si="43"/>
        <v>0</v>
      </c>
      <c r="AA285" s="6">
        <v>0</v>
      </c>
      <c r="AG285" s="6">
        <v>0</v>
      </c>
      <c r="AI285" s="6">
        <f t="shared" si="44"/>
        <v>0</v>
      </c>
      <c r="AK285" s="6">
        <f t="shared" si="51"/>
        <v>0</v>
      </c>
    </row>
    <row r="286" spans="1:37">
      <c r="A286" s="11" t="s">
        <v>525</v>
      </c>
      <c r="B286" s="11"/>
      <c r="C286" s="11" t="s">
        <v>64</v>
      </c>
      <c r="E286" s="6">
        <v>7110387</v>
      </c>
      <c r="G286" s="6">
        <v>0</v>
      </c>
      <c r="I286" s="6">
        <v>7871534</v>
      </c>
      <c r="K286" s="6">
        <v>7931</v>
      </c>
      <c r="M286" s="6">
        <f>687839+18195</f>
        <v>706034</v>
      </c>
      <c r="O286" s="6">
        <v>45740</v>
      </c>
      <c r="Q286" s="6">
        <v>0</v>
      </c>
      <c r="S286" s="6">
        <v>15173</v>
      </c>
      <c r="U286" s="6">
        <v>5221</v>
      </c>
      <c r="W286" s="2">
        <f t="shared" si="43"/>
        <v>15762020</v>
      </c>
      <c r="Y286" s="6">
        <v>0</v>
      </c>
      <c r="AA286" s="6">
        <v>0</v>
      </c>
      <c r="AC286" s="6">
        <v>0</v>
      </c>
      <c r="AE286" s="6">
        <v>0</v>
      </c>
      <c r="AG286" s="6">
        <v>0</v>
      </c>
      <c r="AI286" s="6">
        <f t="shared" si="44"/>
        <v>0</v>
      </c>
      <c r="AK286" s="6">
        <f t="shared" si="51"/>
        <v>15762020</v>
      </c>
    </row>
    <row r="287" spans="1:37">
      <c r="A287" s="11" t="s">
        <v>270</v>
      </c>
      <c r="B287" s="11"/>
      <c r="C287" s="11" t="s">
        <v>20</v>
      </c>
      <c r="E287" s="6">
        <v>38658436</v>
      </c>
      <c r="G287" s="6">
        <v>0</v>
      </c>
      <c r="I287" s="6">
        <f>23988681+285551</f>
        <v>24274232</v>
      </c>
      <c r="K287" s="6">
        <v>143893</v>
      </c>
      <c r="M287" s="6">
        <f>3014644+114308+278750+1209631</f>
        <v>4617333</v>
      </c>
      <c r="O287" s="6">
        <v>497628</v>
      </c>
      <c r="Q287" s="6">
        <v>38454</v>
      </c>
      <c r="S287" s="6">
        <v>50159</v>
      </c>
      <c r="U287" s="6">
        <v>176065</v>
      </c>
      <c r="W287" s="2">
        <f t="shared" si="43"/>
        <v>68456200</v>
      </c>
      <c r="Y287" s="6">
        <v>600000</v>
      </c>
      <c r="AA287" s="6">
        <v>0</v>
      </c>
      <c r="AC287" s="6">
        <v>0</v>
      </c>
      <c r="AE287" s="6">
        <v>0</v>
      </c>
      <c r="AG287" s="6">
        <v>0</v>
      </c>
      <c r="AI287" s="6">
        <f t="shared" si="44"/>
        <v>600000</v>
      </c>
      <c r="AK287" s="6">
        <f t="shared" si="51"/>
        <v>69056200</v>
      </c>
    </row>
    <row r="288" spans="1:37">
      <c r="A288" s="11" t="s">
        <v>630</v>
      </c>
      <c r="B288" s="11"/>
      <c r="C288" s="11" t="s">
        <v>42</v>
      </c>
      <c r="E288" s="6">
        <v>11222832</v>
      </c>
      <c r="G288" s="6">
        <v>0</v>
      </c>
      <c r="I288" s="6">
        <f>8321952+56234</f>
        <v>8378186</v>
      </c>
      <c r="K288" s="6">
        <v>31452</v>
      </c>
      <c r="M288" s="6">
        <f>438497+42551</f>
        <v>481048</v>
      </c>
      <c r="O288" s="6">
        <v>0</v>
      </c>
      <c r="Q288" s="6">
        <v>0</v>
      </c>
      <c r="S288" s="6">
        <v>0</v>
      </c>
      <c r="U288" s="6">
        <v>232750</v>
      </c>
      <c r="W288" s="2">
        <f t="shared" si="43"/>
        <v>20346268</v>
      </c>
      <c r="Y288" s="6">
        <v>0</v>
      </c>
      <c r="AA288" s="6">
        <v>0</v>
      </c>
      <c r="AC288" s="6">
        <v>0</v>
      </c>
      <c r="AE288" s="6">
        <v>23393</v>
      </c>
      <c r="AG288" s="6">
        <v>0</v>
      </c>
      <c r="AI288" s="6">
        <f t="shared" si="44"/>
        <v>23393</v>
      </c>
      <c r="AK288" s="6">
        <f t="shared" si="51"/>
        <v>20369661</v>
      </c>
    </row>
    <row r="289" spans="1:37">
      <c r="A289" s="11" t="s">
        <v>223</v>
      </c>
      <c r="B289" s="11"/>
      <c r="C289" s="11" t="s">
        <v>221</v>
      </c>
      <c r="D289" s="9"/>
      <c r="E289" s="6">
        <v>69841467</v>
      </c>
      <c r="G289" s="6">
        <v>0</v>
      </c>
      <c r="I289" s="6">
        <v>59705843</v>
      </c>
      <c r="K289" s="6">
        <v>92094</v>
      </c>
      <c r="M289" s="6">
        <f>865429+945043</f>
        <v>1810472</v>
      </c>
      <c r="O289" s="6">
        <v>729251</v>
      </c>
      <c r="Q289" s="6">
        <v>9382046</v>
      </c>
      <c r="S289" s="6">
        <v>0</v>
      </c>
      <c r="U289" s="6">
        <v>864075</v>
      </c>
      <c r="W289" s="2">
        <f t="shared" si="43"/>
        <v>142425248</v>
      </c>
      <c r="Y289" s="6">
        <v>0</v>
      </c>
      <c r="AA289" s="6">
        <v>0</v>
      </c>
      <c r="AC289" s="6">
        <v>0</v>
      </c>
      <c r="AE289" s="6">
        <v>198120</v>
      </c>
      <c r="AG289" s="6">
        <v>0</v>
      </c>
      <c r="AI289" s="6">
        <f t="shared" si="44"/>
        <v>198120</v>
      </c>
      <c r="AK289" s="6">
        <f t="shared" si="51"/>
        <v>142623368</v>
      </c>
    </row>
    <row r="290" spans="1:37" hidden="1">
      <c r="A290" s="11" t="s">
        <v>797</v>
      </c>
      <c r="B290" s="11"/>
      <c r="C290" s="11" t="s">
        <v>79</v>
      </c>
      <c r="W290" s="2">
        <f t="shared" si="43"/>
        <v>0</v>
      </c>
      <c r="AA290" s="6">
        <v>0</v>
      </c>
      <c r="AG290" s="6">
        <v>0</v>
      </c>
      <c r="AI290" s="6">
        <f t="shared" si="44"/>
        <v>0</v>
      </c>
      <c r="AK290" s="6">
        <f t="shared" si="51"/>
        <v>0</v>
      </c>
    </row>
    <row r="291" spans="1:37">
      <c r="A291" s="11" t="s">
        <v>295</v>
      </c>
      <c r="B291" s="11"/>
      <c r="C291" s="11" t="s">
        <v>25</v>
      </c>
      <c r="E291" s="6">
        <v>18670963</v>
      </c>
      <c r="G291" s="6">
        <v>10274903</v>
      </c>
      <c r="I291" s="6">
        <v>25062005</v>
      </c>
      <c r="K291" s="6">
        <v>196980</v>
      </c>
      <c r="M291" s="6">
        <f>1044909+130816</f>
        <v>1175725</v>
      </c>
      <c r="O291" s="6">
        <v>232519</v>
      </c>
      <c r="Q291" s="6">
        <v>90883</v>
      </c>
      <c r="S291" s="6">
        <v>36394</v>
      </c>
      <c r="U291" s="6">
        <v>62242</v>
      </c>
      <c r="W291" s="2">
        <f t="shared" si="43"/>
        <v>55802614</v>
      </c>
      <c r="Y291" s="6">
        <v>0</v>
      </c>
      <c r="AA291" s="6">
        <v>0</v>
      </c>
      <c r="AC291" s="6">
        <v>0</v>
      </c>
      <c r="AE291" s="6">
        <v>17677</v>
      </c>
      <c r="AG291" s="6">
        <v>0</v>
      </c>
      <c r="AI291" s="6">
        <f t="shared" si="44"/>
        <v>17677</v>
      </c>
      <c r="AK291" s="6">
        <f t="shared" si="51"/>
        <v>55820291</v>
      </c>
    </row>
    <row r="292" spans="1:37" hidden="1">
      <c r="A292" s="11" t="s">
        <v>729</v>
      </c>
      <c r="B292" s="11"/>
      <c r="C292" s="11" t="s">
        <v>69</v>
      </c>
      <c r="W292" s="2">
        <f>SUM(E292:V292)</f>
        <v>0</v>
      </c>
      <c r="AA292" s="6">
        <v>0</v>
      </c>
      <c r="AG292" s="6">
        <v>0</v>
      </c>
      <c r="AI292" s="6">
        <f>SUM(Y292:AH292)</f>
        <v>0</v>
      </c>
      <c r="AK292" s="6">
        <f t="shared" si="51"/>
        <v>0</v>
      </c>
    </row>
    <row r="293" spans="1:37">
      <c r="A293" s="11" t="s">
        <v>315</v>
      </c>
      <c r="B293" s="11"/>
      <c r="C293" s="11" t="s">
        <v>30</v>
      </c>
      <c r="E293" s="6">
        <v>1917938</v>
      </c>
      <c r="G293" s="6">
        <v>892308</v>
      </c>
      <c r="I293" s="6">
        <v>2468414</v>
      </c>
      <c r="K293" s="6">
        <v>2368</v>
      </c>
      <c r="M293" s="6">
        <f>198336+15279</f>
        <v>213615</v>
      </c>
      <c r="O293" s="6">
        <v>33046</v>
      </c>
      <c r="Q293" s="6">
        <v>0</v>
      </c>
      <c r="S293" s="6">
        <v>12379</v>
      </c>
      <c r="U293" s="6">
        <v>2369</v>
      </c>
      <c r="W293" s="2">
        <f>SUM(E293:V293)</f>
        <v>5542437</v>
      </c>
      <c r="Y293" s="6">
        <v>0</v>
      </c>
      <c r="AA293" s="6">
        <v>0</v>
      </c>
      <c r="AC293" s="6">
        <v>0</v>
      </c>
      <c r="AE293" s="6">
        <v>0</v>
      </c>
      <c r="AG293" s="6">
        <v>0</v>
      </c>
      <c r="AI293" s="6">
        <f>SUM(Y293:AH293)</f>
        <v>0</v>
      </c>
      <c r="AK293" s="6">
        <f t="shared" si="51"/>
        <v>5542437</v>
      </c>
    </row>
    <row r="294" spans="1:37" hidden="1">
      <c r="A294" s="11" t="s">
        <v>763</v>
      </c>
      <c r="B294" s="11"/>
      <c r="C294" s="11" t="s">
        <v>112</v>
      </c>
      <c r="W294" s="2"/>
      <c r="AA294" s="6">
        <v>0</v>
      </c>
      <c r="AG294" s="6">
        <v>0</v>
      </c>
      <c r="AI294" s="6">
        <f>SUM(Y294:AH294)</f>
        <v>0</v>
      </c>
    </row>
    <row r="295" spans="1:37" hidden="1">
      <c r="A295" s="11" t="s">
        <v>681</v>
      </c>
      <c r="B295" s="11"/>
      <c r="C295" s="11" t="s">
        <v>467</v>
      </c>
      <c r="W295" s="2">
        <f>SUM(E295:V295)</f>
        <v>0</v>
      </c>
      <c r="AA295" s="6">
        <v>0</v>
      </c>
      <c r="AG295" s="6">
        <v>0</v>
      </c>
      <c r="AI295" s="6">
        <f>SUM(Y295:AH295)</f>
        <v>0</v>
      </c>
      <c r="AK295" s="6">
        <f t="shared" ref="AK295:AK327" si="52">+AI295+W295</f>
        <v>0</v>
      </c>
    </row>
    <row r="296" spans="1:37" hidden="1">
      <c r="A296" s="11" t="s">
        <v>798</v>
      </c>
      <c r="B296" s="11"/>
      <c r="C296" s="11" t="s">
        <v>110</v>
      </c>
      <c r="W296" s="2">
        <f t="shared" ref="W296:W318" si="53">SUM(E296:V296)</f>
        <v>0</v>
      </c>
      <c r="AA296" s="6">
        <v>0</v>
      </c>
      <c r="AG296" s="6">
        <v>0</v>
      </c>
      <c r="AI296" s="6">
        <f t="shared" ref="AI296:AI318" si="54">SUM(Y296:AH296)</f>
        <v>0</v>
      </c>
      <c r="AK296" s="6">
        <f t="shared" si="52"/>
        <v>0</v>
      </c>
    </row>
    <row r="297" spans="1:37">
      <c r="A297" s="11" t="s">
        <v>799</v>
      </c>
      <c r="B297" s="11"/>
      <c r="C297" s="11" t="s">
        <v>33</v>
      </c>
      <c r="E297" s="6">
        <v>4537958</v>
      </c>
      <c r="G297" s="6">
        <v>1665811</v>
      </c>
      <c r="I297" s="6">
        <v>5718697</v>
      </c>
      <c r="K297" s="6">
        <v>6103</v>
      </c>
      <c r="M297" s="6">
        <f>1161690</f>
        <v>1161690</v>
      </c>
      <c r="O297" s="6">
        <v>0</v>
      </c>
      <c r="Q297" s="6">
        <v>14904</v>
      </c>
      <c r="S297" s="6">
        <v>4030</v>
      </c>
      <c r="U297" s="6">
        <v>85973</v>
      </c>
      <c r="W297" s="2">
        <f>SUM(E297:V297)</f>
        <v>13195166</v>
      </c>
      <c r="Y297" s="6">
        <v>0</v>
      </c>
      <c r="AA297" s="6">
        <v>0</v>
      </c>
      <c r="AC297" s="6">
        <v>0</v>
      </c>
      <c r="AE297" s="6">
        <v>3352</v>
      </c>
      <c r="AG297" s="6">
        <v>0</v>
      </c>
      <c r="AI297" s="6">
        <f>SUM(Y297:AH297)</f>
        <v>3352</v>
      </c>
      <c r="AK297" s="6">
        <f>+AI297+W297</f>
        <v>13198518</v>
      </c>
    </row>
    <row r="298" spans="1:37">
      <c r="A298" s="11" t="s">
        <v>345</v>
      </c>
      <c r="B298" s="11"/>
      <c r="C298" s="11" t="s">
        <v>34</v>
      </c>
      <c r="E298" s="6">
        <v>2487621</v>
      </c>
      <c r="G298" s="6">
        <v>2121315</v>
      </c>
      <c r="I298" s="6">
        <v>5738166</v>
      </c>
      <c r="K298" s="6">
        <v>20182</v>
      </c>
      <c r="M298" s="6">
        <f>1146744+68932+316</f>
        <v>1215992</v>
      </c>
      <c r="O298" s="6">
        <v>7331</v>
      </c>
      <c r="Q298" s="6">
        <v>0</v>
      </c>
      <c r="S298" s="6">
        <v>88289</v>
      </c>
      <c r="U298" s="6">
        <v>26185</v>
      </c>
      <c r="W298" s="2">
        <f t="shared" si="53"/>
        <v>11705081</v>
      </c>
      <c r="Y298" s="6">
        <v>0</v>
      </c>
      <c r="AA298" s="6">
        <v>0</v>
      </c>
      <c r="AC298" s="6">
        <v>0</v>
      </c>
      <c r="AE298" s="6">
        <v>5149</v>
      </c>
      <c r="AG298" s="6">
        <v>0</v>
      </c>
      <c r="AI298" s="6">
        <f t="shared" si="54"/>
        <v>5149</v>
      </c>
      <c r="AK298" s="6">
        <f t="shared" si="52"/>
        <v>11710230</v>
      </c>
    </row>
    <row r="299" spans="1:37">
      <c r="A299" s="11" t="s">
        <v>526</v>
      </c>
      <c r="B299" s="11"/>
      <c r="C299" s="11" t="s">
        <v>64</v>
      </c>
      <c r="E299" s="6">
        <v>6695500</v>
      </c>
      <c r="G299" s="6">
        <v>0</v>
      </c>
      <c r="I299" s="6">
        <v>6387216</v>
      </c>
      <c r="K299" s="6">
        <v>8754</v>
      </c>
      <c r="M299" s="6">
        <v>828657</v>
      </c>
      <c r="O299" s="6">
        <v>0</v>
      </c>
      <c r="Q299" s="6">
        <v>0</v>
      </c>
      <c r="S299" s="6">
        <v>0</v>
      </c>
      <c r="U299" s="6">
        <v>473579</v>
      </c>
      <c r="W299" s="2">
        <f t="shared" si="53"/>
        <v>14393706</v>
      </c>
      <c r="Y299" s="6">
        <v>0</v>
      </c>
      <c r="AA299" s="6">
        <v>0</v>
      </c>
      <c r="AC299" s="6">
        <v>129583</v>
      </c>
      <c r="AE299" s="6">
        <v>0</v>
      </c>
      <c r="AG299" s="6">
        <v>0</v>
      </c>
      <c r="AI299" s="6">
        <f t="shared" si="54"/>
        <v>129583</v>
      </c>
      <c r="AK299" s="6">
        <f t="shared" si="52"/>
        <v>14523289</v>
      </c>
    </row>
    <row r="300" spans="1:37">
      <c r="A300" s="11" t="s">
        <v>744</v>
      </c>
      <c r="B300" s="11"/>
      <c r="C300" s="11" t="s">
        <v>25</v>
      </c>
      <c r="E300" s="6">
        <v>2785000</v>
      </c>
      <c r="G300" s="6">
        <v>3007302</v>
      </c>
      <c r="I300" s="6">
        <v>5825844</v>
      </c>
      <c r="K300" s="6">
        <v>22657</v>
      </c>
      <c r="M300" s="6">
        <f>368693+60</f>
        <v>368753</v>
      </c>
      <c r="O300" s="6">
        <v>11052</v>
      </c>
      <c r="Q300" s="6">
        <v>0</v>
      </c>
      <c r="S300" s="6">
        <v>21968</v>
      </c>
      <c r="U300" s="6">
        <v>94904</v>
      </c>
      <c r="W300" s="2">
        <f t="shared" si="53"/>
        <v>12137480</v>
      </c>
      <c r="Y300" s="6">
        <v>0</v>
      </c>
      <c r="AA300" s="6">
        <v>0</v>
      </c>
      <c r="AC300" s="6">
        <v>0</v>
      </c>
      <c r="AE300" s="6">
        <v>44117</v>
      </c>
      <c r="AG300" s="6">
        <v>0</v>
      </c>
      <c r="AI300" s="6">
        <f t="shared" si="54"/>
        <v>44117</v>
      </c>
      <c r="AK300" s="6">
        <f t="shared" si="52"/>
        <v>12181597</v>
      </c>
    </row>
    <row r="301" spans="1:37" hidden="1">
      <c r="A301" s="11" t="s">
        <v>874</v>
      </c>
      <c r="B301" s="11"/>
      <c r="C301" s="11" t="s">
        <v>42</v>
      </c>
      <c r="E301" s="6">
        <v>0</v>
      </c>
      <c r="G301" s="6">
        <v>0</v>
      </c>
      <c r="I301" s="6">
        <v>0</v>
      </c>
      <c r="K301" s="6">
        <v>0</v>
      </c>
      <c r="M301" s="6">
        <v>0</v>
      </c>
      <c r="O301" s="6">
        <v>0</v>
      </c>
      <c r="Q301" s="6">
        <v>0</v>
      </c>
      <c r="S301" s="6">
        <v>0</v>
      </c>
      <c r="U301" s="6">
        <v>0</v>
      </c>
      <c r="W301" s="2">
        <f t="shared" si="53"/>
        <v>0</v>
      </c>
      <c r="Y301" s="6">
        <v>0</v>
      </c>
      <c r="AA301" s="6">
        <v>0</v>
      </c>
      <c r="AC301" s="6">
        <v>0</v>
      </c>
      <c r="AE301" s="6">
        <v>0</v>
      </c>
      <c r="AG301" s="6">
        <v>0</v>
      </c>
      <c r="AI301" s="6">
        <f t="shared" si="54"/>
        <v>0</v>
      </c>
      <c r="AK301" s="6">
        <f t="shared" si="52"/>
        <v>0</v>
      </c>
    </row>
    <row r="302" spans="1:37">
      <c r="A302" s="11" t="s">
        <v>375</v>
      </c>
      <c r="B302" s="11"/>
      <c r="C302" s="11" t="s">
        <v>42</v>
      </c>
      <c r="E302" s="6">
        <v>3666283</v>
      </c>
      <c r="G302" s="6">
        <v>2002999</v>
      </c>
      <c r="I302" s="6">
        <v>9403779</v>
      </c>
      <c r="K302" s="6">
        <v>12339</v>
      </c>
      <c r="M302" s="6">
        <f>1013859</f>
        <v>1013859</v>
      </c>
      <c r="O302" s="6">
        <v>58104</v>
      </c>
      <c r="Q302" s="6">
        <v>42146</v>
      </c>
      <c r="S302" s="6">
        <v>1841</v>
      </c>
      <c r="U302" s="6">
        <v>164500</v>
      </c>
      <c r="W302" s="2">
        <f t="shared" si="53"/>
        <v>16365850</v>
      </c>
      <c r="Y302" s="6">
        <v>0</v>
      </c>
      <c r="AA302" s="6">
        <v>0</v>
      </c>
      <c r="AC302" s="6">
        <v>0</v>
      </c>
      <c r="AE302" s="6">
        <v>59399</v>
      </c>
      <c r="AG302" s="6">
        <v>0</v>
      </c>
      <c r="AI302" s="6">
        <f t="shared" si="54"/>
        <v>59399</v>
      </c>
      <c r="AK302" s="6">
        <f t="shared" si="52"/>
        <v>16425249</v>
      </c>
    </row>
    <row r="303" spans="1:37" hidden="1">
      <c r="A303" s="11" t="s">
        <v>682</v>
      </c>
      <c r="B303" s="11"/>
      <c r="C303" s="11" t="s">
        <v>10</v>
      </c>
      <c r="W303" s="2">
        <f t="shared" si="53"/>
        <v>0</v>
      </c>
      <c r="AA303" s="6">
        <v>0</v>
      </c>
      <c r="AG303" s="6">
        <v>0</v>
      </c>
      <c r="AI303" s="6">
        <f t="shared" si="54"/>
        <v>0</v>
      </c>
      <c r="AK303" s="6">
        <f t="shared" si="52"/>
        <v>0</v>
      </c>
    </row>
    <row r="304" spans="1:37">
      <c r="A304" s="11" t="s">
        <v>541</v>
      </c>
      <c r="B304" s="11"/>
      <c r="C304" s="11" t="s">
        <v>67</v>
      </c>
      <c r="E304" s="6">
        <v>2177786</v>
      </c>
      <c r="G304" s="6">
        <v>0</v>
      </c>
      <c r="I304" s="6">
        <f>4258443+14229</f>
        <v>4272672</v>
      </c>
      <c r="K304" s="6">
        <v>55656</v>
      </c>
      <c r="M304" s="6">
        <f>1845912+40437+1655</f>
        <v>1888004</v>
      </c>
      <c r="O304" s="6">
        <v>0</v>
      </c>
      <c r="Q304" s="6">
        <v>79000</v>
      </c>
      <c r="S304" s="6">
        <v>13939</v>
      </c>
      <c r="U304" s="6">
        <v>81593</v>
      </c>
      <c r="W304" s="2">
        <f t="shared" si="53"/>
        <v>8568650</v>
      </c>
      <c r="Y304" s="6">
        <v>0</v>
      </c>
      <c r="AA304" s="6">
        <v>0</v>
      </c>
      <c r="AC304" s="6">
        <v>0</v>
      </c>
      <c r="AE304" s="6">
        <v>0</v>
      </c>
      <c r="AG304" s="6">
        <v>0</v>
      </c>
      <c r="AI304" s="6">
        <f t="shared" si="54"/>
        <v>0</v>
      </c>
      <c r="AK304" s="6">
        <f t="shared" si="52"/>
        <v>8568650</v>
      </c>
    </row>
    <row r="305" spans="1:37">
      <c r="A305" s="11" t="s">
        <v>766</v>
      </c>
      <c r="B305" s="11"/>
      <c r="C305" s="11" t="s">
        <v>112</v>
      </c>
      <c r="D305" s="9"/>
      <c r="E305" s="6">
        <v>1523925</v>
      </c>
      <c r="G305" s="6">
        <v>0</v>
      </c>
      <c r="I305" s="6">
        <v>5369653</v>
      </c>
      <c r="K305" s="6">
        <v>46784</v>
      </c>
      <c r="M305" s="6">
        <f>10044+1161681+21432</f>
        <v>1193157</v>
      </c>
      <c r="O305" s="6">
        <v>41202</v>
      </c>
      <c r="Q305" s="6">
        <v>0</v>
      </c>
      <c r="S305" s="6">
        <v>10171</v>
      </c>
      <c r="U305" s="6">
        <v>0</v>
      </c>
      <c r="W305" s="2">
        <f t="shared" si="53"/>
        <v>8184892</v>
      </c>
      <c r="Y305" s="6">
        <v>0</v>
      </c>
      <c r="AA305" s="6">
        <v>0</v>
      </c>
      <c r="AC305" s="6">
        <v>0</v>
      </c>
      <c r="AE305" s="6">
        <v>0</v>
      </c>
      <c r="AG305" s="6">
        <v>0</v>
      </c>
      <c r="AI305" s="6">
        <f t="shared" si="54"/>
        <v>0</v>
      </c>
      <c r="AK305" s="6">
        <f t="shared" si="52"/>
        <v>8184892</v>
      </c>
    </row>
    <row r="306" spans="1:37">
      <c r="A306" s="11" t="s">
        <v>545</v>
      </c>
      <c r="B306" s="11"/>
      <c r="C306" s="11" t="s">
        <v>69</v>
      </c>
      <c r="E306" s="6">
        <v>19765441</v>
      </c>
      <c r="G306" s="6">
        <v>0</v>
      </c>
      <c r="I306" s="6">
        <v>12523706</v>
      </c>
      <c r="K306" s="6">
        <v>33483</v>
      </c>
      <c r="M306" s="6">
        <v>612398</v>
      </c>
      <c r="O306" s="6">
        <v>361750</v>
      </c>
      <c r="Q306" s="6">
        <v>0</v>
      </c>
      <c r="S306" s="6">
        <v>0</v>
      </c>
      <c r="U306" s="6">
        <v>280508</v>
      </c>
      <c r="W306" s="2">
        <f t="shared" si="53"/>
        <v>33577286</v>
      </c>
      <c r="Y306" s="6">
        <v>0</v>
      </c>
      <c r="AA306" s="6">
        <v>0</v>
      </c>
      <c r="AC306" s="6">
        <v>0</v>
      </c>
      <c r="AE306" s="6">
        <v>0</v>
      </c>
      <c r="AG306" s="6">
        <v>0</v>
      </c>
      <c r="AI306" s="6">
        <f t="shared" si="54"/>
        <v>0</v>
      </c>
      <c r="AK306" s="6">
        <f t="shared" si="52"/>
        <v>33577286</v>
      </c>
    </row>
    <row r="307" spans="1:37" hidden="1">
      <c r="A307" s="11" t="s">
        <v>800</v>
      </c>
      <c r="B307" s="11"/>
      <c r="C307" s="11" t="s">
        <v>32</v>
      </c>
      <c r="E307" s="6">
        <v>0</v>
      </c>
      <c r="G307" s="6">
        <v>0</v>
      </c>
      <c r="I307" s="6">
        <v>0</v>
      </c>
      <c r="K307" s="6">
        <v>0</v>
      </c>
      <c r="M307" s="6">
        <v>0</v>
      </c>
      <c r="O307" s="6">
        <v>0</v>
      </c>
      <c r="Q307" s="6">
        <v>0</v>
      </c>
      <c r="S307" s="6">
        <v>0</v>
      </c>
      <c r="U307" s="6">
        <v>0</v>
      </c>
      <c r="W307" s="2">
        <f t="shared" si="53"/>
        <v>0</v>
      </c>
      <c r="Y307" s="6">
        <v>0</v>
      </c>
      <c r="AA307" s="6">
        <v>0</v>
      </c>
      <c r="AG307" s="6">
        <v>0</v>
      </c>
      <c r="AI307" s="6">
        <f t="shared" si="54"/>
        <v>0</v>
      </c>
      <c r="AK307" s="6">
        <f t="shared" si="52"/>
        <v>0</v>
      </c>
    </row>
    <row r="308" spans="1:37">
      <c r="A308" s="11" t="s">
        <v>453</v>
      </c>
      <c r="B308" s="11"/>
      <c r="C308" s="11" t="s">
        <v>54</v>
      </c>
      <c r="E308" s="6">
        <v>5379761</v>
      </c>
      <c r="G308" s="6">
        <v>2239973</v>
      </c>
      <c r="I308" s="6">
        <v>0</v>
      </c>
      <c r="K308" s="6">
        <v>12674</v>
      </c>
      <c r="M308" s="6">
        <f>744457+3007+47131</f>
        <v>794595</v>
      </c>
      <c r="O308" s="6">
        <v>98203</v>
      </c>
      <c r="Q308" s="6">
        <v>0</v>
      </c>
      <c r="S308" s="6">
        <v>3065</v>
      </c>
      <c r="U308" s="6">
        <f>7646+8847593+36514</f>
        <v>8891753</v>
      </c>
      <c r="W308" s="2">
        <f t="shared" si="53"/>
        <v>17420024</v>
      </c>
      <c r="Y308" s="6">
        <v>53050</v>
      </c>
      <c r="AA308" s="6">
        <v>0</v>
      </c>
      <c r="AC308" s="6">
        <v>0</v>
      </c>
      <c r="AE308" s="6">
        <v>0</v>
      </c>
      <c r="AG308" s="6">
        <v>0</v>
      </c>
      <c r="AI308" s="6">
        <f t="shared" si="54"/>
        <v>53050</v>
      </c>
      <c r="AK308" s="6">
        <f t="shared" si="52"/>
        <v>17473074</v>
      </c>
    </row>
    <row r="309" spans="1:37">
      <c r="A309" s="11" t="s">
        <v>352</v>
      </c>
      <c r="B309" s="11"/>
      <c r="C309" s="11" t="s">
        <v>35</v>
      </c>
      <c r="E309" s="6">
        <v>8286040</v>
      </c>
      <c r="G309" s="6">
        <v>0</v>
      </c>
      <c r="I309" s="6">
        <f>21645120+290151</f>
        <v>21935271</v>
      </c>
      <c r="K309" s="6">
        <v>302972</v>
      </c>
      <c r="M309" s="6">
        <f>1190777+2500</f>
        <v>1193277</v>
      </c>
      <c r="O309" s="6">
        <v>59954</v>
      </c>
      <c r="Q309" s="6">
        <v>0</v>
      </c>
      <c r="S309" s="6">
        <v>0</v>
      </c>
      <c r="U309" s="6">
        <f>72511</f>
        <v>72511</v>
      </c>
      <c r="W309" s="2">
        <f t="shared" si="53"/>
        <v>31850025</v>
      </c>
      <c r="Y309" s="6">
        <v>0</v>
      </c>
      <c r="AA309" s="6">
        <v>0</v>
      </c>
      <c r="AC309" s="6">
        <v>78758</v>
      </c>
      <c r="AE309" s="6">
        <v>5671</v>
      </c>
      <c r="AG309" s="6">
        <v>0</v>
      </c>
      <c r="AI309" s="6">
        <f t="shared" si="54"/>
        <v>84429</v>
      </c>
      <c r="AK309" s="6">
        <f t="shared" si="52"/>
        <v>31934454</v>
      </c>
    </row>
    <row r="310" spans="1:37">
      <c r="A310" s="11" t="s">
        <v>400</v>
      </c>
      <c r="B310" s="11"/>
      <c r="C310" s="11" t="s">
        <v>398</v>
      </c>
      <c r="E310" s="6">
        <v>5624702</v>
      </c>
      <c r="G310" s="6">
        <v>3384833</v>
      </c>
      <c r="I310" s="6">
        <v>8631234</v>
      </c>
      <c r="K310" s="6">
        <v>10068</v>
      </c>
      <c r="M310" s="6">
        <f>431647+1611577</f>
        <v>2043224</v>
      </c>
      <c r="O310" s="6">
        <v>48053</v>
      </c>
      <c r="Q310" s="6">
        <v>159134</v>
      </c>
      <c r="S310" s="6">
        <v>19738</v>
      </c>
      <c r="U310" s="6">
        <v>186795</v>
      </c>
      <c r="W310" s="2">
        <f t="shared" si="53"/>
        <v>20107781</v>
      </c>
      <c r="Y310" s="6">
        <v>773</v>
      </c>
      <c r="AA310" s="6">
        <v>0</v>
      </c>
      <c r="AC310" s="6">
        <v>0</v>
      </c>
      <c r="AE310" s="6">
        <f>500+9943</f>
        <v>10443</v>
      </c>
      <c r="AG310" s="6">
        <v>0</v>
      </c>
      <c r="AI310" s="6">
        <f t="shared" si="54"/>
        <v>11216</v>
      </c>
      <c r="AK310" s="6">
        <f t="shared" si="52"/>
        <v>20118997</v>
      </c>
    </row>
    <row r="311" spans="1:37">
      <c r="A311" s="11" t="s">
        <v>386</v>
      </c>
      <c r="B311" s="11"/>
      <c r="C311" s="11" t="s">
        <v>44</v>
      </c>
      <c r="E311" s="6">
        <v>16221732</v>
      </c>
      <c r="G311" s="6">
        <v>0</v>
      </c>
      <c r="I311" s="6">
        <v>68770483</v>
      </c>
      <c r="K311" s="6">
        <v>160491</v>
      </c>
      <c r="M311" s="6">
        <f>1120029+40219+147649</f>
        <v>1307897</v>
      </c>
      <c r="O311" s="6">
        <v>173563</v>
      </c>
      <c r="Q311" s="6">
        <v>33091</v>
      </c>
      <c r="S311" s="6">
        <v>2095</v>
      </c>
      <c r="U311" s="6">
        <v>112424</v>
      </c>
      <c r="W311" s="2">
        <f t="shared" si="53"/>
        <v>86781776</v>
      </c>
      <c r="Y311" s="6">
        <v>0</v>
      </c>
      <c r="AA311" s="6">
        <v>0</v>
      </c>
      <c r="AC311" s="6">
        <v>0</v>
      </c>
      <c r="AE311" s="6">
        <v>40303</v>
      </c>
      <c r="AG311" s="6">
        <v>0</v>
      </c>
      <c r="AI311" s="6">
        <f t="shared" si="54"/>
        <v>40303</v>
      </c>
      <c r="AK311" s="6">
        <f t="shared" si="52"/>
        <v>86822079</v>
      </c>
    </row>
    <row r="312" spans="1:37">
      <c r="A312" s="11" t="s">
        <v>527</v>
      </c>
      <c r="B312" s="11"/>
      <c r="C312" s="11" t="s">
        <v>64</v>
      </c>
      <c r="E312" s="6">
        <v>3315871</v>
      </c>
      <c r="G312" s="6">
        <v>0</v>
      </c>
      <c r="I312" s="6">
        <v>2460835</v>
      </c>
      <c r="K312" s="6">
        <v>458</v>
      </c>
      <c r="M312" s="6">
        <f>386725+13187+56577</f>
        <v>456489</v>
      </c>
      <c r="O312" s="6">
        <v>22009</v>
      </c>
      <c r="Q312" s="6">
        <v>0</v>
      </c>
      <c r="S312" s="6">
        <v>162</v>
      </c>
      <c r="U312" s="6">
        <v>188115</v>
      </c>
      <c r="W312" s="2">
        <f t="shared" si="53"/>
        <v>6443939</v>
      </c>
      <c r="Y312" s="6">
        <v>0</v>
      </c>
      <c r="AA312" s="6">
        <v>0</v>
      </c>
      <c r="AC312" s="6">
        <v>0</v>
      </c>
      <c r="AE312" s="6">
        <v>0</v>
      </c>
      <c r="AG312" s="6">
        <v>0</v>
      </c>
      <c r="AI312" s="6">
        <f t="shared" si="54"/>
        <v>0</v>
      </c>
      <c r="AK312" s="6">
        <f t="shared" si="52"/>
        <v>6443939</v>
      </c>
    </row>
    <row r="313" spans="1:37">
      <c r="A313" s="11" t="s">
        <v>683</v>
      </c>
      <c r="B313" s="11"/>
      <c r="C313" s="11" t="s">
        <v>11</v>
      </c>
      <c r="D313" s="9"/>
      <c r="E313" s="6">
        <v>4339400</v>
      </c>
      <c r="G313" s="6">
        <v>1530444</v>
      </c>
      <c r="I313" s="6">
        <f>4913426+42676</f>
        <v>4956102</v>
      </c>
      <c r="K313" s="6">
        <v>13083</v>
      </c>
      <c r="M313" s="6">
        <f>384992+3678+28747+186</f>
        <v>417603</v>
      </c>
      <c r="O313" s="6">
        <v>36032</v>
      </c>
      <c r="Q313" s="6">
        <v>0</v>
      </c>
      <c r="S313" s="6">
        <v>0</v>
      </c>
      <c r="U313" s="6">
        <v>10624</v>
      </c>
      <c r="W313" s="2">
        <f t="shared" si="53"/>
        <v>11303288</v>
      </c>
      <c r="Y313" s="6">
        <v>0</v>
      </c>
      <c r="AA313" s="6">
        <v>0</v>
      </c>
      <c r="AC313" s="6">
        <v>0</v>
      </c>
      <c r="AE313" s="6">
        <v>10961</v>
      </c>
      <c r="AG313" s="6">
        <v>0</v>
      </c>
      <c r="AI313" s="6">
        <f t="shared" si="54"/>
        <v>10961</v>
      </c>
      <c r="AK313" s="6">
        <f t="shared" si="52"/>
        <v>11314249</v>
      </c>
    </row>
    <row r="314" spans="1:37">
      <c r="A314" s="11" t="s">
        <v>499</v>
      </c>
      <c r="B314" s="11"/>
      <c r="C314" s="11" t="s">
        <v>62</v>
      </c>
      <c r="E314" s="6">
        <v>5853279</v>
      </c>
      <c r="G314" s="6">
        <v>0</v>
      </c>
      <c r="I314" s="6">
        <v>15344973</v>
      </c>
      <c r="K314" s="6">
        <v>3572</v>
      </c>
      <c r="M314" s="6">
        <f>882463+11488+9653</f>
        <v>903604</v>
      </c>
      <c r="O314" s="6">
        <v>120023</v>
      </c>
      <c r="Q314" s="6">
        <v>2722</v>
      </c>
      <c r="S314" s="6">
        <v>10383</v>
      </c>
      <c r="U314" s="6">
        <v>136358</v>
      </c>
      <c r="W314" s="2">
        <f t="shared" si="53"/>
        <v>22374914</v>
      </c>
      <c r="Y314" s="6">
        <v>0</v>
      </c>
      <c r="AA314" s="6">
        <v>0</v>
      </c>
      <c r="AC314" s="6">
        <v>0</v>
      </c>
      <c r="AE314" s="6">
        <v>65058</v>
      </c>
      <c r="AG314" s="6">
        <v>0</v>
      </c>
      <c r="AI314" s="6">
        <f t="shared" si="54"/>
        <v>65058</v>
      </c>
      <c r="AK314" s="6">
        <f t="shared" si="52"/>
        <v>22439972</v>
      </c>
    </row>
    <row r="315" spans="1:37">
      <c r="A315" s="11" t="s">
        <v>324</v>
      </c>
      <c r="B315" s="11"/>
      <c r="C315" s="11" t="s">
        <v>32</v>
      </c>
      <c r="E315" s="6">
        <v>22350370</v>
      </c>
      <c r="G315" s="6">
        <v>0</v>
      </c>
      <c r="I315" s="6">
        <v>13917197</v>
      </c>
      <c r="K315" s="6">
        <v>36324</v>
      </c>
      <c r="M315" s="6">
        <f>724529+37470</f>
        <v>761999</v>
      </c>
      <c r="O315" s="6">
        <v>291152</v>
      </c>
      <c r="Q315" s="6">
        <v>125754</v>
      </c>
      <c r="S315" s="6">
        <v>0</v>
      </c>
      <c r="U315" s="6">
        <v>314663</v>
      </c>
      <c r="W315" s="2">
        <f t="shared" si="53"/>
        <v>37797459</v>
      </c>
      <c r="Y315" s="6">
        <v>0</v>
      </c>
      <c r="AA315" s="6">
        <v>0</v>
      </c>
      <c r="AC315" s="6">
        <v>0</v>
      </c>
      <c r="AE315" s="6">
        <v>0</v>
      </c>
      <c r="AG315" s="6">
        <v>0</v>
      </c>
      <c r="AI315" s="6">
        <f t="shared" si="54"/>
        <v>0</v>
      </c>
      <c r="AK315" s="6">
        <f t="shared" si="52"/>
        <v>37797459</v>
      </c>
    </row>
    <row r="316" spans="1:37">
      <c r="A316" s="11" t="s">
        <v>684</v>
      </c>
      <c r="B316" s="11"/>
      <c r="C316" s="11" t="s">
        <v>45</v>
      </c>
      <c r="E316" s="6">
        <v>841543</v>
      </c>
      <c r="G316" s="6">
        <v>0</v>
      </c>
      <c r="I316" s="6">
        <v>2281131</v>
      </c>
      <c r="K316" s="6">
        <v>20471</v>
      </c>
      <c r="M316" s="6">
        <f>1545131+480</f>
        <v>1545611</v>
      </c>
      <c r="O316" s="6">
        <v>9283</v>
      </c>
      <c r="Q316" s="6">
        <v>0</v>
      </c>
      <c r="S316" s="6">
        <v>4665</v>
      </c>
      <c r="U316" s="6">
        <v>13584</v>
      </c>
      <c r="W316" s="2">
        <f t="shared" si="53"/>
        <v>4716288</v>
      </c>
      <c r="Y316" s="6">
        <v>0</v>
      </c>
      <c r="AA316" s="6">
        <v>0</v>
      </c>
      <c r="AC316" s="6">
        <v>0</v>
      </c>
      <c r="AE316" s="6">
        <v>0</v>
      </c>
      <c r="AG316" s="6">
        <v>0</v>
      </c>
      <c r="AI316" s="6">
        <f t="shared" si="54"/>
        <v>0</v>
      </c>
      <c r="AK316" s="6">
        <f t="shared" si="52"/>
        <v>4716288</v>
      </c>
    </row>
    <row r="317" spans="1:37">
      <c r="A317" s="11" t="s">
        <v>801</v>
      </c>
      <c r="B317" s="11"/>
      <c r="C317" s="11" t="s">
        <v>110</v>
      </c>
      <c r="E317" s="6">
        <v>2622252</v>
      </c>
      <c r="G317" s="6">
        <v>0</v>
      </c>
      <c r="I317" s="6">
        <f>2352325+4400</f>
        <v>2356725</v>
      </c>
      <c r="K317" s="6">
        <v>92306</v>
      </c>
      <c r="M317" s="6">
        <f>216954+13539+766</f>
        <v>231259</v>
      </c>
      <c r="O317" s="6">
        <v>24511</v>
      </c>
      <c r="Q317" s="6">
        <v>0</v>
      </c>
      <c r="S317" s="6">
        <v>4473</v>
      </c>
      <c r="U317" s="6">
        <v>50755</v>
      </c>
      <c r="W317" s="2">
        <f t="shared" si="53"/>
        <v>5382281</v>
      </c>
      <c r="Y317" s="6">
        <v>134045</v>
      </c>
      <c r="AA317" s="6">
        <v>0</v>
      </c>
      <c r="AC317" s="6">
        <v>0</v>
      </c>
      <c r="AE317" s="6">
        <v>0</v>
      </c>
      <c r="AG317" s="6">
        <v>0</v>
      </c>
      <c r="AI317" s="6">
        <f t="shared" si="54"/>
        <v>134045</v>
      </c>
      <c r="AK317" s="6">
        <f t="shared" si="52"/>
        <v>5516326</v>
      </c>
    </row>
    <row r="318" spans="1:37">
      <c r="A318" s="11" t="s">
        <v>351</v>
      </c>
      <c r="B318" s="11"/>
      <c r="C318" s="11" t="s">
        <v>348</v>
      </c>
      <c r="E318" s="6">
        <v>1802403</v>
      </c>
      <c r="G318" s="6">
        <v>0</v>
      </c>
      <c r="I318" s="6">
        <v>8246174</v>
      </c>
      <c r="K318" s="6">
        <v>57662</v>
      </c>
      <c r="M318" s="6">
        <f>732060+545</f>
        <v>732605</v>
      </c>
      <c r="O318" s="6">
        <v>4535</v>
      </c>
      <c r="Q318" s="6">
        <v>0</v>
      </c>
      <c r="S318" s="6">
        <v>12852</v>
      </c>
      <c r="U318" s="6">
        <v>108591</v>
      </c>
      <c r="W318" s="2">
        <f t="shared" si="53"/>
        <v>10964822</v>
      </c>
      <c r="Y318" s="6">
        <v>0</v>
      </c>
      <c r="AA318" s="6">
        <v>0</v>
      </c>
      <c r="AC318" s="6">
        <v>195303</v>
      </c>
      <c r="AE318" s="6">
        <v>0</v>
      </c>
      <c r="AG318" s="6">
        <v>0</v>
      </c>
      <c r="AI318" s="6">
        <f t="shared" si="54"/>
        <v>195303</v>
      </c>
      <c r="AK318" s="6">
        <f t="shared" si="52"/>
        <v>11160125</v>
      </c>
    </row>
    <row r="319" spans="1:37">
      <c r="A319" s="11" t="s">
        <v>711</v>
      </c>
      <c r="B319" s="11"/>
      <c r="C319" s="11" t="s">
        <v>50</v>
      </c>
      <c r="E319" s="6">
        <v>8389203</v>
      </c>
      <c r="G319" s="6">
        <v>0</v>
      </c>
      <c r="I319" s="6">
        <v>24652424</v>
      </c>
      <c r="K319" s="6">
        <v>64824</v>
      </c>
      <c r="M319" s="6">
        <f>1649393+83</f>
        <v>1649476</v>
      </c>
      <c r="O319" s="6">
        <v>110959</v>
      </c>
      <c r="Q319" s="6">
        <v>0</v>
      </c>
      <c r="S319" s="6">
        <v>0</v>
      </c>
      <c r="U319" s="6">
        <v>149534</v>
      </c>
      <c r="W319" s="2">
        <f t="shared" ref="W319:W373" si="55">SUM(E319:V319)</f>
        <v>35016420</v>
      </c>
      <c r="Y319" s="6">
        <v>0</v>
      </c>
      <c r="AA319" s="6">
        <v>0</v>
      </c>
      <c r="AC319" s="6">
        <v>0</v>
      </c>
      <c r="AE319" s="6">
        <v>22961</v>
      </c>
      <c r="AG319" s="6">
        <v>0</v>
      </c>
      <c r="AI319" s="6">
        <f t="shared" ref="AI319:AI365" si="56">SUM(Y319:AH319)</f>
        <v>22961</v>
      </c>
      <c r="AK319" s="6">
        <f t="shared" si="52"/>
        <v>35039381</v>
      </c>
    </row>
    <row r="320" spans="1:37">
      <c r="A320" s="11" t="s">
        <v>325</v>
      </c>
      <c r="B320" s="11"/>
      <c r="C320" s="11" t="s">
        <v>32</v>
      </c>
      <c r="E320" s="6">
        <v>11566171</v>
      </c>
      <c r="G320" s="6">
        <v>0</v>
      </c>
      <c r="I320" s="6">
        <v>4401928</v>
      </c>
      <c r="K320" s="6">
        <v>14513</v>
      </c>
      <c r="M320" s="6">
        <f>147794+583907</f>
        <v>731701</v>
      </c>
      <c r="O320" s="6">
        <v>147835</v>
      </c>
      <c r="Q320" s="6">
        <v>105000</v>
      </c>
      <c r="S320" s="6">
        <v>0</v>
      </c>
      <c r="U320" s="6">
        <f>76406</f>
        <v>76406</v>
      </c>
      <c r="W320" s="2">
        <f t="shared" si="55"/>
        <v>17043554</v>
      </c>
      <c r="Y320" s="6">
        <v>0</v>
      </c>
      <c r="AA320" s="6">
        <v>0</v>
      </c>
      <c r="AC320" s="6">
        <v>366480</v>
      </c>
      <c r="AE320" s="6">
        <v>0</v>
      </c>
      <c r="AG320" s="6">
        <v>0</v>
      </c>
      <c r="AI320" s="6">
        <f t="shared" si="56"/>
        <v>366480</v>
      </c>
      <c r="AK320" s="6">
        <f t="shared" si="52"/>
        <v>17410034</v>
      </c>
    </row>
    <row r="321" spans="1:37">
      <c r="A321" s="11" t="s">
        <v>224</v>
      </c>
      <c r="B321" s="11"/>
      <c r="C321" s="11" t="s">
        <v>221</v>
      </c>
      <c r="D321" s="9"/>
      <c r="E321" s="6">
        <v>4714770</v>
      </c>
      <c r="G321" s="6">
        <v>0</v>
      </c>
      <c r="I321" s="6">
        <f>6250596+19102</f>
        <v>6269698</v>
      </c>
      <c r="K321" s="6">
        <v>1780</v>
      </c>
      <c r="M321" s="6">
        <f>966215+51412</f>
        <v>1017627</v>
      </c>
      <c r="O321" s="6">
        <v>59827</v>
      </c>
      <c r="Q321" s="6">
        <v>0</v>
      </c>
      <c r="S321" s="6">
        <v>0</v>
      </c>
      <c r="U321" s="6">
        <v>139027</v>
      </c>
      <c r="W321" s="2">
        <f t="shared" si="55"/>
        <v>12202729</v>
      </c>
      <c r="Y321" s="6">
        <v>0</v>
      </c>
      <c r="AA321" s="6">
        <v>0</v>
      </c>
      <c r="AC321" s="6">
        <v>0</v>
      </c>
      <c r="AE321" s="6">
        <v>0</v>
      </c>
      <c r="AG321" s="6">
        <v>0</v>
      </c>
      <c r="AI321" s="6">
        <f t="shared" si="56"/>
        <v>0</v>
      </c>
      <c r="AK321" s="6">
        <f t="shared" si="52"/>
        <v>12202729</v>
      </c>
    </row>
    <row r="322" spans="1:37" hidden="1">
      <c r="A322" s="11" t="s">
        <v>730</v>
      </c>
      <c r="B322" s="11"/>
      <c r="C322" s="11" t="s">
        <v>41</v>
      </c>
      <c r="D322" s="9"/>
      <c r="E322" s="6">
        <v>0</v>
      </c>
      <c r="G322" s="6">
        <v>0</v>
      </c>
      <c r="I322" s="6">
        <v>0</v>
      </c>
      <c r="K322" s="6">
        <v>0</v>
      </c>
      <c r="M322" s="6">
        <v>0</v>
      </c>
      <c r="O322" s="6">
        <v>0</v>
      </c>
      <c r="Q322" s="6">
        <v>0</v>
      </c>
      <c r="S322" s="6">
        <v>0</v>
      </c>
      <c r="U322" s="6">
        <v>0</v>
      </c>
      <c r="W322" s="2">
        <f t="shared" si="55"/>
        <v>0</v>
      </c>
      <c r="Y322" s="6">
        <v>0</v>
      </c>
      <c r="AA322" s="6">
        <v>0</v>
      </c>
      <c r="AG322" s="6">
        <v>0</v>
      </c>
      <c r="AI322" s="6">
        <f t="shared" si="56"/>
        <v>0</v>
      </c>
      <c r="AK322" s="6">
        <f t="shared" si="52"/>
        <v>0</v>
      </c>
    </row>
    <row r="323" spans="1:37">
      <c r="A323" s="11" t="s">
        <v>224</v>
      </c>
      <c r="B323" s="11"/>
      <c r="C323" s="11" t="s">
        <v>110</v>
      </c>
      <c r="E323" s="6">
        <v>9595542</v>
      </c>
      <c r="G323" s="6">
        <v>0</v>
      </c>
      <c r="I323" s="6">
        <f>17208610+9139</f>
        <v>17217749</v>
      </c>
      <c r="K323" s="6">
        <v>61104</v>
      </c>
      <c r="M323" s="6">
        <f>1411419+17690+5+115612+97509+3320</f>
        <v>1645555</v>
      </c>
      <c r="O323" s="6">
        <v>4322</v>
      </c>
      <c r="Q323" s="6">
        <v>315784</v>
      </c>
      <c r="S323" s="6">
        <v>5</v>
      </c>
      <c r="U323" s="6">
        <v>237828</v>
      </c>
      <c r="W323" s="2">
        <f t="shared" si="55"/>
        <v>29077889</v>
      </c>
      <c r="Y323" s="6">
        <v>0</v>
      </c>
      <c r="AA323" s="6">
        <v>0</v>
      </c>
      <c r="AC323" s="6">
        <v>0</v>
      </c>
      <c r="AE323" s="6">
        <v>0</v>
      </c>
      <c r="AG323" s="6">
        <v>0</v>
      </c>
      <c r="AI323" s="6">
        <f t="shared" si="56"/>
        <v>0</v>
      </c>
      <c r="AK323" s="6">
        <f t="shared" si="52"/>
        <v>29077889</v>
      </c>
    </row>
    <row r="324" spans="1:37">
      <c r="A324" s="11" t="s">
        <v>694</v>
      </c>
      <c r="B324" s="11"/>
      <c r="C324" s="11" t="s">
        <v>398</v>
      </c>
      <c r="E324" s="6">
        <v>5380986</v>
      </c>
      <c r="G324" s="6">
        <v>0</v>
      </c>
      <c r="I324" s="6">
        <v>6114385</v>
      </c>
      <c r="K324" s="6">
        <v>33187</v>
      </c>
      <c r="M324" s="6">
        <f>939670+46570</f>
        <v>986240</v>
      </c>
      <c r="O324" s="6">
        <v>12067</v>
      </c>
      <c r="Q324" s="6">
        <v>11170</v>
      </c>
      <c r="S324" s="6">
        <v>11376</v>
      </c>
      <c r="U324" s="6">
        <v>167128</v>
      </c>
      <c r="W324" s="2">
        <f t="shared" si="55"/>
        <v>12716539</v>
      </c>
      <c r="Y324" s="6">
        <v>17</v>
      </c>
      <c r="AA324" s="6">
        <v>0</v>
      </c>
      <c r="AC324" s="6">
        <v>0</v>
      </c>
      <c r="AE324" s="6">
        <v>21442</v>
      </c>
      <c r="AG324" s="6">
        <v>0</v>
      </c>
      <c r="AI324" s="6">
        <f t="shared" si="56"/>
        <v>21459</v>
      </c>
      <c r="AK324" s="6">
        <f t="shared" si="52"/>
        <v>12737998</v>
      </c>
    </row>
    <row r="325" spans="1:37">
      <c r="A325" s="11" t="s">
        <v>605</v>
      </c>
      <c r="B325" s="11"/>
      <c r="C325" s="11" t="s">
        <v>200</v>
      </c>
      <c r="E325" s="6">
        <v>7056628</v>
      </c>
      <c r="G325" s="6">
        <v>0</v>
      </c>
      <c r="I325" s="6">
        <v>3929332</v>
      </c>
      <c r="K325" s="6">
        <v>26685</v>
      </c>
      <c r="M325" s="6">
        <f>552400+1041</f>
        <v>553441</v>
      </c>
      <c r="O325" s="6">
        <v>0</v>
      </c>
      <c r="Q325" s="6">
        <v>0</v>
      </c>
      <c r="S325" s="6">
        <v>0</v>
      </c>
      <c r="U325" s="6">
        <v>40503</v>
      </c>
      <c r="W325" s="2">
        <f t="shared" si="55"/>
        <v>11606589</v>
      </c>
      <c r="Y325" s="6">
        <v>0</v>
      </c>
      <c r="AA325" s="6">
        <v>0</v>
      </c>
      <c r="AC325" s="6">
        <v>0</v>
      </c>
      <c r="AE325" s="6">
        <v>0</v>
      </c>
      <c r="AG325" s="6">
        <v>0</v>
      </c>
      <c r="AI325" s="6">
        <f t="shared" si="56"/>
        <v>0</v>
      </c>
      <c r="AK325" s="6">
        <f t="shared" si="52"/>
        <v>11606589</v>
      </c>
    </row>
    <row r="326" spans="1:37" hidden="1">
      <c r="A326" s="11" t="s">
        <v>805</v>
      </c>
      <c r="B326" s="11"/>
      <c r="C326" s="11" t="s">
        <v>63</v>
      </c>
      <c r="E326" s="6">
        <v>0</v>
      </c>
      <c r="G326" s="6">
        <v>0</v>
      </c>
      <c r="I326" s="6">
        <v>0</v>
      </c>
      <c r="K326" s="6">
        <v>0</v>
      </c>
      <c r="M326" s="6">
        <v>0</v>
      </c>
      <c r="O326" s="6">
        <v>0</v>
      </c>
      <c r="Q326" s="6">
        <v>0</v>
      </c>
      <c r="S326" s="6">
        <v>0</v>
      </c>
      <c r="U326" s="6">
        <v>0</v>
      </c>
      <c r="W326" s="2">
        <f t="shared" ref="W326" si="57">SUM(E326:V326)</f>
        <v>0</v>
      </c>
      <c r="Y326" s="6">
        <v>0</v>
      </c>
      <c r="AA326" s="6">
        <v>0</v>
      </c>
      <c r="AG326" s="6">
        <v>0</v>
      </c>
      <c r="AI326" s="6">
        <f t="shared" ref="AI326" si="58">SUM(Y326:AH326)</f>
        <v>0</v>
      </c>
      <c r="AK326" s="6">
        <f t="shared" ref="AK326" si="59">+AI326+W326</f>
        <v>0</v>
      </c>
    </row>
    <row r="327" spans="1:37">
      <c r="A327" s="11" t="s">
        <v>469</v>
      </c>
      <c r="B327" s="11"/>
      <c r="C327" s="11" t="s">
        <v>110</v>
      </c>
      <c r="E327" s="6">
        <v>16174181</v>
      </c>
      <c r="G327" s="6">
        <v>0</v>
      </c>
      <c r="I327" s="6">
        <f>33872039+72439</f>
        <v>33944478</v>
      </c>
      <c r="K327" s="6">
        <v>87151</v>
      </c>
      <c r="M327" s="6">
        <f>988323+47679+42358+14065+55087</f>
        <v>1147512</v>
      </c>
      <c r="O327" s="6">
        <v>156365</v>
      </c>
      <c r="Q327" s="6">
        <v>0</v>
      </c>
      <c r="S327" s="6">
        <v>41886</v>
      </c>
      <c r="U327" s="6">
        <v>1439882</v>
      </c>
      <c r="W327" s="2">
        <f t="shared" si="55"/>
        <v>52991455</v>
      </c>
      <c r="Y327" s="6">
        <v>0</v>
      </c>
      <c r="AA327" s="6">
        <v>0</v>
      </c>
      <c r="AC327" s="6">
        <v>0</v>
      </c>
      <c r="AE327" s="6">
        <v>56137</v>
      </c>
      <c r="AG327" s="6">
        <v>0</v>
      </c>
      <c r="AI327" s="6">
        <f t="shared" si="56"/>
        <v>56137</v>
      </c>
      <c r="AK327" s="6">
        <f t="shared" si="52"/>
        <v>53047592</v>
      </c>
    </row>
    <row r="328" spans="1:37">
      <c r="A328" s="11" t="s">
        <v>722</v>
      </c>
      <c r="B328" s="11"/>
      <c r="C328" s="11" t="s">
        <v>20</v>
      </c>
      <c r="E328" s="6">
        <v>13964326</v>
      </c>
      <c r="G328" s="6">
        <v>0</v>
      </c>
      <c r="I328" s="6">
        <v>20973970</v>
      </c>
      <c r="K328" s="6">
        <v>14154</v>
      </c>
      <c r="M328" s="6">
        <f>16988+644081</f>
        <v>661069</v>
      </c>
      <c r="O328" s="6">
        <v>85771</v>
      </c>
      <c r="Q328" s="6">
        <v>0</v>
      </c>
      <c r="S328" s="6">
        <v>51350</v>
      </c>
      <c r="U328" s="6">
        <v>629774</v>
      </c>
      <c r="W328" s="2">
        <f t="shared" si="55"/>
        <v>36380414</v>
      </c>
      <c r="Y328" s="6">
        <v>235571</v>
      </c>
      <c r="AA328" s="6">
        <v>0</v>
      </c>
      <c r="AC328" s="6">
        <v>0</v>
      </c>
      <c r="AE328" s="6">
        <v>0</v>
      </c>
      <c r="AG328" s="6">
        <v>0</v>
      </c>
      <c r="AI328" s="6">
        <f t="shared" si="56"/>
        <v>235571</v>
      </c>
      <c r="AK328" s="6">
        <f t="shared" ref="AK328:AK360" si="60">+AI328+W328</f>
        <v>36615985</v>
      </c>
    </row>
    <row r="329" spans="1:37">
      <c r="A329" s="11" t="s">
        <v>205</v>
      </c>
      <c r="B329" s="11"/>
      <c r="C329" s="11" t="s">
        <v>11</v>
      </c>
      <c r="D329" s="9"/>
      <c r="E329" s="6">
        <v>2265467</v>
      </c>
      <c r="G329" s="6">
        <v>0</v>
      </c>
      <c r="I329" s="6">
        <v>4578562</v>
      </c>
      <c r="K329" s="6">
        <v>2053</v>
      </c>
      <c r="M329" s="6">
        <f>656257+13831+30603</f>
        <v>700691</v>
      </c>
      <c r="O329" s="6">
        <v>56065</v>
      </c>
      <c r="Q329" s="6">
        <v>0</v>
      </c>
      <c r="S329" s="6">
        <v>4553</v>
      </c>
      <c r="U329" s="6">
        <v>13137</v>
      </c>
      <c r="W329" s="2">
        <f t="shared" si="55"/>
        <v>7620528</v>
      </c>
      <c r="Y329" s="6">
        <v>0</v>
      </c>
      <c r="AA329" s="6">
        <v>0</v>
      </c>
      <c r="AC329" s="6">
        <v>0</v>
      </c>
      <c r="AE329" s="6">
        <v>0</v>
      </c>
      <c r="AG329" s="6">
        <v>0</v>
      </c>
      <c r="AI329" s="6">
        <f t="shared" si="56"/>
        <v>0</v>
      </c>
      <c r="AK329" s="6">
        <f t="shared" si="60"/>
        <v>7620528</v>
      </c>
    </row>
    <row r="330" spans="1:37">
      <c r="A330" s="11" t="s">
        <v>528</v>
      </c>
      <c r="B330" s="11"/>
      <c r="C330" s="11" t="s">
        <v>64</v>
      </c>
      <c r="E330" s="6">
        <v>2314837</v>
      </c>
      <c r="G330" s="6">
        <v>0</v>
      </c>
      <c r="I330" s="6">
        <v>5630775</v>
      </c>
      <c r="K330" s="6">
        <v>13120</v>
      </c>
      <c r="M330" s="6">
        <v>305954</v>
      </c>
      <c r="O330" s="6">
        <v>22173</v>
      </c>
      <c r="Q330" s="6">
        <v>0</v>
      </c>
      <c r="S330" s="6">
        <v>9124</v>
      </c>
      <c r="U330" s="6">
        <v>56080</v>
      </c>
      <c r="W330" s="2">
        <f t="shared" si="55"/>
        <v>8352063</v>
      </c>
      <c r="Y330" s="6">
        <v>0</v>
      </c>
      <c r="AA330" s="6">
        <v>0</v>
      </c>
      <c r="AC330" s="6">
        <v>0</v>
      </c>
      <c r="AE330" s="6">
        <v>0</v>
      </c>
      <c r="AG330" s="6">
        <v>0</v>
      </c>
      <c r="AI330" s="6">
        <f t="shared" si="56"/>
        <v>0</v>
      </c>
      <c r="AK330" s="6">
        <f t="shared" si="60"/>
        <v>8352063</v>
      </c>
    </row>
    <row r="331" spans="1:37">
      <c r="A331" s="11" t="s">
        <v>288</v>
      </c>
      <c r="B331" s="11"/>
      <c r="C331" s="11" t="s">
        <v>24</v>
      </c>
      <c r="E331" s="6">
        <v>5347338</v>
      </c>
      <c r="G331" s="6">
        <v>0</v>
      </c>
      <c r="I331" s="6">
        <f>6417166+24352</f>
        <v>6441518</v>
      </c>
      <c r="K331" s="6">
        <v>762</v>
      </c>
      <c r="M331" s="6">
        <f>694464+38455+56070+23847</f>
        <v>812836</v>
      </c>
      <c r="O331" s="6">
        <v>101390</v>
      </c>
      <c r="Q331" s="6">
        <v>0</v>
      </c>
      <c r="S331" s="6">
        <v>0</v>
      </c>
      <c r="U331" s="6">
        <v>211613</v>
      </c>
      <c r="W331" s="2">
        <f t="shared" si="55"/>
        <v>12915457</v>
      </c>
      <c r="Y331" s="6">
        <v>0</v>
      </c>
      <c r="AA331" s="6">
        <v>0</v>
      </c>
      <c r="AC331" s="6">
        <v>0</v>
      </c>
      <c r="AE331" s="6">
        <v>0</v>
      </c>
      <c r="AG331" s="6">
        <v>0</v>
      </c>
      <c r="AI331" s="6">
        <f t="shared" si="56"/>
        <v>0</v>
      </c>
      <c r="AK331" s="6">
        <f t="shared" si="60"/>
        <v>12915457</v>
      </c>
    </row>
    <row r="332" spans="1:37">
      <c r="A332" s="11" t="s">
        <v>326</v>
      </c>
      <c r="B332" s="11"/>
      <c r="C332" s="11" t="s">
        <v>32</v>
      </c>
      <c r="E332" s="6">
        <v>14609488</v>
      </c>
      <c r="G332" s="6">
        <v>0</v>
      </c>
      <c r="I332" s="6">
        <v>5946515</v>
      </c>
      <c r="K332" s="6">
        <v>30383</v>
      </c>
      <c r="M332" s="6">
        <f>302393+432</f>
        <v>302825</v>
      </c>
      <c r="O332" s="6">
        <v>44003</v>
      </c>
      <c r="Q332" s="6">
        <v>0</v>
      </c>
      <c r="S332" s="6">
        <v>0</v>
      </c>
      <c r="U332" s="6">
        <v>64170</v>
      </c>
      <c r="W332" s="2">
        <f t="shared" si="55"/>
        <v>20997384</v>
      </c>
      <c r="Y332" s="6">
        <v>0</v>
      </c>
      <c r="AA332" s="6">
        <v>0</v>
      </c>
      <c r="AC332" s="6">
        <v>0</v>
      </c>
      <c r="AE332" s="6">
        <v>0</v>
      </c>
      <c r="AG332" s="6">
        <v>0</v>
      </c>
      <c r="AI332" s="6">
        <f t="shared" si="56"/>
        <v>0</v>
      </c>
      <c r="AK332" s="6">
        <f t="shared" si="60"/>
        <v>20997384</v>
      </c>
    </row>
    <row r="333" spans="1:37" hidden="1">
      <c r="A333" s="11" t="s">
        <v>612</v>
      </c>
      <c r="B333" s="11"/>
      <c r="C333" s="11" t="s">
        <v>70</v>
      </c>
      <c r="E333" s="6">
        <v>0</v>
      </c>
      <c r="G333" s="6">
        <v>0</v>
      </c>
      <c r="I333" s="6">
        <v>0</v>
      </c>
      <c r="K333" s="6">
        <v>0</v>
      </c>
      <c r="M333" s="6">
        <v>0</v>
      </c>
      <c r="O333" s="6">
        <v>0</v>
      </c>
      <c r="Q333" s="6">
        <v>0</v>
      </c>
      <c r="S333" s="6">
        <v>0</v>
      </c>
      <c r="U333" s="6">
        <v>0</v>
      </c>
      <c r="W333" s="2">
        <f t="shared" si="55"/>
        <v>0</v>
      </c>
      <c r="Y333" s="6">
        <v>0</v>
      </c>
      <c r="AA333" s="6">
        <v>0</v>
      </c>
      <c r="AG333" s="6">
        <v>0</v>
      </c>
      <c r="AI333" s="6">
        <f t="shared" si="56"/>
        <v>0</v>
      </c>
      <c r="AK333" s="6">
        <f t="shared" si="60"/>
        <v>0</v>
      </c>
    </row>
    <row r="334" spans="1:37">
      <c r="A334" s="11" t="s">
        <v>410</v>
      </c>
      <c r="B334" s="11"/>
      <c r="C334" s="11" t="s">
        <v>46</v>
      </c>
      <c r="E334" s="6">
        <v>7911918</v>
      </c>
      <c r="G334" s="6">
        <v>0</v>
      </c>
      <c r="I334" s="6">
        <f>34934911+106708</f>
        <v>35041619</v>
      </c>
      <c r="K334" s="6">
        <v>100800</v>
      </c>
      <c r="M334" s="6">
        <f>1659925+15278</f>
        <v>1675203</v>
      </c>
      <c r="O334" s="6">
        <v>34298</v>
      </c>
      <c r="Q334" s="6">
        <v>84115</v>
      </c>
      <c r="S334" s="6">
        <v>0</v>
      </c>
      <c r="U334" s="6">
        <v>189776</v>
      </c>
      <c r="W334" s="2">
        <f t="shared" si="55"/>
        <v>45037729</v>
      </c>
      <c r="Y334" s="6">
        <v>0</v>
      </c>
      <c r="AA334" s="6">
        <v>0</v>
      </c>
      <c r="AC334" s="6">
        <v>0</v>
      </c>
      <c r="AE334" s="6">
        <v>0</v>
      </c>
      <c r="AG334" s="6">
        <v>0</v>
      </c>
      <c r="AI334" s="6">
        <f t="shared" si="56"/>
        <v>0</v>
      </c>
      <c r="AK334" s="6">
        <f t="shared" si="60"/>
        <v>45037729</v>
      </c>
    </row>
    <row r="335" spans="1:37" hidden="1">
      <c r="A335" s="11" t="s">
        <v>685</v>
      </c>
      <c r="B335" s="11"/>
      <c r="C335" s="11" t="s">
        <v>422</v>
      </c>
      <c r="E335" s="6">
        <v>0</v>
      </c>
      <c r="G335" s="6">
        <v>0</v>
      </c>
      <c r="I335" s="6">
        <v>0</v>
      </c>
      <c r="K335" s="6">
        <v>0</v>
      </c>
      <c r="M335" s="6">
        <v>0</v>
      </c>
      <c r="O335" s="6">
        <v>0</v>
      </c>
      <c r="Q335" s="6">
        <v>0</v>
      </c>
      <c r="S335" s="6">
        <v>0</v>
      </c>
      <c r="U335" s="6">
        <v>0</v>
      </c>
      <c r="W335" s="2">
        <f t="shared" si="55"/>
        <v>0</v>
      </c>
      <c r="Y335" s="6">
        <v>0</v>
      </c>
      <c r="AA335" s="6">
        <v>0</v>
      </c>
      <c r="AG335" s="6">
        <v>0</v>
      </c>
      <c r="AK335" s="6">
        <f t="shared" si="60"/>
        <v>0</v>
      </c>
    </row>
    <row r="336" spans="1:37">
      <c r="A336" s="11" t="s">
        <v>500</v>
      </c>
      <c r="B336" s="11"/>
      <c r="C336" s="11" t="s">
        <v>62</v>
      </c>
      <c r="E336" s="6">
        <v>7524369</v>
      </c>
      <c r="G336" s="6">
        <v>0</v>
      </c>
      <c r="I336" s="6">
        <f>7498+11337935</f>
        <v>11345433</v>
      </c>
      <c r="K336" s="6">
        <v>55084</v>
      </c>
      <c r="M336" s="6">
        <f>1019363+2268+110418+498</f>
        <v>1132547</v>
      </c>
      <c r="O336" s="6">
        <v>126077</v>
      </c>
      <c r="Q336" s="6">
        <v>0</v>
      </c>
      <c r="S336" s="6">
        <v>24524</v>
      </c>
      <c r="U336" s="6">
        <v>95594</v>
      </c>
      <c r="W336" s="2">
        <f t="shared" si="55"/>
        <v>20303628</v>
      </c>
      <c r="Y336" s="6">
        <v>0</v>
      </c>
      <c r="AA336" s="6">
        <v>0</v>
      </c>
      <c r="AC336" s="6">
        <v>0</v>
      </c>
      <c r="AE336" s="6">
        <v>0</v>
      </c>
      <c r="AG336" s="6">
        <v>0</v>
      </c>
      <c r="AI336" s="6">
        <f t="shared" si="56"/>
        <v>0</v>
      </c>
      <c r="AK336" s="6">
        <f t="shared" si="60"/>
        <v>20303628</v>
      </c>
    </row>
    <row r="337" spans="1:37">
      <c r="A337" s="11" t="s">
        <v>216</v>
      </c>
      <c r="B337" s="11"/>
      <c r="C337" s="11" t="s">
        <v>15</v>
      </c>
      <c r="D337" s="9"/>
      <c r="E337" s="6">
        <v>2031423</v>
      </c>
      <c r="G337" s="6">
        <v>0</v>
      </c>
      <c r="I337" s="6">
        <v>9249078</v>
      </c>
      <c r="K337" s="6">
        <v>478</v>
      </c>
      <c r="M337" s="6">
        <f>1087690+293080+4720</f>
        <v>1385490</v>
      </c>
      <c r="O337" s="6">
        <v>0</v>
      </c>
      <c r="Q337" s="6">
        <v>0</v>
      </c>
      <c r="S337" s="6">
        <v>0</v>
      </c>
      <c r="U337" s="6">
        <v>66035</v>
      </c>
      <c r="W337" s="2">
        <f t="shared" si="55"/>
        <v>12732504</v>
      </c>
      <c r="Y337" s="6">
        <v>0</v>
      </c>
      <c r="AA337" s="6">
        <v>0</v>
      </c>
      <c r="AC337" s="6">
        <v>246536</v>
      </c>
      <c r="AE337" s="6">
        <v>0</v>
      </c>
      <c r="AG337" s="6">
        <v>0</v>
      </c>
      <c r="AI337" s="6">
        <f t="shared" si="56"/>
        <v>246536</v>
      </c>
      <c r="AK337" s="6">
        <f t="shared" si="60"/>
        <v>12979040</v>
      </c>
    </row>
    <row r="338" spans="1:37">
      <c r="A338" s="11" t="s">
        <v>767</v>
      </c>
      <c r="B338" s="11"/>
      <c r="C338" s="11" t="s">
        <v>66</v>
      </c>
      <c r="E338" s="6">
        <v>19916777</v>
      </c>
      <c r="G338" s="6">
        <v>0</v>
      </c>
      <c r="I338" s="6">
        <f>23616389+77133</f>
        <v>23693522</v>
      </c>
      <c r="K338" s="6">
        <v>31331</v>
      </c>
      <c r="M338" s="6">
        <f>224528+20964+231251+151588</f>
        <v>628331</v>
      </c>
      <c r="O338" s="6">
        <v>465850</v>
      </c>
      <c r="Q338" s="6">
        <v>0</v>
      </c>
      <c r="S338" s="6">
        <v>276</v>
      </c>
      <c r="U338" s="6">
        <v>234970</v>
      </c>
      <c r="W338" s="2">
        <f t="shared" si="55"/>
        <v>44971057</v>
      </c>
      <c r="Y338" s="6">
        <v>0</v>
      </c>
      <c r="AA338" s="6">
        <v>0</v>
      </c>
      <c r="AC338" s="6">
        <v>0</v>
      </c>
      <c r="AE338" s="6">
        <v>1430</v>
      </c>
      <c r="AG338" s="6">
        <v>0</v>
      </c>
      <c r="AI338" s="6">
        <f t="shared" si="56"/>
        <v>1430</v>
      </c>
      <c r="AK338" s="6">
        <f t="shared" si="60"/>
        <v>44972487</v>
      </c>
    </row>
    <row r="339" spans="1:37">
      <c r="A339" s="11" t="s">
        <v>546</v>
      </c>
      <c r="B339" s="11"/>
      <c r="C339" s="11" t="s">
        <v>69</v>
      </c>
      <c r="E339" s="6">
        <v>48511955</v>
      </c>
      <c r="G339" s="6">
        <v>0</v>
      </c>
      <c r="I339" s="6">
        <v>42068067</v>
      </c>
      <c r="K339" s="6">
        <v>597643</v>
      </c>
      <c r="M339" s="6">
        <f>2350409+1220349</f>
        <v>3570758</v>
      </c>
      <c r="O339" s="6">
        <v>561871</v>
      </c>
      <c r="Q339" s="6">
        <v>0</v>
      </c>
      <c r="S339" s="6">
        <v>0</v>
      </c>
      <c r="U339" s="6">
        <v>236163</v>
      </c>
      <c r="W339" s="2">
        <f t="shared" si="55"/>
        <v>95546457</v>
      </c>
      <c r="Y339" s="6">
        <v>0</v>
      </c>
      <c r="AA339" s="6">
        <v>0</v>
      </c>
      <c r="AC339" s="6">
        <v>0</v>
      </c>
      <c r="AE339" s="6">
        <v>0</v>
      </c>
      <c r="AG339" s="6">
        <v>0</v>
      </c>
      <c r="AI339" s="6">
        <f t="shared" si="56"/>
        <v>0</v>
      </c>
      <c r="AK339" s="6">
        <f t="shared" si="60"/>
        <v>95546457</v>
      </c>
    </row>
    <row r="340" spans="1:37">
      <c r="A340" s="11" t="s">
        <v>501</v>
      </c>
      <c r="B340" s="11"/>
      <c r="C340" s="11" t="s">
        <v>62</v>
      </c>
      <c r="E340" s="6">
        <v>11260101</v>
      </c>
      <c r="G340" s="6">
        <v>35957</v>
      </c>
      <c r="I340" s="6">
        <v>23172243</v>
      </c>
      <c r="K340" s="6">
        <v>39457</v>
      </c>
      <c r="M340" s="6">
        <f>2231588+36641+457291</f>
        <v>2725520</v>
      </c>
      <c r="O340" s="6">
        <v>68480</v>
      </c>
      <c r="Q340" s="6">
        <v>0</v>
      </c>
      <c r="S340" s="6">
        <v>17582</v>
      </c>
      <c r="U340" s="6">
        <v>330219</v>
      </c>
      <c r="W340" s="2">
        <f t="shared" si="55"/>
        <v>37649559</v>
      </c>
      <c r="Y340" s="6">
        <v>0</v>
      </c>
      <c r="AA340" s="6">
        <v>0</v>
      </c>
      <c r="AC340" s="6">
        <v>0</v>
      </c>
      <c r="AE340" s="6">
        <v>5547</v>
      </c>
      <c r="AG340" s="6">
        <v>0</v>
      </c>
      <c r="AI340" s="6">
        <f t="shared" si="56"/>
        <v>5547</v>
      </c>
      <c r="AK340" s="6">
        <f t="shared" si="60"/>
        <v>37655106</v>
      </c>
    </row>
    <row r="341" spans="1:37">
      <c r="A341" s="11" t="s">
        <v>529</v>
      </c>
      <c r="B341" s="11"/>
      <c r="C341" s="11" t="s">
        <v>64</v>
      </c>
      <c r="E341" s="6">
        <v>4198632</v>
      </c>
      <c r="G341" s="6">
        <v>0</v>
      </c>
      <c r="I341" s="6">
        <f>3442067+21603</f>
        <v>3463670</v>
      </c>
      <c r="K341" s="6">
        <v>3753</v>
      </c>
      <c r="M341" s="6">
        <f>468599+125+19140</f>
        <v>487864</v>
      </c>
      <c r="O341" s="6">
        <v>31052</v>
      </c>
      <c r="Q341" s="6">
        <v>0</v>
      </c>
      <c r="S341" s="6">
        <v>0</v>
      </c>
      <c r="U341" s="6">
        <v>101875</v>
      </c>
      <c r="W341" s="2">
        <f t="shared" si="55"/>
        <v>8286846</v>
      </c>
      <c r="Y341" s="6">
        <v>0</v>
      </c>
      <c r="AA341" s="6">
        <v>0</v>
      </c>
      <c r="AC341" s="6">
        <v>0</v>
      </c>
      <c r="AE341" s="6">
        <v>2498</v>
      </c>
      <c r="AG341" s="6">
        <v>0</v>
      </c>
      <c r="AI341" s="6">
        <f t="shared" si="56"/>
        <v>2498</v>
      </c>
      <c r="AK341" s="6">
        <f t="shared" si="60"/>
        <v>8289344</v>
      </c>
    </row>
    <row r="342" spans="1:37" hidden="1">
      <c r="A342" s="10" t="s">
        <v>878</v>
      </c>
      <c r="B342" s="11"/>
      <c r="C342" s="11" t="s">
        <v>115</v>
      </c>
      <c r="E342" s="6">
        <v>0</v>
      </c>
      <c r="G342" s="6">
        <v>0</v>
      </c>
      <c r="I342" s="6">
        <v>0</v>
      </c>
      <c r="K342" s="6">
        <v>0</v>
      </c>
      <c r="M342" s="6">
        <v>0</v>
      </c>
      <c r="O342" s="6">
        <v>0</v>
      </c>
      <c r="Q342" s="6">
        <v>0</v>
      </c>
      <c r="S342" s="6">
        <v>0</v>
      </c>
      <c r="U342" s="6">
        <v>0</v>
      </c>
      <c r="W342" s="2">
        <f t="shared" si="55"/>
        <v>0</v>
      </c>
      <c r="Y342" s="6">
        <v>0</v>
      </c>
      <c r="AA342" s="6">
        <v>0</v>
      </c>
      <c r="AC342" s="6">
        <v>0</v>
      </c>
      <c r="AE342" s="6">
        <v>0</v>
      </c>
      <c r="AG342" s="6">
        <v>0</v>
      </c>
      <c r="AI342" s="6">
        <f t="shared" si="56"/>
        <v>0</v>
      </c>
      <c r="AK342" s="6">
        <f t="shared" si="60"/>
        <v>0</v>
      </c>
    </row>
    <row r="343" spans="1:37">
      <c r="A343" s="11" t="s">
        <v>723</v>
      </c>
      <c r="B343" s="11"/>
      <c r="C343" s="11" t="s">
        <v>20</v>
      </c>
      <c r="E343" s="6">
        <v>46779175</v>
      </c>
      <c r="G343" s="6">
        <v>0</v>
      </c>
      <c r="I343" s="6">
        <v>12234536</v>
      </c>
      <c r="K343" s="6">
        <v>6984</v>
      </c>
      <c r="M343" s="6">
        <f>302775+34452+74486</f>
        <v>411713</v>
      </c>
      <c r="O343" s="6">
        <v>23348</v>
      </c>
      <c r="Q343" s="6">
        <v>1693572</v>
      </c>
      <c r="S343" s="6">
        <v>18952</v>
      </c>
      <c r="U343" s="6">
        <v>940999</v>
      </c>
      <c r="W343" s="2">
        <f t="shared" si="55"/>
        <v>62109279</v>
      </c>
      <c r="Y343" s="6">
        <v>500000</v>
      </c>
      <c r="AA343" s="6">
        <v>0</v>
      </c>
      <c r="AC343" s="6">
        <v>0</v>
      </c>
      <c r="AE343" s="6">
        <v>0</v>
      </c>
      <c r="AG343" s="6">
        <v>0</v>
      </c>
      <c r="AI343" s="6">
        <f t="shared" si="56"/>
        <v>500000</v>
      </c>
      <c r="AK343" s="6">
        <f t="shared" si="60"/>
        <v>62609279</v>
      </c>
    </row>
    <row r="344" spans="1:37">
      <c r="A344" s="11" t="s">
        <v>445</v>
      </c>
      <c r="B344" s="11"/>
      <c r="C344" s="11" t="s">
        <v>51</v>
      </c>
      <c r="E344" s="6">
        <v>4232586</v>
      </c>
      <c r="G344" s="6">
        <v>0</v>
      </c>
      <c r="I344" s="6">
        <v>11673552</v>
      </c>
      <c r="K344" s="6">
        <v>0</v>
      </c>
      <c r="M344" s="6">
        <f>2741633+1947+573488</f>
        <v>3317068</v>
      </c>
      <c r="O344" s="6">
        <v>48816</v>
      </c>
      <c r="Q344" s="6">
        <v>3326</v>
      </c>
      <c r="S344" s="6">
        <v>1407</v>
      </c>
      <c r="U344" s="6">
        <v>180416</v>
      </c>
      <c r="W344" s="2">
        <f t="shared" si="55"/>
        <v>19457171</v>
      </c>
      <c r="Y344" s="6">
        <v>0</v>
      </c>
      <c r="AA344" s="6">
        <v>0</v>
      </c>
      <c r="AC344" s="6">
        <v>184482</v>
      </c>
      <c r="AE344" s="6">
        <v>65068</v>
      </c>
      <c r="AG344" s="6">
        <v>0</v>
      </c>
      <c r="AI344" s="6">
        <f t="shared" si="56"/>
        <v>249550</v>
      </c>
      <c r="AK344" s="6">
        <f t="shared" si="60"/>
        <v>19706721</v>
      </c>
    </row>
    <row r="345" spans="1:37" hidden="1">
      <c r="A345" s="11" t="s">
        <v>806</v>
      </c>
      <c r="B345" s="11"/>
      <c r="C345" s="11" t="s">
        <v>33</v>
      </c>
      <c r="W345" s="2">
        <f t="shared" si="55"/>
        <v>0</v>
      </c>
      <c r="AA345" s="6">
        <v>0</v>
      </c>
      <c r="AG345" s="6">
        <v>0</v>
      </c>
      <c r="AI345" s="6">
        <f t="shared" si="56"/>
        <v>0</v>
      </c>
      <c r="AK345" s="6">
        <f t="shared" si="60"/>
        <v>0</v>
      </c>
    </row>
    <row r="346" spans="1:37">
      <c r="A346" s="11" t="s">
        <v>638</v>
      </c>
      <c r="B346" s="11"/>
      <c r="C346" s="11" t="s">
        <v>64</v>
      </c>
      <c r="E346" s="6">
        <v>1521305</v>
      </c>
      <c r="G346" s="6">
        <v>0</v>
      </c>
      <c r="I346" s="6">
        <v>3803327</v>
      </c>
      <c r="K346" s="6">
        <v>2671</v>
      </c>
      <c r="M346" s="6">
        <f>1094417+6861+37350</f>
        <v>1138628</v>
      </c>
      <c r="O346" s="6">
        <v>3579</v>
      </c>
      <c r="Q346" s="6">
        <v>0</v>
      </c>
      <c r="S346" s="6">
        <v>0</v>
      </c>
      <c r="U346" s="6">
        <v>5206</v>
      </c>
      <c r="W346" s="2">
        <f t="shared" si="55"/>
        <v>6474716</v>
      </c>
      <c r="Y346" s="6">
        <v>0</v>
      </c>
      <c r="AA346" s="6">
        <v>0</v>
      </c>
      <c r="AC346" s="6">
        <v>0</v>
      </c>
      <c r="AE346" s="6">
        <v>0</v>
      </c>
      <c r="AG346" s="6">
        <v>0</v>
      </c>
      <c r="AI346" s="6">
        <f t="shared" si="56"/>
        <v>0</v>
      </c>
      <c r="AK346" s="6">
        <f t="shared" si="60"/>
        <v>6474716</v>
      </c>
    </row>
    <row r="347" spans="1:37">
      <c r="A347" s="11" t="s">
        <v>768</v>
      </c>
      <c r="B347" s="11"/>
      <c r="C347" s="11" t="s">
        <v>228</v>
      </c>
      <c r="D347" s="9"/>
      <c r="E347" s="6">
        <v>3267731</v>
      </c>
      <c r="G347" s="6">
        <v>0</v>
      </c>
      <c r="I347" s="6">
        <f>4501602+33222</f>
        <v>4534824</v>
      </c>
      <c r="K347" s="6">
        <v>2562</v>
      </c>
      <c r="M347" s="6">
        <f>617559+28796</f>
        <v>646355</v>
      </c>
      <c r="O347" s="6">
        <v>36127</v>
      </c>
      <c r="Q347" s="6">
        <v>0</v>
      </c>
      <c r="S347" s="6">
        <v>0</v>
      </c>
      <c r="U347" s="6">
        <v>373021</v>
      </c>
      <c r="W347" s="2">
        <f t="shared" si="55"/>
        <v>8860620</v>
      </c>
      <c r="Y347" s="6">
        <v>0</v>
      </c>
      <c r="AA347" s="6">
        <v>0</v>
      </c>
      <c r="AC347" s="6">
        <v>0</v>
      </c>
      <c r="AE347" s="6">
        <v>10428</v>
      </c>
      <c r="AG347" s="6">
        <v>0</v>
      </c>
      <c r="AI347" s="6">
        <f t="shared" si="56"/>
        <v>10428</v>
      </c>
      <c r="AK347" s="6">
        <f t="shared" si="60"/>
        <v>8871048</v>
      </c>
    </row>
    <row r="348" spans="1:37">
      <c r="A348" s="11" t="s">
        <v>418</v>
      </c>
      <c r="B348" s="11"/>
      <c r="C348" s="11" t="s">
        <v>47</v>
      </c>
      <c r="E348" s="6">
        <v>42009195</v>
      </c>
      <c r="G348" s="6">
        <v>0</v>
      </c>
      <c r="I348" s="6">
        <v>25669462</v>
      </c>
      <c r="K348" s="6">
        <v>16299</v>
      </c>
      <c r="M348" s="6">
        <f>679485+24965+568444</f>
        <v>1272894</v>
      </c>
      <c r="O348" s="6">
        <v>938448</v>
      </c>
      <c r="Q348" s="6">
        <v>0</v>
      </c>
      <c r="S348" s="6">
        <v>131116</v>
      </c>
      <c r="U348" s="6">
        <v>342355</v>
      </c>
      <c r="W348" s="2">
        <f t="shared" si="55"/>
        <v>70379769</v>
      </c>
      <c r="Y348" s="6">
        <v>0</v>
      </c>
      <c r="AA348" s="6">
        <v>0</v>
      </c>
      <c r="AC348" s="6">
        <v>0</v>
      </c>
      <c r="AE348" s="6">
        <v>8040</v>
      </c>
      <c r="AG348" s="6">
        <v>0</v>
      </c>
      <c r="AI348" s="6">
        <f t="shared" si="56"/>
        <v>8040</v>
      </c>
      <c r="AK348" s="6">
        <f t="shared" si="60"/>
        <v>70387809</v>
      </c>
    </row>
    <row r="349" spans="1:37">
      <c r="A349" s="11" t="s">
        <v>421</v>
      </c>
      <c r="B349" s="11"/>
      <c r="C349" s="11" t="s">
        <v>420</v>
      </c>
      <c r="E349" s="6">
        <v>3493847</v>
      </c>
      <c r="G349" s="6">
        <v>0</v>
      </c>
      <c r="I349" s="6">
        <v>14321236</v>
      </c>
      <c r="K349" s="6">
        <v>26564</v>
      </c>
      <c r="M349" s="6">
        <f>636465+1365+1384</f>
        <v>639214</v>
      </c>
      <c r="O349" s="6">
        <v>23413</v>
      </c>
      <c r="Q349" s="6">
        <v>0</v>
      </c>
      <c r="S349" s="6">
        <v>9719</v>
      </c>
      <c r="U349" s="6">
        <v>59958</v>
      </c>
      <c r="W349" s="2">
        <f t="shared" si="55"/>
        <v>18573951</v>
      </c>
      <c r="Y349" s="6">
        <v>0</v>
      </c>
      <c r="AA349" s="6">
        <v>0</v>
      </c>
      <c r="AC349" s="6">
        <v>0</v>
      </c>
      <c r="AE349" s="6">
        <f>2000+4167</f>
        <v>6167</v>
      </c>
      <c r="AG349" s="6">
        <v>0</v>
      </c>
      <c r="AI349" s="6">
        <f t="shared" si="56"/>
        <v>6167</v>
      </c>
      <c r="AK349" s="6">
        <f t="shared" si="60"/>
        <v>18580118</v>
      </c>
    </row>
    <row r="350" spans="1:37">
      <c r="A350" s="11" t="s">
        <v>769</v>
      </c>
      <c r="B350" s="11"/>
      <c r="C350" s="11" t="s">
        <v>41</v>
      </c>
      <c r="E350" s="6">
        <v>58279516</v>
      </c>
      <c r="G350" s="6">
        <v>0</v>
      </c>
      <c r="I350" s="6">
        <v>31494284</v>
      </c>
      <c r="K350" s="6">
        <v>292490</v>
      </c>
      <c r="M350" s="6">
        <f>1476891+22664+42593</f>
        <v>1542148</v>
      </c>
      <c r="O350" s="6">
        <v>501021</v>
      </c>
      <c r="Q350" s="6">
        <v>1167885</v>
      </c>
      <c r="S350" s="6">
        <v>58625</v>
      </c>
      <c r="U350" s="6">
        <v>215283</v>
      </c>
      <c r="W350" s="2">
        <f t="shared" si="55"/>
        <v>93551252</v>
      </c>
      <c r="Y350" s="6">
        <v>0</v>
      </c>
      <c r="AA350" s="6">
        <v>0</v>
      </c>
      <c r="AC350" s="6">
        <v>0</v>
      </c>
      <c r="AE350" s="6">
        <v>8213</v>
      </c>
      <c r="AG350" s="6">
        <v>0</v>
      </c>
      <c r="AI350" s="6">
        <f t="shared" si="56"/>
        <v>8213</v>
      </c>
      <c r="AK350" s="6">
        <f t="shared" si="60"/>
        <v>93559465</v>
      </c>
    </row>
    <row r="351" spans="1:37">
      <c r="A351" s="11" t="s">
        <v>424</v>
      </c>
      <c r="B351" s="11"/>
      <c r="C351" s="11" t="s">
        <v>48</v>
      </c>
      <c r="E351" s="6">
        <v>3399773</v>
      </c>
      <c r="G351" s="6">
        <v>2312566</v>
      </c>
      <c r="I351" s="6">
        <f>20152+4992299</f>
        <v>5012451</v>
      </c>
      <c r="K351" s="6">
        <v>5538</v>
      </c>
      <c r="M351" s="6">
        <f>563034+3366+66475+8578+151</f>
        <v>641604</v>
      </c>
      <c r="O351" s="6">
        <v>18864</v>
      </c>
      <c r="Q351" s="6">
        <v>0</v>
      </c>
      <c r="S351" s="6">
        <v>12625</v>
      </c>
      <c r="U351" s="6">
        <v>38680</v>
      </c>
      <c r="W351" s="2">
        <f t="shared" si="55"/>
        <v>11442101</v>
      </c>
      <c r="Y351" s="6">
        <v>0</v>
      </c>
      <c r="AA351" s="6">
        <v>0</v>
      </c>
      <c r="AC351" s="6">
        <v>0</v>
      </c>
      <c r="AE351" s="6">
        <v>8471</v>
      </c>
      <c r="AG351" s="6">
        <v>0</v>
      </c>
      <c r="AI351" s="6">
        <f t="shared" si="56"/>
        <v>8471</v>
      </c>
      <c r="AK351" s="6">
        <f t="shared" si="60"/>
        <v>11450572</v>
      </c>
    </row>
    <row r="352" spans="1:37">
      <c r="A352" s="11" t="s">
        <v>297</v>
      </c>
      <c r="B352" s="11"/>
      <c r="C352" s="11" t="s">
        <v>26</v>
      </c>
      <c r="E352" s="6">
        <v>10401957</v>
      </c>
      <c r="G352" s="6">
        <v>0</v>
      </c>
      <c r="I352" s="6">
        <v>11126050</v>
      </c>
      <c r="K352" s="6">
        <v>17898</v>
      </c>
      <c r="M352" s="6">
        <f>1537576+1180</f>
        <v>1538756</v>
      </c>
      <c r="O352" s="6">
        <v>129157</v>
      </c>
      <c r="Q352" s="6">
        <v>444666</v>
      </c>
      <c r="S352" s="6">
        <v>0</v>
      </c>
      <c r="U352" s="6">
        <v>357705</v>
      </c>
      <c r="W352" s="2">
        <f t="shared" si="55"/>
        <v>24016189</v>
      </c>
      <c r="Y352" s="6">
        <v>0</v>
      </c>
      <c r="AA352" s="6">
        <v>0</v>
      </c>
      <c r="AC352" s="6">
        <v>0</v>
      </c>
      <c r="AE352" s="6">
        <v>0</v>
      </c>
      <c r="AG352" s="6">
        <v>0</v>
      </c>
      <c r="AI352" s="6">
        <f t="shared" si="56"/>
        <v>0</v>
      </c>
      <c r="AK352" s="6">
        <f t="shared" si="60"/>
        <v>24016189</v>
      </c>
    </row>
    <row r="353" spans="1:37">
      <c r="A353" s="11" t="s">
        <v>432</v>
      </c>
      <c r="B353" s="11"/>
      <c r="C353" s="11" t="s">
        <v>50</v>
      </c>
      <c r="E353" s="6">
        <v>28525014</v>
      </c>
      <c r="G353" s="6">
        <v>0</v>
      </c>
      <c r="I353" s="6">
        <v>17547735</v>
      </c>
      <c r="K353" s="6">
        <v>68899</v>
      </c>
      <c r="M353" s="6">
        <f>646790+4305</f>
        <v>651095</v>
      </c>
      <c r="O353" s="6">
        <v>75098</v>
      </c>
      <c r="Q353" s="6">
        <v>189706</v>
      </c>
      <c r="S353" s="6">
        <v>26776</v>
      </c>
      <c r="U353" s="6">
        <v>307507</v>
      </c>
      <c r="W353" s="2">
        <f t="shared" si="55"/>
        <v>47391830</v>
      </c>
      <c r="Y353" s="6">
        <v>0</v>
      </c>
      <c r="AA353" s="6">
        <v>0</v>
      </c>
      <c r="AC353" s="6">
        <f>240661+2772</f>
        <v>243433</v>
      </c>
      <c r="AE353" s="6">
        <v>7408</v>
      </c>
      <c r="AG353" s="6">
        <v>2007932</v>
      </c>
      <c r="AI353" s="6">
        <f t="shared" si="56"/>
        <v>2258773</v>
      </c>
      <c r="AK353" s="6">
        <f t="shared" si="60"/>
        <v>49650603</v>
      </c>
    </row>
    <row r="354" spans="1:37" hidden="1">
      <c r="A354" s="11" t="s">
        <v>812</v>
      </c>
      <c r="B354" s="11"/>
      <c r="C354" s="11" t="s">
        <v>53</v>
      </c>
      <c r="W354" s="2">
        <f t="shared" si="55"/>
        <v>0</v>
      </c>
      <c r="AA354" s="6">
        <v>0</v>
      </c>
      <c r="AG354" s="6">
        <v>0</v>
      </c>
      <c r="AI354" s="6">
        <f t="shared" ref="AI354" si="61">SUM(Y354:AH354)</f>
        <v>0</v>
      </c>
      <c r="AK354" s="6">
        <f t="shared" ref="AK354" si="62">+AI354+W354</f>
        <v>0</v>
      </c>
    </row>
    <row r="355" spans="1:37">
      <c r="A355" s="11" t="s">
        <v>225</v>
      </c>
      <c r="B355" s="11"/>
      <c r="C355" s="11" t="s">
        <v>221</v>
      </c>
      <c r="D355" s="9"/>
      <c r="E355" s="6">
        <v>27875138</v>
      </c>
      <c r="G355" s="6">
        <v>0</v>
      </c>
      <c r="I355" s="6">
        <v>36150237</v>
      </c>
      <c r="K355" s="6">
        <v>7141</v>
      </c>
      <c r="M355" s="6">
        <f>724610+10458+83077</f>
        <v>818145</v>
      </c>
      <c r="O355" s="6">
        <v>69593</v>
      </c>
      <c r="Q355" s="6">
        <v>148212</v>
      </c>
      <c r="S355" s="6">
        <v>17891</v>
      </c>
      <c r="U355" s="6">
        <v>469416</v>
      </c>
      <c r="W355" s="2">
        <f t="shared" si="55"/>
        <v>65555773</v>
      </c>
      <c r="Y355" s="6">
        <v>0</v>
      </c>
      <c r="AA355" s="6">
        <v>0</v>
      </c>
      <c r="AC355" s="6">
        <v>0</v>
      </c>
      <c r="AE355" s="6">
        <v>10810</v>
      </c>
      <c r="AG355" s="6">
        <v>0</v>
      </c>
      <c r="AI355" s="6">
        <f t="shared" si="56"/>
        <v>10810</v>
      </c>
      <c r="AK355" s="6">
        <f t="shared" si="60"/>
        <v>65566583</v>
      </c>
    </row>
    <row r="356" spans="1:37">
      <c r="A356" s="11" t="s">
        <v>387</v>
      </c>
      <c r="B356" s="11"/>
      <c r="C356" s="11" t="s">
        <v>44</v>
      </c>
      <c r="E356" s="6">
        <v>10674896</v>
      </c>
      <c r="G356" s="6">
        <v>0</v>
      </c>
      <c r="I356" s="6">
        <v>15058133</v>
      </c>
      <c r="K356" s="6">
        <v>11358</v>
      </c>
      <c r="M356" s="6">
        <v>267408</v>
      </c>
      <c r="O356" s="6">
        <v>368571</v>
      </c>
      <c r="Q356" s="6">
        <v>0</v>
      </c>
      <c r="S356" s="6">
        <v>0</v>
      </c>
      <c r="U356" s="6">
        <v>204212</v>
      </c>
      <c r="W356" s="2">
        <f t="shared" si="55"/>
        <v>26584578</v>
      </c>
      <c r="Y356" s="6">
        <v>0</v>
      </c>
      <c r="AA356" s="6">
        <v>0</v>
      </c>
      <c r="AC356" s="6">
        <v>0</v>
      </c>
      <c r="AE356" s="6">
        <v>18607</v>
      </c>
      <c r="AG356" s="6">
        <v>0</v>
      </c>
      <c r="AI356" s="6">
        <f t="shared" si="56"/>
        <v>18607</v>
      </c>
      <c r="AK356" s="6">
        <f t="shared" si="60"/>
        <v>26603185</v>
      </c>
    </row>
    <row r="357" spans="1:37">
      <c r="A357" s="11" t="s">
        <v>770</v>
      </c>
      <c r="B357" s="11"/>
      <c r="C357" s="11" t="s">
        <v>113</v>
      </c>
      <c r="D357" s="9"/>
      <c r="E357" s="6">
        <v>31482888</v>
      </c>
      <c r="G357" s="6">
        <v>0</v>
      </c>
      <c r="I357" s="6">
        <v>22314977</v>
      </c>
      <c r="K357" s="6">
        <v>36847</v>
      </c>
      <c r="M357" s="6">
        <v>2772649</v>
      </c>
      <c r="O357" s="6">
        <v>171652</v>
      </c>
      <c r="Q357" s="6">
        <v>1802442</v>
      </c>
      <c r="S357" s="6">
        <v>0</v>
      </c>
      <c r="U357" s="6">
        <v>654924</v>
      </c>
      <c r="W357" s="2">
        <f t="shared" si="55"/>
        <v>59236379</v>
      </c>
      <c r="Y357" s="6">
        <v>0</v>
      </c>
      <c r="AA357" s="6">
        <v>0</v>
      </c>
      <c r="AC357" s="6">
        <v>0</v>
      </c>
      <c r="AE357" s="6">
        <v>3855</v>
      </c>
      <c r="AG357" s="6">
        <v>0</v>
      </c>
      <c r="AI357" s="6">
        <f t="shared" si="56"/>
        <v>3855</v>
      </c>
      <c r="AK357" s="6">
        <f t="shared" si="60"/>
        <v>59240234</v>
      </c>
    </row>
    <row r="358" spans="1:37" hidden="1">
      <c r="A358" s="11" t="s">
        <v>613</v>
      </c>
      <c r="B358" s="11"/>
      <c r="C358" s="11" t="s">
        <v>552</v>
      </c>
      <c r="W358" s="2">
        <f t="shared" si="55"/>
        <v>0</v>
      </c>
      <c r="AA358" s="6">
        <v>0</v>
      </c>
      <c r="AG358" s="6">
        <v>0</v>
      </c>
      <c r="AI358" s="6">
        <f t="shared" si="56"/>
        <v>0</v>
      </c>
      <c r="AK358" s="6">
        <f t="shared" si="60"/>
        <v>0</v>
      </c>
    </row>
    <row r="359" spans="1:37" hidden="1">
      <c r="A359" s="11" t="s">
        <v>892</v>
      </c>
      <c r="B359" s="11"/>
      <c r="C359" s="11" t="s">
        <v>467</v>
      </c>
      <c r="W359" s="2">
        <f t="shared" si="55"/>
        <v>0</v>
      </c>
      <c r="AA359" s="6">
        <v>0</v>
      </c>
      <c r="AG359" s="6">
        <v>0</v>
      </c>
      <c r="AI359" s="6">
        <f t="shared" si="56"/>
        <v>0</v>
      </c>
      <c r="AK359" s="6">
        <f t="shared" si="60"/>
        <v>0</v>
      </c>
    </row>
    <row r="360" spans="1:37" hidden="1">
      <c r="A360" s="11" t="s">
        <v>807</v>
      </c>
      <c r="B360" s="11"/>
      <c r="C360" s="11" t="s">
        <v>48</v>
      </c>
      <c r="W360" s="2">
        <f t="shared" si="55"/>
        <v>0</v>
      </c>
      <c r="AA360" s="6">
        <v>0</v>
      </c>
      <c r="AG360" s="6">
        <v>0</v>
      </c>
      <c r="AI360" s="6">
        <f t="shared" si="56"/>
        <v>0</v>
      </c>
      <c r="AK360" s="6">
        <f t="shared" si="60"/>
        <v>0</v>
      </c>
    </row>
    <row r="361" spans="1:37">
      <c r="A361" s="11" t="s">
        <v>502</v>
      </c>
      <c r="B361" s="11"/>
      <c r="C361" s="11" t="s">
        <v>62</v>
      </c>
      <c r="E361" s="6">
        <v>4840199</v>
      </c>
      <c r="G361" s="6">
        <v>0</v>
      </c>
      <c r="I361" s="6">
        <v>9942684</v>
      </c>
      <c r="K361" s="6">
        <v>4487</v>
      </c>
      <c r="M361" s="6">
        <f>972987+19422+18979</f>
        <v>1011388</v>
      </c>
      <c r="O361" s="6">
        <v>137602</v>
      </c>
      <c r="Q361" s="6">
        <v>0</v>
      </c>
      <c r="S361" s="6">
        <v>12813</v>
      </c>
      <c r="U361" s="6">
        <v>91754</v>
      </c>
      <c r="W361" s="2">
        <f t="shared" si="55"/>
        <v>16040927</v>
      </c>
      <c r="Y361" s="6">
        <v>0</v>
      </c>
      <c r="AA361" s="6">
        <v>0</v>
      </c>
      <c r="AC361" s="6">
        <v>0</v>
      </c>
      <c r="AE361" s="6">
        <v>0</v>
      </c>
      <c r="AG361" s="6">
        <v>0</v>
      </c>
      <c r="AI361" s="6">
        <f t="shared" si="56"/>
        <v>0</v>
      </c>
      <c r="AK361" s="6">
        <f t="shared" ref="AK361:AK374" si="63">+AI361+W361</f>
        <v>16040927</v>
      </c>
    </row>
    <row r="362" spans="1:37">
      <c r="A362" s="11" t="s">
        <v>482</v>
      </c>
      <c r="B362" s="11"/>
      <c r="C362" s="11" t="s">
        <v>59</v>
      </c>
      <c r="E362" s="6">
        <v>1663422</v>
      </c>
      <c r="G362" s="6">
        <v>0</v>
      </c>
      <c r="I362" s="6">
        <v>9777546</v>
      </c>
      <c r="K362" s="6">
        <v>0</v>
      </c>
      <c r="M362" s="6">
        <f>1916210+875</f>
        <v>1917085</v>
      </c>
      <c r="O362" s="6">
        <v>167738</v>
      </c>
      <c r="Q362" s="6">
        <v>0</v>
      </c>
      <c r="S362" s="6">
        <v>30730</v>
      </c>
      <c r="U362" s="6">
        <v>118394</v>
      </c>
      <c r="W362" s="2">
        <f t="shared" si="55"/>
        <v>13674915</v>
      </c>
      <c r="Y362" s="6">
        <v>0</v>
      </c>
      <c r="AA362" s="6">
        <v>0</v>
      </c>
      <c r="AC362" s="6">
        <v>0</v>
      </c>
      <c r="AE362" s="6">
        <v>0</v>
      </c>
      <c r="AG362" s="6">
        <v>0</v>
      </c>
      <c r="AI362" s="6">
        <f t="shared" si="56"/>
        <v>0</v>
      </c>
      <c r="AK362" s="6">
        <f t="shared" si="63"/>
        <v>13674915</v>
      </c>
    </row>
    <row r="363" spans="1:37">
      <c r="A363" s="11" t="s">
        <v>213</v>
      </c>
      <c r="B363" s="11"/>
      <c r="C363" s="11" t="s">
        <v>14</v>
      </c>
      <c r="D363" s="9"/>
      <c r="E363" s="6">
        <v>3072032</v>
      </c>
      <c r="G363" s="6">
        <v>785020</v>
      </c>
      <c r="I363" s="6">
        <v>3638884</v>
      </c>
      <c r="K363" s="6">
        <v>3939</v>
      </c>
      <c r="M363" s="6">
        <v>88583</v>
      </c>
      <c r="O363" s="6">
        <v>0</v>
      </c>
      <c r="Q363" s="6">
        <v>45445</v>
      </c>
      <c r="S363" s="6">
        <v>11066</v>
      </c>
      <c r="U363" s="6">
        <v>130575</v>
      </c>
      <c r="W363" s="2">
        <f t="shared" si="55"/>
        <v>7775544</v>
      </c>
      <c r="Y363" s="6">
        <v>0</v>
      </c>
      <c r="AA363" s="6">
        <v>0</v>
      </c>
      <c r="AC363" s="6">
        <v>0</v>
      </c>
      <c r="AE363" s="6">
        <v>0</v>
      </c>
      <c r="AG363" s="6">
        <v>0</v>
      </c>
      <c r="AI363" s="6">
        <f t="shared" si="56"/>
        <v>0</v>
      </c>
      <c r="AK363" s="6">
        <f t="shared" si="63"/>
        <v>7775544</v>
      </c>
    </row>
    <row r="364" spans="1:37" hidden="1">
      <c r="A364" s="11" t="s">
        <v>640</v>
      </c>
      <c r="B364" s="11"/>
      <c r="C364" s="11" t="s">
        <v>21</v>
      </c>
      <c r="W364" s="2">
        <f t="shared" si="55"/>
        <v>0</v>
      </c>
      <c r="AA364" s="6">
        <v>0</v>
      </c>
      <c r="AG364" s="6">
        <v>0</v>
      </c>
      <c r="AI364" s="6">
        <f t="shared" si="56"/>
        <v>0</v>
      </c>
      <c r="AK364" s="6">
        <f t="shared" si="63"/>
        <v>0</v>
      </c>
    </row>
    <row r="365" spans="1:37">
      <c r="A365" s="11" t="s">
        <v>510</v>
      </c>
      <c r="B365" s="11"/>
      <c r="C365" s="11" t="s">
        <v>63</v>
      </c>
      <c r="E365" s="6">
        <v>2786930</v>
      </c>
      <c r="G365" s="6">
        <v>0</v>
      </c>
      <c r="I365" s="6">
        <v>4043985</v>
      </c>
      <c r="K365" s="6">
        <v>73286</v>
      </c>
      <c r="M365" s="6">
        <v>1585363</v>
      </c>
      <c r="O365" s="6">
        <v>63700</v>
      </c>
      <c r="Q365" s="6">
        <v>0</v>
      </c>
      <c r="S365" s="6">
        <v>18675</v>
      </c>
      <c r="U365" s="6">
        <v>5906</v>
      </c>
      <c r="W365" s="2">
        <f t="shared" si="55"/>
        <v>8577845</v>
      </c>
      <c r="Y365" s="6">
        <v>0</v>
      </c>
      <c r="AA365" s="6">
        <v>0</v>
      </c>
      <c r="AC365" s="6">
        <v>0</v>
      </c>
      <c r="AE365" s="6">
        <v>0</v>
      </c>
      <c r="AG365" s="6">
        <v>0</v>
      </c>
      <c r="AI365" s="6">
        <f t="shared" si="56"/>
        <v>0</v>
      </c>
      <c r="AK365" s="6">
        <f t="shared" si="63"/>
        <v>8577845</v>
      </c>
    </row>
    <row r="366" spans="1:37" hidden="1">
      <c r="A366" s="11" t="s">
        <v>621</v>
      </c>
      <c r="B366" s="11"/>
      <c r="C366" s="11" t="s">
        <v>558</v>
      </c>
      <c r="W366" s="2">
        <f t="shared" si="55"/>
        <v>0</v>
      </c>
      <c r="AA366" s="6">
        <v>0</v>
      </c>
      <c r="AG366" s="6">
        <v>0</v>
      </c>
      <c r="AI366" s="6">
        <f t="shared" ref="AI366:AI373" si="64">SUM(Y366:AH366)</f>
        <v>0</v>
      </c>
      <c r="AK366" s="6">
        <f t="shared" si="63"/>
        <v>0</v>
      </c>
    </row>
    <row r="367" spans="1:37" hidden="1">
      <c r="A367" s="10" t="s">
        <v>879</v>
      </c>
      <c r="B367" s="11"/>
      <c r="C367" s="11" t="s">
        <v>221</v>
      </c>
      <c r="D367" s="9"/>
      <c r="E367" s="6">
        <v>0</v>
      </c>
      <c r="G367" s="6">
        <v>0</v>
      </c>
      <c r="I367" s="6">
        <v>0</v>
      </c>
      <c r="K367" s="6">
        <v>0</v>
      </c>
      <c r="M367" s="6">
        <v>0</v>
      </c>
      <c r="O367" s="6">
        <v>0</v>
      </c>
      <c r="Q367" s="6">
        <v>0</v>
      </c>
      <c r="S367" s="6">
        <v>0</v>
      </c>
      <c r="U367" s="6">
        <v>0</v>
      </c>
      <c r="W367" s="2">
        <f t="shared" si="55"/>
        <v>0</v>
      </c>
      <c r="Y367" s="6">
        <v>0</v>
      </c>
      <c r="AA367" s="6">
        <v>0</v>
      </c>
      <c r="AC367" s="6">
        <v>0</v>
      </c>
      <c r="AE367" s="6">
        <v>0</v>
      </c>
      <c r="AG367" s="6">
        <v>0</v>
      </c>
      <c r="AI367" s="6">
        <f t="shared" si="64"/>
        <v>0</v>
      </c>
      <c r="AK367" s="6">
        <f t="shared" si="63"/>
        <v>0</v>
      </c>
    </row>
    <row r="368" spans="1:37">
      <c r="A368" s="11" t="s">
        <v>356</v>
      </c>
      <c r="B368" s="11"/>
      <c r="C368" s="11" t="s">
        <v>37</v>
      </c>
      <c r="E368" s="6">
        <v>2015398</v>
      </c>
      <c r="G368" s="6">
        <v>1101713</v>
      </c>
      <c r="I368" s="6">
        <f>2607882+20675</f>
        <v>2628557</v>
      </c>
      <c r="K368" s="6">
        <v>612</v>
      </c>
      <c r="M368" s="6">
        <f>361319+607+37027</f>
        <v>398953</v>
      </c>
      <c r="O368" s="6">
        <v>17266</v>
      </c>
      <c r="Q368" s="6">
        <v>0</v>
      </c>
      <c r="S368" s="6">
        <v>2135</v>
      </c>
      <c r="U368" s="6">
        <v>7136</v>
      </c>
      <c r="W368" s="2">
        <f t="shared" si="55"/>
        <v>6171770</v>
      </c>
      <c r="Y368" s="6">
        <v>0</v>
      </c>
      <c r="AA368" s="6">
        <v>0</v>
      </c>
      <c r="AC368" s="6">
        <v>0</v>
      </c>
      <c r="AE368" s="6">
        <v>170000</v>
      </c>
      <c r="AG368" s="6">
        <v>0</v>
      </c>
      <c r="AI368" s="6">
        <f t="shared" si="64"/>
        <v>170000</v>
      </c>
      <c r="AK368" s="6">
        <f t="shared" si="63"/>
        <v>6341770</v>
      </c>
    </row>
    <row r="369" spans="1:37" hidden="1">
      <c r="A369" s="11" t="s">
        <v>808</v>
      </c>
      <c r="B369" s="11"/>
      <c r="C369" s="11" t="s">
        <v>552</v>
      </c>
      <c r="W369" s="2">
        <f t="shared" si="55"/>
        <v>0</v>
      </c>
      <c r="AA369" s="6">
        <v>0</v>
      </c>
      <c r="AG369" s="6">
        <v>0</v>
      </c>
      <c r="AI369" s="6">
        <f t="shared" si="64"/>
        <v>0</v>
      </c>
      <c r="AK369" s="6">
        <f t="shared" si="63"/>
        <v>0</v>
      </c>
    </row>
    <row r="370" spans="1:37">
      <c r="A370" s="11" t="s">
        <v>439</v>
      </c>
      <c r="B370" s="11"/>
      <c r="C370" s="11" t="s">
        <v>440</v>
      </c>
      <c r="E370" s="6">
        <v>3904428</v>
      </c>
      <c r="G370" s="6">
        <v>0</v>
      </c>
      <c r="I370" s="6">
        <v>14735374</v>
      </c>
      <c r="K370" s="6">
        <v>121809</v>
      </c>
      <c r="M370" s="6">
        <f>384185+2261+48947</f>
        <v>435393</v>
      </c>
      <c r="O370" s="6">
        <v>0</v>
      </c>
      <c r="Q370" s="6">
        <v>0</v>
      </c>
      <c r="S370" s="6">
        <v>15442</v>
      </c>
      <c r="U370" s="6">
        <v>8435</v>
      </c>
      <c r="W370" s="2">
        <f t="shared" si="55"/>
        <v>19220881</v>
      </c>
      <c r="Y370" s="6">
        <v>0</v>
      </c>
      <c r="AA370" s="6">
        <v>0</v>
      </c>
      <c r="AC370" s="6">
        <v>0</v>
      </c>
      <c r="AE370" s="6">
        <v>1500</v>
      </c>
      <c r="AG370" s="6">
        <v>0</v>
      </c>
      <c r="AI370" s="6">
        <f t="shared" si="64"/>
        <v>1500</v>
      </c>
      <c r="AK370" s="6">
        <f t="shared" si="63"/>
        <v>19222381</v>
      </c>
    </row>
    <row r="371" spans="1:37">
      <c r="A371" s="11" t="s">
        <v>771</v>
      </c>
      <c r="B371" s="11"/>
      <c r="C371" s="11" t="s">
        <v>78</v>
      </c>
      <c r="E371" s="6">
        <v>3979911</v>
      </c>
      <c r="G371" s="6">
        <v>0</v>
      </c>
      <c r="I371" s="6">
        <v>6346160</v>
      </c>
      <c r="K371" s="6">
        <v>19345</v>
      </c>
      <c r="M371" s="6">
        <f>671577+49752</f>
        <v>721329</v>
      </c>
      <c r="O371" s="6">
        <v>99901</v>
      </c>
      <c r="Q371" s="6">
        <v>0</v>
      </c>
      <c r="S371" s="6">
        <v>0</v>
      </c>
      <c r="U371" s="6">
        <v>690583</v>
      </c>
      <c r="W371" s="2">
        <f t="shared" si="55"/>
        <v>11857229</v>
      </c>
      <c r="Y371" s="6">
        <v>0</v>
      </c>
      <c r="AA371" s="6">
        <v>0</v>
      </c>
      <c r="AC371" s="6">
        <v>0</v>
      </c>
      <c r="AE371" s="6">
        <v>0</v>
      </c>
      <c r="AG371" s="6">
        <v>0</v>
      </c>
      <c r="AI371" s="6">
        <f t="shared" si="64"/>
        <v>0</v>
      </c>
      <c r="AK371" s="6">
        <f t="shared" si="63"/>
        <v>11857229</v>
      </c>
    </row>
    <row r="372" spans="1:37" hidden="1">
      <c r="A372" s="10" t="s">
        <v>880</v>
      </c>
      <c r="B372" s="11"/>
      <c r="C372" s="11" t="s">
        <v>40</v>
      </c>
      <c r="E372" s="6">
        <v>0</v>
      </c>
      <c r="G372" s="6">
        <v>0</v>
      </c>
      <c r="I372" s="6">
        <v>0</v>
      </c>
      <c r="K372" s="6">
        <v>0</v>
      </c>
      <c r="M372" s="6">
        <v>0</v>
      </c>
      <c r="O372" s="6">
        <v>0</v>
      </c>
      <c r="Q372" s="6">
        <v>0</v>
      </c>
      <c r="S372" s="6">
        <v>0</v>
      </c>
      <c r="U372" s="6">
        <v>0</v>
      </c>
      <c r="W372" s="2">
        <f t="shared" si="55"/>
        <v>0</v>
      </c>
      <c r="Y372" s="6">
        <v>0</v>
      </c>
      <c r="AA372" s="6">
        <v>0</v>
      </c>
      <c r="AC372" s="6">
        <v>0</v>
      </c>
      <c r="AE372" s="6">
        <v>0</v>
      </c>
      <c r="AG372" s="6">
        <v>0</v>
      </c>
      <c r="AI372" s="6">
        <f t="shared" si="64"/>
        <v>0</v>
      </c>
      <c r="AK372" s="6">
        <f t="shared" si="63"/>
        <v>0</v>
      </c>
    </row>
    <row r="373" spans="1:37">
      <c r="A373" s="11" t="s">
        <v>712</v>
      </c>
      <c r="B373" s="11"/>
      <c r="C373" s="11" t="s">
        <v>32</v>
      </c>
      <c r="E373" s="6">
        <v>11309799</v>
      </c>
      <c r="G373" s="6">
        <v>0</v>
      </c>
      <c r="I373" s="6">
        <v>23220705</v>
      </c>
      <c r="K373" s="6">
        <v>16807</v>
      </c>
      <c r="M373" s="6">
        <f>842203+28888</f>
        <v>871091</v>
      </c>
      <c r="O373" s="6">
        <v>55983</v>
      </c>
      <c r="Q373" s="6">
        <v>0</v>
      </c>
      <c r="S373" s="6">
        <v>0</v>
      </c>
      <c r="U373" s="6">
        <v>213912</v>
      </c>
      <c r="W373" s="2">
        <f t="shared" si="55"/>
        <v>35688297</v>
      </c>
      <c r="Y373" s="6">
        <v>0</v>
      </c>
      <c r="AA373" s="6">
        <v>0</v>
      </c>
      <c r="AC373" s="6">
        <v>0</v>
      </c>
      <c r="AE373" s="6">
        <v>0</v>
      </c>
      <c r="AG373" s="6">
        <v>0</v>
      </c>
      <c r="AI373" s="6">
        <f t="shared" si="64"/>
        <v>0</v>
      </c>
      <c r="AK373" s="6">
        <f t="shared" si="63"/>
        <v>35688297</v>
      </c>
    </row>
    <row r="374" spans="1:37" s="28" customFormat="1">
      <c r="A374" s="27" t="s">
        <v>346</v>
      </c>
      <c r="B374" s="27"/>
      <c r="C374" s="27" t="s">
        <v>34</v>
      </c>
      <c r="E374" s="28">
        <v>8019338</v>
      </c>
      <c r="G374" s="28">
        <v>0</v>
      </c>
      <c r="I374" s="28">
        <v>11115144</v>
      </c>
      <c r="K374" s="28">
        <v>42080</v>
      </c>
      <c r="M374" s="28">
        <f>876571+11050+61894</f>
        <v>949515</v>
      </c>
      <c r="O374" s="28">
        <v>64932</v>
      </c>
      <c r="Q374" s="28">
        <v>216344</v>
      </c>
      <c r="S374" s="28">
        <v>15262</v>
      </c>
      <c r="U374" s="28">
        <v>44576</v>
      </c>
      <c r="W374" s="30">
        <f t="shared" ref="W374:W387" si="65">SUM(E374:V374)</f>
        <v>20467191</v>
      </c>
      <c r="Y374" s="28">
        <v>0</v>
      </c>
      <c r="AA374" s="28">
        <v>0</v>
      </c>
      <c r="AC374" s="28">
        <v>0</v>
      </c>
      <c r="AE374" s="28">
        <v>0</v>
      </c>
      <c r="AG374" s="28">
        <v>0</v>
      </c>
      <c r="AI374" s="28">
        <f t="shared" ref="AI374:AI387" si="66">SUM(Y374:AH374)</f>
        <v>0</v>
      </c>
      <c r="AK374" s="28">
        <f t="shared" si="63"/>
        <v>20467191</v>
      </c>
    </row>
    <row r="375" spans="1:37" hidden="1">
      <c r="A375" s="11" t="s">
        <v>765</v>
      </c>
      <c r="B375" s="11"/>
      <c r="C375" s="11" t="s">
        <v>57</v>
      </c>
      <c r="W375" s="2"/>
      <c r="AA375" s="6">
        <v>0</v>
      </c>
      <c r="AG375" s="6">
        <v>0</v>
      </c>
    </row>
    <row r="376" spans="1:37">
      <c r="A376" s="11" t="s">
        <v>211</v>
      </c>
      <c r="B376" s="11"/>
      <c r="C376" s="11" t="s">
        <v>13</v>
      </c>
      <c r="D376" s="9"/>
      <c r="E376" s="6">
        <v>1830489</v>
      </c>
      <c r="G376" s="6">
        <v>0</v>
      </c>
      <c r="I376" s="6">
        <v>8834428</v>
      </c>
      <c r="K376" s="6">
        <v>2230</v>
      </c>
      <c r="M376" s="6">
        <v>738193</v>
      </c>
      <c r="O376" s="6">
        <v>0</v>
      </c>
      <c r="Q376" s="6">
        <v>0</v>
      </c>
      <c r="S376" s="6">
        <v>0</v>
      </c>
      <c r="U376" s="6">
        <v>67697</v>
      </c>
      <c r="W376" s="2">
        <f t="shared" si="65"/>
        <v>11473037</v>
      </c>
      <c r="Y376" s="6">
        <v>0</v>
      </c>
      <c r="AA376" s="6">
        <v>0</v>
      </c>
      <c r="AC376" s="6">
        <v>0</v>
      </c>
      <c r="AE376" s="6">
        <v>0</v>
      </c>
      <c r="AG376" s="6">
        <v>0</v>
      </c>
      <c r="AI376" s="6">
        <f>SUM(Y376:AH376)</f>
        <v>0</v>
      </c>
      <c r="AK376" s="6">
        <f t="shared" ref="AK376:AK416" si="67">+AI376+W376</f>
        <v>11473037</v>
      </c>
    </row>
    <row r="377" spans="1:37">
      <c r="A377" s="11" t="s">
        <v>608</v>
      </c>
      <c r="B377" s="11"/>
      <c r="C377" s="11" t="s">
        <v>27</v>
      </c>
      <c r="E377" s="6">
        <v>34724823</v>
      </c>
      <c r="G377" s="6">
        <v>0</v>
      </c>
      <c r="I377" s="6">
        <v>6894839</v>
      </c>
      <c r="K377" s="6">
        <v>33548</v>
      </c>
      <c r="M377" s="6">
        <v>276688</v>
      </c>
      <c r="O377" s="6">
        <v>462228</v>
      </c>
      <c r="Q377" s="6">
        <v>6018145</v>
      </c>
      <c r="S377" s="6">
        <v>0</v>
      </c>
      <c r="U377" s="6">
        <v>396799</v>
      </c>
      <c r="W377" s="2">
        <f t="shared" si="65"/>
        <v>48807070</v>
      </c>
      <c r="Y377" s="6">
        <v>0</v>
      </c>
      <c r="AA377" s="6">
        <v>0</v>
      </c>
      <c r="AC377" s="6">
        <v>0</v>
      </c>
      <c r="AE377" s="6">
        <v>1154</v>
      </c>
      <c r="AG377" s="6">
        <v>0</v>
      </c>
      <c r="AI377" s="6">
        <f t="shared" si="66"/>
        <v>1154</v>
      </c>
      <c r="AK377" s="6">
        <f t="shared" si="67"/>
        <v>48808224</v>
      </c>
    </row>
    <row r="378" spans="1:37">
      <c r="A378" s="11" t="s">
        <v>483</v>
      </c>
      <c r="B378" s="11"/>
      <c r="C378" s="11" t="s">
        <v>59</v>
      </c>
      <c r="E378" s="6">
        <v>742670</v>
      </c>
      <c r="G378" s="6">
        <v>0</v>
      </c>
      <c r="I378" s="6">
        <v>1800474</v>
      </c>
      <c r="K378" s="6">
        <v>9300</v>
      </c>
      <c r="M378" s="6">
        <f>1109912+36000</f>
        <v>1145912</v>
      </c>
      <c r="O378" s="6">
        <v>0</v>
      </c>
      <c r="Q378" s="6">
        <v>0</v>
      </c>
      <c r="S378" s="6">
        <v>16500</v>
      </c>
      <c r="U378" s="6">
        <v>149980</v>
      </c>
      <c r="W378" s="2">
        <f t="shared" si="65"/>
        <v>3864836</v>
      </c>
      <c r="Y378" s="6">
        <v>0</v>
      </c>
      <c r="AA378" s="6">
        <v>0</v>
      </c>
      <c r="AC378" s="6">
        <v>0</v>
      </c>
      <c r="AE378" s="6">
        <v>0</v>
      </c>
      <c r="AG378" s="6">
        <v>0</v>
      </c>
      <c r="AI378" s="6">
        <f t="shared" si="66"/>
        <v>0</v>
      </c>
      <c r="AK378" s="6">
        <f t="shared" si="67"/>
        <v>3864836</v>
      </c>
    </row>
    <row r="379" spans="1:37">
      <c r="A379" s="11" t="s">
        <v>214</v>
      </c>
      <c r="B379" s="11"/>
      <c r="C379" s="11" t="s">
        <v>14</v>
      </c>
      <c r="D379" s="9"/>
      <c r="E379" s="6">
        <v>2012918</v>
      </c>
      <c r="G379" s="6">
        <v>1655909</v>
      </c>
      <c r="I379" s="6">
        <v>4166726</v>
      </c>
      <c r="K379" s="6">
        <v>81810</v>
      </c>
      <c r="M379" s="6">
        <v>338633</v>
      </c>
      <c r="O379" s="6">
        <v>0</v>
      </c>
      <c r="Q379" s="6">
        <v>30952</v>
      </c>
      <c r="S379" s="6">
        <v>35019</v>
      </c>
      <c r="U379" s="6">
        <v>42587</v>
      </c>
      <c r="W379" s="2">
        <f t="shared" si="65"/>
        <v>8364554</v>
      </c>
      <c r="Y379" s="6">
        <v>0</v>
      </c>
      <c r="AA379" s="6">
        <v>0</v>
      </c>
      <c r="AC379" s="6">
        <v>0</v>
      </c>
      <c r="AE379" s="6">
        <v>0</v>
      </c>
      <c r="AG379" s="6">
        <v>0</v>
      </c>
      <c r="AI379" s="6">
        <f t="shared" si="66"/>
        <v>0</v>
      </c>
      <c r="AK379" s="6">
        <f t="shared" si="67"/>
        <v>8364554</v>
      </c>
    </row>
    <row r="380" spans="1:37" hidden="1">
      <c r="A380" s="11" t="s">
        <v>706</v>
      </c>
      <c r="B380" s="11"/>
      <c r="C380" s="11" t="s">
        <v>14</v>
      </c>
      <c r="D380" s="9"/>
      <c r="W380" s="2">
        <f t="shared" si="65"/>
        <v>0</v>
      </c>
      <c r="AA380" s="6">
        <v>0</v>
      </c>
      <c r="AG380" s="6">
        <v>0</v>
      </c>
      <c r="AI380" s="6">
        <f t="shared" si="66"/>
        <v>0</v>
      </c>
      <c r="AK380" s="6">
        <f t="shared" si="67"/>
        <v>0</v>
      </c>
    </row>
    <row r="381" spans="1:37">
      <c r="A381" s="11" t="s">
        <v>433</v>
      </c>
      <c r="B381" s="11"/>
      <c r="C381" s="11" t="s">
        <v>50</v>
      </c>
      <c r="E381" s="6">
        <v>3572590</v>
      </c>
      <c r="G381" s="6">
        <v>0</v>
      </c>
      <c r="I381" s="6">
        <v>6188718</v>
      </c>
      <c r="K381" s="6">
        <v>10207</v>
      </c>
      <c r="M381" s="6">
        <v>649809</v>
      </c>
      <c r="O381" s="6">
        <v>29629</v>
      </c>
      <c r="Q381" s="6">
        <v>0</v>
      </c>
      <c r="S381" s="6">
        <v>0</v>
      </c>
      <c r="U381" s="6">
        <v>153915</v>
      </c>
      <c r="W381" s="2">
        <f t="shared" si="65"/>
        <v>10604868</v>
      </c>
      <c r="Y381" s="6">
        <v>251287</v>
      </c>
      <c r="AA381" s="6">
        <v>0</v>
      </c>
      <c r="AC381" s="6">
        <v>0</v>
      </c>
      <c r="AE381" s="6">
        <v>0</v>
      </c>
      <c r="AG381" s="6">
        <v>0</v>
      </c>
      <c r="AI381" s="6">
        <f t="shared" si="66"/>
        <v>251287</v>
      </c>
      <c r="AK381" s="6">
        <f t="shared" si="67"/>
        <v>10856155</v>
      </c>
    </row>
    <row r="382" spans="1:37" hidden="1">
      <c r="A382" s="11" t="s">
        <v>809</v>
      </c>
      <c r="B382" s="11"/>
      <c r="C382" s="11" t="s">
        <v>451</v>
      </c>
      <c r="W382" s="2">
        <f t="shared" si="65"/>
        <v>0</v>
      </c>
      <c r="AA382" s="6">
        <v>0</v>
      </c>
      <c r="AG382" s="6">
        <v>0</v>
      </c>
      <c r="AI382" s="6">
        <f t="shared" si="66"/>
        <v>0</v>
      </c>
      <c r="AK382" s="6">
        <f t="shared" si="67"/>
        <v>0</v>
      </c>
    </row>
    <row r="383" spans="1:37">
      <c r="A383" s="11" t="s">
        <v>357</v>
      </c>
      <c r="B383" s="11"/>
      <c r="C383" s="11" t="s">
        <v>37</v>
      </c>
      <c r="E383" s="6">
        <v>2985413</v>
      </c>
      <c r="G383" s="6">
        <v>0</v>
      </c>
      <c r="I383" s="6">
        <v>5793335</v>
      </c>
      <c r="K383" s="6">
        <v>9208</v>
      </c>
      <c r="M383" s="6">
        <f>266470+274+30887</f>
        <v>297631</v>
      </c>
      <c r="O383" s="6">
        <v>53993</v>
      </c>
      <c r="Q383" s="6">
        <v>0</v>
      </c>
      <c r="S383" s="6">
        <v>16365</v>
      </c>
      <c r="U383" s="6">
        <v>13507</v>
      </c>
      <c r="W383" s="2">
        <f t="shared" si="65"/>
        <v>9169452</v>
      </c>
      <c r="Y383" s="6">
        <v>0</v>
      </c>
      <c r="AA383" s="6">
        <v>0</v>
      </c>
      <c r="AC383" s="6">
        <v>0</v>
      </c>
      <c r="AE383" s="6">
        <v>0</v>
      </c>
      <c r="AG383" s="6">
        <v>0</v>
      </c>
      <c r="AI383" s="6">
        <f t="shared" si="66"/>
        <v>0</v>
      </c>
      <c r="AK383" s="6">
        <f t="shared" si="67"/>
        <v>9169452</v>
      </c>
    </row>
    <row r="384" spans="1:37">
      <c r="A384" s="11" t="s">
        <v>226</v>
      </c>
      <c r="B384" s="11"/>
      <c r="C384" s="11" t="s">
        <v>221</v>
      </c>
      <c r="D384" s="9"/>
      <c r="E384" s="6">
        <v>1376967</v>
      </c>
      <c r="G384" s="6">
        <v>0</v>
      </c>
      <c r="I384" s="6">
        <v>4618332</v>
      </c>
      <c r="K384" s="6">
        <v>3677</v>
      </c>
      <c r="M384" s="6">
        <v>9275</v>
      </c>
      <c r="O384" s="6">
        <v>0</v>
      </c>
      <c r="Q384" s="6">
        <v>0</v>
      </c>
      <c r="S384" s="6">
        <v>0</v>
      </c>
      <c r="U384" s="6">
        <v>163604</v>
      </c>
      <c r="W384" s="2">
        <f t="shared" si="65"/>
        <v>6171855</v>
      </c>
      <c r="Y384" s="6">
        <v>0</v>
      </c>
      <c r="AA384" s="6">
        <v>0</v>
      </c>
      <c r="AC384" s="6">
        <v>0</v>
      </c>
      <c r="AE384" s="6">
        <v>0</v>
      </c>
      <c r="AG384" s="6">
        <v>0</v>
      </c>
      <c r="AI384" s="6">
        <f t="shared" si="66"/>
        <v>0</v>
      </c>
      <c r="AK384" s="6">
        <f t="shared" si="67"/>
        <v>6171855</v>
      </c>
    </row>
    <row r="385" spans="1:37">
      <c r="A385" s="11" t="s">
        <v>537</v>
      </c>
      <c r="B385" s="11"/>
      <c r="C385" s="11" t="s">
        <v>65</v>
      </c>
      <c r="E385" s="6">
        <v>11210950</v>
      </c>
      <c r="G385" s="6">
        <v>0</v>
      </c>
      <c r="I385" s="6">
        <v>10310561</v>
      </c>
      <c r="K385" s="6">
        <v>33595</v>
      </c>
      <c r="M385" s="6">
        <v>60309</v>
      </c>
      <c r="O385" s="6">
        <v>193453</v>
      </c>
      <c r="Q385" s="6">
        <v>0</v>
      </c>
      <c r="S385" s="6">
        <v>0</v>
      </c>
      <c r="U385" s="6">
        <v>633391</v>
      </c>
      <c r="W385" s="2">
        <f t="shared" si="65"/>
        <v>22442259</v>
      </c>
      <c r="Y385" s="6">
        <v>0</v>
      </c>
      <c r="AA385" s="6">
        <v>0</v>
      </c>
      <c r="AC385" s="6">
        <v>0</v>
      </c>
      <c r="AE385" s="6">
        <v>0</v>
      </c>
      <c r="AG385" s="6">
        <v>0</v>
      </c>
      <c r="AI385" s="6">
        <f t="shared" si="66"/>
        <v>0</v>
      </c>
      <c r="AK385" s="6">
        <f t="shared" si="67"/>
        <v>22442259</v>
      </c>
    </row>
    <row r="386" spans="1:37">
      <c r="A386" s="11" t="s">
        <v>772</v>
      </c>
      <c r="B386" s="11"/>
      <c r="C386" s="11" t="s">
        <v>113</v>
      </c>
      <c r="D386" s="9"/>
      <c r="E386" s="6">
        <v>11346715</v>
      </c>
      <c r="G386" s="6">
        <v>0</v>
      </c>
      <c r="I386" s="6">
        <v>12435409</v>
      </c>
      <c r="K386" s="6">
        <v>123106</v>
      </c>
      <c r="M386" s="6">
        <v>1266637</v>
      </c>
      <c r="O386" s="6">
        <v>0</v>
      </c>
      <c r="Q386" s="6">
        <v>0</v>
      </c>
      <c r="S386" s="6">
        <v>0</v>
      </c>
      <c r="U386" s="6">
        <v>93996</v>
      </c>
      <c r="W386" s="2">
        <f t="shared" si="65"/>
        <v>25265863</v>
      </c>
      <c r="Y386" s="6">
        <v>0</v>
      </c>
      <c r="AA386" s="6">
        <v>0</v>
      </c>
      <c r="AC386" s="6">
        <v>0</v>
      </c>
      <c r="AE386" s="6">
        <v>0</v>
      </c>
      <c r="AG386" s="6">
        <v>0</v>
      </c>
      <c r="AI386" s="6">
        <f t="shared" si="66"/>
        <v>0</v>
      </c>
      <c r="AK386" s="6">
        <f t="shared" si="67"/>
        <v>25265863</v>
      </c>
    </row>
    <row r="387" spans="1:37" hidden="1">
      <c r="A387" s="11" t="s">
        <v>810</v>
      </c>
      <c r="B387" s="11"/>
      <c r="C387" s="11" t="s">
        <v>60</v>
      </c>
      <c r="W387" s="2">
        <f t="shared" si="65"/>
        <v>0</v>
      </c>
      <c r="AA387" s="6">
        <v>0</v>
      </c>
      <c r="AI387" s="6">
        <f t="shared" si="66"/>
        <v>0</v>
      </c>
      <c r="AK387" s="6">
        <f t="shared" si="67"/>
        <v>0</v>
      </c>
    </row>
    <row r="388" spans="1:37">
      <c r="A388" s="11" t="s">
        <v>376</v>
      </c>
      <c r="B388" s="11"/>
      <c r="C388" s="11" t="s">
        <v>42</v>
      </c>
      <c r="E388" s="6">
        <v>18523053</v>
      </c>
      <c r="G388" s="6">
        <v>7780806</v>
      </c>
      <c r="I388" s="6">
        <f>29486075+148923</f>
        <v>29634998</v>
      </c>
      <c r="K388" s="6">
        <v>41159</v>
      </c>
      <c r="M388" s="6">
        <f>647337+108658+138162+631+23023</f>
        <v>917811</v>
      </c>
      <c r="O388" s="6">
        <v>152635</v>
      </c>
      <c r="Q388" s="6">
        <v>6439</v>
      </c>
      <c r="S388" s="6">
        <v>127749</v>
      </c>
      <c r="U388" s="6">
        <v>714261</v>
      </c>
      <c r="W388" s="2">
        <f>SUM(E388:V388)</f>
        <v>57898911</v>
      </c>
      <c r="Y388" s="6">
        <v>0</v>
      </c>
      <c r="AA388" s="6">
        <v>0</v>
      </c>
      <c r="AC388" s="6">
        <v>812035</v>
      </c>
      <c r="AE388" s="6">
        <v>35867</v>
      </c>
      <c r="AG388" s="6">
        <v>0</v>
      </c>
      <c r="AI388" s="6">
        <f>SUM(Y388:AH388)</f>
        <v>847902</v>
      </c>
      <c r="AK388" s="6">
        <f t="shared" si="67"/>
        <v>58746813</v>
      </c>
    </row>
    <row r="389" spans="1:37" hidden="1">
      <c r="A389" s="10" t="s">
        <v>881</v>
      </c>
      <c r="B389" s="11"/>
      <c r="C389" s="11" t="s">
        <v>30</v>
      </c>
      <c r="E389" s="6">
        <v>0</v>
      </c>
      <c r="G389" s="6">
        <v>0</v>
      </c>
      <c r="I389" s="6">
        <v>0</v>
      </c>
      <c r="K389" s="6">
        <v>0</v>
      </c>
      <c r="M389" s="6">
        <v>0</v>
      </c>
      <c r="O389" s="6">
        <v>0</v>
      </c>
      <c r="Q389" s="6">
        <v>0</v>
      </c>
      <c r="S389" s="6">
        <v>0</v>
      </c>
      <c r="U389" s="6">
        <v>0</v>
      </c>
      <c r="W389" s="2">
        <f t="shared" ref="W389:W401" si="68">SUM(E389:V389)</f>
        <v>0</v>
      </c>
      <c r="Y389" s="6">
        <v>0</v>
      </c>
      <c r="AA389" s="6">
        <v>0</v>
      </c>
      <c r="AC389" s="6">
        <v>0</v>
      </c>
      <c r="AE389" s="6">
        <v>0</v>
      </c>
      <c r="AG389" s="6">
        <v>0</v>
      </c>
      <c r="AI389" s="6">
        <v>0</v>
      </c>
      <c r="AK389" s="6">
        <f t="shared" si="67"/>
        <v>0</v>
      </c>
    </row>
    <row r="390" spans="1:37">
      <c r="A390" s="11" t="s">
        <v>773</v>
      </c>
      <c r="B390" s="11"/>
      <c r="C390" s="11" t="s">
        <v>65</v>
      </c>
      <c r="E390" s="6">
        <v>2734579</v>
      </c>
      <c r="G390" s="6">
        <v>0</v>
      </c>
      <c r="I390" s="6">
        <v>6260541</v>
      </c>
      <c r="K390" s="6">
        <v>0</v>
      </c>
      <c r="M390" s="6">
        <f>793904+16826+775</f>
        <v>811505</v>
      </c>
      <c r="O390" s="6">
        <v>49273</v>
      </c>
      <c r="Q390" s="6">
        <v>0</v>
      </c>
      <c r="S390" s="6">
        <v>3866</v>
      </c>
      <c r="U390" s="6">
        <v>134170</v>
      </c>
      <c r="W390" s="2">
        <f t="shared" si="68"/>
        <v>9993934</v>
      </c>
      <c r="Y390" s="6">
        <v>0</v>
      </c>
      <c r="AA390" s="6">
        <v>0</v>
      </c>
      <c r="AC390" s="6">
        <v>0</v>
      </c>
      <c r="AE390" s="6">
        <v>0</v>
      </c>
      <c r="AG390" s="6">
        <v>0</v>
      </c>
      <c r="AI390" s="6">
        <f t="shared" ref="AI390:AI401" si="69">SUM(Y390:AH390)</f>
        <v>0</v>
      </c>
      <c r="AK390" s="6">
        <f t="shared" si="67"/>
        <v>9993934</v>
      </c>
    </row>
    <row r="391" spans="1:37">
      <c r="A391" s="11" t="s">
        <v>774</v>
      </c>
      <c r="B391" s="11"/>
      <c r="C391" s="11" t="s">
        <v>64</v>
      </c>
      <c r="E391" s="6">
        <v>2592145</v>
      </c>
      <c r="G391" s="6">
        <v>0</v>
      </c>
      <c r="I391" s="6">
        <v>7767471</v>
      </c>
      <c r="K391" s="6">
        <v>9315</v>
      </c>
      <c r="M391" s="6">
        <f>332991+1842</f>
        <v>334833</v>
      </c>
      <c r="O391" s="6">
        <v>45954</v>
      </c>
      <c r="Q391" s="6">
        <v>0</v>
      </c>
      <c r="S391" s="6">
        <v>0</v>
      </c>
      <c r="U391" s="6">
        <v>49613</v>
      </c>
      <c r="W391" s="2">
        <f t="shared" si="68"/>
        <v>10799331</v>
      </c>
      <c r="Y391" s="6">
        <v>0</v>
      </c>
      <c r="AA391" s="6">
        <v>0</v>
      </c>
      <c r="AC391" s="6">
        <v>0</v>
      </c>
      <c r="AE391" s="6">
        <v>0</v>
      </c>
      <c r="AG391" s="6">
        <v>0</v>
      </c>
      <c r="AI391" s="6">
        <f t="shared" si="69"/>
        <v>0</v>
      </c>
      <c r="AK391" s="6">
        <f t="shared" si="67"/>
        <v>10799331</v>
      </c>
    </row>
    <row r="392" spans="1:37" hidden="1">
      <c r="A392" s="11" t="s">
        <v>811</v>
      </c>
      <c r="B392" s="11"/>
      <c r="C392" s="11" t="s">
        <v>48</v>
      </c>
      <c r="W392" s="2">
        <f t="shared" si="68"/>
        <v>0</v>
      </c>
      <c r="AA392" s="6">
        <v>0</v>
      </c>
      <c r="AG392" s="6">
        <v>0</v>
      </c>
      <c r="AI392" s="6">
        <f t="shared" si="69"/>
        <v>0</v>
      </c>
      <c r="AK392" s="6">
        <f t="shared" si="67"/>
        <v>0</v>
      </c>
    </row>
    <row r="393" spans="1:37">
      <c r="A393" s="11" t="s">
        <v>606</v>
      </c>
      <c r="B393" s="11"/>
      <c r="C393" s="11" t="s">
        <v>64</v>
      </c>
      <c r="E393" s="6">
        <v>6635911</v>
      </c>
      <c r="G393" s="6">
        <v>0</v>
      </c>
      <c r="I393" s="6">
        <v>14981983</v>
      </c>
      <c r="K393" s="6">
        <v>2739</v>
      </c>
      <c r="M393" s="6">
        <f>794696+28528+81016</f>
        <v>904240</v>
      </c>
      <c r="O393" s="6">
        <v>47672</v>
      </c>
      <c r="Q393" s="6">
        <v>0</v>
      </c>
      <c r="S393" s="6">
        <v>5249</v>
      </c>
      <c r="U393" s="6">
        <v>121969</v>
      </c>
      <c r="W393" s="2">
        <f t="shared" si="68"/>
        <v>22699763</v>
      </c>
      <c r="Y393" s="6">
        <v>0</v>
      </c>
      <c r="AA393" s="6">
        <v>0</v>
      </c>
      <c r="AC393" s="6">
        <v>0</v>
      </c>
      <c r="AE393" s="6">
        <v>0</v>
      </c>
      <c r="AG393" s="6">
        <v>0</v>
      </c>
      <c r="AI393" s="6">
        <f t="shared" si="69"/>
        <v>0</v>
      </c>
      <c r="AK393" s="6">
        <f t="shared" si="67"/>
        <v>22699763</v>
      </c>
    </row>
    <row r="394" spans="1:37">
      <c r="A394" s="11" t="s">
        <v>449</v>
      </c>
      <c r="B394" s="11"/>
      <c r="C394" s="11" t="s">
        <v>52</v>
      </c>
      <c r="E394" s="6">
        <v>4216297</v>
      </c>
      <c r="G394" s="6">
        <v>0</v>
      </c>
      <c r="I394" s="6">
        <v>5746116</v>
      </c>
      <c r="K394" s="6">
        <v>18599</v>
      </c>
      <c r="M394" s="6">
        <f>752490+234285</f>
        <v>986775</v>
      </c>
      <c r="O394" s="6">
        <v>29089</v>
      </c>
      <c r="Q394" s="6">
        <v>0</v>
      </c>
      <c r="S394" s="6">
        <v>1085</v>
      </c>
      <c r="U394" s="6">
        <v>28683</v>
      </c>
      <c r="W394" s="2">
        <f t="shared" si="68"/>
        <v>11026644</v>
      </c>
      <c r="Y394" s="6">
        <v>0</v>
      </c>
      <c r="AA394" s="6">
        <v>0</v>
      </c>
      <c r="AC394" s="6">
        <v>0</v>
      </c>
      <c r="AE394" s="6">
        <v>0</v>
      </c>
      <c r="AG394" s="6">
        <v>0</v>
      </c>
      <c r="AI394" s="6">
        <f t="shared" si="69"/>
        <v>0</v>
      </c>
      <c r="AK394" s="6">
        <f t="shared" si="67"/>
        <v>11026644</v>
      </c>
    </row>
    <row r="395" spans="1:37">
      <c r="A395" s="11" t="s">
        <v>511</v>
      </c>
      <c r="B395" s="11"/>
      <c r="C395" s="11" t="s">
        <v>63</v>
      </c>
      <c r="E395" s="6">
        <v>26813566</v>
      </c>
      <c r="G395" s="6">
        <v>0</v>
      </c>
      <c r="I395" s="6">
        <v>10788587</v>
      </c>
      <c r="K395" s="6">
        <v>11045</v>
      </c>
      <c r="M395" s="6">
        <f>612853+66614</f>
        <v>679467</v>
      </c>
      <c r="O395" s="6">
        <v>422931</v>
      </c>
      <c r="Q395" s="6">
        <v>0</v>
      </c>
      <c r="S395" s="6">
        <v>0</v>
      </c>
      <c r="U395" s="6">
        <v>135530</v>
      </c>
      <c r="W395" s="2">
        <f t="shared" si="68"/>
        <v>38851126</v>
      </c>
      <c r="Y395" s="6">
        <v>29079</v>
      </c>
      <c r="AA395" s="6">
        <v>0</v>
      </c>
      <c r="AC395" s="6">
        <v>0</v>
      </c>
      <c r="AE395" s="6">
        <v>0</v>
      </c>
      <c r="AG395" s="6">
        <v>0</v>
      </c>
      <c r="AI395" s="6">
        <f t="shared" si="69"/>
        <v>29079</v>
      </c>
      <c r="AK395" s="6">
        <f t="shared" si="67"/>
        <v>38880205</v>
      </c>
    </row>
    <row r="396" spans="1:37">
      <c r="A396" s="11" t="s">
        <v>556</v>
      </c>
      <c r="B396" s="11"/>
      <c r="C396" s="11" t="s">
        <v>72</v>
      </c>
      <c r="E396" s="6">
        <v>2668974</v>
      </c>
      <c r="G396" s="6">
        <v>0</v>
      </c>
      <c r="I396" s="6">
        <v>4268264</v>
      </c>
      <c r="K396" s="6">
        <v>895</v>
      </c>
      <c r="M396" s="6">
        <v>270351</v>
      </c>
      <c r="O396" s="6">
        <v>0</v>
      </c>
      <c r="Q396" s="6">
        <v>291240</v>
      </c>
      <c r="S396" s="6">
        <v>39555</v>
      </c>
      <c r="U396" s="6">
        <v>111569</v>
      </c>
      <c r="W396" s="2">
        <f t="shared" si="68"/>
        <v>7650848</v>
      </c>
      <c r="Y396" s="6">
        <v>0</v>
      </c>
      <c r="AA396" s="6">
        <v>0</v>
      </c>
      <c r="AC396" s="6">
        <v>0</v>
      </c>
      <c r="AE396" s="6">
        <v>0</v>
      </c>
      <c r="AG396" s="6">
        <v>0</v>
      </c>
      <c r="AI396" s="6">
        <f t="shared" si="69"/>
        <v>0</v>
      </c>
      <c r="AK396" s="6">
        <f t="shared" si="67"/>
        <v>7650848</v>
      </c>
    </row>
    <row r="397" spans="1:37" hidden="1">
      <c r="A397" s="11" t="s">
        <v>813</v>
      </c>
      <c r="B397" s="11"/>
      <c r="C397" s="11" t="s">
        <v>53</v>
      </c>
      <c r="W397" s="2">
        <f t="shared" si="68"/>
        <v>0</v>
      </c>
      <c r="AA397" s="6">
        <v>0</v>
      </c>
      <c r="AI397" s="6">
        <f t="shared" si="69"/>
        <v>0</v>
      </c>
      <c r="AK397" s="6">
        <f t="shared" si="67"/>
        <v>0</v>
      </c>
    </row>
    <row r="398" spans="1:37">
      <c r="A398" s="11" t="s">
        <v>503</v>
      </c>
      <c r="B398" s="11"/>
      <c r="C398" s="11" t="s">
        <v>62</v>
      </c>
      <c r="E398" s="6">
        <v>20985895</v>
      </c>
      <c r="G398" s="6">
        <v>0</v>
      </c>
      <c r="I398" s="6">
        <f>17255897+19351</f>
        <v>17275248</v>
      </c>
      <c r="K398" s="6">
        <v>16513</v>
      </c>
      <c r="M398" s="6">
        <f>494656+14211+519512+56011+29966</f>
        <v>1114356</v>
      </c>
      <c r="O398" s="6">
        <v>107732</v>
      </c>
      <c r="Q398" s="6">
        <v>0</v>
      </c>
      <c r="S398" s="6">
        <v>6459</v>
      </c>
      <c r="U398" s="6">
        <v>292126</v>
      </c>
      <c r="W398" s="2">
        <f t="shared" si="68"/>
        <v>39798329</v>
      </c>
      <c r="Y398" s="6">
        <v>0</v>
      </c>
      <c r="AA398" s="6">
        <v>0</v>
      </c>
      <c r="AC398" s="6">
        <v>768121</v>
      </c>
      <c r="AE398" s="6">
        <v>0</v>
      </c>
      <c r="AG398" s="6">
        <v>0</v>
      </c>
      <c r="AI398" s="6">
        <f t="shared" si="69"/>
        <v>768121</v>
      </c>
      <c r="AK398" s="6">
        <f t="shared" si="67"/>
        <v>40566450</v>
      </c>
    </row>
    <row r="399" spans="1:37" hidden="1">
      <c r="A399" s="11" t="s">
        <v>814</v>
      </c>
      <c r="B399" s="11"/>
      <c r="C399" s="11" t="s">
        <v>552</v>
      </c>
      <c r="W399" s="2">
        <f t="shared" si="68"/>
        <v>0</v>
      </c>
      <c r="AA399" s="6">
        <v>0</v>
      </c>
      <c r="AG399" s="6">
        <v>0</v>
      </c>
      <c r="AI399" s="6">
        <f t="shared" si="69"/>
        <v>0</v>
      </c>
      <c r="AK399" s="6">
        <f t="shared" si="67"/>
        <v>0</v>
      </c>
    </row>
    <row r="400" spans="1:37">
      <c r="A400" s="11" t="s">
        <v>709</v>
      </c>
      <c r="B400" s="11"/>
      <c r="C400" s="11" t="s">
        <v>32</v>
      </c>
      <c r="E400" s="6">
        <v>3576640</v>
      </c>
      <c r="G400" s="6">
        <v>0</v>
      </c>
      <c r="I400" s="6">
        <v>8312851</v>
      </c>
      <c r="K400" s="6">
        <v>280</v>
      </c>
      <c r="M400" s="6">
        <f>231331+87</f>
        <v>231418</v>
      </c>
      <c r="O400" s="6">
        <v>11594</v>
      </c>
      <c r="Q400" s="6">
        <v>0</v>
      </c>
      <c r="S400" s="6">
        <v>0</v>
      </c>
      <c r="U400" s="6">
        <v>229461</v>
      </c>
      <c r="W400" s="2">
        <f t="shared" si="68"/>
        <v>12362244</v>
      </c>
      <c r="Y400" s="6">
        <v>39512</v>
      </c>
      <c r="AA400" s="6">
        <v>0</v>
      </c>
      <c r="AC400" s="6">
        <v>0</v>
      </c>
      <c r="AE400" s="6">
        <v>0</v>
      </c>
      <c r="AG400" s="6">
        <v>0</v>
      </c>
      <c r="AI400" s="6">
        <f t="shared" si="69"/>
        <v>39512</v>
      </c>
      <c r="AK400" s="6">
        <f t="shared" si="67"/>
        <v>12401756</v>
      </c>
    </row>
    <row r="401" spans="1:37">
      <c r="A401" s="11" t="s">
        <v>377</v>
      </c>
      <c r="B401" s="11"/>
      <c r="C401" s="11" t="s">
        <v>42</v>
      </c>
      <c r="E401" s="6">
        <v>5907517</v>
      </c>
      <c r="G401" s="6">
        <v>0</v>
      </c>
      <c r="I401" s="6">
        <f>8714692+67840</f>
        <v>8782532</v>
      </c>
      <c r="K401" s="6">
        <v>23220</v>
      </c>
      <c r="M401" s="6">
        <f>693383+56159+16040</f>
        <v>765582</v>
      </c>
      <c r="O401" s="6">
        <v>93553</v>
      </c>
      <c r="Q401" s="6">
        <v>0</v>
      </c>
      <c r="S401" s="6">
        <v>127581</v>
      </c>
      <c r="U401" s="6">
        <v>77068</v>
      </c>
      <c r="W401" s="2">
        <f t="shared" si="68"/>
        <v>15777053</v>
      </c>
      <c r="Y401" s="6">
        <v>0</v>
      </c>
      <c r="AA401" s="6">
        <v>0</v>
      </c>
      <c r="AC401" s="6">
        <v>0</v>
      </c>
      <c r="AE401" s="6">
        <v>0</v>
      </c>
      <c r="AG401" s="6">
        <v>0</v>
      </c>
      <c r="AI401" s="6">
        <f t="shared" si="69"/>
        <v>0</v>
      </c>
      <c r="AK401" s="6">
        <f t="shared" si="67"/>
        <v>15777053</v>
      </c>
    </row>
    <row r="402" spans="1:37">
      <c r="A402" s="11" t="s">
        <v>271</v>
      </c>
      <c r="B402" s="11"/>
      <c r="C402" s="11" t="s">
        <v>20</v>
      </c>
      <c r="E402" s="6">
        <v>37451611</v>
      </c>
      <c r="G402" s="6">
        <v>0</v>
      </c>
      <c r="I402" s="6">
        <v>13574280</v>
      </c>
      <c r="K402" s="6">
        <v>10952</v>
      </c>
      <c r="M402" s="6">
        <f>762957+22633</f>
        <v>785590</v>
      </c>
      <c r="O402" s="6">
        <v>120179</v>
      </c>
      <c r="Q402" s="6">
        <v>0</v>
      </c>
      <c r="S402" s="6">
        <v>0</v>
      </c>
      <c r="U402" s="6">
        <v>593950</v>
      </c>
      <c r="W402" s="2">
        <f t="shared" ref="W402:W406" si="70">SUM(E402:V402)</f>
        <v>52536562</v>
      </c>
      <c r="Y402" s="6">
        <v>0</v>
      </c>
      <c r="AA402" s="6">
        <v>0</v>
      </c>
      <c r="AC402" s="6">
        <v>0</v>
      </c>
      <c r="AE402" s="6">
        <v>0</v>
      </c>
      <c r="AG402" s="6">
        <v>0</v>
      </c>
      <c r="AI402" s="6">
        <f t="shared" ref="AI402:AI406" si="71">SUM(Y402:AH402)</f>
        <v>0</v>
      </c>
      <c r="AK402" s="6">
        <f t="shared" si="67"/>
        <v>52536562</v>
      </c>
    </row>
    <row r="403" spans="1:37">
      <c r="A403" s="11" t="s">
        <v>388</v>
      </c>
      <c r="B403" s="11"/>
      <c r="C403" s="11" t="s">
        <v>44</v>
      </c>
      <c r="E403" s="6">
        <v>19516164</v>
      </c>
      <c r="G403" s="6">
        <v>0</v>
      </c>
      <c r="I403" s="6">
        <v>11510285</v>
      </c>
      <c r="K403" s="6">
        <v>5962</v>
      </c>
      <c r="M403" s="6">
        <f>422468+6153</f>
        <v>428621</v>
      </c>
      <c r="O403" s="6">
        <v>92571</v>
      </c>
      <c r="Q403" s="6">
        <v>0</v>
      </c>
      <c r="S403" s="6">
        <v>0</v>
      </c>
      <c r="U403" s="6">
        <v>410333</v>
      </c>
      <c r="W403" s="2">
        <f t="shared" si="70"/>
        <v>31963936</v>
      </c>
      <c r="Y403" s="6">
        <v>0</v>
      </c>
      <c r="AA403" s="6">
        <v>0</v>
      </c>
      <c r="AC403" s="6">
        <v>0</v>
      </c>
      <c r="AE403" s="6">
        <v>0</v>
      </c>
      <c r="AG403" s="6">
        <v>0</v>
      </c>
      <c r="AI403" s="6">
        <f t="shared" si="71"/>
        <v>0</v>
      </c>
      <c r="AK403" s="6">
        <f t="shared" si="67"/>
        <v>31963936</v>
      </c>
    </row>
    <row r="404" spans="1:37">
      <c r="A404" s="11" t="s">
        <v>272</v>
      </c>
      <c r="B404" s="11"/>
      <c r="C404" s="11" t="s">
        <v>20</v>
      </c>
      <c r="E404" s="6">
        <v>35321511</v>
      </c>
      <c r="G404" s="6">
        <v>0</v>
      </c>
      <c r="I404" s="6">
        <v>10368984</v>
      </c>
      <c r="K404" s="6">
        <v>62352</v>
      </c>
      <c r="M404" s="6">
        <f>438848+2729+42069</f>
        <v>483646</v>
      </c>
      <c r="O404" s="6">
        <v>286137</v>
      </c>
      <c r="Q404" s="6">
        <v>0</v>
      </c>
      <c r="S404" s="6">
        <v>35565</v>
      </c>
      <c r="U404" s="6">
        <v>130820</v>
      </c>
      <c r="W404" s="2">
        <f t="shared" si="70"/>
        <v>46689015</v>
      </c>
      <c r="Y404" s="6">
        <v>0</v>
      </c>
      <c r="AA404" s="6">
        <v>0</v>
      </c>
      <c r="AC404" s="6">
        <v>0</v>
      </c>
      <c r="AE404" s="6">
        <v>0</v>
      </c>
      <c r="AG404" s="6">
        <v>0</v>
      </c>
      <c r="AI404" s="6">
        <f t="shared" si="71"/>
        <v>0</v>
      </c>
      <c r="AK404" s="6">
        <f t="shared" si="67"/>
        <v>46689015</v>
      </c>
    </row>
    <row r="405" spans="1:37">
      <c r="A405" s="11" t="s">
        <v>540</v>
      </c>
      <c r="B405" s="11"/>
      <c r="C405" s="11" t="s">
        <v>66</v>
      </c>
      <c r="E405" s="6">
        <v>3862764</v>
      </c>
      <c r="G405" s="6">
        <v>1646282</v>
      </c>
      <c r="I405" s="6">
        <v>7763700</v>
      </c>
      <c r="K405" s="6">
        <v>123196</v>
      </c>
      <c r="M405" s="6">
        <v>764794</v>
      </c>
      <c r="O405" s="6">
        <v>0</v>
      </c>
      <c r="Q405" s="6">
        <v>0</v>
      </c>
      <c r="S405" s="6">
        <v>6206</v>
      </c>
      <c r="U405" s="6">
        <v>144915</v>
      </c>
      <c r="W405" s="2">
        <f t="shared" si="70"/>
        <v>14311857</v>
      </c>
      <c r="Y405" s="6">
        <v>0</v>
      </c>
      <c r="AA405" s="6">
        <v>0</v>
      </c>
      <c r="AC405" s="6">
        <v>0</v>
      </c>
      <c r="AE405" s="6">
        <v>0</v>
      </c>
      <c r="AG405" s="6">
        <v>0</v>
      </c>
      <c r="AI405" s="6">
        <f t="shared" si="71"/>
        <v>0</v>
      </c>
      <c r="AK405" s="6">
        <f t="shared" si="67"/>
        <v>14311857</v>
      </c>
    </row>
    <row r="406" spans="1:37">
      <c r="A406" s="11" t="s">
        <v>233</v>
      </c>
      <c r="B406" s="11"/>
      <c r="C406" s="11" t="s">
        <v>17</v>
      </c>
      <c r="D406" s="9"/>
      <c r="E406" s="6">
        <v>10207135</v>
      </c>
      <c r="G406" s="6">
        <v>0</v>
      </c>
      <c r="I406" s="6">
        <v>14653964</v>
      </c>
      <c r="K406" s="6">
        <v>27100</v>
      </c>
      <c r="M406" s="6">
        <v>2114535</v>
      </c>
      <c r="O406" s="6">
        <v>13418</v>
      </c>
      <c r="Q406" s="6">
        <v>0</v>
      </c>
      <c r="S406" s="6">
        <v>18701</v>
      </c>
      <c r="U406" s="6">
        <v>47592</v>
      </c>
      <c r="W406" s="2">
        <f t="shared" si="70"/>
        <v>27082445</v>
      </c>
      <c r="Y406" s="6">
        <v>0</v>
      </c>
      <c r="AA406" s="6">
        <v>0</v>
      </c>
      <c r="AC406" s="6">
        <v>0</v>
      </c>
      <c r="AE406" s="6">
        <v>0</v>
      </c>
      <c r="AG406" s="6">
        <v>0</v>
      </c>
      <c r="AI406" s="6">
        <f t="shared" si="71"/>
        <v>0</v>
      </c>
      <c r="AK406" s="6">
        <f t="shared" si="67"/>
        <v>27082445</v>
      </c>
    </row>
    <row r="407" spans="1:37" hidden="1">
      <c r="A407" s="11" t="s">
        <v>815</v>
      </c>
      <c r="B407" s="11"/>
      <c r="C407" s="11" t="s">
        <v>22</v>
      </c>
      <c r="W407" s="2">
        <f t="shared" ref="W407:W456" si="72">SUM(E407:V407)</f>
        <v>0</v>
      </c>
      <c r="AA407" s="6">
        <v>0</v>
      </c>
      <c r="AG407" s="6">
        <v>0</v>
      </c>
      <c r="AI407" s="6">
        <f t="shared" ref="AI407:AI436" si="73">SUM(Y407:AH407)</f>
        <v>0</v>
      </c>
      <c r="AK407" s="6">
        <f t="shared" si="67"/>
        <v>0</v>
      </c>
    </row>
    <row r="408" spans="1:37" hidden="1">
      <c r="A408" s="11" t="s">
        <v>816</v>
      </c>
      <c r="B408" s="11"/>
      <c r="C408" s="11" t="s">
        <v>451</v>
      </c>
      <c r="W408" s="2">
        <f t="shared" si="72"/>
        <v>0</v>
      </c>
      <c r="AA408" s="6">
        <v>0</v>
      </c>
      <c r="AG408" s="6">
        <v>0</v>
      </c>
      <c r="AI408" s="6">
        <f t="shared" ref="AI408" si="74">SUM(Y408:AH408)</f>
        <v>0</v>
      </c>
      <c r="AK408" s="6">
        <f t="shared" ref="AK408" si="75">+AI408+W408</f>
        <v>0</v>
      </c>
    </row>
    <row r="409" spans="1:37">
      <c r="A409" s="11" t="s">
        <v>434</v>
      </c>
      <c r="B409" s="11"/>
      <c r="C409" s="11" t="s">
        <v>50</v>
      </c>
      <c r="E409" s="6">
        <v>24667987</v>
      </c>
      <c r="G409" s="6">
        <v>0</v>
      </c>
      <c r="I409" s="6">
        <v>23264674</v>
      </c>
      <c r="K409" s="6">
        <v>6092</v>
      </c>
      <c r="M409" s="6">
        <f>649795+298044</f>
        <v>947839</v>
      </c>
      <c r="O409" s="6">
        <v>204502</v>
      </c>
      <c r="Q409" s="6">
        <v>0</v>
      </c>
      <c r="S409" s="6">
        <v>0</v>
      </c>
      <c r="U409" s="6">
        <v>153014</v>
      </c>
      <c r="W409" s="2">
        <f t="shared" si="72"/>
        <v>49244108</v>
      </c>
      <c r="Y409" s="6">
        <v>0</v>
      </c>
      <c r="AA409" s="6">
        <v>0</v>
      </c>
      <c r="AC409" s="6">
        <v>0</v>
      </c>
      <c r="AE409" s="6">
        <v>0</v>
      </c>
      <c r="AG409" s="6">
        <v>0</v>
      </c>
      <c r="AI409" s="6">
        <f t="shared" si="73"/>
        <v>0</v>
      </c>
      <c r="AK409" s="6">
        <f t="shared" si="67"/>
        <v>49244108</v>
      </c>
    </row>
    <row r="410" spans="1:37">
      <c r="A410" s="11" t="s">
        <v>442</v>
      </c>
      <c r="B410" s="11"/>
      <c r="C410" s="11" t="s">
        <v>78</v>
      </c>
      <c r="E410" s="6">
        <v>3098893</v>
      </c>
      <c r="G410" s="6">
        <v>1429180</v>
      </c>
      <c r="I410" s="6">
        <v>5300238</v>
      </c>
      <c r="K410" s="6">
        <v>2392</v>
      </c>
      <c r="M410" s="6">
        <f>712724+22564</f>
        <v>735288</v>
      </c>
      <c r="O410" s="6">
        <v>18500</v>
      </c>
      <c r="Q410" s="6">
        <v>0</v>
      </c>
      <c r="S410" s="6">
        <v>0</v>
      </c>
      <c r="U410" s="6">
        <v>6836</v>
      </c>
      <c r="W410" s="2">
        <f t="shared" si="72"/>
        <v>10591327</v>
      </c>
      <c r="Y410" s="6">
        <v>0</v>
      </c>
      <c r="AA410" s="6">
        <v>0</v>
      </c>
      <c r="AC410" s="6">
        <v>0</v>
      </c>
      <c r="AE410" s="6">
        <v>123179</v>
      </c>
      <c r="AG410" s="6">
        <v>0</v>
      </c>
      <c r="AI410" s="6">
        <f t="shared" si="73"/>
        <v>123179</v>
      </c>
      <c r="AK410" s="6">
        <f t="shared" si="67"/>
        <v>10714506</v>
      </c>
    </row>
    <row r="411" spans="1:37">
      <c r="A411" s="11" t="s">
        <v>378</v>
      </c>
      <c r="B411" s="11"/>
      <c r="C411" s="11" t="s">
        <v>42</v>
      </c>
      <c r="E411" s="6">
        <v>5993517</v>
      </c>
      <c r="G411" s="6">
        <v>215299</v>
      </c>
      <c r="I411" s="6">
        <v>5118256</v>
      </c>
      <c r="K411" s="6">
        <v>8451</v>
      </c>
      <c r="M411" s="6">
        <f>593527+62687</f>
        <v>656214</v>
      </c>
      <c r="O411" s="6">
        <v>77933</v>
      </c>
      <c r="Q411" s="6">
        <v>0</v>
      </c>
      <c r="S411" s="6">
        <v>2725</v>
      </c>
      <c r="U411" s="6">
        <v>6351</v>
      </c>
      <c r="W411" s="2">
        <f t="shared" si="72"/>
        <v>12078746</v>
      </c>
      <c r="Y411" s="6">
        <v>0</v>
      </c>
      <c r="AA411" s="6">
        <v>0</v>
      </c>
      <c r="AC411" s="6">
        <v>0</v>
      </c>
      <c r="AE411" s="6">
        <v>0</v>
      </c>
      <c r="AG411" s="6">
        <v>0</v>
      </c>
      <c r="AI411" s="6">
        <f t="shared" si="73"/>
        <v>0</v>
      </c>
      <c r="AK411" s="6">
        <f t="shared" si="67"/>
        <v>12078746</v>
      </c>
    </row>
    <row r="412" spans="1:37">
      <c r="A412" s="11" t="s">
        <v>378</v>
      </c>
      <c r="B412" s="11"/>
      <c r="C412" s="11" t="s">
        <v>50</v>
      </c>
      <c r="E412" s="6">
        <v>6523027</v>
      </c>
      <c r="G412" s="6">
        <v>0</v>
      </c>
      <c r="I412" s="6">
        <v>11107640</v>
      </c>
      <c r="K412" s="6">
        <v>86238</v>
      </c>
      <c r="M412" s="6">
        <f>1679292+83274</f>
        <v>1762566</v>
      </c>
      <c r="O412" s="6">
        <v>41130</v>
      </c>
      <c r="Q412" s="6">
        <v>0</v>
      </c>
      <c r="S412" s="6">
        <v>11314</v>
      </c>
      <c r="U412" s="6">
        <v>43790</v>
      </c>
      <c r="W412" s="2">
        <f t="shared" si="72"/>
        <v>19575705</v>
      </c>
      <c r="Y412" s="6">
        <v>0</v>
      </c>
      <c r="AA412" s="6">
        <v>0</v>
      </c>
      <c r="AC412" s="6">
        <v>0</v>
      </c>
      <c r="AE412" s="6">
        <v>0</v>
      </c>
      <c r="AG412" s="6">
        <v>0</v>
      </c>
      <c r="AI412" s="6">
        <f t="shared" si="73"/>
        <v>0</v>
      </c>
      <c r="AK412" s="6">
        <f t="shared" si="67"/>
        <v>19575705</v>
      </c>
    </row>
    <row r="413" spans="1:37">
      <c r="A413" s="11" t="s">
        <v>327</v>
      </c>
      <c r="B413" s="11"/>
      <c r="C413" s="11" t="s">
        <v>32</v>
      </c>
      <c r="E413" s="6">
        <v>36573371</v>
      </c>
      <c r="G413" s="6">
        <v>0</v>
      </c>
      <c r="I413" s="6">
        <v>35138905</v>
      </c>
      <c r="K413" s="6">
        <v>156845</v>
      </c>
      <c r="M413" s="6">
        <f>1764717+394526+645926</f>
        <v>2805169</v>
      </c>
      <c r="O413" s="6">
        <v>41725</v>
      </c>
      <c r="Q413" s="6">
        <v>3769607</v>
      </c>
      <c r="S413" s="6">
        <v>0</v>
      </c>
      <c r="U413" s="6">
        <v>629250</v>
      </c>
      <c r="W413" s="2">
        <f t="shared" si="72"/>
        <v>79114872</v>
      </c>
      <c r="Y413" s="6">
        <v>0</v>
      </c>
      <c r="AA413" s="6">
        <v>0</v>
      </c>
      <c r="AC413" s="6">
        <v>0</v>
      </c>
      <c r="AE413" s="6">
        <v>0</v>
      </c>
      <c r="AG413" s="6">
        <v>0</v>
      </c>
      <c r="AI413" s="6">
        <f t="shared" si="73"/>
        <v>0</v>
      </c>
      <c r="AK413" s="6">
        <f t="shared" si="67"/>
        <v>79114872</v>
      </c>
    </row>
    <row r="414" spans="1:37">
      <c r="A414" s="11" t="s">
        <v>597</v>
      </c>
      <c r="B414" s="11"/>
      <c r="C414" s="11" t="s">
        <v>59</v>
      </c>
      <c r="E414" s="6">
        <v>1789614</v>
      </c>
      <c r="G414" s="6">
        <v>0</v>
      </c>
      <c r="I414" s="6">
        <v>12952533</v>
      </c>
      <c r="K414" s="6">
        <v>1898</v>
      </c>
      <c r="M414" s="6">
        <f>21332+91809</f>
        <v>113141</v>
      </c>
      <c r="O414" s="6">
        <v>118844</v>
      </c>
      <c r="Q414" s="6">
        <v>0</v>
      </c>
      <c r="S414" s="6">
        <v>2054</v>
      </c>
      <c r="U414" s="6">
        <v>0</v>
      </c>
      <c r="W414" s="2">
        <f t="shared" si="72"/>
        <v>14978084</v>
      </c>
      <c r="Y414" s="6">
        <v>0</v>
      </c>
      <c r="AA414" s="6">
        <v>0</v>
      </c>
      <c r="AC414" s="6">
        <v>0</v>
      </c>
      <c r="AE414" s="6">
        <v>51019</v>
      </c>
      <c r="AG414" s="6">
        <v>0</v>
      </c>
      <c r="AI414" s="6">
        <f t="shared" si="73"/>
        <v>51019</v>
      </c>
      <c r="AK414" s="6">
        <f t="shared" si="67"/>
        <v>15029103</v>
      </c>
    </row>
    <row r="415" spans="1:37">
      <c r="A415" s="11" t="s">
        <v>327</v>
      </c>
      <c r="B415" s="11"/>
      <c r="C415" s="11" t="s">
        <v>62</v>
      </c>
      <c r="E415" s="6">
        <v>8151283</v>
      </c>
      <c r="G415" s="6">
        <v>0</v>
      </c>
      <c r="I415" s="6">
        <f>14899+9619639+84207</f>
        <v>9718745</v>
      </c>
      <c r="K415" s="6">
        <v>1019</v>
      </c>
      <c r="M415" s="6">
        <f>80124+144077</f>
        <v>224201</v>
      </c>
      <c r="O415" s="6">
        <v>68851</v>
      </c>
      <c r="Q415" s="6">
        <v>0</v>
      </c>
      <c r="S415" s="6">
        <v>0</v>
      </c>
      <c r="U415" s="6">
        <v>57034</v>
      </c>
      <c r="W415" s="2">
        <f t="shared" si="72"/>
        <v>18221133</v>
      </c>
      <c r="Y415" s="6">
        <v>0</v>
      </c>
      <c r="AA415" s="6">
        <v>0</v>
      </c>
      <c r="AC415" s="6">
        <v>0</v>
      </c>
      <c r="AE415" s="6">
        <v>22392</v>
      </c>
      <c r="AG415" s="6">
        <v>0</v>
      </c>
      <c r="AI415" s="6">
        <f t="shared" si="73"/>
        <v>22392</v>
      </c>
      <c r="AK415" s="6">
        <f t="shared" si="67"/>
        <v>18243525</v>
      </c>
    </row>
    <row r="416" spans="1:37">
      <c r="A416" s="11" t="s">
        <v>234</v>
      </c>
      <c r="B416" s="11"/>
      <c r="C416" s="11" t="s">
        <v>17</v>
      </c>
      <c r="E416" s="6">
        <v>5187065</v>
      </c>
      <c r="G416" s="6">
        <v>1858640</v>
      </c>
      <c r="I416" s="6">
        <v>6967757</v>
      </c>
      <c r="K416" s="6">
        <v>20849</v>
      </c>
      <c r="M416" s="6">
        <f>1438751+1819+33251</f>
        <v>1473821</v>
      </c>
      <c r="O416" s="6">
        <v>183733</v>
      </c>
      <c r="Q416" s="6">
        <v>0</v>
      </c>
      <c r="S416" s="6">
        <v>0</v>
      </c>
      <c r="U416" s="6">
        <v>67811</v>
      </c>
      <c r="W416" s="2">
        <f t="shared" si="72"/>
        <v>15759676</v>
      </c>
      <c r="Y416" s="6">
        <v>0</v>
      </c>
      <c r="AA416" s="6">
        <v>0</v>
      </c>
      <c r="AC416" s="6">
        <v>0</v>
      </c>
      <c r="AE416" s="6">
        <v>1275</v>
      </c>
      <c r="AG416" s="6">
        <v>0</v>
      </c>
      <c r="AI416" s="6">
        <f t="shared" si="73"/>
        <v>1275</v>
      </c>
      <c r="AK416" s="6">
        <f t="shared" si="67"/>
        <v>15760951</v>
      </c>
    </row>
    <row r="417" spans="1:37" hidden="1">
      <c r="A417" s="11" t="s">
        <v>739</v>
      </c>
      <c r="B417" s="11"/>
      <c r="C417" s="11" t="s">
        <v>71</v>
      </c>
      <c r="W417" s="2"/>
      <c r="AA417" s="6">
        <v>0</v>
      </c>
      <c r="AG417" s="6">
        <v>0</v>
      </c>
    </row>
    <row r="418" spans="1:37" hidden="1">
      <c r="A418" s="10" t="s">
        <v>882</v>
      </c>
      <c r="B418" s="11"/>
      <c r="C418" s="11" t="s">
        <v>72</v>
      </c>
      <c r="E418" s="6">
        <v>0</v>
      </c>
      <c r="G418" s="6">
        <v>0</v>
      </c>
      <c r="I418" s="6">
        <v>0</v>
      </c>
      <c r="K418" s="6">
        <v>0</v>
      </c>
      <c r="M418" s="6">
        <v>0</v>
      </c>
      <c r="O418" s="6">
        <v>0</v>
      </c>
      <c r="Q418" s="6">
        <v>0</v>
      </c>
      <c r="S418" s="6">
        <v>0</v>
      </c>
      <c r="U418" s="6">
        <v>0</v>
      </c>
      <c r="W418" s="2">
        <f t="shared" si="72"/>
        <v>0</v>
      </c>
      <c r="Y418" s="6">
        <v>0</v>
      </c>
      <c r="AA418" s="6">
        <v>0</v>
      </c>
      <c r="AC418" s="6">
        <v>0</v>
      </c>
      <c r="AE418" s="6">
        <v>0</v>
      </c>
      <c r="AG418" s="6">
        <v>0</v>
      </c>
      <c r="AI418" s="6">
        <f t="shared" si="73"/>
        <v>0</v>
      </c>
      <c r="AK418" s="6">
        <f>+AI418+W418</f>
        <v>0</v>
      </c>
    </row>
    <row r="419" spans="1:37">
      <c r="A419" s="11" t="s">
        <v>512</v>
      </c>
      <c r="B419" s="11"/>
      <c r="C419" s="11" t="s">
        <v>63</v>
      </c>
      <c r="E419" s="6">
        <v>7495538</v>
      </c>
      <c r="G419" s="6">
        <v>0</v>
      </c>
      <c r="I419" s="6">
        <v>8488310</v>
      </c>
      <c r="K419" s="6">
        <v>11219</v>
      </c>
      <c r="M419" s="6">
        <f>3680351+126510+3680</f>
        <v>3810541</v>
      </c>
      <c r="O419" s="6">
        <v>44663</v>
      </c>
      <c r="Q419" s="6">
        <v>0</v>
      </c>
      <c r="S419" s="6">
        <v>9484</v>
      </c>
      <c r="U419" s="6">
        <v>76113</v>
      </c>
      <c r="W419" s="2">
        <f t="shared" si="72"/>
        <v>19935868</v>
      </c>
      <c r="Y419" s="6">
        <v>0</v>
      </c>
      <c r="AA419" s="6">
        <v>0</v>
      </c>
      <c r="AC419" s="6">
        <v>0</v>
      </c>
      <c r="AE419" s="6">
        <v>0</v>
      </c>
      <c r="AG419" s="6">
        <v>0</v>
      </c>
      <c r="AI419" s="6">
        <f t="shared" si="73"/>
        <v>0</v>
      </c>
      <c r="AK419" s="6">
        <f>+AI419+W419</f>
        <v>19935868</v>
      </c>
    </row>
    <row r="420" spans="1:37">
      <c r="A420" s="11" t="s">
        <v>358</v>
      </c>
      <c r="B420" s="11"/>
      <c r="C420" s="11" t="s">
        <v>37</v>
      </c>
      <c r="E420" s="6">
        <v>5915599</v>
      </c>
      <c r="G420" s="6">
        <v>1778897</v>
      </c>
      <c r="I420" s="6">
        <v>12778800</v>
      </c>
      <c r="K420" s="6">
        <v>64635</v>
      </c>
      <c r="M420" s="6">
        <f>1082411+47056+24848</f>
        <v>1154315</v>
      </c>
      <c r="O420" s="6">
        <v>54920</v>
      </c>
      <c r="Q420" s="6">
        <v>0</v>
      </c>
      <c r="S420" s="6">
        <v>0</v>
      </c>
      <c r="U420" s="6">
        <v>87915</v>
      </c>
      <c r="W420" s="2">
        <f t="shared" si="72"/>
        <v>21835081</v>
      </c>
      <c r="Y420" s="6">
        <v>0</v>
      </c>
      <c r="AA420" s="6">
        <v>0</v>
      </c>
      <c r="AC420" s="6">
        <v>0</v>
      </c>
      <c r="AE420" s="6">
        <v>0</v>
      </c>
      <c r="AG420" s="6">
        <v>0</v>
      </c>
      <c r="AI420" s="6">
        <f t="shared" si="73"/>
        <v>0</v>
      </c>
      <c r="AK420" s="6">
        <f>+AI420+W420</f>
        <v>21835081</v>
      </c>
    </row>
    <row r="421" spans="1:37" hidden="1">
      <c r="A421" s="11" t="s">
        <v>817</v>
      </c>
      <c r="B421" s="11"/>
      <c r="C421" s="11" t="s">
        <v>71</v>
      </c>
      <c r="W421" s="2">
        <f t="shared" ref="W421" si="76">SUM(E421:V421)</f>
        <v>0</v>
      </c>
      <c r="AA421" s="6">
        <v>0</v>
      </c>
      <c r="AG421" s="6">
        <v>0</v>
      </c>
      <c r="AI421" s="6">
        <f t="shared" ref="AI421" si="77">SUM(Y421:AH421)</f>
        <v>0</v>
      </c>
      <c r="AK421" s="6">
        <f>+AI421+W421</f>
        <v>0</v>
      </c>
    </row>
    <row r="422" spans="1:37">
      <c r="A422" s="11" t="s">
        <v>631</v>
      </c>
      <c r="B422" s="11"/>
      <c r="C422" s="11" t="s">
        <v>32</v>
      </c>
      <c r="E422" s="6">
        <v>13838096</v>
      </c>
      <c r="G422" s="6">
        <v>0</v>
      </c>
      <c r="I422" s="6">
        <v>11579043</v>
      </c>
      <c r="K422" s="6">
        <v>3597</v>
      </c>
      <c r="M422" s="6">
        <f>186207+217944</f>
        <v>404151</v>
      </c>
      <c r="O422" s="6">
        <v>95508</v>
      </c>
      <c r="Q422" s="6">
        <v>382953</v>
      </c>
      <c r="S422" s="6">
        <v>0</v>
      </c>
      <c r="U422" s="6">
        <v>264856</v>
      </c>
      <c r="W422" s="2">
        <f t="shared" si="72"/>
        <v>26568204</v>
      </c>
      <c r="Y422" s="6">
        <v>0</v>
      </c>
      <c r="AA422" s="6">
        <v>0</v>
      </c>
      <c r="AC422" s="6">
        <v>0</v>
      </c>
      <c r="AE422" s="6">
        <v>0</v>
      </c>
      <c r="AG422" s="6">
        <v>0</v>
      </c>
      <c r="AI422" s="6">
        <f t="shared" si="73"/>
        <v>0</v>
      </c>
      <c r="AK422" s="6">
        <f>+AI422+W422</f>
        <v>26568204</v>
      </c>
    </row>
    <row r="423" spans="1:37" hidden="1">
      <c r="A423" s="11" t="s">
        <v>738</v>
      </c>
      <c r="B423" s="11"/>
      <c r="C423" s="11" t="s">
        <v>38</v>
      </c>
      <c r="W423" s="2"/>
      <c r="AA423" s="6">
        <v>0</v>
      </c>
      <c r="AG423" s="6">
        <v>0</v>
      </c>
    </row>
    <row r="424" spans="1:37">
      <c r="A424" s="11" t="s">
        <v>328</v>
      </c>
      <c r="B424" s="11"/>
      <c r="C424" s="11" t="s">
        <v>32</v>
      </c>
      <c r="E424" s="6">
        <v>21436603</v>
      </c>
      <c r="G424" s="6">
        <v>0</v>
      </c>
      <c r="I424" s="6">
        <v>26859788</v>
      </c>
      <c r="K424" s="6">
        <v>51451</v>
      </c>
      <c r="M424" s="6">
        <v>1241469</v>
      </c>
      <c r="O424" s="6">
        <v>631015</v>
      </c>
      <c r="Q424" s="6">
        <v>9619710</v>
      </c>
      <c r="S424" s="6">
        <v>0</v>
      </c>
      <c r="U424" s="6">
        <v>383132</v>
      </c>
      <c r="W424" s="2">
        <f t="shared" si="72"/>
        <v>60223168</v>
      </c>
      <c r="Y424" s="6">
        <v>0</v>
      </c>
      <c r="AA424" s="6">
        <v>0</v>
      </c>
      <c r="AC424" s="6">
        <v>0</v>
      </c>
      <c r="AE424" s="6">
        <v>0</v>
      </c>
      <c r="AG424" s="6">
        <v>0</v>
      </c>
      <c r="AI424" s="6">
        <f t="shared" si="73"/>
        <v>0</v>
      </c>
      <c r="AK424" s="6">
        <f t="shared" ref="AK424:AK455" si="78">+AI424+W424</f>
        <v>60223168</v>
      </c>
    </row>
    <row r="425" spans="1:37">
      <c r="A425" s="11" t="s">
        <v>435</v>
      </c>
      <c r="B425" s="11"/>
      <c r="C425" s="11" t="s">
        <v>50</v>
      </c>
      <c r="E425" s="6">
        <v>14424395</v>
      </c>
      <c r="G425" s="6">
        <v>0</v>
      </c>
      <c r="I425" s="6">
        <v>7419331</v>
      </c>
      <c r="K425" s="6">
        <v>1714</v>
      </c>
      <c r="M425" s="6">
        <f>243207+400</f>
        <v>243607</v>
      </c>
      <c r="O425" s="6">
        <v>68736</v>
      </c>
      <c r="Q425" s="6">
        <v>0</v>
      </c>
      <c r="S425" s="6">
        <v>156852</v>
      </c>
      <c r="U425" s="6">
        <v>41167</v>
      </c>
      <c r="W425" s="2">
        <f t="shared" si="72"/>
        <v>22355802</v>
      </c>
      <c r="Y425" s="6">
        <v>0</v>
      </c>
      <c r="AA425" s="6">
        <v>0</v>
      </c>
      <c r="AC425" s="6">
        <v>358333</v>
      </c>
      <c r="AE425" s="6">
        <v>0</v>
      </c>
      <c r="AG425" s="6">
        <v>0</v>
      </c>
      <c r="AI425" s="6">
        <f t="shared" si="73"/>
        <v>358333</v>
      </c>
      <c r="AK425" s="6">
        <f t="shared" si="78"/>
        <v>22714135</v>
      </c>
    </row>
    <row r="426" spans="1:37">
      <c r="A426" s="11" t="s">
        <v>389</v>
      </c>
      <c r="B426" s="11"/>
      <c r="C426" s="11" t="s">
        <v>44</v>
      </c>
      <c r="E426" s="6">
        <v>8025545</v>
      </c>
      <c r="G426" s="6">
        <v>0</v>
      </c>
      <c r="I426" s="6">
        <v>4204500</v>
      </c>
      <c r="K426" s="6">
        <v>718</v>
      </c>
      <c r="M426" s="6">
        <f>391182+43775+16218</f>
        <v>451175</v>
      </c>
      <c r="O426" s="6">
        <v>0</v>
      </c>
      <c r="Q426" s="6">
        <v>0</v>
      </c>
      <c r="S426" s="6">
        <v>0</v>
      </c>
      <c r="U426" s="6">
        <v>121786</v>
      </c>
      <c r="W426" s="2">
        <f t="shared" si="72"/>
        <v>12803724</v>
      </c>
      <c r="Y426" s="6">
        <v>0</v>
      </c>
      <c r="AA426" s="6">
        <v>0</v>
      </c>
      <c r="AC426" s="6">
        <v>165025</v>
      </c>
      <c r="AE426" s="6">
        <v>0</v>
      </c>
      <c r="AG426" s="6">
        <v>0</v>
      </c>
      <c r="AI426" s="6">
        <f t="shared" si="73"/>
        <v>165025</v>
      </c>
      <c r="AK426" s="6">
        <f t="shared" si="78"/>
        <v>12968749</v>
      </c>
    </row>
    <row r="427" spans="1:37" hidden="1">
      <c r="A427" s="11" t="s">
        <v>614</v>
      </c>
      <c r="B427" s="11"/>
      <c r="C427" s="11" t="s">
        <v>60</v>
      </c>
      <c r="W427" s="2">
        <f t="shared" si="72"/>
        <v>0</v>
      </c>
      <c r="AA427" s="6">
        <v>0</v>
      </c>
      <c r="AG427" s="6">
        <v>0</v>
      </c>
      <c r="AI427" s="6">
        <f t="shared" si="73"/>
        <v>0</v>
      </c>
      <c r="AK427" s="6">
        <f t="shared" si="78"/>
        <v>0</v>
      </c>
    </row>
    <row r="428" spans="1:37">
      <c r="A428" s="11" t="s">
        <v>284</v>
      </c>
      <c r="B428" s="11"/>
      <c r="C428" s="11" t="s">
        <v>23</v>
      </c>
      <c r="E428" s="6">
        <v>121037260</v>
      </c>
      <c r="G428" s="6">
        <v>0</v>
      </c>
      <c r="I428" s="6">
        <v>23273320</v>
      </c>
      <c r="K428" s="6">
        <v>265153</v>
      </c>
      <c r="M428" s="6">
        <v>1718769</v>
      </c>
      <c r="O428" s="6">
        <v>0</v>
      </c>
      <c r="Q428" s="6">
        <v>11507041</v>
      </c>
      <c r="S428" s="6">
        <v>0</v>
      </c>
      <c r="U428" s="6">
        <v>1863735</v>
      </c>
      <c r="W428" s="2">
        <f t="shared" si="72"/>
        <v>159665278</v>
      </c>
      <c r="Y428" s="6">
        <v>0</v>
      </c>
      <c r="AA428" s="6">
        <v>0</v>
      </c>
      <c r="AC428" s="6">
        <v>340845</v>
      </c>
      <c r="AE428" s="6">
        <v>0</v>
      </c>
      <c r="AG428" s="6">
        <v>0</v>
      </c>
      <c r="AI428" s="6">
        <f t="shared" si="73"/>
        <v>340845</v>
      </c>
      <c r="AK428" s="6">
        <f t="shared" si="78"/>
        <v>160006123</v>
      </c>
    </row>
    <row r="429" spans="1:37">
      <c r="A429" s="11" t="s">
        <v>273</v>
      </c>
      <c r="B429" s="11"/>
      <c r="C429" s="11" t="s">
        <v>20</v>
      </c>
      <c r="E429" s="6">
        <v>21496625</v>
      </c>
      <c r="G429" s="6">
        <v>0</v>
      </c>
      <c r="I429" s="6">
        <v>14181934</v>
      </c>
      <c r="K429" s="6">
        <v>32195</v>
      </c>
      <c r="M429" s="6">
        <f>396831+277197+42072</f>
        <v>716100</v>
      </c>
      <c r="O429" s="6">
        <v>304311</v>
      </c>
      <c r="Q429" s="6">
        <v>0</v>
      </c>
      <c r="S429" s="6">
        <v>23432</v>
      </c>
      <c r="U429" s="6">
        <v>230265</v>
      </c>
      <c r="W429" s="2">
        <f t="shared" si="72"/>
        <v>36984862</v>
      </c>
      <c r="Y429" s="6">
        <v>700000</v>
      </c>
      <c r="AA429" s="6">
        <v>0</v>
      </c>
      <c r="AC429" s="6">
        <v>0</v>
      </c>
      <c r="AE429" s="6">
        <v>0</v>
      </c>
      <c r="AG429" s="6">
        <v>0</v>
      </c>
      <c r="AI429" s="6">
        <f t="shared" si="73"/>
        <v>700000</v>
      </c>
      <c r="AK429" s="6">
        <f t="shared" si="78"/>
        <v>37684862</v>
      </c>
    </row>
    <row r="430" spans="1:37">
      <c r="A430" s="11" t="s">
        <v>470</v>
      </c>
      <c r="B430" s="11"/>
      <c r="C430" s="11" t="s">
        <v>110</v>
      </c>
      <c r="E430" s="6">
        <v>8270799</v>
      </c>
      <c r="G430" s="6">
        <v>0</v>
      </c>
      <c r="I430" s="6">
        <f>5059665+37234</f>
        <v>5096899</v>
      </c>
      <c r="K430" s="6">
        <v>45231</v>
      </c>
      <c r="M430" s="6">
        <f>883975+287994+18793</f>
        <v>1190762</v>
      </c>
      <c r="O430" s="6">
        <v>25749</v>
      </c>
      <c r="Q430" s="6">
        <v>34617</v>
      </c>
      <c r="S430" s="6">
        <v>25213</v>
      </c>
      <c r="U430" s="6">
        <v>13031</v>
      </c>
      <c r="W430" s="2">
        <f t="shared" si="72"/>
        <v>14702301</v>
      </c>
      <c r="Y430" s="6">
        <v>0</v>
      </c>
      <c r="AA430" s="6">
        <v>0</v>
      </c>
      <c r="AC430" s="6">
        <v>16787</v>
      </c>
      <c r="AE430" s="6">
        <v>0</v>
      </c>
      <c r="AG430" s="6">
        <v>0</v>
      </c>
      <c r="AI430" s="6">
        <f t="shared" si="73"/>
        <v>16787</v>
      </c>
      <c r="AK430" s="6">
        <f t="shared" si="78"/>
        <v>14719088</v>
      </c>
    </row>
    <row r="431" spans="1:37">
      <c r="A431" s="11" t="s">
        <v>274</v>
      </c>
      <c r="B431" s="11"/>
      <c r="C431" s="11" t="s">
        <v>20</v>
      </c>
      <c r="E431" s="6">
        <v>37759663</v>
      </c>
      <c r="G431" s="6">
        <v>0</v>
      </c>
      <c r="I431" s="6">
        <v>8039868</v>
      </c>
      <c r="K431" s="6">
        <v>254543</v>
      </c>
      <c r="M431" s="6">
        <f>3716625+60919+5540+40815</f>
        <v>3823899</v>
      </c>
      <c r="O431" s="6">
        <v>122202</v>
      </c>
      <c r="Q431" s="6">
        <v>0</v>
      </c>
      <c r="S431" s="6">
        <v>8583</v>
      </c>
      <c r="U431" s="6">
        <v>8885</v>
      </c>
      <c r="W431" s="2">
        <f t="shared" si="72"/>
        <v>50017643</v>
      </c>
      <c r="Y431" s="6">
        <v>0</v>
      </c>
      <c r="AA431" s="6">
        <v>0</v>
      </c>
      <c r="AC431" s="6">
        <v>0</v>
      </c>
      <c r="AE431" s="6">
        <v>0</v>
      </c>
      <c r="AG431" s="6">
        <v>0</v>
      </c>
      <c r="AI431" s="6">
        <f t="shared" si="73"/>
        <v>0</v>
      </c>
      <c r="AK431" s="6">
        <f t="shared" si="78"/>
        <v>50017643</v>
      </c>
    </row>
    <row r="432" spans="1:37">
      <c r="A432" s="11" t="s">
        <v>391</v>
      </c>
      <c r="B432" s="11"/>
      <c r="C432" s="11" t="s">
        <v>115</v>
      </c>
      <c r="E432" s="6">
        <v>19525867</v>
      </c>
      <c r="G432" s="6">
        <v>0</v>
      </c>
      <c r="I432" s="6">
        <f>16648779+89033</f>
        <v>16737812</v>
      </c>
      <c r="K432" s="6">
        <v>35211</v>
      </c>
      <c r="M432" s="6">
        <f>1323191+148044</f>
        <v>1471235</v>
      </c>
      <c r="O432" s="6">
        <v>106664</v>
      </c>
      <c r="Q432" s="6">
        <v>187454</v>
      </c>
      <c r="S432" s="6">
        <v>0</v>
      </c>
      <c r="U432" s="6">
        <v>159986</v>
      </c>
      <c r="W432" s="2">
        <f t="shared" si="72"/>
        <v>38224229</v>
      </c>
      <c r="Y432" s="6">
        <v>0</v>
      </c>
      <c r="AA432" s="6">
        <v>0</v>
      </c>
      <c r="AC432" s="6">
        <f>79260+2500341</f>
        <v>2579601</v>
      </c>
      <c r="AE432" s="6">
        <v>15023</v>
      </c>
      <c r="AG432" s="6">
        <v>0</v>
      </c>
      <c r="AI432" s="6">
        <f t="shared" si="73"/>
        <v>2594624</v>
      </c>
      <c r="AK432" s="6">
        <f t="shared" si="78"/>
        <v>40818853</v>
      </c>
    </row>
    <row r="433" spans="1:37" hidden="1">
      <c r="A433" s="11" t="s">
        <v>818</v>
      </c>
      <c r="B433" s="11"/>
      <c r="C433" s="11" t="s">
        <v>71</v>
      </c>
      <c r="W433" s="2">
        <f t="shared" si="72"/>
        <v>0</v>
      </c>
      <c r="AA433" s="6">
        <v>0</v>
      </c>
      <c r="AG433" s="6">
        <v>0</v>
      </c>
      <c r="AI433" s="6">
        <f t="shared" si="73"/>
        <v>0</v>
      </c>
      <c r="AK433" s="6">
        <f t="shared" si="78"/>
        <v>0</v>
      </c>
    </row>
    <row r="434" spans="1:37" hidden="1">
      <c r="A434" s="10" t="s">
        <v>883</v>
      </c>
      <c r="B434" s="11"/>
      <c r="C434" s="11" t="s">
        <v>62</v>
      </c>
      <c r="E434" s="6">
        <v>0</v>
      </c>
      <c r="G434" s="6">
        <v>0</v>
      </c>
      <c r="I434" s="6">
        <v>0</v>
      </c>
      <c r="K434" s="6">
        <v>0</v>
      </c>
      <c r="M434" s="6">
        <v>0</v>
      </c>
      <c r="O434" s="6">
        <v>0</v>
      </c>
      <c r="Q434" s="6">
        <v>0</v>
      </c>
      <c r="S434" s="6">
        <v>0</v>
      </c>
      <c r="U434" s="6">
        <v>0</v>
      </c>
      <c r="W434" s="2">
        <f t="shared" si="72"/>
        <v>0</v>
      </c>
      <c r="Y434" s="6">
        <v>0</v>
      </c>
      <c r="AA434" s="6">
        <v>0</v>
      </c>
      <c r="AC434" s="6">
        <v>0</v>
      </c>
      <c r="AE434" s="6">
        <v>0</v>
      </c>
      <c r="AG434" s="6">
        <v>0</v>
      </c>
      <c r="AI434" s="6">
        <f t="shared" si="73"/>
        <v>0</v>
      </c>
      <c r="AK434" s="6">
        <f t="shared" si="78"/>
        <v>0</v>
      </c>
    </row>
    <row r="435" spans="1:37">
      <c r="A435" s="11" t="s">
        <v>557</v>
      </c>
      <c r="B435" s="11"/>
      <c r="C435" s="11" t="s">
        <v>72</v>
      </c>
      <c r="E435" s="6">
        <v>3617157</v>
      </c>
      <c r="G435" s="6">
        <v>2383490</v>
      </c>
      <c r="I435" s="6">
        <v>5811816</v>
      </c>
      <c r="K435" s="6">
        <v>1281</v>
      </c>
      <c r="M435" s="6">
        <v>564669</v>
      </c>
      <c r="O435" s="6">
        <v>25606</v>
      </c>
      <c r="Q435" s="6">
        <v>0</v>
      </c>
      <c r="S435" s="6">
        <v>7427</v>
      </c>
      <c r="U435" s="6">
        <v>115152</v>
      </c>
      <c r="W435" s="2">
        <f t="shared" si="72"/>
        <v>12526598</v>
      </c>
      <c r="Y435" s="6">
        <v>0</v>
      </c>
      <c r="AA435" s="6">
        <v>0</v>
      </c>
      <c r="AC435" s="6">
        <v>0</v>
      </c>
      <c r="AE435" s="6">
        <v>0</v>
      </c>
      <c r="AG435" s="6">
        <v>0</v>
      </c>
      <c r="AI435" s="6">
        <f t="shared" si="73"/>
        <v>0</v>
      </c>
      <c r="AK435" s="6">
        <f t="shared" si="78"/>
        <v>12526598</v>
      </c>
    </row>
    <row r="436" spans="1:37">
      <c r="A436" s="11" t="s">
        <v>392</v>
      </c>
      <c r="B436" s="11"/>
      <c r="C436" s="11" t="s">
        <v>115</v>
      </c>
      <c r="E436" s="6">
        <v>9783941</v>
      </c>
      <c r="G436" s="6">
        <v>0</v>
      </c>
      <c r="I436" s="6">
        <v>3096606</v>
      </c>
      <c r="K436" s="6">
        <v>5147</v>
      </c>
      <c r="M436" s="6">
        <f>58335+1577+73373</f>
        <v>133285</v>
      </c>
      <c r="O436" s="6">
        <v>93755</v>
      </c>
      <c r="Q436" s="6">
        <v>0</v>
      </c>
      <c r="S436" s="6">
        <v>0</v>
      </c>
      <c r="U436" s="6">
        <v>74944</v>
      </c>
      <c r="W436" s="2">
        <f t="shared" si="72"/>
        <v>13187678</v>
      </c>
      <c r="Y436" s="6">
        <v>88430</v>
      </c>
      <c r="AA436" s="6">
        <v>0</v>
      </c>
      <c r="AC436" s="6">
        <v>0</v>
      </c>
      <c r="AE436" s="6">
        <v>8514</v>
      </c>
      <c r="AG436" s="6">
        <v>0</v>
      </c>
      <c r="AI436" s="6">
        <f t="shared" si="73"/>
        <v>96944</v>
      </c>
      <c r="AK436" s="6">
        <f t="shared" si="78"/>
        <v>13284622</v>
      </c>
    </row>
    <row r="437" spans="1:37" hidden="1">
      <c r="A437" s="11" t="s">
        <v>710</v>
      </c>
      <c r="B437" s="11"/>
      <c r="C437" s="11" t="s">
        <v>467</v>
      </c>
      <c r="W437" s="2">
        <f t="shared" si="72"/>
        <v>0</v>
      </c>
      <c r="AA437" s="6">
        <v>0</v>
      </c>
      <c r="AG437" s="6">
        <v>0</v>
      </c>
      <c r="AI437" s="6">
        <f t="shared" ref="AI437:AI485" si="79">SUM(Y437:AH437)</f>
        <v>0</v>
      </c>
      <c r="AK437" s="6">
        <f t="shared" si="78"/>
        <v>0</v>
      </c>
    </row>
    <row r="438" spans="1:37" hidden="1">
      <c r="A438" s="11" t="s">
        <v>819</v>
      </c>
      <c r="B438" s="11"/>
      <c r="C438" s="11" t="s">
        <v>467</v>
      </c>
      <c r="W438" s="2">
        <f t="shared" si="72"/>
        <v>0</v>
      </c>
      <c r="AA438" s="6">
        <v>0</v>
      </c>
      <c r="AG438" s="6">
        <v>0</v>
      </c>
      <c r="AI438" s="6">
        <f t="shared" si="79"/>
        <v>0</v>
      </c>
      <c r="AK438" s="6">
        <f t="shared" si="78"/>
        <v>0</v>
      </c>
    </row>
    <row r="439" spans="1:37" hidden="1">
      <c r="A439" s="11" t="s">
        <v>820</v>
      </c>
      <c r="B439" s="11"/>
      <c r="C439" s="11" t="s">
        <v>41</v>
      </c>
      <c r="W439" s="2">
        <f t="shared" si="72"/>
        <v>0</v>
      </c>
      <c r="AA439" s="6">
        <v>0</v>
      </c>
      <c r="AG439" s="6">
        <v>0</v>
      </c>
      <c r="AI439" s="6">
        <f t="shared" si="79"/>
        <v>0</v>
      </c>
      <c r="AK439" s="6">
        <f t="shared" si="78"/>
        <v>0</v>
      </c>
    </row>
    <row r="440" spans="1:37" hidden="1">
      <c r="A440" s="11" t="s">
        <v>784</v>
      </c>
      <c r="B440" s="11"/>
      <c r="C440" s="11" t="s">
        <v>41</v>
      </c>
      <c r="W440" s="2">
        <f t="shared" si="72"/>
        <v>0</v>
      </c>
      <c r="AA440" s="6">
        <v>0</v>
      </c>
      <c r="AG440" s="6">
        <v>0</v>
      </c>
      <c r="AI440" s="6">
        <f t="shared" si="79"/>
        <v>0</v>
      </c>
      <c r="AK440" s="6">
        <f t="shared" si="78"/>
        <v>0</v>
      </c>
    </row>
    <row r="441" spans="1:37">
      <c r="A441" s="11" t="s">
        <v>475</v>
      </c>
      <c r="B441" s="11"/>
      <c r="C441" s="11" t="s">
        <v>58</v>
      </c>
      <c r="E441" s="6">
        <v>1352909</v>
      </c>
      <c r="G441" s="6">
        <v>0</v>
      </c>
      <c r="I441" s="6">
        <v>7175167</v>
      </c>
      <c r="K441" s="6">
        <v>3882</v>
      </c>
      <c r="M441" s="6">
        <f>690338+250+1475</f>
        <v>692063</v>
      </c>
      <c r="O441" s="6">
        <v>42373</v>
      </c>
      <c r="Q441" s="6">
        <v>0</v>
      </c>
      <c r="S441" s="6">
        <v>0</v>
      </c>
      <c r="U441" s="6">
        <v>65717</v>
      </c>
      <c r="W441" s="2">
        <f t="shared" si="72"/>
        <v>9332111</v>
      </c>
      <c r="Y441" s="6">
        <v>0</v>
      </c>
      <c r="AA441" s="6">
        <v>0</v>
      </c>
      <c r="AC441" s="6">
        <v>0</v>
      </c>
      <c r="AE441" s="6">
        <v>7500</v>
      </c>
      <c r="AG441" s="6">
        <v>0</v>
      </c>
      <c r="AI441" s="6">
        <f t="shared" si="79"/>
        <v>7500</v>
      </c>
      <c r="AK441" s="6">
        <f t="shared" si="78"/>
        <v>9339611</v>
      </c>
    </row>
    <row r="442" spans="1:37" hidden="1">
      <c r="A442" s="11" t="s">
        <v>686</v>
      </c>
      <c r="B442" s="11"/>
      <c r="C442" s="11" t="s">
        <v>467</v>
      </c>
      <c r="W442" s="2">
        <f t="shared" si="72"/>
        <v>0</v>
      </c>
      <c r="AA442" s="6">
        <v>0</v>
      </c>
      <c r="AG442" s="6">
        <v>0</v>
      </c>
      <c r="AI442" s="6">
        <f t="shared" si="79"/>
        <v>0</v>
      </c>
      <c r="AK442" s="6">
        <f t="shared" si="78"/>
        <v>0</v>
      </c>
    </row>
    <row r="443" spans="1:37" hidden="1">
      <c r="A443" s="11" t="s">
        <v>687</v>
      </c>
      <c r="B443" s="11"/>
      <c r="C443" s="11" t="s">
        <v>422</v>
      </c>
      <c r="W443" s="2">
        <f t="shared" si="72"/>
        <v>0</v>
      </c>
      <c r="AA443" s="6">
        <v>0</v>
      </c>
      <c r="AG443" s="6">
        <v>0</v>
      </c>
      <c r="AI443" s="6">
        <f t="shared" si="79"/>
        <v>0</v>
      </c>
      <c r="AK443" s="6">
        <f t="shared" si="78"/>
        <v>0</v>
      </c>
    </row>
    <row r="444" spans="1:37">
      <c r="A444" s="11" t="s">
        <v>275</v>
      </c>
      <c r="B444" s="11"/>
      <c r="C444" s="11" t="s">
        <v>20</v>
      </c>
      <c r="E444" s="6">
        <v>86990068</v>
      </c>
      <c r="G444" s="6">
        <v>0</v>
      </c>
      <c r="I444" s="6">
        <v>41861063</v>
      </c>
      <c r="K444" s="6">
        <v>34169</v>
      </c>
      <c r="M444" s="6">
        <f>3231772+228655+1188158</f>
        <v>4648585</v>
      </c>
      <c r="O444" s="6">
        <v>776660</v>
      </c>
      <c r="Q444" s="6">
        <v>244381</v>
      </c>
      <c r="S444" s="6">
        <v>43773</v>
      </c>
      <c r="U444" s="6">
        <v>729572</v>
      </c>
      <c r="W444" s="2">
        <f t="shared" si="72"/>
        <v>135328271</v>
      </c>
      <c r="Y444" s="6">
        <v>0</v>
      </c>
      <c r="AA444" s="6">
        <v>0</v>
      </c>
      <c r="AC444" s="6">
        <v>0</v>
      </c>
      <c r="AE444" s="6">
        <v>0</v>
      </c>
      <c r="AG444" s="6">
        <v>2399130</v>
      </c>
      <c r="AI444" s="6">
        <f t="shared" si="79"/>
        <v>2399130</v>
      </c>
      <c r="AK444" s="6">
        <f t="shared" si="78"/>
        <v>137727401</v>
      </c>
    </row>
    <row r="445" spans="1:37">
      <c r="A445" s="11" t="s">
        <v>347</v>
      </c>
      <c r="B445" s="11"/>
      <c r="C445" s="11" t="s">
        <v>34</v>
      </c>
      <c r="E445" s="6">
        <v>2607358</v>
      </c>
      <c r="G445" s="6">
        <v>1808296</v>
      </c>
      <c r="I445" s="6">
        <v>4952185</v>
      </c>
      <c r="K445" s="6">
        <v>7562</v>
      </c>
      <c r="M445" s="6">
        <f>511515+35</f>
        <v>511550</v>
      </c>
      <c r="O445" s="6">
        <v>56981</v>
      </c>
      <c r="Q445" s="6">
        <v>0</v>
      </c>
      <c r="S445" s="6">
        <v>0</v>
      </c>
      <c r="U445" s="6">
        <v>20935</v>
      </c>
      <c r="W445" s="2">
        <f t="shared" si="72"/>
        <v>9964867</v>
      </c>
      <c r="Y445" s="6">
        <v>0</v>
      </c>
      <c r="AA445" s="6">
        <v>0</v>
      </c>
      <c r="AC445" s="6">
        <v>0</v>
      </c>
      <c r="AE445" s="6">
        <f>1386+79127</f>
        <v>80513</v>
      </c>
      <c r="AG445" s="6">
        <v>0</v>
      </c>
      <c r="AI445" s="6">
        <f t="shared" si="79"/>
        <v>80513</v>
      </c>
      <c r="AK445" s="6">
        <f t="shared" si="78"/>
        <v>10045380</v>
      </c>
    </row>
    <row r="446" spans="1:37" hidden="1">
      <c r="A446" s="11" t="s">
        <v>775</v>
      </c>
      <c r="B446" s="11"/>
      <c r="C446" s="11" t="s">
        <v>450</v>
      </c>
      <c r="W446" s="2">
        <f t="shared" si="72"/>
        <v>0</v>
      </c>
      <c r="AA446" s="6">
        <v>0</v>
      </c>
      <c r="AG446" s="6">
        <v>0</v>
      </c>
      <c r="AI446" s="6">
        <f t="shared" si="79"/>
        <v>0</v>
      </c>
      <c r="AK446" s="6">
        <f t="shared" si="78"/>
        <v>0</v>
      </c>
    </row>
    <row r="447" spans="1:37">
      <c r="A447" s="11" t="s">
        <v>289</v>
      </c>
      <c r="B447" s="11"/>
      <c r="C447" s="11" t="s">
        <v>24</v>
      </c>
      <c r="E447" s="6">
        <v>10009444</v>
      </c>
      <c r="G447" s="6">
        <v>0</v>
      </c>
      <c r="I447" s="6">
        <f>6976418+49209</f>
        <v>7025627</v>
      </c>
      <c r="K447" s="6">
        <v>11333</v>
      </c>
      <c r="M447" s="6">
        <f>3205104+32664+140693+19831+2877</f>
        <v>3401169</v>
      </c>
      <c r="O447" s="6">
        <v>44258</v>
      </c>
      <c r="Q447" s="6">
        <v>0</v>
      </c>
      <c r="S447" s="6">
        <v>76820</v>
      </c>
      <c r="U447" s="6">
        <v>90229</v>
      </c>
      <c r="W447" s="2">
        <f t="shared" si="72"/>
        <v>20658880</v>
      </c>
      <c r="Y447" s="6">
        <v>0</v>
      </c>
      <c r="AA447" s="6">
        <v>0</v>
      </c>
      <c r="AC447" s="6">
        <v>1479280</v>
      </c>
      <c r="AE447" s="6">
        <v>42753</v>
      </c>
      <c r="AG447" s="6">
        <v>0</v>
      </c>
      <c r="AI447" s="6">
        <f t="shared" si="79"/>
        <v>1522033</v>
      </c>
      <c r="AK447" s="6">
        <f t="shared" si="78"/>
        <v>22180913</v>
      </c>
    </row>
    <row r="448" spans="1:37" hidden="1">
      <c r="A448" s="11" t="s">
        <v>688</v>
      </c>
      <c r="B448" s="11"/>
      <c r="C448" s="11" t="s">
        <v>10</v>
      </c>
      <c r="W448" s="2">
        <f t="shared" si="72"/>
        <v>0</v>
      </c>
      <c r="AA448" s="6">
        <v>0</v>
      </c>
      <c r="AG448" s="6">
        <v>0</v>
      </c>
      <c r="AK448" s="6">
        <f t="shared" si="78"/>
        <v>0</v>
      </c>
    </row>
    <row r="449" spans="1:37">
      <c r="A449" s="11" t="s">
        <v>202</v>
      </c>
      <c r="B449" s="11"/>
      <c r="C449" s="11" t="s">
        <v>41</v>
      </c>
      <c r="E449" s="6">
        <v>13878021</v>
      </c>
      <c r="G449" s="6">
        <v>0</v>
      </c>
      <c r="I449" s="6">
        <v>11098256</v>
      </c>
      <c r="K449" s="6">
        <v>103943</v>
      </c>
      <c r="M449" s="6">
        <f>58423+17031+26154</f>
        <v>101608</v>
      </c>
      <c r="O449" s="6">
        <v>89535</v>
      </c>
      <c r="Q449" s="6">
        <v>0</v>
      </c>
      <c r="S449" s="6">
        <v>5681</v>
      </c>
      <c r="U449" s="6">
        <v>62925</v>
      </c>
      <c r="W449" s="2">
        <f t="shared" si="72"/>
        <v>25339969</v>
      </c>
      <c r="Y449" s="6">
        <v>0</v>
      </c>
      <c r="AA449" s="6">
        <v>0</v>
      </c>
      <c r="AC449" s="6">
        <v>0</v>
      </c>
      <c r="AE449" s="6">
        <v>0</v>
      </c>
      <c r="AG449" s="6">
        <v>0</v>
      </c>
      <c r="AI449" s="6">
        <f t="shared" si="79"/>
        <v>0</v>
      </c>
      <c r="AK449" s="6">
        <f t="shared" si="78"/>
        <v>25339969</v>
      </c>
    </row>
    <row r="450" spans="1:37">
      <c r="A450" s="11" t="s">
        <v>202</v>
      </c>
      <c r="B450" s="11"/>
      <c r="C450" s="11" t="s">
        <v>62</v>
      </c>
      <c r="E450" s="6">
        <v>16324605</v>
      </c>
      <c r="G450" s="6">
        <v>0</v>
      </c>
      <c r="I450" s="6">
        <v>19068012</v>
      </c>
      <c r="K450" s="6">
        <v>254326</v>
      </c>
      <c r="M450" s="6">
        <f>2178806+14945</f>
        <v>2193751</v>
      </c>
      <c r="O450" s="6">
        <v>252165</v>
      </c>
      <c r="Q450" s="6">
        <v>0</v>
      </c>
      <c r="S450" s="6">
        <v>0</v>
      </c>
      <c r="U450" s="6">
        <v>307493</v>
      </c>
      <c r="W450" s="2">
        <f t="shared" si="72"/>
        <v>38400352</v>
      </c>
      <c r="Y450" s="6">
        <v>0</v>
      </c>
      <c r="AA450" s="6">
        <v>0</v>
      </c>
      <c r="AC450" s="6">
        <v>0</v>
      </c>
      <c r="AE450" s="6">
        <v>0</v>
      </c>
      <c r="AG450" s="6">
        <v>0</v>
      </c>
      <c r="AI450" s="6">
        <f t="shared" si="79"/>
        <v>0</v>
      </c>
      <c r="AK450" s="6">
        <f t="shared" si="78"/>
        <v>38400352</v>
      </c>
    </row>
    <row r="451" spans="1:37" ht="11.25" customHeight="1">
      <c r="A451" s="11" t="s">
        <v>776</v>
      </c>
      <c r="B451" s="11"/>
      <c r="C451" s="11" t="s">
        <v>72</v>
      </c>
      <c r="E451" s="6">
        <v>17683869</v>
      </c>
      <c r="G451" s="6">
        <v>5445958</v>
      </c>
      <c r="I451" s="6">
        <v>11911119</v>
      </c>
      <c r="K451" s="6">
        <v>10071</v>
      </c>
      <c r="M451" s="6">
        <f>452996+203265</f>
        <v>656261</v>
      </c>
      <c r="O451" s="6">
        <v>248146</v>
      </c>
      <c r="Q451" s="6">
        <v>183284</v>
      </c>
      <c r="S451" s="6">
        <v>0</v>
      </c>
      <c r="U451" s="6">
        <v>305211</v>
      </c>
      <c r="W451" s="2">
        <f t="shared" si="72"/>
        <v>36443919</v>
      </c>
      <c r="Y451" s="6">
        <v>0</v>
      </c>
      <c r="AA451" s="6">
        <v>0</v>
      </c>
      <c r="AC451" s="6">
        <v>0</v>
      </c>
      <c r="AE451" s="6">
        <v>0</v>
      </c>
      <c r="AG451" s="6">
        <v>0</v>
      </c>
      <c r="AI451" s="6">
        <f t="shared" si="79"/>
        <v>0</v>
      </c>
      <c r="AK451" s="6">
        <f t="shared" si="78"/>
        <v>36443919</v>
      </c>
    </row>
    <row r="452" spans="1:37" hidden="1">
      <c r="A452" s="11" t="s">
        <v>896</v>
      </c>
      <c r="B452" s="11"/>
      <c r="C452" s="11" t="s">
        <v>28</v>
      </c>
      <c r="W452" s="2">
        <f t="shared" si="72"/>
        <v>0</v>
      </c>
      <c r="AA452" s="6">
        <v>0</v>
      </c>
      <c r="AG452" s="6">
        <v>0</v>
      </c>
      <c r="AI452" s="6">
        <f t="shared" si="79"/>
        <v>0</v>
      </c>
      <c r="AK452" s="6">
        <f t="shared" si="78"/>
        <v>0</v>
      </c>
    </row>
    <row r="453" spans="1:37">
      <c r="A453" s="11" t="s">
        <v>296</v>
      </c>
      <c r="B453" s="11"/>
      <c r="C453" s="11" t="s">
        <v>25</v>
      </c>
      <c r="E453" s="6">
        <v>29936157</v>
      </c>
      <c r="G453" s="6">
        <v>14139974</v>
      </c>
      <c r="I453" s="6">
        <f>45954365+96153</f>
        <v>46050518</v>
      </c>
      <c r="K453" s="6">
        <v>108985</v>
      </c>
      <c r="M453" s="6">
        <f>511088+472927+206512</f>
        <v>1190527</v>
      </c>
      <c r="O453" s="6">
        <v>850553</v>
      </c>
      <c r="Q453" s="6">
        <v>74389</v>
      </c>
      <c r="S453" s="6">
        <v>0</v>
      </c>
      <c r="U453" s="6">
        <v>222520</v>
      </c>
      <c r="W453" s="2">
        <f t="shared" si="72"/>
        <v>92573623</v>
      </c>
      <c r="Y453" s="6">
        <v>0</v>
      </c>
      <c r="AA453" s="6">
        <v>0</v>
      </c>
      <c r="AC453" s="6">
        <v>0</v>
      </c>
      <c r="AE453" s="6">
        <v>0</v>
      </c>
      <c r="AG453" s="6">
        <v>0</v>
      </c>
      <c r="AI453" s="6">
        <f t="shared" si="79"/>
        <v>0</v>
      </c>
      <c r="AK453" s="6">
        <f t="shared" si="78"/>
        <v>92573623</v>
      </c>
    </row>
    <row r="454" spans="1:37" hidden="1">
      <c r="A454" s="11" t="s">
        <v>821</v>
      </c>
      <c r="B454" s="11"/>
      <c r="C454" s="11" t="s">
        <v>28</v>
      </c>
      <c r="W454" s="2">
        <f t="shared" si="72"/>
        <v>0</v>
      </c>
      <c r="AA454" s="6">
        <v>0</v>
      </c>
      <c r="AG454" s="6">
        <v>0</v>
      </c>
      <c r="AI454" s="6">
        <f t="shared" si="79"/>
        <v>0</v>
      </c>
      <c r="AK454" s="6">
        <f t="shared" si="78"/>
        <v>0</v>
      </c>
    </row>
    <row r="455" spans="1:37">
      <c r="A455" s="11" t="s">
        <v>425</v>
      </c>
      <c r="B455" s="11"/>
      <c r="C455" s="11" t="s">
        <v>48</v>
      </c>
      <c r="E455" s="6">
        <v>13993224</v>
      </c>
      <c r="G455" s="6">
        <v>0</v>
      </c>
      <c r="I455" s="6">
        <f>13891783+113446</f>
        <v>14005229</v>
      </c>
      <c r="K455" s="6">
        <v>0</v>
      </c>
      <c r="M455" s="6">
        <f>2980+51565+117947</f>
        <v>172492</v>
      </c>
      <c r="O455" s="6">
        <v>172789</v>
      </c>
      <c r="Q455" s="6">
        <v>0</v>
      </c>
      <c r="S455" s="6">
        <v>0</v>
      </c>
      <c r="U455" s="6">
        <f>318704-10465</f>
        <v>308239</v>
      </c>
      <c r="W455" s="2">
        <f t="shared" si="72"/>
        <v>28651973</v>
      </c>
      <c r="Y455" s="6">
        <v>0</v>
      </c>
      <c r="AA455" s="6">
        <v>0</v>
      </c>
      <c r="AC455" s="6">
        <v>0</v>
      </c>
      <c r="AE455" s="6">
        <v>0</v>
      </c>
      <c r="AG455" s="6">
        <v>0</v>
      </c>
      <c r="AI455" s="6">
        <f t="shared" si="79"/>
        <v>0</v>
      </c>
      <c r="AK455" s="6">
        <f t="shared" si="78"/>
        <v>28651973</v>
      </c>
    </row>
    <row r="456" spans="1:37">
      <c r="A456" s="11" t="s">
        <v>306</v>
      </c>
      <c r="B456" s="11"/>
      <c r="C456" s="11" t="s">
        <v>62</v>
      </c>
      <c r="E456" s="6">
        <v>25503633</v>
      </c>
      <c r="G456" s="6">
        <v>0</v>
      </c>
      <c r="I456" s="6">
        <f>19838952+88474</f>
        <v>19927426</v>
      </c>
      <c r="K456" s="6">
        <v>30353</v>
      </c>
      <c r="M456" s="6">
        <f>944346+122908+200254</f>
        <v>1267508</v>
      </c>
      <c r="O456" s="6">
        <v>406470</v>
      </c>
      <c r="Q456" s="6">
        <v>0</v>
      </c>
      <c r="S456" s="6">
        <v>0</v>
      </c>
      <c r="U456" s="6">
        <f>297885</f>
        <v>297885</v>
      </c>
      <c r="W456" s="2">
        <f t="shared" si="72"/>
        <v>47433275</v>
      </c>
      <c r="Y456" s="6">
        <v>0</v>
      </c>
      <c r="AA456" s="6">
        <v>0</v>
      </c>
      <c r="AC456" s="6">
        <v>0</v>
      </c>
      <c r="AE456" s="6">
        <v>6543</v>
      </c>
      <c r="AG456" s="6">
        <v>0</v>
      </c>
      <c r="AI456" s="6">
        <f t="shared" si="79"/>
        <v>6543</v>
      </c>
      <c r="AK456" s="6">
        <f t="shared" ref="AK456:AK487" si="80">+AI456+W456</f>
        <v>47439818</v>
      </c>
    </row>
    <row r="457" spans="1:37">
      <c r="A457" s="11" t="s">
        <v>411</v>
      </c>
      <c r="B457" s="11"/>
      <c r="C457" s="11" t="s">
        <v>46</v>
      </c>
      <c r="E457" s="6">
        <v>4009572</v>
      </c>
      <c r="G457" s="6">
        <v>0</v>
      </c>
      <c r="I457" s="6">
        <v>4441628</v>
      </c>
      <c r="K457" s="6">
        <v>20201</v>
      </c>
      <c r="M457" s="6">
        <f>2016129+57154</f>
        <v>2073283</v>
      </c>
      <c r="O457" s="6">
        <v>116545</v>
      </c>
      <c r="Q457" s="6">
        <v>0</v>
      </c>
      <c r="S457" s="6">
        <v>23261</v>
      </c>
      <c r="U457" s="6">
        <v>91189</v>
      </c>
      <c r="W457" s="2">
        <f t="shared" ref="W457:W485" si="81">SUM(E457:V457)</f>
        <v>10775679</v>
      </c>
      <c r="Y457" s="6">
        <v>0</v>
      </c>
      <c r="AA457" s="6">
        <v>0</v>
      </c>
      <c r="AC457" s="6">
        <f>250000+1550</f>
        <v>251550</v>
      </c>
      <c r="AE457" s="6">
        <v>0</v>
      </c>
      <c r="AG457" s="6">
        <v>0</v>
      </c>
      <c r="AI457" s="6">
        <f t="shared" si="79"/>
        <v>251550</v>
      </c>
      <c r="AK457" s="6">
        <f t="shared" si="80"/>
        <v>11027229</v>
      </c>
    </row>
    <row r="458" spans="1:37">
      <c r="A458" s="11" t="s">
        <v>471</v>
      </c>
      <c r="B458" s="11"/>
      <c r="C458" s="11" t="s">
        <v>110</v>
      </c>
      <c r="E458" s="6">
        <v>1462127</v>
      </c>
      <c r="G458" s="6">
        <v>810114</v>
      </c>
      <c r="I458" s="6">
        <v>5291693</v>
      </c>
      <c r="K458" s="6">
        <v>2337</v>
      </c>
      <c r="M458" s="6">
        <f>317543+24275+663</f>
        <v>342481</v>
      </c>
      <c r="O458" s="6">
        <v>0</v>
      </c>
      <c r="Q458" s="6">
        <v>0</v>
      </c>
      <c r="S458" s="6">
        <v>2150</v>
      </c>
      <c r="U458" s="6">
        <v>57943</v>
      </c>
      <c r="W458" s="2">
        <f t="shared" si="81"/>
        <v>7968845</v>
      </c>
      <c r="Y458" s="6">
        <v>0</v>
      </c>
      <c r="AA458" s="6">
        <v>0</v>
      </c>
      <c r="AC458" s="6">
        <v>0</v>
      </c>
      <c r="AE458" s="6">
        <v>0</v>
      </c>
      <c r="AG458" s="6">
        <v>0</v>
      </c>
      <c r="AI458" s="6">
        <f t="shared" si="79"/>
        <v>0</v>
      </c>
      <c r="AK458" s="6">
        <f t="shared" si="80"/>
        <v>7968845</v>
      </c>
    </row>
    <row r="459" spans="1:37">
      <c r="A459" s="11" t="s">
        <v>724</v>
      </c>
      <c r="B459" s="11"/>
      <c r="C459" s="11" t="s">
        <v>45</v>
      </c>
      <c r="E459" s="6">
        <v>10377638</v>
      </c>
      <c r="G459" s="6">
        <v>0</v>
      </c>
      <c r="I459" s="6">
        <v>7156341</v>
      </c>
      <c r="K459" s="6">
        <v>4282</v>
      </c>
      <c r="M459" s="6">
        <f>250462+17319</f>
        <v>267781</v>
      </c>
      <c r="O459" s="6">
        <v>133721</v>
      </c>
      <c r="Q459" s="6">
        <v>0</v>
      </c>
      <c r="S459" s="6">
        <v>16396</v>
      </c>
      <c r="U459" s="6">
        <v>15497</v>
      </c>
      <c r="W459" s="2">
        <f t="shared" si="81"/>
        <v>17971656</v>
      </c>
      <c r="Y459" s="6">
        <v>0</v>
      </c>
      <c r="AA459" s="6">
        <v>0</v>
      </c>
      <c r="AC459" s="6">
        <v>247515</v>
      </c>
      <c r="AE459" s="6">
        <v>3000</v>
      </c>
      <c r="AG459" s="6">
        <v>0</v>
      </c>
      <c r="AI459" s="6">
        <f t="shared" si="79"/>
        <v>250515</v>
      </c>
      <c r="AK459" s="6">
        <f t="shared" si="80"/>
        <v>18222171</v>
      </c>
    </row>
    <row r="460" spans="1:37" hidden="1">
      <c r="A460" s="11" t="s">
        <v>822</v>
      </c>
      <c r="B460" s="11"/>
      <c r="C460" s="11" t="s">
        <v>53</v>
      </c>
      <c r="W460" s="2">
        <f t="shared" si="81"/>
        <v>0</v>
      </c>
      <c r="AA460" s="6">
        <v>0</v>
      </c>
      <c r="AG460" s="6">
        <v>0</v>
      </c>
      <c r="AI460" s="6">
        <f t="shared" si="79"/>
        <v>0</v>
      </c>
      <c r="AK460" s="6">
        <f t="shared" si="80"/>
        <v>0</v>
      </c>
    </row>
    <row r="461" spans="1:37">
      <c r="A461" s="11" t="s">
        <v>484</v>
      </c>
      <c r="B461" s="11"/>
      <c r="C461" s="11" t="s">
        <v>59</v>
      </c>
      <c r="E461" s="6">
        <v>4140482</v>
      </c>
      <c r="G461" s="6">
        <v>0</v>
      </c>
      <c r="I461" s="6">
        <v>18752186</v>
      </c>
      <c r="K461" s="6">
        <v>15556</v>
      </c>
      <c r="M461" s="6">
        <f>1000018+25027+162223</f>
        <v>1187268</v>
      </c>
      <c r="O461" s="6">
        <v>65759</v>
      </c>
      <c r="Q461" s="6">
        <v>0</v>
      </c>
      <c r="S461" s="6">
        <v>7760</v>
      </c>
      <c r="U461" s="6">
        <v>77872</v>
      </c>
      <c r="W461" s="2">
        <f t="shared" si="81"/>
        <v>24246883</v>
      </c>
      <c r="Y461" s="6">
        <v>0</v>
      </c>
      <c r="AA461" s="6">
        <v>0</v>
      </c>
      <c r="AC461" s="6">
        <v>0</v>
      </c>
      <c r="AE461" s="6">
        <v>7410</v>
      </c>
      <c r="AG461" s="6">
        <v>0</v>
      </c>
      <c r="AI461" s="6">
        <f t="shared" si="79"/>
        <v>7410</v>
      </c>
      <c r="AK461" s="6">
        <f t="shared" si="80"/>
        <v>24254293</v>
      </c>
    </row>
    <row r="462" spans="1:37" hidden="1">
      <c r="A462" s="11" t="s">
        <v>689</v>
      </c>
      <c r="B462" s="11"/>
      <c r="C462" s="11" t="s">
        <v>57</v>
      </c>
      <c r="W462" s="2">
        <f t="shared" si="81"/>
        <v>0</v>
      </c>
      <c r="AA462" s="6">
        <v>0</v>
      </c>
      <c r="AG462" s="6">
        <v>0</v>
      </c>
      <c r="AI462" s="6">
        <f t="shared" si="79"/>
        <v>0</v>
      </c>
      <c r="AK462" s="6">
        <f t="shared" si="80"/>
        <v>0</v>
      </c>
    </row>
    <row r="463" spans="1:37">
      <c r="A463" s="11" t="s">
        <v>329</v>
      </c>
      <c r="B463" s="11"/>
      <c r="C463" s="11" t="s">
        <v>32</v>
      </c>
      <c r="E463" s="6">
        <v>38752023</v>
      </c>
      <c r="G463" s="6">
        <v>0</v>
      </c>
      <c r="I463" s="6">
        <v>24045116</v>
      </c>
      <c r="K463" s="6">
        <v>44564</v>
      </c>
      <c r="M463" s="6">
        <f>5447149+4640</f>
        <v>5451789</v>
      </c>
      <c r="O463" s="6">
        <v>9251</v>
      </c>
      <c r="Q463" s="6">
        <v>204696</v>
      </c>
      <c r="S463" s="6">
        <v>0</v>
      </c>
      <c r="U463" s="6">
        <v>594437</v>
      </c>
      <c r="W463" s="2">
        <f t="shared" si="81"/>
        <v>69101876</v>
      </c>
      <c r="Y463" s="6">
        <v>0</v>
      </c>
      <c r="AA463" s="6">
        <v>0</v>
      </c>
      <c r="AC463" s="6">
        <v>0</v>
      </c>
      <c r="AE463" s="6">
        <v>48348</v>
      </c>
      <c r="AG463" s="6">
        <v>0</v>
      </c>
      <c r="AI463" s="6">
        <f t="shared" si="79"/>
        <v>48348</v>
      </c>
      <c r="AK463" s="6">
        <f t="shared" si="80"/>
        <v>69150224</v>
      </c>
    </row>
    <row r="464" spans="1:37" hidden="1">
      <c r="A464" s="11" t="s">
        <v>823</v>
      </c>
      <c r="B464" s="11"/>
      <c r="C464" s="11" t="s">
        <v>53</v>
      </c>
      <c r="D464" s="9"/>
      <c r="W464" s="2">
        <f t="shared" ref="W464" si="82">SUM(E464:V464)</f>
        <v>0</v>
      </c>
      <c r="AA464" s="6">
        <v>0</v>
      </c>
      <c r="AG464" s="6">
        <v>0</v>
      </c>
      <c r="AI464" s="6">
        <f t="shared" ref="AI464" si="83">SUM(Y464:AH464)</f>
        <v>0</v>
      </c>
      <c r="AK464" s="6">
        <f t="shared" ref="AK464" si="84">+AI464+W464</f>
        <v>0</v>
      </c>
    </row>
    <row r="465" spans="1:37" hidden="1">
      <c r="A465" s="11" t="s">
        <v>824</v>
      </c>
      <c r="B465" s="11"/>
      <c r="C465" s="11" t="s">
        <v>12</v>
      </c>
      <c r="D465" s="9"/>
      <c r="W465" s="2">
        <f t="shared" si="81"/>
        <v>0</v>
      </c>
      <c r="AA465" s="6">
        <v>0</v>
      </c>
      <c r="AG465" s="6">
        <v>0</v>
      </c>
      <c r="AI465" s="6">
        <f t="shared" si="79"/>
        <v>0</v>
      </c>
      <c r="AK465" s="6">
        <f t="shared" si="80"/>
        <v>0</v>
      </c>
    </row>
    <row r="466" spans="1:37">
      <c r="A466" s="11" t="s">
        <v>632</v>
      </c>
      <c r="B466" s="11"/>
      <c r="C466" s="11" t="s">
        <v>56</v>
      </c>
      <c r="E466" s="6">
        <v>9594308</v>
      </c>
      <c r="G466" s="6">
        <v>0</v>
      </c>
      <c r="I466" s="6">
        <f>15679506+81670</f>
        <v>15761176</v>
      </c>
      <c r="K466" s="6">
        <v>12401</v>
      </c>
      <c r="M466" s="6">
        <f>568568+47098+300+5305+5920</f>
        <v>627191</v>
      </c>
      <c r="O466" s="6">
        <v>108187</v>
      </c>
      <c r="Q466" s="6">
        <v>96043</v>
      </c>
      <c r="S466" s="6">
        <v>7783</v>
      </c>
      <c r="U466" s="6">
        <v>49163</v>
      </c>
      <c r="W466" s="2">
        <f t="shared" si="81"/>
        <v>26256252</v>
      </c>
      <c r="Y466" s="6">
        <v>0</v>
      </c>
      <c r="AA466" s="6">
        <v>0</v>
      </c>
      <c r="AC466" s="6">
        <v>0</v>
      </c>
      <c r="AE466" s="6">
        <v>7400</v>
      </c>
      <c r="AG466" s="6">
        <v>0</v>
      </c>
      <c r="AI466" s="6">
        <f t="shared" si="79"/>
        <v>7400</v>
      </c>
      <c r="AK466" s="6">
        <f t="shared" si="80"/>
        <v>26263652</v>
      </c>
    </row>
    <row r="467" spans="1:37">
      <c r="A467" s="11" t="s">
        <v>330</v>
      </c>
      <c r="B467" s="11"/>
      <c r="C467" s="11" t="s">
        <v>32</v>
      </c>
      <c r="E467" s="6">
        <v>7658111</v>
      </c>
      <c r="G467" s="6">
        <v>0</v>
      </c>
      <c r="I467" s="6">
        <v>5582258</v>
      </c>
      <c r="K467" s="6">
        <v>11143</v>
      </c>
      <c r="M467" s="6">
        <f>1650354+1768+32338</f>
        <v>1684460</v>
      </c>
      <c r="O467" s="6">
        <v>18652</v>
      </c>
      <c r="Q467" s="6">
        <v>0</v>
      </c>
      <c r="S467" s="6">
        <v>30034</v>
      </c>
      <c r="U467" s="6">
        <v>39258</v>
      </c>
      <c r="W467" s="2">
        <f t="shared" si="81"/>
        <v>15023916</v>
      </c>
      <c r="Y467" s="6">
        <v>0</v>
      </c>
      <c r="AA467" s="6">
        <v>0</v>
      </c>
      <c r="AC467" s="6">
        <v>0</v>
      </c>
      <c r="AE467" s="6">
        <v>0</v>
      </c>
      <c r="AG467" s="6">
        <v>0</v>
      </c>
      <c r="AI467" s="6">
        <f t="shared" si="79"/>
        <v>0</v>
      </c>
      <c r="AK467" s="6">
        <f t="shared" si="80"/>
        <v>15023916</v>
      </c>
    </row>
    <row r="468" spans="1:37">
      <c r="A468" s="11" t="s">
        <v>513</v>
      </c>
      <c r="B468" s="11"/>
      <c r="C468" s="11" t="s">
        <v>63</v>
      </c>
      <c r="E468" s="6">
        <v>24584687</v>
      </c>
      <c r="G468" s="6">
        <v>0</v>
      </c>
      <c r="I468" s="6">
        <v>6398984</v>
      </c>
      <c r="K468" s="6">
        <v>67770</v>
      </c>
      <c r="M468" s="6">
        <f>428627+116544</f>
        <v>545171</v>
      </c>
      <c r="O468" s="6">
        <v>117976</v>
      </c>
      <c r="Q468" s="6">
        <v>0</v>
      </c>
      <c r="S468" s="6">
        <v>20080</v>
      </c>
      <c r="U468" s="6">
        <v>1827</v>
      </c>
      <c r="W468" s="2">
        <f t="shared" si="81"/>
        <v>31736495</v>
      </c>
      <c r="Y468" s="6">
        <v>0</v>
      </c>
      <c r="AA468" s="6">
        <v>0</v>
      </c>
      <c r="AC468" s="6">
        <v>0</v>
      </c>
      <c r="AE468" s="6">
        <v>250</v>
      </c>
      <c r="AG468" s="6">
        <v>0</v>
      </c>
      <c r="AI468" s="6">
        <f t="shared" si="79"/>
        <v>250</v>
      </c>
      <c r="AK468" s="6">
        <f t="shared" si="80"/>
        <v>31736745</v>
      </c>
    </row>
    <row r="469" spans="1:37" hidden="1">
      <c r="A469" s="11" t="s">
        <v>825</v>
      </c>
      <c r="B469" s="11"/>
      <c r="C469" s="11" t="s">
        <v>27</v>
      </c>
      <c r="W469" s="2">
        <f t="shared" si="81"/>
        <v>0</v>
      </c>
      <c r="AA469" s="6">
        <v>0</v>
      </c>
      <c r="AI469" s="6">
        <f t="shared" si="79"/>
        <v>0</v>
      </c>
      <c r="AK469" s="6">
        <f t="shared" si="80"/>
        <v>0</v>
      </c>
    </row>
    <row r="470" spans="1:37">
      <c r="A470" s="11" t="s">
        <v>276</v>
      </c>
      <c r="B470" s="11"/>
      <c r="C470" s="11" t="s">
        <v>20</v>
      </c>
      <c r="E470" s="6">
        <v>7392756</v>
      </c>
      <c r="G470" s="6">
        <v>0</v>
      </c>
      <c r="I470" s="6">
        <v>3354637</v>
      </c>
      <c r="K470" s="6">
        <v>1996</v>
      </c>
      <c r="M470" s="6">
        <f>197705+14325</f>
        <v>212030</v>
      </c>
      <c r="O470" s="6">
        <v>45787</v>
      </c>
      <c r="Q470" s="6">
        <v>0</v>
      </c>
      <c r="S470" s="6">
        <v>281</v>
      </c>
      <c r="U470" s="6">
        <v>7971</v>
      </c>
      <c r="W470" s="2">
        <f t="shared" si="81"/>
        <v>11015458</v>
      </c>
      <c r="Y470" s="6">
        <v>0</v>
      </c>
      <c r="AA470" s="6">
        <v>0</v>
      </c>
      <c r="AC470" s="6">
        <v>0</v>
      </c>
      <c r="AE470" s="6">
        <v>0</v>
      </c>
      <c r="AG470" s="6">
        <v>0</v>
      </c>
      <c r="AI470" s="6">
        <f t="shared" si="79"/>
        <v>0</v>
      </c>
      <c r="AK470" s="6">
        <f t="shared" si="80"/>
        <v>11015458</v>
      </c>
    </row>
    <row r="471" spans="1:37">
      <c r="A471" s="11" t="s">
        <v>412</v>
      </c>
      <c r="B471" s="11"/>
      <c r="C471" s="11" t="s">
        <v>46</v>
      </c>
      <c r="E471" s="6">
        <v>2769132</v>
      </c>
      <c r="G471" s="6">
        <v>0</v>
      </c>
      <c r="I471" s="6">
        <v>3627103</v>
      </c>
      <c r="K471" s="6">
        <v>9178</v>
      </c>
      <c r="M471" s="6">
        <f>1291235+71269</f>
        <v>1362504</v>
      </c>
      <c r="O471" s="6">
        <v>45080</v>
      </c>
      <c r="Q471" s="6">
        <v>98288</v>
      </c>
      <c r="S471" s="6">
        <v>8000</v>
      </c>
      <c r="U471" s="6">
        <v>29454</v>
      </c>
      <c r="W471" s="2">
        <f t="shared" si="81"/>
        <v>7948739</v>
      </c>
      <c r="Y471" s="6">
        <v>0</v>
      </c>
      <c r="AA471" s="6">
        <v>0</v>
      </c>
      <c r="AC471" s="6">
        <v>46175</v>
      </c>
      <c r="AE471" s="6">
        <f>1500+6109</f>
        <v>7609</v>
      </c>
      <c r="AG471" s="6">
        <v>0</v>
      </c>
      <c r="AI471" s="6">
        <f t="shared" si="79"/>
        <v>53784</v>
      </c>
      <c r="AK471" s="6">
        <f t="shared" si="80"/>
        <v>8002523</v>
      </c>
    </row>
    <row r="472" spans="1:37" hidden="1">
      <c r="A472" s="11" t="s">
        <v>897</v>
      </c>
      <c r="B472" s="11"/>
      <c r="C472" s="11" t="s">
        <v>339</v>
      </c>
      <c r="E472" s="6">
        <v>0</v>
      </c>
      <c r="G472" s="6">
        <v>0</v>
      </c>
      <c r="I472" s="6">
        <v>0</v>
      </c>
      <c r="K472" s="6">
        <v>0</v>
      </c>
      <c r="M472" s="6">
        <v>0</v>
      </c>
      <c r="O472" s="6">
        <v>0</v>
      </c>
      <c r="Q472" s="6">
        <v>0</v>
      </c>
      <c r="S472" s="6">
        <v>0</v>
      </c>
      <c r="U472" s="6">
        <v>0</v>
      </c>
      <c r="W472" s="2">
        <f t="shared" si="81"/>
        <v>0</v>
      </c>
      <c r="Y472" s="6">
        <v>0</v>
      </c>
      <c r="AA472" s="6">
        <v>0</v>
      </c>
      <c r="AC472" s="6">
        <v>0</v>
      </c>
      <c r="AE472" s="6">
        <v>0</v>
      </c>
      <c r="AG472" s="6">
        <v>0</v>
      </c>
      <c r="AI472" s="6">
        <f t="shared" si="79"/>
        <v>0</v>
      </c>
      <c r="AK472" s="6">
        <f t="shared" si="80"/>
        <v>0</v>
      </c>
    </row>
    <row r="473" spans="1:37">
      <c r="A473" s="11" t="s">
        <v>254</v>
      </c>
      <c r="B473" s="11"/>
      <c r="C473" s="11" t="s">
        <v>19</v>
      </c>
      <c r="D473" s="9"/>
      <c r="E473" s="6">
        <v>2809254</v>
      </c>
      <c r="G473" s="6">
        <v>0</v>
      </c>
      <c r="I473" s="6">
        <f>7528847+52161</f>
        <v>7581008</v>
      </c>
      <c r="K473" s="6">
        <v>9145</v>
      </c>
      <c r="M473" s="6">
        <f>367331+29372</f>
        <v>396703</v>
      </c>
      <c r="O473" s="6">
        <v>61417</v>
      </c>
      <c r="Q473" s="6">
        <v>0</v>
      </c>
      <c r="S473" s="6">
        <v>0</v>
      </c>
      <c r="U473" s="6">
        <v>15804</v>
      </c>
      <c r="W473" s="2">
        <f t="shared" si="81"/>
        <v>10873331</v>
      </c>
      <c r="Y473" s="6">
        <v>0</v>
      </c>
      <c r="AA473" s="6">
        <v>0</v>
      </c>
      <c r="AC473" s="6">
        <v>58640</v>
      </c>
      <c r="AE473" s="6">
        <v>0</v>
      </c>
      <c r="AG473" s="6">
        <v>0</v>
      </c>
      <c r="AI473" s="6">
        <f t="shared" si="79"/>
        <v>58640</v>
      </c>
      <c r="AK473" s="6">
        <f t="shared" si="80"/>
        <v>10931971</v>
      </c>
    </row>
    <row r="474" spans="1:37" hidden="1">
      <c r="A474" s="11" t="s">
        <v>826</v>
      </c>
      <c r="B474" s="11"/>
      <c r="C474" s="11" t="s">
        <v>77</v>
      </c>
      <c r="D474" s="9"/>
      <c r="W474" s="2">
        <f t="shared" si="81"/>
        <v>0</v>
      </c>
      <c r="AA474" s="6">
        <v>0</v>
      </c>
      <c r="AG474" s="6">
        <v>0</v>
      </c>
      <c r="AI474" s="6">
        <f t="shared" si="79"/>
        <v>0</v>
      </c>
      <c r="AK474" s="6">
        <f t="shared" si="80"/>
        <v>0</v>
      </c>
    </row>
    <row r="475" spans="1:37" hidden="1">
      <c r="A475" s="11" t="s">
        <v>827</v>
      </c>
      <c r="B475" s="11"/>
      <c r="C475" s="11" t="s">
        <v>71</v>
      </c>
      <c r="W475" s="2">
        <f t="shared" si="81"/>
        <v>0</v>
      </c>
      <c r="AA475" s="6">
        <v>0</v>
      </c>
      <c r="AG475" s="6">
        <v>0</v>
      </c>
      <c r="AI475" s="6">
        <f t="shared" si="79"/>
        <v>0</v>
      </c>
      <c r="AK475" s="6">
        <f t="shared" si="80"/>
        <v>0</v>
      </c>
    </row>
    <row r="476" spans="1:37">
      <c r="A476" s="11" t="s">
        <v>413</v>
      </c>
      <c r="B476" s="11"/>
      <c r="C476" s="11" t="s">
        <v>46</v>
      </c>
      <c r="E476" s="6">
        <v>5474916</v>
      </c>
      <c r="G476" s="6">
        <v>0</v>
      </c>
      <c r="I476" s="6">
        <v>6226232</v>
      </c>
      <c r="K476" s="6">
        <v>3187</v>
      </c>
      <c r="M476" s="6">
        <v>3137092</v>
      </c>
      <c r="O476" s="6">
        <v>0</v>
      </c>
      <c r="Q476" s="6">
        <v>232376</v>
      </c>
      <c r="S476" s="6">
        <v>10305</v>
      </c>
      <c r="U476" s="6">
        <v>186738</v>
      </c>
      <c r="W476" s="2">
        <f t="shared" si="81"/>
        <v>15270846</v>
      </c>
      <c r="Y476" s="6">
        <v>0</v>
      </c>
      <c r="AA476" s="6">
        <v>0</v>
      </c>
      <c r="AC476" s="6">
        <v>388775</v>
      </c>
      <c r="AE476" s="6">
        <v>0</v>
      </c>
      <c r="AG476" s="6">
        <v>0</v>
      </c>
      <c r="AI476" s="6">
        <f t="shared" si="79"/>
        <v>388775</v>
      </c>
      <c r="AK476" s="6">
        <f t="shared" si="80"/>
        <v>15659621</v>
      </c>
    </row>
    <row r="477" spans="1:37">
      <c r="A477" s="11" t="s">
        <v>255</v>
      </c>
      <c r="B477" s="11"/>
      <c r="C477" s="11" t="s">
        <v>19</v>
      </c>
      <c r="D477" s="9"/>
      <c r="E477" s="6">
        <v>8935289</v>
      </c>
      <c r="G477" s="6">
        <v>0</v>
      </c>
      <c r="I477" s="6">
        <v>9782948</v>
      </c>
      <c r="K477" s="6">
        <v>35307</v>
      </c>
      <c r="M477" s="6">
        <f>902715+1232+9613</f>
        <v>913560</v>
      </c>
      <c r="O477" s="6">
        <v>57738</v>
      </c>
      <c r="Q477" s="6">
        <v>0</v>
      </c>
      <c r="S477" s="6">
        <v>11118</v>
      </c>
      <c r="U477" s="6">
        <v>122718</v>
      </c>
      <c r="W477" s="2">
        <f t="shared" si="81"/>
        <v>19858678</v>
      </c>
      <c r="Y477" s="6">
        <v>0</v>
      </c>
      <c r="AA477" s="6">
        <v>0</v>
      </c>
      <c r="AC477" s="6">
        <v>0</v>
      </c>
      <c r="AE477" s="6">
        <v>0</v>
      </c>
      <c r="AG477" s="6">
        <v>0</v>
      </c>
      <c r="AI477" s="6">
        <f t="shared" si="79"/>
        <v>0</v>
      </c>
      <c r="AK477" s="6">
        <f t="shared" si="80"/>
        <v>19858678</v>
      </c>
    </row>
    <row r="478" spans="1:37" hidden="1">
      <c r="A478" s="11" t="s">
        <v>828</v>
      </c>
      <c r="B478" s="11"/>
      <c r="C478" s="11" t="s">
        <v>339</v>
      </c>
      <c r="W478" s="2">
        <f t="shared" si="81"/>
        <v>0</v>
      </c>
      <c r="AA478" s="6">
        <v>0</v>
      </c>
      <c r="AG478" s="6">
        <v>0</v>
      </c>
      <c r="AI478" s="6">
        <f t="shared" si="79"/>
        <v>0</v>
      </c>
      <c r="AK478" s="6">
        <f t="shared" si="80"/>
        <v>0</v>
      </c>
    </row>
    <row r="479" spans="1:37" s="28" customFormat="1">
      <c r="A479" s="27" t="s">
        <v>379</v>
      </c>
      <c r="B479" s="27"/>
      <c r="C479" s="27" t="s">
        <v>41</v>
      </c>
      <c r="E479" s="28">
        <v>21917323</v>
      </c>
      <c r="G479" s="28">
        <v>0</v>
      </c>
      <c r="I479" s="28">
        <v>12715421</v>
      </c>
      <c r="K479" s="28">
        <v>7971</v>
      </c>
      <c r="M479" s="28">
        <f>449135+127557+539633</f>
        <v>1116325</v>
      </c>
      <c r="O479" s="28">
        <v>244309</v>
      </c>
      <c r="Q479" s="28">
        <v>0</v>
      </c>
      <c r="S479" s="28">
        <v>0</v>
      </c>
      <c r="U479" s="28">
        <v>785541</v>
      </c>
      <c r="W479" s="30">
        <f t="shared" si="81"/>
        <v>36786890</v>
      </c>
      <c r="Y479" s="28">
        <v>0</v>
      </c>
      <c r="AA479" s="28">
        <v>0</v>
      </c>
      <c r="AC479" s="28">
        <v>0</v>
      </c>
      <c r="AE479" s="28">
        <v>8554</v>
      </c>
      <c r="AG479" s="28">
        <v>0</v>
      </c>
      <c r="AI479" s="28">
        <f t="shared" si="79"/>
        <v>8554</v>
      </c>
      <c r="AK479" s="28">
        <f t="shared" si="80"/>
        <v>36795444</v>
      </c>
    </row>
    <row r="480" spans="1:37">
      <c r="A480" s="11" t="s">
        <v>379</v>
      </c>
      <c r="B480" s="11"/>
      <c r="C480" s="11" t="s">
        <v>43</v>
      </c>
      <c r="E480" s="6">
        <v>857308</v>
      </c>
      <c r="G480" s="6">
        <v>1303473</v>
      </c>
      <c r="I480" s="6">
        <v>4112142</v>
      </c>
      <c r="K480" s="6">
        <v>8103</v>
      </c>
      <c r="M480" s="6">
        <f>410505+2505+24454+100</f>
        <v>437564</v>
      </c>
      <c r="O480" s="6">
        <v>23926</v>
      </c>
      <c r="Q480" s="6">
        <v>0</v>
      </c>
      <c r="S480" s="6">
        <v>4474</v>
      </c>
      <c r="U480" s="6">
        <v>34455</v>
      </c>
      <c r="W480" s="2">
        <f>SUM(E480:V480)</f>
        <v>6781445</v>
      </c>
      <c r="Y480" s="6">
        <v>0</v>
      </c>
      <c r="AA480" s="6">
        <v>0</v>
      </c>
      <c r="AC480" s="6">
        <v>0</v>
      </c>
      <c r="AE480" s="6">
        <v>0</v>
      </c>
      <c r="AG480" s="6">
        <v>0</v>
      </c>
      <c r="AI480" s="6">
        <f t="shared" si="79"/>
        <v>0</v>
      </c>
      <c r="AK480" s="6">
        <f t="shared" si="80"/>
        <v>6781445</v>
      </c>
    </row>
    <row r="481" spans="1:37">
      <c r="A481" s="11" t="s">
        <v>370</v>
      </c>
      <c r="B481" s="11"/>
      <c r="C481" s="11" t="s">
        <v>366</v>
      </c>
      <c r="E481" s="6">
        <v>2325538</v>
      </c>
      <c r="G481" s="6">
        <v>0</v>
      </c>
      <c r="I481" s="6">
        <v>13266794</v>
      </c>
      <c r="K481" s="6">
        <v>16910</v>
      </c>
      <c r="M481" s="6">
        <f>682172+132971</f>
        <v>815143</v>
      </c>
      <c r="O481" s="6">
        <v>33914</v>
      </c>
      <c r="Q481" s="6">
        <v>573500</v>
      </c>
      <c r="S481" s="6">
        <v>2</v>
      </c>
      <c r="U481" s="6">
        <v>66016</v>
      </c>
      <c r="W481" s="2">
        <f t="shared" si="81"/>
        <v>17097817</v>
      </c>
      <c r="Y481" s="6">
        <v>0</v>
      </c>
      <c r="AA481" s="6">
        <v>0</v>
      </c>
      <c r="AC481" s="6">
        <v>0</v>
      </c>
      <c r="AE481" s="6">
        <v>0</v>
      </c>
      <c r="AG481" s="6">
        <v>0</v>
      </c>
      <c r="AI481" s="6">
        <f t="shared" si="79"/>
        <v>0</v>
      </c>
      <c r="AK481" s="6">
        <f t="shared" si="80"/>
        <v>17097817</v>
      </c>
    </row>
    <row r="482" spans="1:37">
      <c r="A482" s="11" t="s">
        <v>713</v>
      </c>
      <c r="B482" s="11"/>
      <c r="C482" s="11" t="s">
        <v>20</v>
      </c>
      <c r="E482" s="6">
        <v>25025412</v>
      </c>
      <c r="G482" s="6">
        <v>0</v>
      </c>
      <c r="I482" s="6">
        <f>38866+5193590+1170101</f>
        <v>6402557</v>
      </c>
      <c r="K482" s="6">
        <v>50911</v>
      </c>
      <c r="M482" s="6">
        <f>88948+9088+247676+50246+105055</f>
        <v>501013</v>
      </c>
      <c r="O482" s="6">
        <v>4500</v>
      </c>
      <c r="Q482" s="6">
        <v>0</v>
      </c>
      <c r="S482" s="6">
        <v>38440</v>
      </c>
      <c r="U482" s="6">
        <v>120201</v>
      </c>
      <c r="W482" s="2">
        <f t="shared" si="81"/>
        <v>32143034</v>
      </c>
      <c r="Y482" s="6">
        <v>0</v>
      </c>
      <c r="AA482" s="6">
        <v>0</v>
      </c>
      <c r="AC482" s="6">
        <v>0</v>
      </c>
      <c r="AE482" s="6">
        <v>10391</v>
      </c>
      <c r="AG482" s="6">
        <v>0</v>
      </c>
      <c r="AI482" s="6">
        <f t="shared" si="79"/>
        <v>10391</v>
      </c>
      <c r="AK482" s="6">
        <f t="shared" si="80"/>
        <v>32153425</v>
      </c>
    </row>
    <row r="483" spans="1:37">
      <c r="A483" s="11" t="s">
        <v>321</v>
      </c>
      <c r="B483" s="11"/>
      <c r="C483" s="11" t="s">
        <v>31</v>
      </c>
      <c r="E483" s="6">
        <v>5478525</v>
      </c>
      <c r="G483" s="6">
        <v>0</v>
      </c>
      <c r="I483" s="6">
        <v>10320096</v>
      </c>
      <c r="K483" s="6">
        <v>7289</v>
      </c>
      <c r="M483" s="6">
        <f>585432+10215</f>
        <v>595647</v>
      </c>
      <c r="O483" s="6">
        <v>101195</v>
      </c>
      <c r="Q483" s="6">
        <v>0</v>
      </c>
      <c r="S483" s="6">
        <v>185157</v>
      </c>
      <c r="U483" s="6">
        <v>25578</v>
      </c>
      <c r="W483" s="2">
        <f t="shared" si="81"/>
        <v>16713487</v>
      </c>
      <c r="Y483" s="6">
        <v>0</v>
      </c>
      <c r="AA483" s="6">
        <v>0</v>
      </c>
      <c r="AC483" s="6">
        <v>0</v>
      </c>
      <c r="AE483" s="6">
        <v>0</v>
      </c>
      <c r="AG483" s="6">
        <v>0</v>
      </c>
      <c r="AI483" s="6">
        <f t="shared" si="79"/>
        <v>0</v>
      </c>
      <c r="AK483" s="6">
        <f t="shared" si="80"/>
        <v>16713487</v>
      </c>
    </row>
    <row r="484" spans="1:37">
      <c r="A484" s="11" t="s">
        <v>462</v>
      </c>
      <c r="B484" s="11"/>
      <c r="C484" s="11" t="s">
        <v>56</v>
      </c>
      <c r="E484" s="6">
        <v>5042387</v>
      </c>
      <c r="G484" s="6">
        <v>0</v>
      </c>
      <c r="I484" s="6">
        <v>5150504</v>
      </c>
      <c r="K484" s="6">
        <v>2795</v>
      </c>
      <c r="M484" s="6">
        <f>366509+4631</f>
        <v>371140</v>
      </c>
      <c r="O484" s="6">
        <v>1352</v>
      </c>
      <c r="Q484" s="6">
        <v>0</v>
      </c>
      <c r="S484" s="6">
        <v>19090</v>
      </c>
      <c r="U484" s="6">
        <v>34925</v>
      </c>
      <c r="W484" s="2">
        <f t="shared" si="81"/>
        <v>10622193</v>
      </c>
      <c r="Y484" s="6">
        <v>0</v>
      </c>
      <c r="AA484" s="6">
        <v>0</v>
      </c>
      <c r="AC484" s="6">
        <v>250000</v>
      </c>
      <c r="AE484" s="6">
        <v>0</v>
      </c>
      <c r="AG484" s="6">
        <v>0</v>
      </c>
      <c r="AI484" s="6">
        <f t="shared" si="79"/>
        <v>250000</v>
      </c>
      <c r="AK484" s="6">
        <f t="shared" si="80"/>
        <v>10872193</v>
      </c>
    </row>
    <row r="485" spans="1:37" ht="12" customHeight="1">
      <c r="A485" s="11" t="s">
        <v>714</v>
      </c>
      <c r="B485" s="11"/>
      <c r="C485" s="11" t="s">
        <v>221</v>
      </c>
      <c r="D485" s="9"/>
      <c r="E485" s="6">
        <v>8033196</v>
      </c>
      <c r="G485" s="6">
        <v>2491787</v>
      </c>
      <c r="I485" s="6">
        <v>11649275</v>
      </c>
      <c r="K485" s="6">
        <v>20723</v>
      </c>
      <c r="M485" s="6">
        <f>152511+99746</f>
        <v>252257</v>
      </c>
      <c r="O485" s="6">
        <v>325780</v>
      </c>
      <c r="Q485" s="6">
        <v>0</v>
      </c>
      <c r="S485" s="6">
        <v>0</v>
      </c>
      <c r="U485" s="6">
        <v>131238</v>
      </c>
      <c r="W485" s="2">
        <f t="shared" si="81"/>
        <v>22904256</v>
      </c>
      <c r="Y485" s="6">
        <v>0</v>
      </c>
      <c r="AA485" s="6">
        <v>0</v>
      </c>
      <c r="AC485" s="6">
        <v>0</v>
      </c>
      <c r="AE485" s="6">
        <v>0</v>
      </c>
      <c r="AG485" s="6">
        <v>0</v>
      </c>
      <c r="AI485" s="6">
        <f t="shared" si="79"/>
        <v>0</v>
      </c>
      <c r="AK485" s="6">
        <f t="shared" si="80"/>
        <v>22904256</v>
      </c>
    </row>
    <row r="486" spans="1:37">
      <c r="A486" s="11" t="s">
        <v>777</v>
      </c>
      <c r="B486" s="11"/>
      <c r="C486" s="11" t="s">
        <v>72</v>
      </c>
      <c r="E486" s="6">
        <v>10472082</v>
      </c>
      <c r="G486" s="6">
        <v>0</v>
      </c>
      <c r="I486" s="6">
        <v>8065908</v>
      </c>
      <c r="K486" s="6">
        <v>49107</v>
      </c>
      <c r="M486" s="6">
        <f>403736</f>
        <v>403736</v>
      </c>
      <c r="O486" s="6">
        <v>19224</v>
      </c>
      <c r="Q486" s="6">
        <v>735841</v>
      </c>
      <c r="S486" s="6">
        <v>1502089</v>
      </c>
      <c r="U486" s="6">
        <v>195327</v>
      </c>
      <c r="W486" s="2">
        <f>SUM(E486:V486)</f>
        <v>21443314</v>
      </c>
      <c r="Y486" s="6">
        <v>0</v>
      </c>
      <c r="AA486" s="6">
        <v>0</v>
      </c>
      <c r="AC486" s="6">
        <v>0</v>
      </c>
      <c r="AE486" s="6">
        <v>0</v>
      </c>
      <c r="AG486" s="6">
        <v>0</v>
      </c>
      <c r="AI486" s="6">
        <f>SUM(Y486:AH486)</f>
        <v>0</v>
      </c>
      <c r="AK486" s="6">
        <f t="shared" si="80"/>
        <v>21443314</v>
      </c>
    </row>
    <row r="487" spans="1:37">
      <c r="A487" s="11" t="s">
        <v>492</v>
      </c>
      <c r="B487" s="11"/>
      <c r="C487" s="11" t="s">
        <v>61</v>
      </c>
      <c r="E487" s="6">
        <v>921433</v>
      </c>
      <c r="G487" s="6">
        <v>336504</v>
      </c>
      <c r="I487" s="6">
        <v>2236596</v>
      </c>
      <c r="K487" s="6">
        <v>138</v>
      </c>
      <c r="M487" s="6">
        <v>331938</v>
      </c>
      <c r="O487" s="6">
        <v>8531</v>
      </c>
      <c r="Q487" s="6">
        <v>0</v>
      </c>
      <c r="S487" s="6">
        <v>3862</v>
      </c>
      <c r="U487" s="6">
        <v>109491</v>
      </c>
      <c r="W487" s="2">
        <f>SUM(E487:V487)</f>
        <v>3948493</v>
      </c>
      <c r="Y487" s="6">
        <v>0</v>
      </c>
      <c r="AA487" s="6">
        <v>0</v>
      </c>
      <c r="AC487" s="6">
        <v>0</v>
      </c>
      <c r="AE487" s="6">
        <v>4834</v>
      </c>
      <c r="AG487" s="6">
        <v>0</v>
      </c>
      <c r="AI487" s="6">
        <f>SUM(Y487:AH487)</f>
        <v>4834</v>
      </c>
      <c r="AK487" s="6">
        <f t="shared" si="80"/>
        <v>3953327</v>
      </c>
    </row>
    <row r="488" spans="1:37">
      <c r="A488" s="11" t="s">
        <v>607</v>
      </c>
      <c r="B488" s="11"/>
      <c r="C488" s="11" t="s">
        <v>112</v>
      </c>
      <c r="E488" s="6">
        <v>8380810</v>
      </c>
      <c r="G488" s="6">
        <v>4331</v>
      </c>
      <c r="I488" s="6">
        <f>9382261+193580</f>
        <v>9575841</v>
      </c>
      <c r="K488" s="6">
        <v>2449</v>
      </c>
      <c r="M488" s="6">
        <f>896823+165725+3930</f>
        <v>1066478</v>
      </c>
      <c r="O488" s="6">
        <v>63085</v>
      </c>
      <c r="Q488" s="6">
        <v>0</v>
      </c>
      <c r="S488" s="6">
        <f>20531</f>
        <v>20531</v>
      </c>
      <c r="U488" s="6">
        <v>177323</v>
      </c>
      <c r="W488" s="2">
        <f t="shared" ref="W488:W537" si="85">SUM(E488:V488)</f>
        <v>19290848</v>
      </c>
      <c r="Y488" s="6">
        <v>0</v>
      </c>
      <c r="AA488" s="6">
        <v>0</v>
      </c>
      <c r="AC488" s="6">
        <v>191286</v>
      </c>
      <c r="AE488" s="6">
        <v>0</v>
      </c>
      <c r="AG488" s="6">
        <v>0</v>
      </c>
      <c r="AI488" s="6">
        <f t="shared" ref="AI488:AI505" si="86">SUM(Y488:AH488)</f>
        <v>191286</v>
      </c>
      <c r="AK488" s="6">
        <f t="shared" ref="AK488:AK519" si="87">+AI488+W488</f>
        <v>19482134</v>
      </c>
    </row>
    <row r="489" spans="1:37">
      <c r="A489" s="11" t="s">
        <v>290</v>
      </c>
      <c r="B489" s="11"/>
      <c r="C489" s="11" t="s">
        <v>24</v>
      </c>
      <c r="E489" s="6">
        <v>16869375</v>
      </c>
      <c r="G489" s="6">
        <v>0</v>
      </c>
      <c r="I489" s="6">
        <v>21437693</v>
      </c>
      <c r="K489" s="6">
        <v>10852</v>
      </c>
      <c r="M489" s="6">
        <f>1091477+2624</f>
        <v>1094101</v>
      </c>
      <c r="O489" s="6">
        <v>56749</v>
      </c>
      <c r="Q489" s="6">
        <v>96381</v>
      </c>
      <c r="S489" s="6">
        <v>0</v>
      </c>
      <c r="U489" s="6">
        <v>380344</v>
      </c>
      <c r="W489" s="2">
        <f t="shared" si="85"/>
        <v>39945495</v>
      </c>
      <c r="Y489" s="6">
        <v>75000</v>
      </c>
      <c r="AA489" s="6">
        <v>0</v>
      </c>
      <c r="AC489" s="6">
        <v>674475</v>
      </c>
      <c r="AE489" s="6">
        <v>1630</v>
      </c>
      <c r="AG489" s="6">
        <v>0</v>
      </c>
      <c r="AI489" s="6">
        <f t="shared" si="86"/>
        <v>751105</v>
      </c>
      <c r="AK489" s="6">
        <f t="shared" si="87"/>
        <v>40696600</v>
      </c>
    </row>
    <row r="490" spans="1:37">
      <c r="A490" s="11" t="s">
        <v>504</v>
      </c>
      <c r="B490" s="11"/>
      <c r="C490" s="11" t="s">
        <v>62</v>
      </c>
      <c r="E490" s="6">
        <v>3023800</v>
      </c>
      <c r="G490" s="6">
        <v>0</v>
      </c>
      <c r="I490" s="6">
        <f>11787+8393491+59868</f>
        <v>8465146</v>
      </c>
      <c r="K490" s="6">
        <v>9389</v>
      </c>
      <c r="M490" s="6">
        <f>622603+12228+27760</f>
        <v>662591</v>
      </c>
      <c r="O490" s="6">
        <v>83440</v>
      </c>
      <c r="Q490" s="6">
        <v>0</v>
      </c>
      <c r="S490" s="6">
        <v>0</v>
      </c>
      <c r="U490" s="6">
        <v>214742</v>
      </c>
      <c r="W490" s="2">
        <f t="shared" si="85"/>
        <v>12459108</v>
      </c>
      <c r="Y490" s="6">
        <v>10532</v>
      </c>
      <c r="AA490" s="6">
        <v>0</v>
      </c>
      <c r="AC490" s="6">
        <v>0</v>
      </c>
      <c r="AE490" s="6">
        <v>0</v>
      </c>
      <c r="AG490" s="6">
        <v>0</v>
      </c>
      <c r="AI490" s="6">
        <f t="shared" si="86"/>
        <v>10532</v>
      </c>
      <c r="AK490" s="6">
        <f t="shared" si="87"/>
        <v>12469640</v>
      </c>
    </row>
    <row r="491" spans="1:37">
      <c r="A491" s="11" t="s">
        <v>456</v>
      </c>
      <c r="B491" s="11"/>
      <c r="C491" s="11" t="s">
        <v>55</v>
      </c>
      <c r="E491" s="6">
        <v>2062563</v>
      </c>
      <c r="G491" s="6">
        <v>0</v>
      </c>
      <c r="I491" s="6">
        <v>10928015</v>
      </c>
      <c r="K491" s="6">
        <v>16598</v>
      </c>
      <c r="M491" s="6">
        <f>651898+1643</f>
        <v>653541</v>
      </c>
      <c r="O491" s="6">
        <v>30847</v>
      </c>
      <c r="Q491" s="6">
        <v>0</v>
      </c>
      <c r="S491" s="6">
        <v>300</v>
      </c>
      <c r="U491" s="6">
        <v>100832</v>
      </c>
      <c r="W491" s="2">
        <f t="shared" si="85"/>
        <v>13792696</v>
      </c>
      <c r="Y491" s="6">
        <v>0</v>
      </c>
      <c r="AA491" s="6">
        <v>0</v>
      </c>
      <c r="AC491" s="6">
        <v>0</v>
      </c>
      <c r="AE491" s="6">
        <v>0</v>
      </c>
      <c r="AG491" s="6">
        <v>0</v>
      </c>
      <c r="AI491" s="6">
        <f t="shared" si="86"/>
        <v>0</v>
      </c>
      <c r="AK491" s="6">
        <f t="shared" si="87"/>
        <v>13792696</v>
      </c>
    </row>
    <row r="492" spans="1:37">
      <c r="A492" s="11" t="s">
        <v>405</v>
      </c>
      <c r="B492" s="11"/>
      <c r="C492" s="11" t="s">
        <v>45</v>
      </c>
      <c r="E492" s="6">
        <v>992915</v>
      </c>
      <c r="G492" s="6">
        <v>453755</v>
      </c>
      <c r="I492" s="6">
        <v>4354400</v>
      </c>
      <c r="K492" s="6">
        <v>915</v>
      </c>
      <c r="M492" s="6">
        <f>319750</f>
        <v>319750</v>
      </c>
      <c r="O492" s="6">
        <v>4395</v>
      </c>
      <c r="Q492" s="6">
        <v>0</v>
      </c>
      <c r="S492" s="6">
        <v>1325</v>
      </c>
      <c r="U492" s="6">
        <v>44075</v>
      </c>
      <c r="W492" s="2">
        <f t="shared" si="85"/>
        <v>6171530</v>
      </c>
      <c r="Y492" s="6">
        <v>0</v>
      </c>
      <c r="AA492" s="6">
        <v>0</v>
      </c>
      <c r="AC492" s="6">
        <v>0</v>
      </c>
      <c r="AE492" s="6">
        <v>0</v>
      </c>
      <c r="AG492" s="6">
        <v>0</v>
      </c>
      <c r="AI492" s="6">
        <f t="shared" si="86"/>
        <v>0</v>
      </c>
      <c r="AK492" s="6">
        <f t="shared" si="87"/>
        <v>6171530</v>
      </c>
    </row>
    <row r="493" spans="1:37">
      <c r="A493" s="11" t="s">
        <v>487</v>
      </c>
      <c r="B493" s="11"/>
      <c r="C493" s="11" t="s">
        <v>60</v>
      </c>
      <c r="E493" s="6">
        <v>1457047</v>
      </c>
      <c r="G493" s="6">
        <v>1017418</v>
      </c>
      <c r="I493" s="6">
        <v>4167660</v>
      </c>
      <c r="K493" s="6">
        <v>5061</v>
      </c>
      <c r="M493" s="6">
        <f>734930+37366+9672+29815</f>
        <v>811783</v>
      </c>
      <c r="O493" s="6">
        <v>18680</v>
      </c>
      <c r="Q493" s="6">
        <v>0</v>
      </c>
      <c r="S493" s="6">
        <v>177</v>
      </c>
      <c r="U493" s="6">
        <v>12463</v>
      </c>
      <c r="W493" s="2">
        <f t="shared" si="85"/>
        <v>7490289</v>
      </c>
      <c r="Y493" s="6">
        <v>0</v>
      </c>
      <c r="AA493" s="6">
        <v>0</v>
      </c>
      <c r="AC493" s="6">
        <v>0</v>
      </c>
      <c r="AE493" s="6">
        <v>0</v>
      </c>
      <c r="AG493" s="6">
        <v>0</v>
      </c>
      <c r="AI493" s="6">
        <f t="shared" si="86"/>
        <v>0</v>
      </c>
      <c r="AK493" s="6">
        <f t="shared" si="87"/>
        <v>7490289</v>
      </c>
    </row>
    <row r="494" spans="1:37">
      <c r="A494" s="11" t="s">
        <v>217</v>
      </c>
      <c r="B494" s="11"/>
      <c r="C494" s="11" t="s">
        <v>15</v>
      </c>
      <c r="D494" s="9"/>
      <c r="E494" s="6">
        <v>1768701</v>
      </c>
      <c r="G494" s="6">
        <v>0</v>
      </c>
      <c r="I494" s="6">
        <v>2651209</v>
      </c>
      <c r="K494" s="6">
        <v>2960</v>
      </c>
      <c r="M494" s="6">
        <f>1096368+50+2006</f>
        <v>1098424</v>
      </c>
      <c r="O494" s="6">
        <v>69032</v>
      </c>
      <c r="Q494" s="6">
        <v>488615</v>
      </c>
      <c r="S494" s="6">
        <v>4501</v>
      </c>
      <c r="U494" s="6">
        <v>7670</v>
      </c>
      <c r="W494" s="2">
        <f t="shared" si="85"/>
        <v>6091112</v>
      </c>
      <c r="Y494" s="6">
        <v>0</v>
      </c>
      <c r="AA494" s="6">
        <v>0</v>
      </c>
      <c r="AC494" s="6">
        <v>0</v>
      </c>
      <c r="AE494" s="6">
        <v>0</v>
      </c>
      <c r="AG494" s="6">
        <v>0</v>
      </c>
      <c r="AI494" s="6">
        <f t="shared" si="86"/>
        <v>0</v>
      </c>
      <c r="AK494" s="6">
        <f t="shared" si="87"/>
        <v>6091112</v>
      </c>
    </row>
    <row r="495" spans="1:37">
      <c r="A495" s="11" t="s">
        <v>715</v>
      </c>
      <c r="B495" s="11"/>
      <c r="C495" s="11" t="s">
        <v>20</v>
      </c>
      <c r="E495" s="6">
        <v>62854483</v>
      </c>
      <c r="G495" s="6">
        <v>0</v>
      </c>
      <c r="I495" s="6">
        <v>23376356</v>
      </c>
      <c r="K495" s="6">
        <v>194026</v>
      </c>
      <c r="M495" s="6">
        <f>1463358+44805+66351</f>
        <v>1574514</v>
      </c>
      <c r="O495" s="6">
        <v>84825</v>
      </c>
      <c r="Q495" s="6">
        <v>0</v>
      </c>
      <c r="S495" s="6">
        <v>22797</v>
      </c>
      <c r="U495" s="6">
        <v>342574</v>
      </c>
      <c r="W495" s="2">
        <f t="shared" si="85"/>
        <v>88449575</v>
      </c>
      <c r="Y495" s="6">
        <v>0</v>
      </c>
      <c r="AA495" s="6">
        <v>0</v>
      </c>
      <c r="AC495" s="6">
        <v>0</v>
      </c>
      <c r="AE495" s="6">
        <v>75000</v>
      </c>
      <c r="AG495" s="6">
        <v>0</v>
      </c>
      <c r="AI495" s="6">
        <f t="shared" si="86"/>
        <v>75000</v>
      </c>
      <c r="AK495" s="6">
        <f t="shared" si="87"/>
        <v>88524575</v>
      </c>
    </row>
    <row r="496" spans="1:37" hidden="1">
      <c r="A496" s="11" t="s">
        <v>700</v>
      </c>
      <c r="B496" s="11"/>
      <c r="C496" s="11" t="s">
        <v>10</v>
      </c>
      <c r="W496" s="2">
        <f t="shared" si="85"/>
        <v>0</v>
      </c>
      <c r="AK496" s="6">
        <f t="shared" si="87"/>
        <v>0</v>
      </c>
    </row>
    <row r="497" spans="1:37">
      <c r="A497" s="11" t="s">
        <v>789</v>
      </c>
      <c r="B497" s="11"/>
      <c r="C497" s="11" t="s">
        <v>44</v>
      </c>
      <c r="E497" s="6">
        <v>10093630</v>
      </c>
      <c r="G497" s="6">
        <v>0</v>
      </c>
      <c r="I497" s="6">
        <v>6944986</v>
      </c>
      <c r="K497" s="6">
        <v>5819</v>
      </c>
      <c r="M497" s="6">
        <f>1150781</f>
        <v>1150781</v>
      </c>
      <c r="O497" s="6">
        <v>34452</v>
      </c>
      <c r="Q497" s="6">
        <v>0</v>
      </c>
      <c r="S497" s="6">
        <v>0</v>
      </c>
      <c r="U497" s="6">
        <v>264108</v>
      </c>
      <c r="W497" s="2">
        <f t="shared" si="85"/>
        <v>18493776</v>
      </c>
      <c r="Y497" s="6">
        <v>0</v>
      </c>
      <c r="AA497" s="6">
        <v>0</v>
      </c>
      <c r="AC497" s="6">
        <v>0</v>
      </c>
      <c r="AE497" s="6">
        <v>0</v>
      </c>
      <c r="AG497" s="6">
        <v>0</v>
      </c>
      <c r="AI497" s="6">
        <f t="shared" si="86"/>
        <v>0</v>
      </c>
      <c r="AK497" s="6">
        <f t="shared" si="87"/>
        <v>18493776</v>
      </c>
    </row>
    <row r="498" spans="1:37" ht="10.5" customHeight="1">
      <c r="A498" s="11" t="s">
        <v>472</v>
      </c>
      <c r="B498" s="11"/>
      <c r="C498" s="11" t="s">
        <v>110</v>
      </c>
      <c r="E498" s="6">
        <v>4446541</v>
      </c>
      <c r="G498" s="6">
        <v>2488163</v>
      </c>
      <c r="I498" s="6">
        <f>9196689+57258</f>
        <v>9253947</v>
      </c>
      <c r="K498" s="6">
        <v>8344</v>
      </c>
      <c r="M498" s="6">
        <f>31846+345149+46770+70786</f>
        <v>494551</v>
      </c>
      <c r="O498" s="6">
        <v>94384</v>
      </c>
      <c r="Q498" s="6">
        <v>0</v>
      </c>
      <c r="S498" s="6">
        <v>12208</v>
      </c>
      <c r="U498" s="6">
        <v>74735</v>
      </c>
      <c r="W498" s="2">
        <f t="shared" si="85"/>
        <v>16872873</v>
      </c>
      <c r="Y498" s="6">
        <v>0</v>
      </c>
      <c r="AA498" s="6">
        <v>0</v>
      </c>
      <c r="AC498" s="6">
        <v>0</v>
      </c>
      <c r="AE498" s="6">
        <v>0</v>
      </c>
      <c r="AG498" s="6">
        <v>0</v>
      </c>
      <c r="AI498" s="6">
        <f t="shared" si="86"/>
        <v>0</v>
      </c>
      <c r="AK498" s="6">
        <f t="shared" si="87"/>
        <v>16872873</v>
      </c>
    </row>
    <row r="499" spans="1:37" hidden="1">
      <c r="A499" s="11" t="s">
        <v>833</v>
      </c>
      <c r="B499" s="11"/>
      <c r="C499" s="11" t="s">
        <v>61</v>
      </c>
      <c r="W499" s="2">
        <f t="shared" si="85"/>
        <v>0</v>
      </c>
      <c r="AI499" s="6">
        <f t="shared" si="86"/>
        <v>0</v>
      </c>
      <c r="AK499" s="6">
        <f t="shared" si="87"/>
        <v>0</v>
      </c>
    </row>
    <row r="500" spans="1:37">
      <c r="A500" s="11" t="s">
        <v>277</v>
      </c>
      <c r="B500" s="11"/>
      <c r="C500" s="11" t="s">
        <v>20</v>
      </c>
      <c r="E500" s="6">
        <v>50799656</v>
      </c>
      <c r="G500" s="6">
        <v>0</v>
      </c>
      <c r="I500" s="6">
        <v>17390381</v>
      </c>
      <c r="K500" s="6">
        <v>89684</v>
      </c>
      <c r="M500" s="6">
        <f>889334+163962+191946</f>
        <v>1245242</v>
      </c>
      <c r="O500" s="6">
        <v>2090</v>
      </c>
      <c r="Q500" s="6">
        <v>371409</v>
      </c>
      <c r="S500" s="6">
        <v>150366</v>
      </c>
      <c r="U500" s="6">
        <v>697928</v>
      </c>
      <c r="W500" s="2">
        <f t="shared" si="85"/>
        <v>70746756</v>
      </c>
      <c r="Y500" s="6">
        <v>0</v>
      </c>
      <c r="AA500" s="6">
        <v>0</v>
      </c>
      <c r="AC500" s="6">
        <v>0</v>
      </c>
      <c r="AE500" s="6">
        <v>0</v>
      </c>
      <c r="AG500" s="6">
        <v>0</v>
      </c>
      <c r="AI500" s="6">
        <f t="shared" si="86"/>
        <v>0</v>
      </c>
      <c r="AK500" s="6">
        <f t="shared" si="87"/>
        <v>70746756</v>
      </c>
    </row>
    <row r="501" spans="1:37" ht="12.75" customHeight="1">
      <c r="A501" s="11" t="s">
        <v>633</v>
      </c>
      <c r="B501" s="11"/>
      <c r="C501" s="11" t="s">
        <v>37</v>
      </c>
      <c r="E501" s="6">
        <v>1306130</v>
      </c>
      <c r="G501" s="6">
        <v>927639</v>
      </c>
      <c r="I501" s="6">
        <v>4954189</v>
      </c>
      <c r="K501" s="6">
        <v>4185</v>
      </c>
      <c r="M501" s="6">
        <f>293803+16002</f>
        <v>309805</v>
      </c>
      <c r="O501" s="6">
        <v>36052</v>
      </c>
      <c r="Q501" s="6">
        <v>0</v>
      </c>
      <c r="S501" s="6">
        <v>25519</v>
      </c>
      <c r="U501" s="6">
        <v>5763</v>
      </c>
      <c r="W501" s="2">
        <f t="shared" si="85"/>
        <v>7569282</v>
      </c>
      <c r="Y501" s="6">
        <v>0</v>
      </c>
      <c r="AA501" s="6">
        <v>0</v>
      </c>
      <c r="AC501" s="6">
        <v>0</v>
      </c>
      <c r="AE501" s="6">
        <v>0</v>
      </c>
      <c r="AG501" s="6">
        <v>0</v>
      </c>
      <c r="AI501" s="6">
        <f t="shared" si="86"/>
        <v>0</v>
      </c>
      <c r="AK501" s="6">
        <f t="shared" si="87"/>
        <v>7569282</v>
      </c>
    </row>
    <row r="502" spans="1:37">
      <c r="A502" s="11" t="s">
        <v>278</v>
      </c>
      <c r="B502" s="11"/>
      <c r="C502" s="11" t="s">
        <v>20</v>
      </c>
      <c r="E502" s="6">
        <v>38928319</v>
      </c>
      <c r="G502" s="6">
        <v>0</v>
      </c>
      <c r="I502" s="6">
        <v>13571846</v>
      </c>
      <c r="K502" s="6">
        <v>35570</v>
      </c>
      <c r="M502" s="6">
        <f>1823130+72079+77015</f>
        <v>1972224</v>
      </c>
      <c r="O502" s="6">
        <v>73242</v>
      </c>
      <c r="Q502" s="6">
        <v>562500</v>
      </c>
      <c r="S502" s="6">
        <v>3175</v>
      </c>
      <c r="U502" s="6">
        <v>764512</v>
      </c>
      <c r="W502" s="2">
        <f t="shared" si="85"/>
        <v>55911388</v>
      </c>
      <c r="Y502" s="6">
        <v>0</v>
      </c>
      <c r="AA502" s="6">
        <v>0</v>
      </c>
      <c r="AC502" s="6">
        <v>0</v>
      </c>
      <c r="AE502" s="6">
        <v>0</v>
      </c>
      <c r="AG502" s="6">
        <v>0</v>
      </c>
      <c r="AI502" s="6">
        <f t="shared" si="86"/>
        <v>0</v>
      </c>
      <c r="AK502" s="6">
        <f t="shared" si="87"/>
        <v>55911388</v>
      </c>
    </row>
    <row r="503" spans="1:37">
      <c r="A503" s="11" t="s">
        <v>371</v>
      </c>
      <c r="B503" s="11"/>
      <c r="C503" s="11" t="s">
        <v>366</v>
      </c>
      <c r="E503" s="6">
        <v>3468189</v>
      </c>
      <c r="G503" s="6">
        <v>0</v>
      </c>
      <c r="I503" s="6">
        <v>12576059</v>
      </c>
      <c r="K503" s="6">
        <v>2080</v>
      </c>
      <c r="M503" s="6">
        <f>126463+3920</f>
        <v>130383</v>
      </c>
      <c r="O503" s="6">
        <v>35086</v>
      </c>
      <c r="Q503" s="6">
        <v>0</v>
      </c>
      <c r="S503" s="6">
        <v>22480</v>
      </c>
      <c r="U503" s="6">
        <v>39333</v>
      </c>
      <c r="W503" s="2">
        <f t="shared" si="85"/>
        <v>16273610</v>
      </c>
      <c r="Y503" s="6">
        <v>0</v>
      </c>
      <c r="AA503" s="6">
        <v>0</v>
      </c>
      <c r="AC503" s="6">
        <v>358000</v>
      </c>
      <c r="AE503" s="6">
        <v>0</v>
      </c>
      <c r="AG503" s="6">
        <v>0</v>
      </c>
      <c r="AI503" s="6">
        <f t="shared" si="86"/>
        <v>358000</v>
      </c>
      <c r="AK503" s="6">
        <f t="shared" si="87"/>
        <v>16631610</v>
      </c>
    </row>
    <row r="504" spans="1:37">
      <c r="A504" s="11" t="s">
        <v>406</v>
      </c>
      <c r="B504" s="11"/>
      <c r="C504" s="11" t="s">
        <v>45</v>
      </c>
      <c r="E504" s="6">
        <v>4715068</v>
      </c>
      <c r="G504" s="6">
        <v>0</v>
      </c>
      <c r="I504" s="6">
        <v>5471411</v>
      </c>
      <c r="K504" s="6">
        <v>3751</v>
      </c>
      <c r="M504" s="6">
        <f>19393+25447+849</f>
        <v>45689</v>
      </c>
      <c r="O504" s="6">
        <v>95916</v>
      </c>
      <c r="Q504" s="6">
        <v>0</v>
      </c>
      <c r="S504" s="6">
        <v>53017</v>
      </c>
      <c r="U504" s="6">
        <v>89668</v>
      </c>
      <c r="W504" s="2">
        <f t="shared" si="85"/>
        <v>10474520</v>
      </c>
      <c r="Y504" s="6">
        <v>0</v>
      </c>
      <c r="AA504" s="6">
        <v>0</v>
      </c>
      <c r="AC504" s="6">
        <v>0</v>
      </c>
      <c r="AE504" s="6">
        <v>0</v>
      </c>
      <c r="AG504" s="6">
        <v>0</v>
      </c>
      <c r="AI504" s="6">
        <f t="shared" si="86"/>
        <v>0</v>
      </c>
      <c r="AK504" s="6">
        <f t="shared" si="87"/>
        <v>10474520</v>
      </c>
    </row>
    <row r="505" spans="1:37">
      <c r="A505" s="11" t="s">
        <v>463</v>
      </c>
      <c r="B505" s="11"/>
      <c r="C505" s="11" t="s">
        <v>56</v>
      </c>
      <c r="E505" s="6">
        <v>5751499</v>
      </c>
      <c r="G505" s="6">
        <v>0</v>
      </c>
      <c r="I505" s="6">
        <v>11711851</v>
      </c>
      <c r="K505" s="6">
        <v>15202</v>
      </c>
      <c r="M505" s="6">
        <f>588683+1849</f>
        <v>590532</v>
      </c>
      <c r="O505" s="6">
        <v>51468</v>
      </c>
      <c r="Q505" s="6">
        <v>0</v>
      </c>
      <c r="S505" s="6">
        <v>0</v>
      </c>
      <c r="U505" s="6">
        <v>53811</v>
      </c>
      <c r="W505" s="2">
        <f t="shared" si="85"/>
        <v>18174363</v>
      </c>
      <c r="Y505" s="6">
        <v>0</v>
      </c>
      <c r="AA505" s="6">
        <v>0</v>
      </c>
      <c r="AC505" s="6">
        <v>0</v>
      </c>
      <c r="AE505" s="6">
        <v>0</v>
      </c>
      <c r="AG505" s="6">
        <v>646</v>
      </c>
      <c r="AI505" s="6">
        <f t="shared" si="86"/>
        <v>646</v>
      </c>
      <c r="AK505" s="6">
        <f t="shared" si="87"/>
        <v>18175009</v>
      </c>
    </row>
    <row r="506" spans="1:37">
      <c r="A506" s="11" t="s">
        <v>463</v>
      </c>
      <c r="B506" s="11"/>
      <c r="C506" s="11" t="s">
        <v>71</v>
      </c>
      <c r="E506" s="6">
        <v>8259925</v>
      </c>
      <c r="G506" s="6">
        <v>0</v>
      </c>
      <c r="I506" s="6">
        <v>5866294</v>
      </c>
      <c r="K506" s="6">
        <v>832</v>
      </c>
      <c r="M506" s="6">
        <f>839105+263377+3755</f>
        <v>1106237</v>
      </c>
      <c r="O506" s="6">
        <v>100298</v>
      </c>
      <c r="Q506" s="6">
        <v>0</v>
      </c>
      <c r="S506" s="6">
        <v>4657</v>
      </c>
      <c r="U506" s="6">
        <v>37468</v>
      </c>
      <c r="W506" s="2">
        <f t="shared" si="85"/>
        <v>15375711</v>
      </c>
      <c r="Y506" s="6">
        <v>863</v>
      </c>
      <c r="AA506" s="6">
        <v>0</v>
      </c>
      <c r="AC506" s="6">
        <v>0</v>
      </c>
      <c r="AE506" s="6">
        <v>0</v>
      </c>
      <c r="AG506" s="6">
        <v>0</v>
      </c>
      <c r="AI506" s="6">
        <f t="shared" ref="AI506:AI537" si="88">SUM(Y506:AH506)</f>
        <v>863</v>
      </c>
      <c r="AK506" s="6">
        <f t="shared" si="87"/>
        <v>15376574</v>
      </c>
    </row>
    <row r="507" spans="1:37">
      <c r="A507" s="11" t="s">
        <v>235</v>
      </c>
      <c r="B507" s="11"/>
      <c r="C507" s="11" t="s">
        <v>17</v>
      </c>
      <c r="D507" s="9"/>
      <c r="E507" s="6">
        <v>1936096</v>
      </c>
      <c r="G507" s="6">
        <v>981708</v>
      </c>
      <c r="I507" s="6">
        <v>3570834</v>
      </c>
      <c r="K507" s="6">
        <v>0</v>
      </c>
      <c r="M507" s="6">
        <v>513384</v>
      </c>
      <c r="O507" s="6">
        <v>11109</v>
      </c>
      <c r="Q507" s="6">
        <v>0</v>
      </c>
      <c r="S507" s="6">
        <v>2455</v>
      </c>
      <c r="U507" s="6">
        <v>3136</v>
      </c>
      <c r="W507" s="2">
        <f t="shared" si="85"/>
        <v>7018722</v>
      </c>
      <c r="Y507" s="6">
        <v>0</v>
      </c>
      <c r="AA507" s="6">
        <v>0</v>
      </c>
      <c r="AC507" s="6">
        <v>0</v>
      </c>
      <c r="AE507" s="6">
        <v>274</v>
      </c>
      <c r="AG507" s="6">
        <v>0</v>
      </c>
      <c r="AI507" s="6">
        <f t="shared" si="88"/>
        <v>274</v>
      </c>
      <c r="AK507" s="6">
        <f t="shared" si="87"/>
        <v>7018996</v>
      </c>
    </row>
    <row r="508" spans="1:37">
      <c r="A508" s="11" t="s">
        <v>235</v>
      </c>
      <c r="B508" s="11"/>
      <c r="C508" s="11" t="s">
        <v>58</v>
      </c>
      <c r="E508" s="6">
        <v>1406790</v>
      </c>
      <c r="G508" s="6">
        <v>14958</v>
      </c>
      <c r="I508" s="6">
        <v>7748937</v>
      </c>
      <c r="K508" s="6">
        <v>17967</v>
      </c>
      <c r="M508" s="6">
        <f>804598+36802+64629</f>
        <v>906029</v>
      </c>
      <c r="O508" s="6">
        <v>26459</v>
      </c>
      <c r="Q508" s="6">
        <v>0</v>
      </c>
      <c r="S508" s="6">
        <v>0</v>
      </c>
      <c r="U508" s="6">
        <v>75736</v>
      </c>
      <c r="W508" s="2">
        <f t="shared" si="85"/>
        <v>10196876</v>
      </c>
      <c r="Y508" s="6">
        <v>0</v>
      </c>
      <c r="AA508" s="6">
        <v>0</v>
      </c>
      <c r="AC508" s="6">
        <v>0</v>
      </c>
      <c r="AE508" s="6">
        <v>22827</v>
      </c>
      <c r="AG508" s="6">
        <v>0</v>
      </c>
      <c r="AI508" s="6">
        <f t="shared" si="88"/>
        <v>22827</v>
      </c>
      <c r="AK508" s="6">
        <f t="shared" si="87"/>
        <v>10219703</v>
      </c>
    </row>
    <row r="509" spans="1:37">
      <c r="A509" s="11" t="s">
        <v>645</v>
      </c>
      <c r="B509" s="11"/>
      <c r="C509" s="11" t="s">
        <v>112</v>
      </c>
      <c r="D509" s="9"/>
      <c r="E509" s="6">
        <v>1581174</v>
      </c>
      <c r="G509" s="6">
        <v>0</v>
      </c>
      <c r="I509" s="6">
        <f>6562029+185191</f>
        <v>6747220</v>
      </c>
      <c r="K509" s="6">
        <v>1266</v>
      </c>
      <c r="M509" s="6">
        <v>410236</v>
      </c>
      <c r="O509" s="6">
        <v>36834</v>
      </c>
      <c r="Q509" s="6">
        <v>0</v>
      </c>
      <c r="S509" s="6">
        <v>0</v>
      </c>
      <c r="U509" s="6">
        <f>85805+190514</f>
        <v>276319</v>
      </c>
      <c r="W509" s="2">
        <f>SUM(E509:V509)</f>
        <v>9053049</v>
      </c>
      <c r="Y509" s="6">
        <v>0</v>
      </c>
      <c r="AA509" s="6">
        <v>0</v>
      </c>
      <c r="AC509" s="6">
        <v>0</v>
      </c>
      <c r="AE509" s="6">
        <v>0</v>
      </c>
      <c r="AG509" s="6">
        <v>0</v>
      </c>
      <c r="AI509" s="6">
        <f>SUM(Y509:AH509)</f>
        <v>0</v>
      </c>
      <c r="AK509" s="6">
        <f t="shared" si="87"/>
        <v>9053049</v>
      </c>
    </row>
    <row r="510" spans="1:37">
      <c r="A510" s="11" t="s">
        <v>250</v>
      </c>
      <c r="B510" s="11"/>
      <c r="C510" s="11" t="s">
        <v>420</v>
      </c>
      <c r="D510" s="9"/>
      <c r="E510" s="6">
        <v>2141835</v>
      </c>
      <c r="G510" s="6">
        <v>0</v>
      </c>
      <c r="I510" s="6">
        <v>4554915</v>
      </c>
      <c r="K510" s="6">
        <v>22963</v>
      </c>
      <c r="M510" s="6">
        <f>326069+1800</f>
        <v>327869</v>
      </c>
      <c r="O510" s="6">
        <v>6279</v>
      </c>
      <c r="Q510" s="6">
        <v>0</v>
      </c>
      <c r="S510" s="6">
        <v>9927</v>
      </c>
      <c r="U510" s="6">
        <v>19199</v>
      </c>
      <c r="W510" s="2">
        <f t="shared" si="85"/>
        <v>7082987</v>
      </c>
      <c r="Y510" s="6">
        <v>0</v>
      </c>
      <c r="AA510" s="6">
        <v>0</v>
      </c>
      <c r="AC510" s="6">
        <v>0</v>
      </c>
      <c r="AE510" s="6">
        <v>0</v>
      </c>
      <c r="AG510" s="6">
        <v>0</v>
      </c>
      <c r="AI510" s="6">
        <f t="shared" si="88"/>
        <v>0</v>
      </c>
      <c r="AK510" s="6">
        <f t="shared" si="87"/>
        <v>7082987</v>
      </c>
    </row>
    <row r="511" spans="1:37" hidden="1">
      <c r="A511" s="11" t="s">
        <v>701</v>
      </c>
      <c r="B511" s="11"/>
      <c r="C511" s="11" t="s">
        <v>451</v>
      </c>
      <c r="D511" s="9"/>
      <c r="W511" s="2">
        <f t="shared" si="85"/>
        <v>0</v>
      </c>
      <c r="AI511" s="6">
        <f t="shared" si="88"/>
        <v>0</v>
      </c>
      <c r="AK511" s="6">
        <f t="shared" si="87"/>
        <v>0</v>
      </c>
    </row>
    <row r="512" spans="1:37">
      <c r="A512" s="11" t="s">
        <v>530</v>
      </c>
      <c r="B512" s="11"/>
      <c r="C512" s="11" t="s">
        <v>64</v>
      </c>
      <c r="E512" s="6">
        <v>1349336</v>
      </c>
      <c r="G512" s="6">
        <v>0</v>
      </c>
      <c r="I512" s="6">
        <v>2986995</v>
      </c>
      <c r="K512" s="6">
        <v>5925</v>
      </c>
      <c r="M512" s="6">
        <f>319190+77960</f>
        <v>397150</v>
      </c>
      <c r="O512" s="6">
        <v>2447</v>
      </c>
      <c r="Q512" s="6">
        <v>0</v>
      </c>
      <c r="S512" s="6">
        <v>25</v>
      </c>
      <c r="U512" s="6">
        <v>37324</v>
      </c>
      <c r="W512" s="2">
        <f t="shared" si="85"/>
        <v>4779202</v>
      </c>
      <c r="Y512" s="6">
        <v>0</v>
      </c>
      <c r="AA512" s="6">
        <v>0</v>
      </c>
      <c r="AC512" s="6">
        <v>0</v>
      </c>
      <c r="AE512" s="6">
        <v>23358</v>
      </c>
      <c r="AG512" s="6">
        <v>0</v>
      </c>
      <c r="AI512" s="6">
        <f t="shared" si="88"/>
        <v>23358</v>
      </c>
      <c r="AK512" s="6">
        <f t="shared" si="87"/>
        <v>4802560</v>
      </c>
    </row>
    <row r="513" spans="1:37" hidden="1">
      <c r="A513" s="11" t="s">
        <v>829</v>
      </c>
      <c r="B513" s="11"/>
      <c r="C513" s="11" t="s">
        <v>42</v>
      </c>
      <c r="W513" s="2">
        <f t="shared" si="85"/>
        <v>0</v>
      </c>
      <c r="AI513" s="6">
        <f t="shared" si="88"/>
        <v>0</v>
      </c>
      <c r="AK513" s="6">
        <f t="shared" si="87"/>
        <v>0</v>
      </c>
    </row>
    <row r="514" spans="1:37">
      <c r="A514" s="11" t="s">
        <v>331</v>
      </c>
      <c r="B514" s="11"/>
      <c r="C514" s="11" t="s">
        <v>32</v>
      </c>
      <c r="E514" s="6">
        <v>14263295</v>
      </c>
      <c r="G514" s="6">
        <v>0</v>
      </c>
      <c r="I514" s="6">
        <v>15542020</v>
      </c>
      <c r="K514" s="6">
        <v>16331</v>
      </c>
      <c r="M514" s="6">
        <v>289359</v>
      </c>
      <c r="O514" s="6">
        <v>80350</v>
      </c>
      <c r="Q514" s="6">
        <v>285340</v>
      </c>
      <c r="S514" s="6">
        <v>0</v>
      </c>
      <c r="U514" s="6">
        <v>266426</v>
      </c>
      <c r="W514" s="2">
        <f t="shared" si="85"/>
        <v>30743121</v>
      </c>
      <c r="Y514" s="6">
        <v>0</v>
      </c>
      <c r="AA514" s="6">
        <v>0</v>
      </c>
      <c r="AC514" s="6">
        <v>0</v>
      </c>
      <c r="AE514" s="6">
        <v>7161</v>
      </c>
      <c r="AG514" s="6">
        <v>0</v>
      </c>
      <c r="AI514" s="6">
        <f t="shared" si="88"/>
        <v>7161</v>
      </c>
      <c r="AK514" s="6">
        <f t="shared" si="87"/>
        <v>30750282</v>
      </c>
    </row>
    <row r="515" spans="1:37">
      <c r="A515" s="11" t="s">
        <v>307</v>
      </c>
      <c r="B515" s="11"/>
      <c r="C515" s="11" t="s">
        <v>27</v>
      </c>
      <c r="E515" s="6">
        <v>93901805</v>
      </c>
      <c r="G515" s="6">
        <v>0</v>
      </c>
      <c r="I515" s="6">
        <f>112009663+601043</f>
        <v>112610706</v>
      </c>
      <c r="K515" s="6">
        <v>287432</v>
      </c>
      <c r="M515" s="6">
        <v>1094166</v>
      </c>
      <c r="O515" s="6">
        <v>0</v>
      </c>
      <c r="Q515" s="6">
        <v>2556269</v>
      </c>
      <c r="S515" s="6">
        <v>0</v>
      </c>
      <c r="U515" s="6">
        <v>2374894</v>
      </c>
      <c r="W515" s="2">
        <f t="shared" si="85"/>
        <v>212825272</v>
      </c>
      <c r="Y515" s="6">
        <v>0</v>
      </c>
      <c r="AA515" s="6">
        <v>0</v>
      </c>
      <c r="AC515" s="6">
        <v>0</v>
      </c>
      <c r="AE515" s="6">
        <v>0</v>
      </c>
      <c r="AG515" s="6">
        <v>0</v>
      </c>
      <c r="AI515" s="6">
        <f t="shared" si="88"/>
        <v>0</v>
      </c>
      <c r="AK515" s="6">
        <f t="shared" si="87"/>
        <v>212825272</v>
      </c>
    </row>
    <row r="516" spans="1:37" hidden="1">
      <c r="A516" s="11" t="s">
        <v>702</v>
      </c>
      <c r="B516" s="11"/>
      <c r="C516" s="11" t="s">
        <v>10</v>
      </c>
      <c r="D516" s="9"/>
      <c r="W516" s="2">
        <f t="shared" si="85"/>
        <v>0</v>
      </c>
      <c r="AI516" s="6">
        <f t="shared" si="88"/>
        <v>0</v>
      </c>
      <c r="AK516" s="6">
        <f t="shared" si="87"/>
        <v>0</v>
      </c>
    </row>
    <row r="517" spans="1:37">
      <c r="A517" s="10" t="s">
        <v>847</v>
      </c>
      <c r="B517" s="11"/>
      <c r="C517" s="11" t="s">
        <v>69</v>
      </c>
      <c r="E517" s="6">
        <v>26840050</v>
      </c>
      <c r="G517" s="6">
        <v>0</v>
      </c>
      <c r="I517" s="6">
        <v>13961988</v>
      </c>
      <c r="K517" s="6">
        <v>20101</v>
      </c>
      <c r="M517" s="6">
        <f>572340+943199+1645</f>
        <v>1517184</v>
      </c>
      <c r="O517" s="6">
        <v>577106</v>
      </c>
      <c r="Q517" s="6">
        <v>0</v>
      </c>
      <c r="S517" s="6">
        <v>38481</v>
      </c>
      <c r="U517" s="6">
        <v>630675</v>
      </c>
      <c r="W517" s="2">
        <f t="shared" si="85"/>
        <v>43585585</v>
      </c>
      <c r="Y517" s="6">
        <v>0</v>
      </c>
      <c r="AA517" s="6">
        <v>0</v>
      </c>
      <c r="AC517" s="6">
        <v>0</v>
      </c>
      <c r="AE517" s="6">
        <v>0</v>
      </c>
      <c r="AG517" s="6">
        <v>0</v>
      </c>
      <c r="AI517" s="6">
        <f t="shared" si="88"/>
        <v>0</v>
      </c>
      <c r="AK517" s="6">
        <f t="shared" si="87"/>
        <v>43585585</v>
      </c>
    </row>
    <row r="518" spans="1:37">
      <c r="A518" s="11" t="s">
        <v>629</v>
      </c>
      <c r="B518" s="11"/>
      <c r="C518" s="11" t="s">
        <v>17</v>
      </c>
      <c r="E518" s="6">
        <v>19339892</v>
      </c>
      <c r="G518" s="6">
        <v>0</v>
      </c>
      <c r="I518" s="6">
        <v>57422831</v>
      </c>
      <c r="K518" s="6">
        <v>288919</v>
      </c>
      <c r="M518" s="6">
        <f>961243+31944</f>
        <v>993187</v>
      </c>
      <c r="O518" s="6">
        <v>112731</v>
      </c>
      <c r="Q518" s="6">
        <v>0</v>
      </c>
      <c r="S518" s="6">
        <v>19680</v>
      </c>
      <c r="U518" s="6">
        <v>589111</v>
      </c>
      <c r="W518" s="2">
        <f t="shared" si="85"/>
        <v>78766351</v>
      </c>
      <c r="Y518" s="6">
        <v>0</v>
      </c>
      <c r="AA518" s="6">
        <v>0</v>
      </c>
      <c r="AC518" s="6">
        <v>0</v>
      </c>
      <c r="AE518" s="6">
        <v>804</v>
      </c>
      <c r="AG518" s="6">
        <v>0</v>
      </c>
      <c r="AI518" s="6">
        <f t="shared" si="88"/>
        <v>804</v>
      </c>
      <c r="AK518" s="6">
        <f t="shared" si="87"/>
        <v>78767155</v>
      </c>
    </row>
    <row r="519" spans="1:37" ht="11.25" customHeight="1">
      <c r="A519" s="11" t="s">
        <v>716</v>
      </c>
      <c r="B519" s="11"/>
      <c r="C519" s="11" t="s">
        <v>115</v>
      </c>
      <c r="E519" s="6">
        <v>23968659</v>
      </c>
      <c r="G519" s="6">
        <v>0</v>
      </c>
      <c r="I519" s="6">
        <f>87827+10237769</f>
        <v>10325596</v>
      </c>
      <c r="K519" s="6">
        <v>11056</v>
      </c>
      <c r="M519" s="6">
        <f>783289+36799+205610</f>
        <v>1025698</v>
      </c>
      <c r="O519" s="6">
        <v>169455</v>
      </c>
      <c r="Q519" s="6">
        <v>111829</v>
      </c>
      <c r="S519" s="6">
        <v>16627</v>
      </c>
      <c r="U519" s="6">
        <f>44395+14756</f>
        <v>59151</v>
      </c>
      <c r="W519" s="2">
        <f t="shared" si="85"/>
        <v>35688071</v>
      </c>
      <c r="Y519" s="6">
        <v>0</v>
      </c>
      <c r="AA519" s="6">
        <v>0</v>
      </c>
      <c r="AC519" s="6">
        <v>0</v>
      </c>
      <c r="AE519" s="6">
        <v>0</v>
      </c>
      <c r="AG519" s="6">
        <v>0</v>
      </c>
      <c r="AI519" s="6">
        <f t="shared" si="88"/>
        <v>0</v>
      </c>
      <c r="AK519" s="6">
        <f t="shared" si="87"/>
        <v>35688071</v>
      </c>
    </row>
    <row r="520" spans="1:37">
      <c r="A520" s="11" t="s">
        <v>393</v>
      </c>
      <c r="B520" s="11"/>
      <c r="C520" s="11" t="s">
        <v>45</v>
      </c>
      <c r="E520" s="6">
        <v>2844403</v>
      </c>
      <c r="G520" s="6">
        <v>1855422</v>
      </c>
      <c r="I520" s="6">
        <f>4885626+50139</f>
        <v>4935765</v>
      </c>
      <c r="K520" s="6">
        <v>2108</v>
      </c>
      <c r="M520" s="6">
        <f>27808+275</f>
        <v>28083</v>
      </c>
      <c r="O520" s="6">
        <v>56134</v>
      </c>
      <c r="Q520" s="6">
        <v>0</v>
      </c>
      <c r="S520" s="6">
        <v>36781</v>
      </c>
      <c r="U520" s="6">
        <f>5000+39678</f>
        <v>44678</v>
      </c>
      <c r="W520" s="2">
        <f t="shared" si="85"/>
        <v>9803374</v>
      </c>
      <c r="Y520" s="6">
        <v>0</v>
      </c>
      <c r="AA520" s="6">
        <v>0</v>
      </c>
      <c r="AC520" s="6">
        <v>0</v>
      </c>
      <c r="AE520" s="6">
        <v>0</v>
      </c>
      <c r="AG520" s="6">
        <v>0</v>
      </c>
      <c r="AI520" s="6">
        <f t="shared" si="88"/>
        <v>0</v>
      </c>
      <c r="AK520" s="6">
        <f t="shared" ref="AK520:AK551" si="89">+AI520+W520</f>
        <v>9803374</v>
      </c>
    </row>
    <row r="521" spans="1:37">
      <c r="A521" s="11" t="s">
        <v>393</v>
      </c>
      <c r="B521" s="11"/>
      <c r="C521" s="11" t="s">
        <v>63</v>
      </c>
      <c r="E521" s="6">
        <v>10255994</v>
      </c>
      <c r="G521" s="6">
        <v>0</v>
      </c>
      <c r="I521" s="6">
        <v>12704100</v>
      </c>
      <c r="K521" s="6">
        <v>23860</v>
      </c>
      <c r="M521" s="6">
        <f>2412676+87007</f>
        <v>2499683</v>
      </c>
      <c r="O521" s="6">
        <v>139969</v>
      </c>
      <c r="Q521" s="6">
        <v>0</v>
      </c>
      <c r="S521" s="6">
        <v>13993</v>
      </c>
      <c r="U521" s="6">
        <v>66485</v>
      </c>
      <c r="W521" s="2">
        <f t="shared" si="85"/>
        <v>25704084</v>
      </c>
      <c r="Y521" s="6">
        <v>0</v>
      </c>
      <c r="AA521" s="6">
        <v>0</v>
      </c>
      <c r="AC521" s="6">
        <v>0</v>
      </c>
      <c r="AE521" s="6">
        <v>819</v>
      </c>
      <c r="AG521" s="6">
        <v>0</v>
      </c>
      <c r="AI521" s="6">
        <f t="shared" si="88"/>
        <v>819</v>
      </c>
      <c r="AK521" s="6">
        <f t="shared" si="89"/>
        <v>25704903</v>
      </c>
    </row>
    <row r="522" spans="1:37">
      <c r="A522" s="11" t="s">
        <v>786</v>
      </c>
      <c r="B522" s="11"/>
      <c r="C522" s="11" t="s">
        <v>32</v>
      </c>
      <c r="E522" s="6">
        <v>4851615</v>
      </c>
      <c r="G522" s="6">
        <v>0</v>
      </c>
      <c r="I522" s="6">
        <v>6502526</v>
      </c>
      <c r="K522" s="6">
        <v>2044</v>
      </c>
      <c r="M522" s="6">
        <v>1187016</v>
      </c>
      <c r="O522" s="6">
        <v>11465</v>
      </c>
      <c r="Q522" s="6">
        <v>0</v>
      </c>
      <c r="S522" s="6">
        <v>0</v>
      </c>
      <c r="U522" s="6">
        <v>315708</v>
      </c>
      <c r="W522" s="2">
        <f t="shared" si="85"/>
        <v>12870374</v>
      </c>
      <c r="Y522" s="6">
        <v>0</v>
      </c>
      <c r="AA522" s="6">
        <v>0</v>
      </c>
      <c r="AC522" s="6">
        <v>0</v>
      </c>
      <c r="AE522" s="6">
        <v>0</v>
      </c>
      <c r="AG522" s="6">
        <v>0</v>
      </c>
      <c r="AI522" s="6">
        <f>SUM(Y522:AH522)</f>
        <v>0</v>
      </c>
      <c r="AK522" s="6">
        <f t="shared" si="89"/>
        <v>12870374</v>
      </c>
    </row>
    <row r="523" spans="1:37">
      <c r="A523" s="11" t="s">
        <v>787</v>
      </c>
      <c r="B523" s="11"/>
      <c r="C523" s="11" t="s">
        <v>15</v>
      </c>
      <c r="D523" s="9"/>
      <c r="E523" s="6">
        <v>6414036</v>
      </c>
      <c r="G523" s="6">
        <v>0</v>
      </c>
      <c r="I523" s="6">
        <v>4678732</v>
      </c>
      <c r="K523" s="6">
        <v>4547</v>
      </c>
      <c r="M523" s="6">
        <f>1227137+8683</f>
        <v>1235820</v>
      </c>
      <c r="O523" s="6">
        <v>405</v>
      </c>
      <c r="Q523" s="6">
        <v>0</v>
      </c>
      <c r="S523" s="6">
        <v>9698</v>
      </c>
      <c r="U523" s="6">
        <v>43971</v>
      </c>
      <c r="W523" s="2">
        <f t="shared" si="85"/>
        <v>12387209</v>
      </c>
      <c r="Y523" s="6">
        <v>0</v>
      </c>
      <c r="AA523" s="6">
        <v>0</v>
      </c>
      <c r="AC523" s="6">
        <v>0</v>
      </c>
      <c r="AE523" s="6">
        <v>0</v>
      </c>
      <c r="AG523" s="6">
        <v>0</v>
      </c>
      <c r="AI523" s="6">
        <f t="shared" si="88"/>
        <v>0</v>
      </c>
      <c r="AK523" s="6">
        <f t="shared" si="89"/>
        <v>12387209</v>
      </c>
    </row>
    <row r="524" spans="1:37" hidden="1">
      <c r="A524" s="11" t="s">
        <v>703</v>
      </c>
      <c r="B524" s="11"/>
      <c r="C524" s="11" t="s">
        <v>422</v>
      </c>
      <c r="W524" s="2">
        <f t="shared" si="85"/>
        <v>0</v>
      </c>
      <c r="AG524" s="6">
        <v>0</v>
      </c>
      <c r="AI524" s="6">
        <f t="shared" si="88"/>
        <v>0</v>
      </c>
      <c r="AK524" s="6">
        <f t="shared" si="89"/>
        <v>0</v>
      </c>
    </row>
    <row r="525" spans="1:37" hidden="1">
      <c r="A525" s="11" t="s">
        <v>704</v>
      </c>
      <c r="B525" s="11"/>
      <c r="C525" s="11" t="s">
        <v>14</v>
      </c>
      <c r="D525" s="9"/>
      <c r="W525" s="2">
        <f t="shared" si="85"/>
        <v>0</v>
      </c>
      <c r="AG525" s="6">
        <v>0</v>
      </c>
      <c r="AI525" s="6">
        <f t="shared" si="88"/>
        <v>0</v>
      </c>
      <c r="AK525" s="6">
        <f t="shared" si="89"/>
        <v>0</v>
      </c>
    </row>
    <row r="526" spans="1:37">
      <c r="A526" s="11" t="s">
        <v>364</v>
      </c>
      <c r="B526" s="11"/>
      <c r="C526" s="11" t="s">
        <v>39</v>
      </c>
      <c r="E526" s="6">
        <v>3153350</v>
      </c>
      <c r="G526" s="6">
        <v>0</v>
      </c>
      <c r="I526" s="6">
        <v>12461599</v>
      </c>
      <c r="K526" s="6">
        <v>19856</v>
      </c>
      <c r="M526" s="6">
        <f>3241828+43391+27070</f>
        <v>3312289</v>
      </c>
      <c r="O526" s="6">
        <v>4000</v>
      </c>
      <c r="Q526" s="6">
        <v>0</v>
      </c>
      <c r="S526" s="6">
        <v>6726</v>
      </c>
      <c r="U526" s="6">
        <v>55670</v>
      </c>
      <c r="W526" s="2">
        <f t="shared" si="85"/>
        <v>19013490</v>
      </c>
      <c r="Y526" s="6">
        <v>0</v>
      </c>
      <c r="AA526" s="6">
        <v>0</v>
      </c>
      <c r="AC526" s="6">
        <v>0</v>
      </c>
      <c r="AE526" s="6">
        <v>496</v>
      </c>
      <c r="AG526" s="6">
        <v>0</v>
      </c>
      <c r="AI526" s="6">
        <f>SUM(Y526:AH526)</f>
        <v>496</v>
      </c>
      <c r="AK526" s="6">
        <f t="shared" si="89"/>
        <v>19013986</v>
      </c>
    </row>
    <row r="527" spans="1:37">
      <c r="A527" s="11" t="s">
        <v>514</v>
      </c>
      <c r="B527" s="11"/>
      <c r="C527" s="11" t="s">
        <v>63</v>
      </c>
      <c r="E527" s="6">
        <v>30766033</v>
      </c>
      <c r="G527" s="6">
        <v>0</v>
      </c>
      <c r="I527" s="6">
        <f>14667+18759116+50219</f>
        <v>18824002</v>
      </c>
      <c r="K527" s="6">
        <v>54688</v>
      </c>
      <c r="M527" s="6">
        <f>2032784+119302</f>
        <v>2152086</v>
      </c>
      <c r="O527" s="6">
        <v>453471</v>
      </c>
      <c r="Q527" s="6">
        <v>0</v>
      </c>
      <c r="S527" s="6">
        <v>0</v>
      </c>
      <c r="U527" s="6">
        <v>418024</v>
      </c>
      <c r="W527" s="2">
        <f t="shared" si="85"/>
        <v>52668304</v>
      </c>
      <c r="Y527" s="6">
        <v>1298</v>
      </c>
      <c r="AA527" s="6">
        <v>0</v>
      </c>
      <c r="AC527" s="6">
        <v>0</v>
      </c>
      <c r="AE527" s="6">
        <v>0</v>
      </c>
      <c r="AG527" s="6">
        <v>0</v>
      </c>
      <c r="AI527" s="6">
        <f t="shared" si="88"/>
        <v>1298</v>
      </c>
      <c r="AK527" s="6">
        <f t="shared" si="89"/>
        <v>52669602</v>
      </c>
    </row>
    <row r="528" spans="1:37" hidden="1">
      <c r="A528" s="11" t="s">
        <v>705</v>
      </c>
      <c r="B528" s="11"/>
      <c r="C528" s="11" t="s">
        <v>65</v>
      </c>
      <c r="W528" s="2">
        <f t="shared" si="85"/>
        <v>0</v>
      </c>
      <c r="AG528" s="6">
        <v>0</v>
      </c>
      <c r="AI528" s="6">
        <f t="shared" si="88"/>
        <v>0</v>
      </c>
      <c r="AK528" s="6">
        <f t="shared" si="89"/>
        <v>0</v>
      </c>
    </row>
    <row r="529" spans="1:37">
      <c r="A529" s="11" t="s">
        <v>464</v>
      </c>
      <c r="B529" s="11"/>
      <c r="C529" s="11" t="s">
        <v>56</v>
      </c>
      <c r="E529" s="6">
        <v>12958020</v>
      </c>
      <c r="G529" s="6">
        <v>0</v>
      </c>
      <c r="I529" s="6">
        <v>7440265</v>
      </c>
      <c r="K529" s="6">
        <v>2114</v>
      </c>
      <c r="M529" s="6">
        <f>167997+7436</f>
        <v>175433</v>
      </c>
      <c r="O529" s="6">
        <v>165593</v>
      </c>
      <c r="Q529" s="6">
        <v>470027</v>
      </c>
      <c r="S529" s="6">
        <v>5572</v>
      </c>
      <c r="U529" s="6">
        <v>84614</v>
      </c>
      <c r="W529" s="2">
        <f t="shared" si="85"/>
        <v>21301638</v>
      </c>
      <c r="Y529" s="6">
        <v>0</v>
      </c>
      <c r="AA529" s="6">
        <v>0</v>
      </c>
      <c r="AC529" s="6">
        <v>0</v>
      </c>
      <c r="AE529" s="6">
        <v>0</v>
      </c>
      <c r="AG529" s="6">
        <v>0</v>
      </c>
      <c r="AI529" s="6">
        <f t="shared" si="88"/>
        <v>0</v>
      </c>
      <c r="AK529" s="6">
        <f t="shared" si="89"/>
        <v>21301638</v>
      </c>
    </row>
    <row r="530" spans="1:37">
      <c r="A530" s="11" t="s">
        <v>279</v>
      </c>
      <c r="B530" s="11"/>
      <c r="C530" s="11" t="s">
        <v>20</v>
      </c>
      <c r="E530" s="6">
        <v>48782296</v>
      </c>
      <c r="G530" s="6">
        <v>0</v>
      </c>
      <c r="I530" s="6">
        <v>21205287</v>
      </c>
      <c r="K530" s="6">
        <v>513</v>
      </c>
      <c r="M530" s="6">
        <v>1087129</v>
      </c>
      <c r="O530" s="6">
        <v>564351</v>
      </c>
      <c r="Q530" s="6">
        <v>0</v>
      </c>
      <c r="S530" s="6">
        <v>0</v>
      </c>
      <c r="U530" s="6">
        <v>740470</v>
      </c>
      <c r="W530" s="2">
        <f t="shared" si="85"/>
        <v>72380046</v>
      </c>
      <c r="Y530" s="6">
        <v>0</v>
      </c>
      <c r="AA530" s="6">
        <v>0</v>
      </c>
      <c r="AC530" s="6">
        <v>0</v>
      </c>
      <c r="AE530" s="6">
        <v>27787</v>
      </c>
      <c r="AG530" s="6">
        <v>0</v>
      </c>
      <c r="AI530" s="6">
        <f t="shared" si="88"/>
        <v>27787</v>
      </c>
      <c r="AK530" s="6">
        <f t="shared" si="89"/>
        <v>72407833</v>
      </c>
    </row>
    <row r="531" spans="1:37">
      <c r="A531" s="11" t="s">
        <v>407</v>
      </c>
      <c r="B531" s="11"/>
      <c r="C531" s="11" t="s">
        <v>45</v>
      </c>
      <c r="E531" s="6">
        <v>4140812</v>
      </c>
      <c r="G531" s="6">
        <v>0</v>
      </c>
      <c r="I531" s="6">
        <v>11331001</v>
      </c>
      <c r="K531" s="6">
        <v>9227</v>
      </c>
      <c r="M531" s="6">
        <f>1142062+8509</f>
        <v>1150571</v>
      </c>
      <c r="O531" s="6">
        <v>161995</v>
      </c>
      <c r="Q531" s="6">
        <v>0</v>
      </c>
      <c r="S531" s="6">
        <v>6231</v>
      </c>
      <c r="U531" s="6">
        <v>32681</v>
      </c>
      <c r="W531" s="2">
        <f t="shared" si="85"/>
        <v>16832518</v>
      </c>
      <c r="Y531" s="6">
        <v>0</v>
      </c>
      <c r="AA531" s="6">
        <v>0</v>
      </c>
      <c r="AC531" s="6">
        <v>0</v>
      </c>
      <c r="AE531" s="6">
        <v>0</v>
      </c>
      <c r="AG531" s="6">
        <v>0</v>
      </c>
      <c r="AI531" s="6">
        <f t="shared" si="88"/>
        <v>0</v>
      </c>
      <c r="AK531" s="6">
        <f t="shared" si="89"/>
        <v>16832518</v>
      </c>
    </row>
    <row r="532" spans="1:37" hidden="1">
      <c r="A532" s="11" t="s">
        <v>898</v>
      </c>
      <c r="B532" s="11"/>
      <c r="C532" s="11" t="s">
        <v>552</v>
      </c>
      <c r="E532" s="6">
        <v>0</v>
      </c>
      <c r="G532" s="6">
        <v>0</v>
      </c>
      <c r="I532" s="6">
        <v>0</v>
      </c>
      <c r="K532" s="6">
        <v>0</v>
      </c>
      <c r="M532" s="6">
        <v>0</v>
      </c>
      <c r="O532" s="6">
        <v>0</v>
      </c>
      <c r="Q532" s="6">
        <v>0</v>
      </c>
      <c r="S532" s="6">
        <v>0</v>
      </c>
      <c r="U532" s="6">
        <v>0</v>
      </c>
      <c r="W532" s="2">
        <f t="shared" si="85"/>
        <v>0</v>
      </c>
      <c r="Y532" s="6">
        <v>0</v>
      </c>
      <c r="AA532" s="6">
        <v>0</v>
      </c>
      <c r="AC532" s="6">
        <v>0</v>
      </c>
      <c r="AE532" s="6">
        <v>0</v>
      </c>
      <c r="AG532" s="6">
        <v>0</v>
      </c>
      <c r="AI532" s="6">
        <f t="shared" si="88"/>
        <v>0</v>
      </c>
      <c r="AK532" s="6">
        <f t="shared" si="89"/>
        <v>0</v>
      </c>
    </row>
    <row r="533" spans="1:37" hidden="1">
      <c r="A533" s="11" t="s">
        <v>899</v>
      </c>
      <c r="B533" s="11"/>
      <c r="C533" s="11" t="s">
        <v>28</v>
      </c>
      <c r="E533" s="6">
        <v>0</v>
      </c>
      <c r="G533" s="6">
        <v>0</v>
      </c>
      <c r="I533" s="6">
        <v>0</v>
      </c>
      <c r="K533" s="6">
        <v>0</v>
      </c>
      <c r="M533" s="6">
        <v>0</v>
      </c>
      <c r="O533" s="6">
        <v>0</v>
      </c>
      <c r="Q533" s="6">
        <v>0</v>
      </c>
      <c r="S533" s="6">
        <v>0</v>
      </c>
      <c r="U533" s="6">
        <v>0</v>
      </c>
      <c r="W533" s="2">
        <f t="shared" si="85"/>
        <v>0</v>
      </c>
      <c r="Y533" s="6">
        <v>0</v>
      </c>
      <c r="AA533" s="6">
        <v>0</v>
      </c>
      <c r="AC533" s="6">
        <v>0</v>
      </c>
      <c r="AE533" s="6">
        <v>0</v>
      </c>
      <c r="AG533" s="6">
        <v>0</v>
      </c>
      <c r="AI533" s="6">
        <f t="shared" si="88"/>
        <v>0</v>
      </c>
      <c r="AK533" s="6">
        <f t="shared" si="89"/>
        <v>0</v>
      </c>
    </row>
    <row r="534" spans="1:37">
      <c r="A534" s="11" t="s">
        <v>628</v>
      </c>
      <c r="B534" s="11"/>
      <c r="C534" s="11" t="s">
        <v>49</v>
      </c>
      <c r="E534" s="6">
        <v>9107057</v>
      </c>
      <c r="G534" s="6">
        <v>0</v>
      </c>
      <c r="I534" s="6">
        <v>15195452</v>
      </c>
      <c r="K534" s="6">
        <v>14171</v>
      </c>
      <c r="M534" s="6">
        <f>136061+11697+44709</f>
        <v>192467</v>
      </c>
      <c r="O534" s="6">
        <v>4096</v>
      </c>
      <c r="Q534" s="6">
        <v>0</v>
      </c>
      <c r="S534" s="6">
        <v>460</v>
      </c>
      <c r="U534" s="6">
        <v>127084</v>
      </c>
      <c r="W534" s="2">
        <f t="shared" si="85"/>
        <v>24640787</v>
      </c>
      <c r="Y534" s="6">
        <v>0</v>
      </c>
      <c r="AA534" s="6">
        <v>0</v>
      </c>
      <c r="AC534" s="6">
        <v>0</v>
      </c>
      <c r="AE534" s="6">
        <v>0</v>
      </c>
      <c r="AG534" s="6">
        <v>0</v>
      </c>
      <c r="AI534" s="6">
        <f t="shared" si="88"/>
        <v>0</v>
      </c>
      <c r="AK534" s="6">
        <f t="shared" si="89"/>
        <v>24640787</v>
      </c>
    </row>
    <row r="535" spans="1:37">
      <c r="A535" s="10" t="s">
        <v>834</v>
      </c>
      <c r="B535" s="11"/>
      <c r="C535" s="11" t="s">
        <v>32</v>
      </c>
      <c r="E535" s="6">
        <v>53981622</v>
      </c>
      <c r="G535" s="6">
        <v>0</v>
      </c>
      <c r="I535" s="6">
        <v>17692766</v>
      </c>
      <c r="K535" s="6">
        <v>278082</v>
      </c>
      <c r="M535" s="6">
        <f>928536+124180</f>
        <v>1052716</v>
      </c>
      <c r="O535" s="6">
        <v>26910</v>
      </c>
      <c r="Q535" s="6">
        <v>1891038</v>
      </c>
      <c r="S535" s="6">
        <v>0</v>
      </c>
      <c r="U535" s="6">
        <v>87241</v>
      </c>
      <c r="W535" s="2">
        <f t="shared" si="85"/>
        <v>75010375</v>
      </c>
      <c r="Y535" s="6">
        <v>0</v>
      </c>
      <c r="AC535" s="6">
        <v>0</v>
      </c>
      <c r="AE535" s="6">
        <v>13268</v>
      </c>
      <c r="AG535" s="6">
        <v>0</v>
      </c>
      <c r="AI535" s="6">
        <f t="shared" si="88"/>
        <v>13268</v>
      </c>
      <c r="AK535" s="6">
        <f t="shared" si="89"/>
        <v>75023643</v>
      </c>
    </row>
    <row r="536" spans="1:37">
      <c r="A536" s="11" t="s">
        <v>394</v>
      </c>
      <c r="B536" s="11"/>
      <c r="C536" s="11" t="s">
        <v>115</v>
      </c>
      <c r="E536" s="6">
        <v>52087598</v>
      </c>
      <c r="G536" s="6">
        <v>0</v>
      </c>
      <c r="I536" s="6">
        <v>23101683</v>
      </c>
      <c r="K536" s="6">
        <v>11005</v>
      </c>
      <c r="M536" s="6">
        <f>947290+45138+460403+36751</f>
        <v>1489582</v>
      </c>
      <c r="O536" s="6">
        <v>341444</v>
      </c>
      <c r="Q536" s="6">
        <v>535307</v>
      </c>
      <c r="S536" s="6">
        <v>149297</v>
      </c>
      <c r="U536" s="6">
        <f>94396+233909</f>
        <v>328305</v>
      </c>
      <c r="W536" s="2">
        <f t="shared" si="85"/>
        <v>78044221</v>
      </c>
      <c r="Y536" s="6">
        <v>0</v>
      </c>
      <c r="AA536" s="6">
        <v>0</v>
      </c>
      <c r="AC536" s="6">
        <v>0</v>
      </c>
      <c r="AE536" s="6">
        <f>75727+51023</f>
        <v>126750</v>
      </c>
      <c r="AG536" s="6">
        <v>0</v>
      </c>
      <c r="AI536" s="6">
        <f t="shared" si="88"/>
        <v>126750</v>
      </c>
      <c r="AK536" s="6">
        <f t="shared" si="89"/>
        <v>78170971</v>
      </c>
    </row>
    <row r="537" spans="1:37">
      <c r="A537" s="11" t="s">
        <v>372</v>
      </c>
      <c r="B537" s="11"/>
      <c r="C537" s="11" t="s">
        <v>366</v>
      </c>
      <c r="E537" s="6">
        <v>1106220</v>
      </c>
      <c r="G537" s="6">
        <v>0</v>
      </c>
      <c r="I537" s="6">
        <v>5982994</v>
      </c>
      <c r="K537" s="6">
        <v>23492</v>
      </c>
      <c r="M537" s="6">
        <v>612243</v>
      </c>
      <c r="O537" s="6">
        <v>15444</v>
      </c>
      <c r="Q537" s="6">
        <v>0</v>
      </c>
      <c r="S537" s="6">
        <v>1676</v>
      </c>
      <c r="U537" s="6">
        <v>30896</v>
      </c>
      <c r="W537" s="2">
        <f t="shared" si="85"/>
        <v>7772965</v>
      </c>
      <c r="Y537" s="6">
        <v>0</v>
      </c>
      <c r="AA537" s="6">
        <v>0</v>
      </c>
      <c r="AC537" s="6">
        <v>0</v>
      </c>
      <c r="AE537" s="6">
        <v>0</v>
      </c>
      <c r="AG537" s="6">
        <v>0</v>
      </c>
      <c r="AI537" s="6">
        <f t="shared" si="88"/>
        <v>0</v>
      </c>
      <c r="AK537" s="6">
        <f t="shared" si="89"/>
        <v>7772965</v>
      </c>
    </row>
    <row r="538" spans="1:37">
      <c r="A538" s="11" t="s">
        <v>717</v>
      </c>
      <c r="B538" s="11"/>
      <c r="C538" s="11" t="s">
        <v>221</v>
      </c>
      <c r="D538" s="9"/>
      <c r="E538" s="6">
        <v>19941482</v>
      </c>
      <c r="G538" s="6">
        <v>0</v>
      </c>
      <c r="I538" s="6">
        <v>9799746</v>
      </c>
      <c r="K538" s="6">
        <v>30622</v>
      </c>
      <c r="M538" s="6">
        <v>1150557</v>
      </c>
      <c r="O538" s="6">
        <v>0</v>
      </c>
      <c r="Q538" s="6">
        <v>0</v>
      </c>
      <c r="S538" s="6">
        <v>0</v>
      </c>
      <c r="U538" s="6">
        <v>422494</v>
      </c>
      <c r="W538" s="2">
        <f t="shared" ref="W538:W552" si="90">SUM(E538:V538)</f>
        <v>31344901</v>
      </c>
      <c r="Y538" s="6">
        <v>0</v>
      </c>
      <c r="AA538" s="6">
        <v>0</v>
      </c>
      <c r="AC538" s="6">
        <v>0</v>
      </c>
      <c r="AE538" s="6">
        <v>0</v>
      </c>
      <c r="AG538" s="6">
        <v>0</v>
      </c>
      <c r="AI538" s="6">
        <f t="shared" ref="AI538:AI571" si="91">SUM(Y538:AH538)</f>
        <v>0</v>
      </c>
      <c r="AK538" s="6">
        <f t="shared" si="89"/>
        <v>31344901</v>
      </c>
    </row>
    <row r="539" spans="1:37">
      <c r="A539" s="11" t="s">
        <v>515</v>
      </c>
      <c r="B539" s="11"/>
      <c r="C539" s="11" t="s">
        <v>63</v>
      </c>
      <c r="E539" s="6">
        <v>13512547</v>
      </c>
      <c r="G539" s="6">
        <v>0</v>
      </c>
      <c r="I539" s="6">
        <v>10727296</v>
      </c>
      <c r="K539" s="6">
        <v>7628</v>
      </c>
      <c r="M539" s="6">
        <f>347469+64657+332160</f>
        <v>744286</v>
      </c>
      <c r="O539" s="6">
        <v>312703</v>
      </c>
      <c r="Q539" s="6">
        <v>0</v>
      </c>
      <c r="S539" s="6">
        <v>0</v>
      </c>
      <c r="U539" s="6">
        <v>74582</v>
      </c>
      <c r="W539" s="2">
        <f t="shared" si="90"/>
        <v>25379042</v>
      </c>
      <c r="Y539" s="6">
        <v>0</v>
      </c>
      <c r="AA539" s="6">
        <v>0</v>
      </c>
      <c r="AC539" s="6">
        <v>0</v>
      </c>
      <c r="AE539" s="6">
        <v>130000</v>
      </c>
      <c r="AG539" s="6">
        <v>0</v>
      </c>
      <c r="AI539" s="6">
        <f t="shared" si="91"/>
        <v>130000</v>
      </c>
      <c r="AK539" s="6">
        <f t="shared" si="89"/>
        <v>25509042</v>
      </c>
    </row>
    <row r="540" spans="1:37">
      <c r="A540" s="11" t="s">
        <v>454</v>
      </c>
      <c r="B540" s="11"/>
      <c r="C540" s="11" t="s">
        <v>54</v>
      </c>
      <c r="E540" s="6">
        <v>6071585</v>
      </c>
      <c r="G540" s="6">
        <v>3030236</v>
      </c>
      <c r="I540" s="6">
        <f>73688+16738199+65134</f>
        <v>16877021</v>
      </c>
      <c r="K540" s="6">
        <v>60004</v>
      </c>
      <c r="M540" s="6">
        <f>557536+159888+1769</f>
        <v>719193</v>
      </c>
      <c r="O540" s="6">
        <v>104293</v>
      </c>
      <c r="Q540" s="6">
        <v>11278</v>
      </c>
      <c r="S540" s="6">
        <v>33505</v>
      </c>
      <c r="U540" s="6">
        <v>61670</v>
      </c>
      <c r="W540" s="2">
        <f t="shared" si="90"/>
        <v>26968785</v>
      </c>
      <c r="Y540" s="6">
        <v>200306</v>
      </c>
      <c r="AA540" s="6">
        <v>0</v>
      </c>
      <c r="AC540" s="6">
        <v>396229</v>
      </c>
      <c r="AE540" s="6">
        <v>3471</v>
      </c>
      <c r="AG540" s="6">
        <v>0</v>
      </c>
      <c r="AI540" s="6">
        <f t="shared" si="91"/>
        <v>600006</v>
      </c>
      <c r="AK540" s="6">
        <f t="shared" si="89"/>
        <v>27568791</v>
      </c>
    </row>
    <row r="541" spans="1:37">
      <c r="A541" s="11" t="s">
        <v>236</v>
      </c>
      <c r="B541" s="11"/>
      <c r="C541" s="11" t="s">
        <v>17</v>
      </c>
      <c r="D541" s="9"/>
      <c r="E541" s="6">
        <v>5840181</v>
      </c>
      <c r="G541" s="6">
        <v>0</v>
      </c>
      <c r="I541" s="6">
        <v>16775414</v>
      </c>
      <c r="K541" s="6">
        <v>7099</v>
      </c>
      <c r="M541" s="6">
        <f>1662873+102618+18883</f>
        <v>1784374</v>
      </c>
      <c r="O541" s="6">
        <v>28747</v>
      </c>
      <c r="Q541" s="6">
        <v>0</v>
      </c>
      <c r="S541" s="6">
        <v>29123</v>
      </c>
      <c r="U541" s="6">
        <v>82952</v>
      </c>
      <c r="W541" s="2">
        <f t="shared" si="90"/>
        <v>24547890</v>
      </c>
      <c r="Y541" s="6">
        <v>0</v>
      </c>
      <c r="AA541" s="6">
        <v>0</v>
      </c>
      <c r="AC541" s="6">
        <v>0</v>
      </c>
      <c r="AE541" s="6">
        <f>45028+632263</f>
        <v>677291</v>
      </c>
      <c r="AG541" s="6">
        <v>0</v>
      </c>
      <c r="AI541" s="6">
        <f t="shared" si="91"/>
        <v>677291</v>
      </c>
      <c r="AK541" s="6">
        <f t="shared" si="89"/>
        <v>25225181</v>
      </c>
    </row>
    <row r="542" spans="1:37">
      <c r="A542" s="11" t="s">
        <v>725</v>
      </c>
      <c r="B542" s="11"/>
      <c r="C542" s="11" t="s">
        <v>32</v>
      </c>
      <c r="E542" s="6">
        <v>10737927</v>
      </c>
      <c r="G542" s="6">
        <v>0</v>
      </c>
      <c r="I542" s="6">
        <v>6564006</v>
      </c>
      <c r="K542" s="6">
        <v>33085</v>
      </c>
      <c r="M542" s="6">
        <f>416740+51219</f>
        <v>467959</v>
      </c>
      <c r="O542" s="6">
        <v>12283</v>
      </c>
      <c r="Q542" s="6">
        <v>2150267</v>
      </c>
      <c r="S542" s="6">
        <v>0</v>
      </c>
      <c r="U542" s="6">
        <v>142259</v>
      </c>
      <c r="W542" s="2">
        <f t="shared" si="90"/>
        <v>20107786</v>
      </c>
      <c r="Y542" s="6">
        <v>0</v>
      </c>
      <c r="AA542" s="6">
        <v>0</v>
      </c>
      <c r="AC542" s="6">
        <v>61276</v>
      </c>
      <c r="AE542" s="6">
        <v>5</v>
      </c>
      <c r="AG542" s="6">
        <v>0</v>
      </c>
      <c r="AI542" s="6">
        <f t="shared" si="91"/>
        <v>61281</v>
      </c>
      <c r="AK542" s="6">
        <f t="shared" si="89"/>
        <v>20169067</v>
      </c>
    </row>
    <row r="543" spans="1:37">
      <c r="A543" s="11" t="s">
        <v>488</v>
      </c>
      <c r="B543" s="11"/>
      <c r="C543" s="11" t="s">
        <v>60</v>
      </c>
      <c r="E543" s="6">
        <v>8659068</v>
      </c>
      <c r="G543" s="6">
        <v>0</v>
      </c>
      <c r="I543" s="6">
        <v>11169843</v>
      </c>
      <c r="K543" s="6">
        <v>2737</v>
      </c>
      <c r="M543" s="6">
        <f>1175747+79024+64912+12224+82609</f>
        <v>1414516</v>
      </c>
      <c r="O543" s="6">
        <v>71022</v>
      </c>
      <c r="Q543" s="6">
        <v>44966</v>
      </c>
      <c r="S543" s="6">
        <v>14301</v>
      </c>
      <c r="U543" s="6">
        <v>1788</v>
      </c>
      <c r="W543" s="2">
        <f t="shared" si="90"/>
        <v>21378241</v>
      </c>
      <c r="Y543" s="6">
        <v>0</v>
      </c>
      <c r="AA543" s="6">
        <v>0</v>
      </c>
      <c r="AC543" s="6">
        <v>0</v>
      </c>
      <c r="AE543" s="6">
        <v>3359</v>
      </c>
      <c r="AG543" s="6">
        <v>0</v>
      </c>
      <c r="AI543" s="6">
        <f t="shared" si="91"/>
        <v>3359</v>
      </c>
      <c r="AK543" s="6">
        <f t="shared" si="89"/>
        <v>21381600</v>
      </c>
    </row>
    <row r="544" spans="1:37">
      <c r="A544" s="11" t="s">
        <v>778</v>
      </c>
      <c r="B544" s="11"/>
      <c r="C544" s="11" t="s">
        <v>48</v>
      </c>
      <c r="E544" s="6">
        <v>10239787</v>
      </c>
      <c r="G544" s="6">
        <v>0</v>
      </c>
      <c r="I544" s="6">
        <v>9442577</v>
      </c>
      <c r="K544" s="6">
        <v>5277</v>
      </c>
      <c r="M544" s="6">
        <v>786407</v>
      </c>
      <c r="O544" s="6">
        <v>372519</v>
      </c>
      <c r="Q544" s="6">
        <v>0</v>
      </c>
      <c r="S544" s="6">
        <v>0</v>
      </c>
      <c r="U544" s="6">
        <v>96839</v>
      </c>
      <c r="W544" s="2">
        <f t="shared" si="90"/>
        <v>20943406</v>
      </c>
      <c r="Y544" s="6">
        <v>0</v>
      </c>
      <c r="AA544" s="6">
        <v>0</v>
      </c>
      <c r="AC544" s="6">
        <v>0</v>
      </c>
      <c r="AE544" s="6">
        <v>1054</v>
      </c>
      <c r="AG544" s="6">
        <v>0</v>
      </c>
      <c r="AI544" s="6">
        <f t="shared" si="91"/>
        <v>1054</v>
      </c>
      <c r="AK544" s="6">
        <f t="shared" si="89"/>
        <v>20944460</v>
      </c>
    </row>
    <row r="545" spans="1:37">
      <c r="A545" s="11" t="s">
        <v>395</v>
      </c>
      <c r="B545" s="11"/>
      <c r="C545" s="11" t="s">
        <v>115</v>
      </c>
      <c r="E545" s="6">
        <v>82838427</v>
      </c>
      <c r="G545" s="6">
        <v>0</v>
      </c>
      <c r="I545" s="6">
        <f>218511455+834989</f>
        <v>219346444</v>
      </c>
      <c r="K545" s="6">
        <v>73578</v>
      </c>
      <c r="M545" s="6">
        <f>1866478+380291+52358</f>
        <v>2299127</v>
      </c>
      <c r="O545" s="6">
        <v>218727</v>
      </c>
      <c r="Q545" s="6">
        <v>0</v>
      </c>
      <c r="S545" s="6">
        <v>0</v>
      </c>
      <c r="U545" s="6">
        <f>6769499</f>
        <v>6769499</v>
      </c>
      <c r="W545" s="2">
        <f t="shared" si="90"/>
        <v>311545802</v>
      </c>
      <c r="Y545" s="6">
        <v>0</v>
      </c>
      <c r="AA545" s="6">
        <v>0</v>
      </c>
      <c r="AC545" s="6">
        <v>0</v>
      </c>
      <c r="AE545" s="6">
        <v>0</v>
      </c>
      <c r="AG545" s="6">
        <v>0</v>
      </c>
      <c r="AI545" s="6">
        <f t="shared" si="91"/>
        <v>0</v>
      </c>
      <c r="AK545" s="6">
        <f t="shared" si="89"/>
        <v>311545802</v>
      </c>
    </row>
    <row r="546" spans="1:37" hidden="1">
      <c r="A546" s="11" t="s">
        <v>894</v>
      </c>
      <c r="B546" s="11"/>
      <c r="C546" s="11" t="s">
        <v>115</v>
      </c>
      <c r="W546" s="2">
        <f t="shared" si="90"/>
        <v>0</v>
      </c>
      <c r="AG546" s="6">
        <v>0</v>
      </c>
      <c r="AI546" s="6">
        <f t="shared" si="91"/>
        <v>0</v>
      </c>
      <c r="AK546" s="6">
        <f t="shared" si="89"/>
        <v>0</v>
      </c>
    </row>
    <row r="547" spans="1:37">
      <c r="A547" s="11" t="s">
        <v>726</v>
      </c>
      <c r="B547" s="11"/>
      <c r="C547" s="11" t="s">
        <v>39</v>
      </c>
      <c r="E547" s="6">
        <v>1357620</v>
      </c>
      <c r="G547" s="6">
        <v>0</v>
      </c>
      <c r="I547" s="6">
        <v>4386459</v>
      </c>
      <c r="K547" s="6">
        <v>1300</v>
      </c>
      <c r="M547" s="6">
        <v>734445</v>
      </c>
      <c r="O547" s="6">
        <v>82712</v>
      </c>
      <c r="Q547" s="6">
        <v>0</v>
      </c>
      <c r="S547" s="6">
        <v>500</v>
      </c>
      <c r="U547" s="6">
        <v>1558</v>
      </c>
      <c r="W547" s="2">
        <f t="shared" si="90"/>
        <v>6564594</v>
      </c>
      <c r="Y547" s="6">
        <v>0</v>
      </c>
      <c r="AA547" s="6">
        <v>0</v>
      </c>
      <c r="AC547" s="6">
        <v>0</v>
      </c>
      <c r="AE547" s="6">
        <f>2128+50000</f>
        <v>52128</v>
      </c>
      <c r="AG547" s="6">
        <v>0</v>
      </c>
      <c r="AI547" s="6">
        <f t="shared" si="91"/>
        <v>52128</v>
      </c>
      <c r="AK547" s="6">
        <f t="shared" si="89"/>
        <v>6616722</v>
      </c>
    </row>
    <row r="548" spans="1:37">
      <c r="A548" s="11" t="s">
        <v>229</v>
      </c>
      <c r="B548" s="11"/>
      <c r="C548" s="11" t="s">
        <v>228</v>
      </c>
      <c r="D548" s="9"/>
      <c r="E548" s="6">
        <v>1417348</v>
      </c>
      <c r="G548" s="6">
        <v>1692420</v>
      </c>
      <c r="I548" s="6">
        <v>5524956</v>
      </c>
      <c r="K548" s="6">
        <v>2280</v>
      </c>
      <c r="M548" s="6">
        <f>522312+28474+4060</f>
        <v>554846</v>
      </c>
      <c r="O548" s="6">
        <v>53125</v>
      </c>
      <c r="Q548" s="6">
        <v>0</v>
      </c>
      <c r="S548" s="6">
        <v>28606</v>
      </c>
      <c r="U548" s="6">
        <v>2887</v>
      </c>
      <c r="W548" s="2">
        <f t="shared" si="90"/>
        <v>9276468</v>
      </c>
      <c r="Y548" s="6">
        <v>0</v>
      </c>
      <c r="AA548" s="6">
        <v>0</v>
      </c>
      <c r="AC548" s="6">
        <v>249000</v>
      </c>
      <c r="AE548" s="6">
        <v>0</v>
      </c>
      <c r="AG548" s="6">
        <v>0</v>
      </c>
      <c r="AI548" s="6">
        <f t="shared" si="91"/>
        <v>249000</v>
      </c>
      <c r="AK548" s="6">
        <f t="shared" si="89"/>
        <v>9525468</v>
      </c>
    </row>
    <row r="549" spans="1:37">
      <c r="A549" s="11" t="s">
        <v>466</v>
      </c>
      <c r="B549" s="11"/>
      <c r="C549" s="11" t="s">
        <v>57</v>
      </c>
      <c r="E549" s="6">
        <v>3328278</v>
      </c>
      <c r="G549" s="6">
        <v>0</v>
      </c>
      <c r="I549" s="6">
        <v>4572049</v>
      </c>
      <c r="K549" s="6">
        <v>20297</v>
      </c>
      <c r="M549" s="6">
        <f>297572+9125</f>
        <v>306697</v>
      </c>
      <c r="O549" s="6">
        <v>49615</v>
      </c>
      <c r="Q549" s="6">
        <v>0</v>
      </c>
      <c r="S549" s="6">
        <v>3333</v>
      </c>
      <c r="U549" s="6">
        <v>18059</v>
      </c>
      <c r="W549" s="2">
        <f t="shared" si="90"/>
        <v>8298328</v>
      </c>
      <c r="Y549" s="6">
        <v>0</v>
      </c>
      <c r="AA549" s="6">
        <v>0</v>
      </c>
      <c r="AC549" s="6">
        <v>0</v>
      </c>
      <c r="AE549" s="6">
        <v>2544</v>
      </c>
      <c r="AG549" s="6">
        <v>0</v>
      </c>
      <c r="AI549" s="6">
        <f t="shared" si="91"/>
        <v>2544</v>
      </c>
      <c r="AK549" s="6">
        <f t="shared" si="89"/>
        <v>8300872</v>
      </c>
    </row>
    <row r="550" spans="1:37">
      <c r="A550" s="11" t="s">
        <v>212</v>
      </c>
      <c r="B550" s="11"/>
      <c r="C550" s="11" t="s">
        <v>13</v>
      </c>
      <c r="D550" s="9"/>
      <c r="E550" s="6">
        <v>728670</v>
      </c>
      <c r="G550" s="6">
        <v>0</v>
      </c>
      <c r="I550" s="6">
        <v>7053563</v>
      </c>
      <c r="K550" s="6">
        <v>2395</v>
      </c>
      <c r="M550" s="6">
        <f>757756+263</f>
        <v>758019</v>
      </c>
      <c r="O550" s="6">
        <v>0</v>
      </c>
      <c r="Q550" s="6">
        <v>0</v>
      </c>
      <c r="S550" s="6">
        <v>17861</v>
      </c>
      <c r="U550" s="6">
        <v>57532</v>
      </c>
      <c r="W550" s="2">
        <f t="shared" si="90"/>
        <v>8618040</v>
      </c>
      <c r="Y550" s="6">
        <v>0</v>
      </c>
      <c r="AA550" s="6">
        <v>0</v>
      </c>
      <c r="AC550" s="6">
        <v>0</v>
      </c>
      <c r="AE550" s="6">
        <v>11634</v>
      </c>
      <c r="AG550" s="6">
        <v>0</v>
      </c>
      <c r="AI550" s="6">
        <f t="shared" si="91"/>
        <v>11634</v>
      </c>
      <c r="AK550" s="6">
        <f t="shared" si="89"/>
        <v>8629674</v>
      </c>
    </row>
    <row r="551" spans="1:37">
      <c r="A551" s="11" t="s">
        <v>446</v>
      </c>
      <c r="B551" s="11"/>
      <c r="C551" s="11" t="s">
        <v>51</v>
      </c>
      <c r="E551" s="6">
        <v>8589210</v>
      </c>
      <c r="G551" s="6">
        <v>0</v>
      </c>
      <c r="I551" s="6">
        <v>15987544</v>
      </c>
      <c r="K551" s="6">
        <v>83861</v>
      </c>
      <c r="M551" s="6">
        <f>1362930</f>
        <v>1362930</v>
      </c>
      <c r="O551" s="6">
        <v>212898</v>
      </c>
      <c r="Q551" s="6">
        <v>114827</v>
      </c>
      <c r="S551" s="6">
        <v>0</v>
      </c>
      <c r="U551" s="6">
        <v>323974</v>
      </c>
      <c r="W551" s="2">
        <f t="shared" si="90"/>
        <v>26675244</v>
      </c>
      <c r="Y551" s="6">
        <v>0</v>
      </c>
      <c r="AA551" s="6">
        <v>0</v>
      </c>
      <c r="AC551" s="6">
        <v>0</v>
      </c>
      <c r="AE551" s="6">
        <v>0</v>
      </c>
      <c r="AG551" s="6">
        <v>0</v>
      </c>
      <c r="AI551" s="6">
        <f t="shared" si="91"/>
        <v>0</v>
      </c>
      <c r="AK551" s="6">
        <f t="shared" si="89"/>
        <v>26675244</v>
      </c>
    </row>
    <row r="552" spans="1:37" hidden="1">
      <c r="A552" s="11" t="s">
        <v>690</v>
      </c>
      <c r="B552" s="11"/>
      <c r="C552" s="11" t="s">
        <v>21</v>
      </c>
      <c r="W552" s="2">
        <f t="shared" si="90"/>
        <v>0</v>
      </c>
      <c r="AI552" s="6">
        <f t="shared" si="91"/>
        <v>0</v>
      </c>
      <c r="AK552" s="6">
        <f t="shared" ref="AK552:AK573" si="92">+AI552+W552</f>
        <v>0</v>
      </c>
    </row>
    <row r="553" spans="1:37" hidden="1">
      <c r="A553" s="10" t="s">
        <v>835</v>
      </c>
      <c r="B553" s="11"/>
      <c r="C553" s="11" t="s">
        <v>71</v>
      </c>
      <c r="W553" s="2">
        <f t="shared" ref="W553:W597" si="93">SUM(E553:V553)</f>
        <v>0</v>
      </c>
      <c r="AI553" s="6">
        <f t="shared" si="91"/>
        <v>0</v>
      </c>
      <c r="AK553" s="6">
        <f t="shared" si="92"/>
        <v>0</v>
      </c>
    </row>
    <row r="554" spans="1:37">
      <c r="A554" s="11" t="s">
        <v>436</v>
      </c>
      <c r="B554" s="11"/>
      <c r="C554" s="11" t="s">
        <v>50</v>
      </c>
      <c r="E554" s="6">
        <v>8088596</v>
      </c>
      <c r="G554" s="6">
        <v>0</v>
      </c>
      <c r="I554" s="6">
        <v>22703985</v>
      </c>
      <c r="K554" s="6">
        <v>12367</v>
      </c>
      <c r="M554" s="6">
        <f>337854</f>
        <v>337854</v>
      </c>
      <c r="O554" s="6">
        <v>20949</v>
      </c>
      <c r="Q554" s="6">
        <v>32677</v>
      </c>
      <c r="S554" s="6">
        <v>0</v>
      </c>
      <c r="U554" s="6">
        <v>916291</v>
      </c>
      <c r="W554" s="2">
        <f t="shared" si="93"/>
        <v>32112719</v>
      </c>
      <c r="Y554" s="6">
        <v>0</v>
      </c>
      <c r="AA554" s="6">
        <v>0</v>
      </c>
      <c r="AC554" s="6">
        <v>0</v>
      </c>
      <c r="AE554" s="6">
        <v>85187</v>
      </c>
      <c r="AG554" s="6">
        <v>0</v>
      </c>
      <c r="AI554" s="6">
        <f t="shared" si="91"/>
        <v>85187</v>
      </c>
      <c r="AK554" s="6">
        <f t="shared" si="92"/>
        <v>32197906</v>
      </c>
    </row>
    <row r="555" spans="1:37">
      <c r="A555" s="11" t="s">
        <v>426</v>
      </c>
      <c r="B555" s="11"/>
      <c r="C555" s="11" t="s">
        <v>48</v>
      </c>
      <c r="E555" s="6">
        <v>23689446</v>
      </c>
      <c r="G555" s="6">
        <v>0</v>
      </c>
      <c r="I555" s="6">
        <v>15415414</v>
      </c>
      <c r="K555" s="6">
        <v>79563</v>
      </c>
      <c r="M555" s="6">
        <v>1023253</v>
      </c>
      <c r="O555" s="6">
        <v>189207</v>
      </c>
      <c r="Q555" s="6">
        <v>0</v>
      </c>
      <c r="S555" s="6">
        <v>0</v>
      </c>
      <c r="U555" s="6">
        <v>240281</v>
      </c>
      <c r="W555" s="2">
        <f t="shared" si="93"/>
        <v>40637164</v>
      </c>
      <c r="Y555" s="6">
        <v>0</v>
      </c>
      <c r="AA555" s="6">
        <v>0</v>
      </c>
      <c r="AC555" s="6">
        <v>0</v>
      </c>
      <c r="AE555" s="6">
        <v>5683</v>
      </c>
      <c r="AG555" s="6">
        <v>0</v>
      </c>
      <c r="AI555" s="6">
        <f t="shared" si="91"/>
        <v>5683</v>
      </c>
      <c r="AK555" s="6">
        <f t="shared" si="92"/>
        <v>40642847</v>
      </c>
    </row>
    <row r="556" spans="1:37">
      <c r="A556" s="11" t="s">
        <v>538</v>
      </c>
      <c r="B556" s="11"/>
      <c r="C556" s="11" t="s">
        <v>65</v>
      </c>
      <c r="E556" s="6">
        <v>5080721</v>
      </c>
      <c r="G556" s="6">
        <v>0</v>
      </c>
      <c r="I556" s="6">
        <f>6112049+1050</f>
        <v>6113099</v>
      </c>
      <c r="K556" s="6">
        <v>731</v>
      </c>
      <c r="M556" s="6">
        <f>401960+58277+578</f>
        <v>460815</v>
      </c>
      <c r="O556" s="6">
        <v>39887</v>
      </c>
      <c r="Q556" s="6">
        <v>0</v>
      </c>
      <c r="S556" s="6">
        <v>8095</v>
      </c>
      <c r="U556" s="6">
        <v>4673</v>
      </c>
      <c r="W556" s="2">
        <f t="shared" si="93"/>
        <v>11708021</v>
      </c>
      <c r="Y556" s="6">
        <v>0</v>
      </c>
      <c r="AA556" s="6">
        <v>0</v>
      </c>
      <c r="AC556" s="6">
        <v>561314</v>
      </c>
      <c r="AE556" s="6">
        <v>9382</v>
      </c>
      <c r="AG556" s="6">
        <v>0</v>
      </c>
      <c r="AI556" s="6">
        <f t="shared" si="91"/>
        <v>570696</v>
      </c>
      <c r="AK556" s="6">
        <f t="shared" si="92"/>
        <v>12278717</v>
      </c>
    </row>
    <row r="557" spans="1:37">
      <c r="A557" s="11" t="s">
        <v>505</v>
      </c>
      <c r="B557" s="11"/>
      <c r="C557" s="11" t="s">
        <v>62</v>
      </c>
      <c r="E557" s="6">
        <v>4472327</v>
      </c>
      <c r="G557" s="6">
        <v>0</v>
      </c>
      <c r="I557" s="6">
        <v>6407994</v>
      </c>
      <c r="K557" s="6">
        <v>9595</v>
      </c>
      <c r="M557" s="6">
        <f>822338+19385+43144</f>
        <v>884867</v>
      </c>
      <c r="O557" s="6">
        <v>135780</v>
      </c>
      <c r="Q557" s="6">
        <v>0</v>
      </c>
      <c r="S557" s="6">
        <v>4396</v>
      </c>
      <c r="U557" s="6">
        <v>17855</v>
      </c>
      <c r="W557" s="2">
        <f t="shared" si="93"/>
        <v>11932814</v>
      </c>
      <c r="Y557" s="6">
        <v>0</v>
      </c>
      <c r="AA557" s="6">
        <v>0</v>
      </c>
      <c r="AC557" s="6">
        <v>0</v>
      </c>
      <c r="AE557" s="6">
        <v>0</v>
      </c>
      <c r="AG557" s="6">
        <v>0</v>
      </c>
      <c r="AI557" s="6">
        <f t="shared" si="91"/>
        <v>0</v>
      </c>
      <c r="AK557" s="6">
        <f t="shared" si="92"/>
        <v>11932814</v>
      </c>
    </row>
    <row r="558" spans="1:37" hidden="1">
      <c r="A558" s="11" t="s">
        <v>695</v>
      </c>
      <c r="B558" s="11"/>
      <c r="C558" s="11" t="s">
        <v>57</v>
      </c>
      <c r="W558" s="2">
        <f t="shared" si="93"/>
        <v>0</v>
      </c>
      <c r="AI558" s="6">
        <f t="shared" si="91"/>
        <v>0</v>
      </c>
      <c r="AK558" s="6">
        <f t="shared" si="92"/>
        <v>0</v>
      </c>
    </row>
    <row r="559" spans="1:37">
      <c r="A559" s="11" t="s">
        <v>516</v>
      </c>
      <c r="B559" s="11"/>
      <c r="C559" s="11" t="s">
        <v>63</v>
      </c>
      <c r="E559" s="6">
        <v>23615272</v>
      </c>
      <c r="G559" s="6">
        <v>0</v>
      </c>
      <c r="I559" s="6">
        <v>13650818</v>
      </c>
      <c r="K559" s="6">
        <v>34682</v>
      </c>
      <c r="M559" s="6">
        <f>1008564+46557</f>
        <v>1055121</v>
      </c>
      <c r="O559" s="6">
        <v>81588</v>
      </c>
      <c r="Q559" s="6">
        <v>96607</v>
      </c>
      <c r="S559" s="6">
        <v>124</v>
      </c>
      <c r="U559" s="6">
        <v>97728</v>
      </c>
      <c r="W559" s="2">
        <f t="shared" si="93"/>
        <v>38631940</v>
      </c>
      <c r="Y559" s="6">
        <v>0</v>
      </c>
      <c r="AA559" s="6">
        <v>0</v>
      </c>
      <c r="AC559" s="6">
        <v>0</v>
      </c>
      <c r="AE559" s="6">
        <v>0</v>
      </c>
      <c r="AG559" s="6">
        <v>0</v>
      </c>
      <c r="AI559" s="6">
        <f t="shared" si="91"/>
        <v>0</v>
      </c>
      <c r="AK559" s="6">
        <f t="shared" si="92"/>
        <v>38631940</v>
      </c>
    </row>
    <row r="560" spans="1:37" hidden="1">
      <c r="A560" s="10" t="s">
        <v>836</v>
      </c>
      <c r="B560" s="11"/>
      <c r="C560" s="11" t="s">
        <v>15</v>
      </c>
      <c r="D560" s="9"/>
      <c r="W560" s="2">
        <f t="shared" si="93"/>
        <v>0</v>
      </c>
      <c r="AI560" s="6">
        <f t="shared" si="91"/>
        <v>0</v>
      </c>
      <c r="AK560" s="6">
        <f t="shared" si="92"/>
        <v>0</v>
      </c>
    </row>
    <row r="561" spans="1:37">
      <c r="A561" s="11" t="s">
        <v>476</v>
      </c>
      <c r="B561" s="11"/>
      <c r="C561" s="11" t="s">
        <v>58</v>
      </c>
      <c r="E561" s="6">
        <v>2738083</v>
      </c>
      <c r="G561" s="6">
        <v>1133646</v>
      </c>
      <c r="I561" s="6">
        <v>10125370</v>
      </c>
      <c r="K561" s="6">
        <v>142589</v>
      </c>
      <c r="M561" s="6">
        <f>3172685+13819+29627</f>
        <v>3216131</v>
      </c>
      <c r="O561" s="6">
        <v>30415</v>
      </c>
      <c r="Q561" s="6">
        <v>0</v>
      </c>
      <c r="S561" s="6">
        <v>0</v>
      </c>
      <c r="U561" s="6">
        <v>75520</v>
      </c>
      <c r="W561" s="2">
        <f t="shared" si="93"/>
        <v>17461754</v>
      </c>
      <c r="Y561" s="6">
        <v>0</v>
      </c>
      <c r="AA561" s="6">
        <v>0</v>
      </c>
      <c r="AC561" s="6">
        <v>0</v>
      </c>
      <c r="AE561" s="6">
        <v>0</v>
      </c>
      <c r="AG561" s="6">
        <v>0</v>
      </c>
      <c r="AI561" s="6">
        <f t="shared" si="91"/>
        <v>0</v>
      </c>
      <c r="AK561" s="6">
        <f t="shared" si="92"/>
        <v>17461754</v>
      </c>
    </row>
    <row r="562" spans="1:37">
      <c r="A562" s="11" t="s">
        <v>251</v>
      </c>
      <c r="B562" s="11"/>
      <c r="C562" s="11" t="s">
        <v>112</v>
      </c>
      <c r="D562" s="9"/>
      <c r="E562" s="6">
        <v>2344768</v>
      </c>
      <c r="G562" s="6">
        <v>780367</v>
      </c>
      <c r="I562" s="6">
        <f>6942597+62689</f>
        <v>7005286</v>
      </c>
      <c r="K562" s="6">
        <v>179039</v>
      </c>
      <c r="M562" s="6">
        <f>860907+20364+24877+10742+2232</f>
        <v>919122</v>
      </c>
      <c r="O562" s="6">
        <v>85203</v>
      </c>
      <c r="Q562" s="6">
        <v>0</v>
      </c>
      <c r="S562" s="6">
        <v>1557</v>
      </c>
      <c r="U562" s="6">
        <v>14332</v>
      </c>
      <c r="W562" s="2">
        <f t="shared" si="93"/>
        <v>11329674</v>
      </c>
      <c r="Y562" s="6">
        <v>0</v>
      </c>
      <c r="AA562" s="6">
        <v>0</v>
      </c>
      <c r="AC562" s="6">
        <v>98292</v>
      </c>
      <c r="AE562" s="6">
        <v>0</v>
      </c>
      <c r="AG562" s="6">
        <v>0</v>
      </c>
      <c r="AI562" s="6">
        <f t="shared" si="91"/>
        <v>98292</v>
      </c>
      <c r="AK562" s="6">
        <f t="shared" si="92"/>
        <v>11427966</v>
      </c>
    </row>
    <row r="563" spans="1:37" s="28" customFormat="1">
      <c r="A563" s="27" t="s">
        <v>308</v>
      </c>
      <c r="B563" s="27"/>
      <c r="C563" s="27" t="s">
        <v>27</v>
      </c>
      <c r="E563" s="28">
        <v>61982037</v>
      </c>
      <c r="G563" s="28">
        <v>0</v>
      </c>
      <c r="I563" s="28">
        <v>12983985</v>
      </c>
      <c r="K563" s="28">
        <v>179939</v>
      </c>
      <c r="M563" s="28">
        <v>352788</v>
      </c>
      <c r="O563" s="28">
        <v>263177</v>
      </c>
      <c r="Q563" s="28">
        <v>938761</v>
      </c>
      <c r="S563" s="28">
        <v>0</v>
      </c>
      <c r="U563" s="28">
        <v>594658</v>
      </c>
      <c r="W563" s="30">
        <f t="shared" si="93"/>
        <v>77295345</v>
      </c>
      <c r="Y563" s="28">
        <v>0</v>
      </c>
      <c r="AA563" s="28">
        <v>0</v>
      </c>
      <c r="AC563" s="28">
        <v>0</v>
      </c>
      <c r="AE563" s="28">
        <v>0</v>
      </c>
      <c r="AG563" s="28">
        <v>0</v>
      </c>
      <c r="AI563" s="28">
        <f t="shared" si="91"/>
        <v>0</v>
      </c>
      <c r="AK563" s="28">
        <f t="shared" si="92"/>
        <v>77295345</v>
      </c>
    </row>
    <row r="564" spans="1:37" hidden="1">
      <c r="A564" s="11" t="s">
        <v>779</v>
      </c>
      <c r="B564" s="11"/>
      <c r="C564" s="11" t="s">
        <v>558</v>
      </c>
      <c r="W564" s="2">
        <f t="shared" si="93"/>
        <v>0</v>
      </c>
      <c r="AI564" s="6">
        <f t="shared" si="91"/>
        <v>0</v>
      </c>
      <c r="AK564" s="6">
        <f t="shared" si="92"/>
        <v>0</v>
      </c>
    </row>
    <row r="565" spans="1:37" hidden="1">
      <c r="A565" s="11" t="s">
        <v>696</v>
      </c>
      <c r="B565" s="11"/>
      <c r="C565" s="11" t="s">
        <v>339</v>
      </c>
      <c r="W565" s="2">
        <f t="shared" si="93"/>
        <v>0</v>
      </c>
      <c r="AI565" s="6">
        <f t="shared" si="91"/>
        <v>0</v>
      </c>
      <c r="AK565" s="6">
        <f t="shared" si="92"/>
        <v>0</v>
      </c>
    </row>
    <row r="566" spans="1:37" hidden="1">
      <c r="A566" s="11" t="s">
        <v>895</v>
      </c>
      <c r="B566" s="11"/>
      <c r="C566" s="11" t="s">
        <v>228</v>
      </c>
      <c r="D566" s="9"/>
      <c r="E566" s="6">
        <v>0</v>
      </c>
      <c r="G566" s="6">
        <v>0</v>
      </c>
      <c r="I566" s="6">
        <v>0</v>
      </c>
      <c r="K566" s="6">
        <v>0</v>
      </c>
      <c r="M566" s="6">
        <v>0</v>
      </c>
      <c r="O566" s="6">
        <v>0</v>
      </c>
      <c r="Q566" s="6">
        <v>0</v>
      </c>
      <c r="S566" s="6">
        <v>0</v>
      </c>
      <c r="U566" s="6">
        <v>0</v>
      </c>
      <c r="W566" s="2">
        <f t="shared" si="93"/>
        <v>0</v>
      </c>
      <c r="Y566" s="6">
        <v>0</v>
      </c>
      <c r="AA566" s="6">
        <v>0</v>
      </c>
      <c r="AC566" s="6">
        <v>0</v>
      </c>
      <c r="AE566" s="6">
        <v>0</v>
      </c>
      <c r="AG566" s="6">
        <v>0</v>
      </c>
      <c r="AI566" s="6">
        <f t="shared" si="91"/>
        <v>0</v>
      </c>
      <c r="AK566" s="6">
        <f t="shared" si="92"/>
        <v>0</v>
      </c>
    </row>
    <row r="567" spans="1:37" hidden="1">
      <c r="A567" s="11" t="s">
        <v>697</v>
      </c>
      <c r="B567" s="11"/>
      <c r="C567" s="11" t="s">
        <v>59</v>
      </c>
      <c r="W567" s="2">
        <f t="shared" si="93"/>
        <v>0</v>
      </c>
      <c r="AI567" s="6">
        <f t="shared" si="91"/>
        <v>0</v>
      </c>
      <c r="AK567" s="6">
        <f t="shared" si="92"/>
        <v>0</v>
      </c>
    </row>
    <row r="568" spans="1:37">
      <c r="A568" s="11" t="s">
        <v>437</v>
      </c>
      <c r="B568" s="11"/>
      <c r="C568" s="11" t="s">
        <v>50</v>
      </c>
      <c r="E568" s="6">
        <v>4252548</v>
      </c>
      <c r="G568" s="6">
        <v>3084406</v>
      </c>
      <c r="I568" s="6">
        <v>8666247</v>
      </c>
      <c r="K568" s="6">
        <v>22767</v>
      </c>
      <c r="M568" s="6">
        <f>139078+114387+20430</f>
        <v>273895</v>
      </c>
      <c r="O568" s="6">
        <v>130006</v>
      </c>
      <c r="Q568" s="6">
        <v>0</v>
      </c>
      <c r="S568" s="6">
        <v>5660</v>
      </c>
      <c r="U568" s="6">
        <v>133890</v>
      </c>
      <c r="W568" s="2">
        <f t="shared" si="93"/>
        <v>16569419</v>
      </c>
      <c r="Y568" s="6">
        <v>0</v>
      </c>
      <c r="AA568" s="6">
        <v>0</v>
      </c>
      <c r="AC568" s="6">
        <v>0</v>
      </c>
      <c r="AE568" s="6">
        <v>0</v>
      </c>
      <c r="AG568" s="6">
        <v>0</v>
      </c>
      <c r="AI568" s="6">
        <f t="shared" si="91"/>
        <v>0</v>
      </c>
      <c r="AK568" s="6">
        <f t="shared" si="92"/>
        <v>16569419</v>
      </c>
    </row>
    <row r="569" spans="1:37">
      <c r="A569" s="11" t="s">
        <v>338</v>
      </c>
      <c r="B569" s="11"/>
      <c r="C569" s="11" t="s">
        <v>33</v>
      </c>
      <c r="E569" s="6">
        <v>6145549</v>
      </c>
      <c r="G569" s="6">
        <v>0</v>
      </c>
      <c r="I569" s="6">
        <v>3173043</v>
      </c>
      <c r="K569" s="6">
        <v>28618</v>
      </c>
      <c r="M569" s="6">
        <f>996089</f>
        <v>996089</v>
      </c>
      <c r="O569" s="6">
        <v>7904</v>
      </c>
      <c r="Q569" s="6">
        <v>92259</v>
      </c>
      <c r="S569" s="6">
        <v>17466</v>
      </c>
      <c r="U569" s="6">
        <v>40934</v>
      </c>
      <c r="W569" s="2">
        <f t="shared" si="93"/>
        <v>10501862</v>
      </c>
      <c r="Y569" s="6">
        <v>0</v>
      </c>
      <c r="AA569" s="6">
        <v>0</v>
      </c>
      <c r="AC569" s="6">
        <v>0</v>
      </c>
      <c r="AE569" s="6">
        <v>3000</v>
      </c>
      <c r="AG569" s="6">
        <v>0</v>
      </c>
      <c r="AI569" s="6">
        <f t="shared" si="91"/>
        <v>3000</v>
      </c>
      <c r="AK569" s="6">
        <f t="shared" si="92"/>
        <v>10504862</v>
      </c>
    </row>
    <row r="570" spans="1:37" hidden="1">
      <c r="A570" s="11" t="s">
        <v>830</v>
      </c>
      <c r="B570" s="11"/>
      <c r="C570" s="11" t="s">
        <v>67</v>
      </c>
      <c r="W570" s="2">
        <f t="shared" si="93"/>
        <v>0</v>
      </c>
      <c r="AI570" s="6">
        <f t="shared" si="91"/>
        <v>0</v>
      </c>
      <c r="AK570" s="6">
        <f t="shared" si="92"/>
        <v>0</v>
      </c>
    </row>
    <row r="571" spans="1:37">
      <c r="A571" s="11" t="s">
        <v>438</v>
      </c>
      <c r="B571" s="11"/>
      <c r="C571" s="11" t="s">
        <v>50</v>
      </c>
      <c r="E571" s="6">
        <v>18591607</v>
      </c>
      <c r="G571" s="6">
        <v>0</v>
      </c>
      <c r="I571" s="6">
        <v>9494610</v>
      </c>
      <c r="K571" s="6">
        <v>74346</v>
      </c>
      <c r="M571" s="6">
        <f>595744+21172+166489+3239+316501</f>
        <v>1103145</v>
      </c>
      <c r="O571" s="6">
        <v>173491</v>
      </c>
      <c r="Q571" s="6">
        <v>584391</v>
      </c>
      <c r="S571" s="6">
        <v>125000</v>
      </c>
      <c r="U571" s="6">
        <v>34221</v>
      </c>
      <c r="W571" s="2">
        <f t="shared" si="93"/>
        <v>30180811</v>
      </c>
      <c r="Y571" s="6">
        <v>53887</v>
      </c>
      <c r="AA571" s="6">
        <v>0</v>
      </c>
      <c r="AC571" s="6">
        <v>0</v>
      </c>
      <c r="AE571" s="6">
        <v>0</v>
      </c>
      <c r="AG571" s="6">
        <v>0</v>
      </c>
      <c r="AI571" s="6">
        <f t="shared" si="91"/>
        <v>53887</v>
      </c>
      <c r="AK571" s="6">
        <f t="shared" si="92"/>
        <v>30234698</v>
      </c>
    </row>
    <row r="572" spans="1:37" hidden="1">
      <c r="A572" s="11" t="s">
        <v>698</v>
      </c>
      <c r="B572" s="11"/>
      <c r="C572" s="11" t="s">
        <v>33</v>
      </c>
      <c r="W572" s="2">
        <f t="shared" si="93"/>
        <v>0</v>
      </c>
      <c r="AI572" s="6">
        <f>SUM(Y572:AH572)</f>
        <v>0</v>
      </c>
      <c r="AK572" s="6">
        <f t="shared" si="92"/>
        <v>0</v>
      </c>
    </row>
    <row r="573" spans="1:37">
      <c r="A573" s="11" t="s">
        <v>291</v>
      </c>
      <c r="B573" s="11"/>
      <c r="C573" s="11" t="s">
        <v>24</v>
      </c>
      <c r="E573" s="6">
        <v>14929518</v>
      </c>
      <c r="G573" s="6">
        <v>0</v>
      </c>
      <c r="I573" s="6">
        <v>7130267</v>
      </c>
      <c r="K573" s="6">
        <v>96169</v>
      </c>
      <c r="M573" s="6">
        <f>675218+1074+152882</f>
        <v>829174</v>
      </c>
      <c r="O573" s="6">
        <v>117009</v>
      </c>
      <c r="Q573" s="6">
        <v>0</v>
      </c>
      <c r="S573" s="6">
        <v>0</v>
      </c>
      <c r="U573" s="6">
        <f>57605+155058</f>
        <v>212663</v>
      </c>
      <c r="W573" s="2">
        <f t="shared" si="93"/>
        <v>23314800</v>
      </c>
      <c r="Y573" s="6">
        <v>0</v>
      </c>
      <c r="AA573" s="6">
        <v>0</v>
      </c>
      <c r="AC573" s="6">
        <v>0</v>
      </c>
      <c r="AE573" s="6">
        <v>0</v>
      </c>
      <c r="AG573" s="6">
        <v>0</v>
      </c>
      <c r="AI573" s="6">
        <f>SUM(Y573:AH573)</f>
        <v>0</v>
      </c>
      <c r="AK573" s="6">
        <f t="shared" si="92"/>
        <v>23314800</v>
      </c>
    </row>
    <row r="574" spans="1:37" hidden="1">
      <c r="A574" s="11" t="s">
        <v>699</v>
      </c>
      <c r="B574" s="11"/>
      <c r="C574" s="11" t="s">
        <v>21</v>
      </c>
      <c r="W574" s="2"/>
    </row>
    <row r="575" spans="1:37">
      <c r="A575" s="11" t="s">
        <v>542</v>
      </c>
      <c r="B575" s="11"/>
      <c r="C575" s="11" t="s">
        <v>68</v>
      </c>
      <c r="E575" s="6">
        <v>3103785</v>
      </c>
      <c r="G575" s="6">
        <v>0</v>
      </c>
      <c r="I575" s="6">
        <v>17180711</v>
      </c>
      <c r="K575" s="6">
        <v>44607</v>
      </c>
      <c r="M575" s="6">
        <f>452867+363793</f>
        <v>816660</v>
      </c>
      <c r="O575" s="6">
        <v>57085</v>
      </c>
      <c r="Q575" s="6">
        <v>616224</v>
      </c>
      <c r="S575" s="6">
        <v>3822</v>
      </c>
      <c r="U575" s="6">
        <v>159595</v>
      </c>
      <c r="W575" s="2">
        <f t="shared" si="93"/>
        <v>21982489</v>
      </c>
      <c r="Y575" s="6">
        <v>0</v>
      </c>
      <c r="AA575" s="6">
        <v>0</v>
      </c>
      <c r="AC575" s="6">
        <v>31266</v>
      </c>
      <c r="AE575" s="6">
        <v>7630</v>
      </c>
      <c r="AG575" s="6">
        <v>0</v>
      </c>
      <c r="AI575" s="6">
        <f t="shared" ref="AI575:AI580" si="94">SUM(Y575:AH575)</f>
        <v>38896</v>
      </c>
      <c r="AK575" s="6">
        <f t="shared" ref="AK575:AK609" si="95">+AI575+W575</f>
        <v>22021385</v>
      </c>
    </row>
    <row r="576" spans="1:37">
      <c r="A576" s="11" t="s">
        <v>419</v>
      </c>
      <c r="B576" s="11"/>
      <c r="C576" s="11" t="s">
        <v>47</v>
      </c>
      <c r="E576" s="6">
        <v>17464089</v>
      </c>
      <c r="G576" s="6">
        <v>0</v>
      </c>
      <c r="I576" s="6">
        <f>18184832+173254</f>
        <v>18358086</v>
      </c>
      <c r="K576" s="6">
        <v>88161</v>
      </c>
      <c r="M576" s="6">
        <f>772303+20090+145024+38346+197448</f>
        <v>1173211</v>
      </c>
      <c r="O576" s="6">
        <v>316801</v>
      </c>
      <c r="Q576" s="6">
        <v>156176</v>
      </c>
      <c r="S576" s="6">
        <v>670</v>
      </c>
      <c r="U576" s="6">
        <v>17799</v>
      </c>
      <c r="W576" s="2">
        <f t="shared" si="93"/>
        <v>37574993</v>
      </c>
      <c r="Y576" s="6">
        <v>0</v>
      </c>
      <c r="AA576" s="6">
        <v>0</v>
      </c>
      <c r="AC576" s="6">
        <v>0</v>
      </c>
      <c r="AE576" s="6">
        <v>71087</v>
      </c>
      <c r="AG576" s="6">
        <v>0</v>
      </c>
      <c r="AI576" s="6">
        <f t="shared" si="94"/>
        <v>71087</v>
      </c>
      <c r="AK576" s="6">
        <f t="shared" si="95"/>
        <v>37646080</v>
      </c>
    </row>
    <row r="577" spans="1:37" hidden="1">
      <c r="A577" s="11" t="s">
        <v>875</v>
      </c>
      <c r="B577" s="11"/>
      <c r="C577" s="11" t="s">
        <v>25</v>
      </c>
      <c r="E577" s="6">
        <v>0</v>
      </c>
      <c r="G577" s="6">
        <v>0</v>
      </c>
      <c r="I577" s="6">
        <v>0</v>
      </c>
      <c r="K577" s="6">
        <v>0</v>
      </c>
      <c r="M577" s="6">
        <v>0</v>
      </c>
      <c r="O577" s="6">
        <v>0</v>
      </c>
      <c r="Q577" s="6">
        <v>0</v>
      </c>
      <c r="S577" s="6">
        <v>0</v>
      </c>
      <c r="U577" s="6">
        <v>0</v>
      </c>
      <c r="W577" s="2">
        <f t="shared" ref="W577:W579" si="96">SUM(E577:V577)</f>
        <v>0</v>
      </c>
      <c r="Y577" s="6">
        <v>0</v>
      </c>
      <c r="AA577" s="6">
        <v>0</v>
      </c>
      <c r="AC577" s="6">
        <v>0</v>
      </c>
      <c r="AE577" s="6">
        <v>0</v>
      </c>
      <c r="AG577" s="6">
        <v>0</v>
      </c>
      <c r="AI577" s="6">
        <f t="shared" si="94"/>
        <v>0</v>
      </c>
      <c r="AK577" s="6">
        <f t="shared" ref="AK577:AK579" si="97">+AI577+W577</f>
        <v>0</v>
      </c>
    </row>
    <row r="578" spans="1:37" hidden="1">
      <c r="A578" s="11" t="s">
        <v>876</v>
      </c>
      <c r="B578" s="11"/>
      <c r="C578" s="11" t="s">
        <v>14</v>
      </c>
      <c r="E578" s="6">
        <v>0</v>
      </c>
      <c r="G578" s="6">
        <v>0</v>
      </c>
      <c r="I578" s="6">
        <v>0</v>
      </c>
      <c r="K578" s="6">
        <v>0</v>
      </c>
      <c r="M578" s="6">
        <v>0</v>
      </c>
      <c r="O578" s="6">
        <v>0</v>
      </c>
      <c r="Q578" s="6">
        <v>0</v>
      </c>
      <c r="S578" s="6">
        <v>0</v>
      </c>
      <c r="U578" s="6">
        <v>0</v>
      </c>
      <c r="W578" s="2">
        <f t="shared" si="96"/>
        <v>0</v>
      </c>
      <c r="Y578" s="6">
        <v>0</v>
      </c>
      <c r="AA578" s="6">
        <v>0</v>
      </c>
      <c r="AC578" s="6">
        <v>0</v>
      </c>
      <c r="AE578" s="6">
        <v>0</v>
      </c>
      <c r="AG578" s="6">
        <v>0</v>
      </c>
      <c r="AI578" s="6">
        <f t="shared" si="94"/>
        <v>0</v>
      </c>
      <c r="AK578" s="6">
        <f t="shared" si="97"/>
        <v>0</v>
      </c>
    </row>
    <row r="579" spans="1:37" hidden="1">
      <c r="A579" s="10" t="s">
        <v>877</v>
      </c>
      <c r="B579" s="10"/>
      <c r="C579" s="10" t="s">
        <v>63</v>
      </c>
      <c r="E579" s="6">
        <v>0</v>
      </c>
      <c r="G579" s="6">
        <v>0</v>
      </c>
      <c r="I579" s="6">
        <v>0</v>
      </c>
      <c r="K579" s="6">
        <v>0</v>
      </c>
      <c r="M579" s="6">
        <v>0</v>
      </c>
      <c r="O579" s="6">
        <v>0</v>
      </c>
      <c r="Q579" s="6">
        <v>0</v>
      </c>
      <c r="S579" s="6">
        <v>0</v>
      </c>
      <c r="U579" s="6">
        <v>0</v>
      </c>
      <c r="W579" s="2">
        <f t="shared" si="96"/>
        <v>0</v>
      </c>
      <c r="Y579" s="6">
        <v>0</v>
      </c>
      <c r="AA579" s="6">
        <v>0</v>
      </c>
      <c r="AC579" s="6">
        <v>0</v>
      </c>
      <c r="AE579" s="6">
        <v>0</v>
      </c>
      <c r="AG579" s="6">
        <v>0</v>
      </c>
      <c r="AI579" s="6">
        <f t="shared" si="94"/>
        <v>0</v>
      </c>
      <c r="AK579" s="6">
        <f t="shared" si="97"/>
        <v>0</v>
      </c>
    </row>
    <row r="580" spans="1:37">
      <c r="A580" s="11" t="s">
        <v>531</v>
      </c>
      <c r="B580" s="11"/>
      <c r="C580" s="11" t="s">
        <v>64</v>
      </c>
      <c r="E580" s="6">
        <v>11567939</v>
      </c>
      <c r="G580" s="6">
        <v>0</v>
      </c>
      <c r="I580" s="6">
        <f>46216399+369755</f>
        <v>46586154</v>
      </c>
      <c r="K580" s="6">
        <v>321034</v>
      </c>
      <c r="M580" s="6">
        <f>1208166+44939+33966</f>
        <v>1287071</v>
      </c>
      <c r="O580" s="6">
        <v>0</v>
      </c>
      <c r="Q580" s="6">
        <v>0</v>
      </c>
      <c r="S580" s="6">
        <v>0</v>
      </c>
      <c r="U580" s="6">
        <v>400782</v>
      </c>
      <c r="W580" s="2">
        <f t="shared" si="93"/>
        <v>60162980</v>
      </c>
      <c r="Y580" s="6">
        <v>0</v>
      </c>
      <c r="AA580" s="6">
        <v>0</v>
      </c>
      <c r="AC580" s="6">
        <v>0</v>
      </c>
      <c r="AE580" s="6">
        <v>28641</v>
      </c>
      <c r="AG580" s="6">
        <v>0</v>
      </c>
      <c r="AI580" s="6">
        <f t="shared" si="94"/>
        <v>28641</v>
      </c>
      <c r="AK580" s="6">
        <f t="shared" si="95"/>
        <v>60191621</v>
      </c>
    </row>
    <row r="581" spans="1:37">
      <c r="A581" s="11" t="s">
        <v>549</v>
      </c>
      <c r="B581" s="11"/>
      <c r="C581" s="11" t="s">
        <v>70</v>
      </c>
      <c r="E581" s="6">
        <v>5876451</v>
      </c>
      <c r="G581" s="6">
        <v>0</v>
      </c>
      <c r="I581" s="6">
        <v>12649081</v>
      </c>
      <c r="K581" s="6">
        <v>4877</v>
      </c>
      <c r="M581" s="6">
        <v>1236160</v>
      </c>
      <c r="O581" s="6">
        <v>65263</v>
      </c>
      <c r="Q581" s="6">
        <v>0</v>
      </c>
      <c r="S581" s="6">
        <v>37722</v>
      </c>
      <c r="U581" s="6">
        <v>74492</v>
      </c>
      <c r="W581" s="2">
        <f t="shared" si="93"/>
        <v>19944046</v>
      </c>
      <c r="Y581" s="6">
        <v>0</v>
      </c>
      <c r="AA581" s="6">
        <v>0</v>
      </c>
      <c r="AC581" s="6">
        <v>0</v>
      </c>
      <c r="AE581" s="6">
        <v>786</v>
      </c>
      <c r="AG581" s="6">
        <v>0</v>
      </c>
      <c r="AI581" s="6">
        <f t="shared" ref="AI581:AI630" si="98">SUM(Y581:AH581)</f>
        <v>786</v>
      </c>
      <c r="AK581" s="6">
        <f t="shared" si="95"/>
        <v>19944832</v>
      </c>
    </row>
    <row r="582" spans="1:37">
      <c r="A582" s="11" t="s">
        <v>280</v>
      </c>
      <c r="B582" s="11"/>
      <c r="C582" s="11" t="s">
        <v>20</v>
      </c>
      <c r="E582" s="6">
        <v>16913377</v>
      </c>
      <c r="G582" s="6">
        <v>0</v>
      </c>
      <c r="I582" s="6">
        <v>14249148</v>
      </c>
      <c r="K582" s="6">
        <v>29701</v>
      </c>
      <c r="M582" s="6">
        <f>209565+3692+8777</f>
        <v>222034</v>
      </c>
      <c r="O582" s="6">
        <v>0</v>
      </c>
      <c r="Q582" s="6">
        <v>0</v>
      </c>
      <c r="S582" s="6">
        <v>982</v>
      </c>
      <c r="U582" s="6">
        <v>338914</v>
      </c>
      <c r="W582" s="2">
        <f>SUM(E582:V582)</f>
        <v>31754156</v>
      </c>
      <c r="Y582" s="6">
        <v>0</v>
      </c>
      <c r="AA582" s="6">
        <v>0</v>
      </c>
      <c r="AC582" s="6">
        <v>0</v>
      </c>
      <c r="AE582" s="6">
        <v>0</v>
      </c>
      <c r="AG582" s="6">
        <v>0</v>
      </c>
      <c r="AI582" s="6">
        <f>SUM(Y582:AH582)</f>
        <v>0</v>
      </c>
      <c r="AK582" s="6">
        <f t="shared" si="95"/>
        <v>31754156</v>
      </c>
    </row>
    <row r="583" spans="1:37">
      <c r="A583" s="11" t="s">
        <v>298</v>
      </c>
      <c r="B583" s="11"/>
      <c r="C583" s="11" t="s">
        <v>26</v>
      </c>
      <c r="E583" s="6">
        <v>3991782</v>
      </c>
      <c r="G583" s="6">
        <v>0</v>
      </c>
      <c r="I583" s="6">
        <v>12520232</v>
      </c>
      <c r="K583" s="6">
        <v>10546</v>
      </c>
      <c r="M583" s="6">
        <f>1047577</f>
        <v>1047577</v>
      </c>
      <c r="O583" s="6">
        <v>23005</v>
      </c>
      <c r="Q583" s="6">
        <v>13547</v>
      </c>
      <c r="S583" s="6">
        <v>14890</v>
      </c>
      <c r="U583" s="6">
        <v>97415</v>
      </c>
      <c r="W583" s="2">
        <f t="shared" si="93"/>
        <v>17718994</v>
      </c>
      <c r="Y583" s="6">
        <v>0</v>
      </c>
      <c r="AA583" s="6">
        <v>0</v>
      </c>
      <c r="AC583" s="6">
        <v>0</v>
      </c>
      <c r="AE583" s="6">
        <v>0</v>
      </c>
      <c r="AG583" s="6">
        <v>0</v>
      </c>
      <c r="AI583" s="6">
        <f t="shared" si="98"/>
        <v>0</v>
      </c>
      <c r="AK583" s="6">
        <f t="shared" si="95"/>
        <v>17718994</v>
      </c>
    </row>
    <row r="584" spans="1:37">
      <c r="A584" s="11" t="s">
        <v>396</v>
      </c>
      <c r="B584" s="11"/>
      <c r="C584" s="11" t="s">
        <v>115</v>
      </c>
      <c r="E584" s="6">
        <v>33474281</v>
      </c>
      <c r="G584" s="6">
        <v>0</v>
      </c>
      <c r="I584" s="6">
        <f>7722+31610463+132160</f>
        <v>31750345</v>
      </c>
      <c r="K584" s="6">
        <v>113346</v>
      </c>
      <c r="M584" s="6">
        <f>585236+156627+143019+121789+82912</f>
        <v>1089583</v>
      </c>
      <c r="O584" s="6">
        <v>7484</v>
      </c>
      <c r="Q584" s="6">
        <v>3508066</v>
      </c>
      <c r="S584" s="6">
        <v>34727</v>
      </c>
      <c r="U584" s="6">
        <v>801205</v>
      </c>
      <c r="W584" s="2">
        <f t="shared" si="93"/>
        <v>70779037</v>
      </c>
      <c r="Y584" s="6">
        <v>0</v>
      </c>
      <c r="AA584" s="6">
        <v>0</v>
      </c>
      <c r="AC584" s="6">
        <v>0</v>
      </c>
      <c r="AE584" s="6">
        <v>0</v>
      </c>
      <c r="AG584" s="6">
        <v>0</v>
      </c>
      <c r="AI584" s="6">
        <f t="shared" si="98"/>
        <v>0</v>
      </c>
      <c r="AK584" s="6">
        <f t="shared" si="95"/>
        <v>70779037</v>
      </c>
    </row>
    <row r="585" spans="1:37">
      <c r="A585" s="11" t="s">
        <v>485</v>
      </c>
      <c r="B585" s="11"/>
      <c r="C585" s="11" t="s">
        <v>59</v>
      </c>
      <c r="E585" s="6">
        <v>1353838</v>
      </c>
      <c r="G585" s="6">
        <v>0</v>
      </c>
      <c r="I585" s="6">
        <v>10529916</v>
      </c>
      <c r="K585" s="6">
        <v>22971</v>
      </c>
      <c r="M585" s="6">
        <f>1134154</f>
        <v>1134154</v>
      </c>
      <c r="O585" s="6">
        <v>32916</v>
      </c>
      <c r="Q585" s="6">
        <v>0</v>
      </c>
      <c r="S585" s="6">
        <v>0</v>
      </c>
      <c r="U585" s="6">
        <v>141772</v>
      </c>
      <c r="W585" s="2">
        <f t="shared" si="93"/>
        <v>13215567</v>
      </c>
      <c r="Y585" s="6">
        <v>0</v>
      </c>
      <c r="AA585" s="6">
        <v>0</v>
      </c>
      <c r="AC585" s="6">
        <v>0</v>
      </c>
      <c r="AE585" s="6">
        <v>26119</v>
      </c>
      <c r="AG585" s="6">
        <v>0</v>
      </c>
      <c r="AI585" s="6">
        <f t="shared" si="98"/>
        <v>26119</v>
      </c>
      <c r="AK585" s="6">
        <f t="shared" si="95"/>
        <v>13241686</v>
      </c>
    </row>
    <row r="586" spans="1:37">
      <c r="A586" s="11" t="s">
        <v>465</v>
      </c>
      <c r="B586" s="11"/>
      <c r="C586" s="11" t="s">
        <v>56</v>
      </c>
      <c r="E586" s="6">
        <v>2874502</v>
      </c>
      <c r="G586" s="6">
        <v>0</v>
      </c>
      <c r="I586" s="6">
        <f>6352696+28779</f>
        <v>6381475</v>
      </c>
      <c r="K586" s="6">
        <v>1685</v>
      </c>
      <c r="M586" s="6">
        <f>291526+41447+594</f>
        <v>333567</v>
      </c>
      <c r="O586" s="6">
        <v>112592</v>
      </c>
      <c r="Q586" s="6">
        <v>0</v>
      </c>
      <c r="S586" s="6">
        <v>1763</v>
      </c>
      <c r="U586" s="6">
        <v>39280</v>
      </c>
      <c r="W586" s="2">
        <f t="shared" si="93"/>
        <v>9744864</v>
      </c>
      <c r="Y586" s="6">
        <v>0</v>
      </c>
      <c r="AA586" s="6">
        <v>0</v>
      </c>
      <c r="AC586" s="6">
        <v>0</v>
      </c>
      <c r="AE586" s="6">
        <v>0</v>
      </c>
      <c r="AG586" s="6">
        <v>0</v>
      </c>
      <c r="AI586" s="6">
        <f t="shared" si="98"/>
        <v>0</v>
      </c>
      <c r="AK586" s="6">
        <f t="shared" si="95"/>
        <v>9744864</v>
      </c>
    </row>
    <row r="587" spans="1:37">
      <c r="A587" s="11" t="s">
        <v>780</v>
      </c>
      <c r="B587" s="11"/>
      <c r="C587" s="11" t="s">
        <v>28</v>
      </c>
      <c r="E587" s="6">
        <v>4699834</v>
      </c>
      <c r="G587" s="6">
        <v>0</v>
      </c>
      <c r="I587" s="6">
        <v>9001394</v>
      </c>
      <c r="K587" s="6">
        <v>19265</v>
      </c>
      <c r="M587" s="6">
        <f>691090+25891+59701</f>
        <v>776682</v>
      </c>
      <c r="O587" s="6">
        <v>0</v>
      </c>
      <c r="Q587" s="6">
        <v>0</v>
      </c>
      <c r="S587" s="6">
        <v>0</v>
      </c>
      <c r="U587" s="6">
        <v>141288</v>
      </c>
      <c r="W587" s="2">
        <f t="shared" si="93"/>
        <v>14638463</v>
      </c>
      <c r="Y587" s="6">
        <v>0</v>
      </c>
      <c r="AA587" s="6">
        <v>0</v>
      </c>
      <c r="AC587" s="6">
        <v>0</v>
      </c>
      <c r="AE587" s="6">
        <f>40836+1422</f>
        <v>42258</v>
      </c>
      <c r="AG587" s="6">
        <v>0</v>
      </c>
      <c r="AI587" s="6">
        <f t="shared" si="98"/>
        <v>42258</v>
      </c>
      <c r="AK587" s="6">
        <f t="shared" si="95"/>
        <v>14680721</v>
      </c>
    </row>
    <row r="588" spans="1:37">
      <c r="A588" s="11" t="s">
        <v>457</v>
      </c>
      <c r="B588" s="11"/>
      <c r="C588" s="11" t="s">
        <v>55</v>
      </c>
      <c r="E588" s="6">
        <v>3207990</v>
      </c>
      <c r="G588" s="6">
        <v>0</v>
      </c>
      <c r="I588" s="6">
        <v>11535522</v>
      </c>
      <c r="K588" s="6">
        <v>13512</v>
      </c>
      <c r="M588" s="6">
        <f>687136+3244</f>
        <v>690380</v>
      </c>
      <c r="O588" s="6">
        <v>19212</v>
      </c>
      <c r="Q588" s="6">
        <v>0</v>
      </c>
      <c r="S588" s="6">
        <v>8655</v>
      </c>
      <c r="U588" s="6">
        <v>21601</v>
      </c>
      <c r="W588" s="2">
        <f t="shared" si="93"/>
        <v>15496872</v>
      </c>
      <c r="Y588" s="6">
        <v>0</v>
      </c>
      <c r="AA588" s="6">
        <v>0</v>
      </c>
      <c r="AC588" s="6">
        <v>36406</v>
      </c>
      <c r="AE588" s="6">
        <v>12272</v>
      </c>
      <c r="AG588" s="6">
        <v>0</v>
      </c>
      <c r="AI588" s="6">
        <f t="shared" si="98"/>
        <v>48678</v>
      </c>
      <c r="AK588" s="6">
        <f t="shared" si="95"/>
        <v>15545550</v>
      </c>
    </row>
    <row r="589" spans="1:37" hidden="1">
      <c r="A589" s="11" t="s">
        <v>708</v>
      </c>
      <c r="B589" s="11"/>
      <c r="C589" s="11" t="s">
        <v>69</v>
      </c>
      <c r="W589" s="2">
        <f t="shared" si="93"/>
        <v>0</v>
      </c>
      <c r="AG589" s="6">
        <v>0</v>
      </c>
      <c r="AI589" s="6">
        <f t="shared" si="98"/>
        <v>0</v>
      </c>
      <c r="AK589" s="6">
        <f t="shared" si="95"/>
        <v>0</v>
      </c>
    </row>
    <row r="590" spans="1:37" hidden="1">
      <c r="A590" s="11" t="s">
        <v>803</v>
      </c>
      <c r="B590" s="11"/>
      <c r="C590" s="11" t="s">
        <v>450</v>
      </c>
      <c r="W590" s="2">
        <f t="shared" si="93"/>
        <v>0</v>
      </c>
      <c r="AG590" s="6">
        <v>0</v>
      </c>
      <c r="AI590" s="6">
        <f t="shared" si="98"/>
        <v>0</v>
      </c>
      <c r="AK590" s="6">
        <f t="shared" si="95"/>
        <v>0</v>
      </c>
    </row>
    <row r="591" spans="1:37" ht="11.25" hidden="1" customHeight="1">
      <c r="A591" s="11" t="s">
        <v>646</v>
      </c>
      <c r="B591" s="11"/>
      <c r="C591" s="11" t="s">
        <v>14</v>
      </c>
      <c r="D591" s="9"/>
      <c r="W591" s="2">
        <f t="shared" si="93"/>
        <v>0</v>
      </c>
      <c r="AG591" s="6">
        <v>0</v>
      </c>
      <c r="AI591" s="6">
        <f t="shared" si="98"/>
        <v>0</v>
      </c>
      <c r="AK591" s="6">
        <f t="shared" si="95"/>
        <v>0</v>
      </c>
    </row>
    <row r="592" spans="1:37">
      <c r="A592" s="11" t="s">
        <v>532</v>
      </c>
      <c r="B592" s="11"/>
      <c r="C592" s="11" t="s">
        <v>64</v>
      </c>
      <c r="E592" s="6">
        <v>2270769</v>
      </c>
      <c r="G592" s="6">
        <v>0</v>
      </c>
      <c r="I592" s="6">
        <v>4266144</v>
      </c>
      <c r="K592" s="6">
        <v>7066</v>
      </c>
      <c r="M592" s="6">
        <f>1605232+24188</f>
        <v>1629420</v>
      </c>
      <c r="O592" s="6">
        <v>12498</v>
      </c>
      <c r="Q592" s="6">
        <v>0</v>
      </c>
      <c r="S592" s="6">
        <v>0</v>
      </c>
      <c r="U592" s="6">
        <v>24479</v>
      </c>
      <c r="W592" s="2">
        <f t="shared" si="93"/>
        <v>8210376</v>
      </c>
      <c r="Y592" s="6">
        <v>0</v>
      </c>
      <c r="AA592" s="6">
        <v>0</v>
      </c>
      <c r="AC592" s="6">
        <v>0</v>
      </c>
      <c r="AE592" s="6">
        <v>0</v>
      </c>
      <c r="AG592" s="6">
        <v>0</v>
      </c>
      <c r="AI592" s="6">
        <f t="shared" si="98"/>
        <v>0</v>
      </c>
      <c r="AK592" s="6">
        <f t="shared" si="95"/>
        <v>8210376</v>
      </c>
    </row>
    <row r="593" spans="1:37">
      <c r="A593" s="11" t="s">
        <v>781</v>
      </c>
      <c r="B593" s="11"/>
      <c r="C593" s="11" t="s">
        <v>44</v>
      </c>
      <c r="E593" s="6">
        <v>4058837</v>
      </c>
      <c r="G593" s="6">
        <v>1756436</v>
      </c>
      <c r="I593" s="6">
        <v>6257803</v>
      </c>
      <c r="K593" s="6">
        <v>4868</v>
      </c>
      <c r="M593" s="6">
        <f>405759+25897</f>
        <v>431656</v>
      </c>
      <c r="O593" s="6">
        <v>145659</v>
      </c>
      <c r="Q593" s="6">
        <v>5120</v>
      </c>
      <c r="S593" s="6">
        <v>21515</v>
      </c>
      <c r="U593" s="6">
        <v>25456</v>
      </c>
      <c r="W593" s="2">
        <f t="shared" si="93"/>
        <v>12707350</v>
      </c>
      <c r="Y593" s="6">
        <v>0</v>
      </c>
      <c r="AA593" s="6">
        <v>0</v>
      </c>
      <c r="AC593" s="6">
        <v>0</v>
      </c>
      <c r="AE593" s="6">
        <v>0</v>
      </c>
      <c r="AG593" s="6">
        <v>0</v>
      </c>
      <c r="AI593" s="6">
        <f t="shared" si="98"/>
        <v>0</v>
      </c>
      <c r="AK593" s="6">
        <f t="shared" si="95"/>
        <v>12707350</v>
      </c>
    </row>
    <row r="594" spans="1:37">
      <c r="A594" s="11" t="s">
        <v>361</v>
      </c>
      <c r="B594" s="11"/>
      <c r="C594" s="11" t="s">
        <v>38</v>
      </c>
      <c r="E594" s="6">
        <v>1912357</v>
      </c>
      <c r="G594" s="6">
        <v>0</v>
      </c>
      <c r="I594" s="6">
        <v>10971168</v>
      </c>
      <c r="K594" s="6">
        <v>15025</v>
      </c>
      <c r="M594" s="6">
        <f>377396+3100</f>
        <v>380496</v>
      </c>
      <c r="O594" s="6">
        <v>17903</v>
      </c>
      <c r="Q594" s="6">
        <v>0</v>
      </c>
      <c r="S594" s="6">
        <v>7003</v>
      </c>
      <c r="U594" s="6">
        <v>82514</v>
      </c>
      <c r="W594" s="2">
        <f t="shared" si="93"/>
        <v>13386466</v>
      </c>
      <c r="Y594" s="6">
        <v>0</v>
      </c>
      <c r="AA594" s="6">
        <v>0</v>
      </c>
      <c r="AC594" s="6">
        <v>0</v>
      </c>
      <c r="AE594" s="6">
        <v>18168</v>
      </c>
      <c r="AG594" s="6">
        <v>0</v>
      </c>
      <c r="AI594" s="6">
        <f t="shared" si="98"/>
        <v>18168</v>
      </c>
      <c r="AK594" s="6">
        <f t="shared" si="95"/>
        <v>13404634</v>
      </c>
    </row>
    <row r="595" spans="1:37">
      <c r="A595" s="11" t="s">
        <v>252</v>
      </c>
      <c r="B595" s="11"/>
      <c r="C595" s="11" t="s">
        <v>112</v>
      </c>
      <c r="D595" s="9"/>
      <c r="E595" s="6">
        <v>799469</v>
      </c>
      <c r="G595" s="6">
        <v>0</v>
      </c>
      <c r="I595" s="6">
        <v>6108586</v>
      </c>
      <c r="K595" s="6">
        <v>29861</v>
      </c>
      <c r="M595" s="6">
        <f>632429+1006</f>
        <v>633435</v>
      </c>
      <c r="O595" s="6">
        <v>11856</v>
      </c>
      <c r="Q595" s="6">
        <v>0</v>
      </c>
      <c r="S595" s="6">
        <v>1622</v>
      </c>
      <c r="U595" s="6">
        <v>1953</v>
      </c>
      <c r="W595" s="2">
        <f t="shared" si="93"/>
        <v>7586782</v>
      </c>
      <c r="Y595" s="6">
        <v>0</v>
      </c>
      <c r="AA595" s="6">
        <v>0</v>
      </c>
      <c r="AC595" s="6">
        <v>0</v>
      </c>
      <c r="AE595" s="6">
        <v>0</v>
      </c>
      <c r="AG595" s="6">
        <v>0</v>
      </c>
      <c r="AI595" s="6">
        <f t="shared" si="98"/>
        <v>0</v>
      </c>
      <c r="AK595" s="6">
        <f t="shared" si="95"/>
        <v>7586782</v>
      </c>
    </row>
    <row r="596" spans="1:37">
      <c r="A596" s="11" t="s">
        <v>408</v>
      </c>
      <c r="B596" s="11"/>
      <c r="C596" s="11" t="s">
        <v>45</v>
      </c>
      <c r="E596" s="6">
        <v>4133296</v>
      </c>
      <c r="G596" s="6">
        <v>0</v>
      </c>
      <c r="I596" s="6">
        <f>2675+11840237+89395</f>
        <v>11932307</v>
      </c>
      <c r="K596" s="6">
        <v>18439</v>
      </c>
      <c r="M596" s="6">
        <f>1730981+28154</f>
        <v>1759135</v>
      </c>
      <c r="O596" s="6">
        <v>130601</v>
      </c>
      <c r="Q596" s="6">
        <v>0</v>
      </c>
      <c r="S596" s="6">
        <v>0</v>
      </c>
      <c r="U596" s="6">
        <v>492751</v>
      </c>
      <c r="W596" s="2">
        <f t="shared" si="93"/>
        <v>18466529</v>
      </c>
      <c r="Y596" s="6">
        <v>52684</v>
      </c>
      <c r="AA596" s="6">
        <v>0</v>
      </c>
      <c r="AC596" s="6">
        <v>0</v>
      </c>
      <c r="AE596" s="6">
        <v>0</v>
      </c>
      <c r="AG596" s="6">
        <v>0</v>
      </c>
      <c r="AI596" s="6">
        <f t="shared" si="98"/>
        <v>52684</v>
      </c>
      <c r="AK596" s="6">
        <f t="shared" si="95"/>
        <v>18519213</v>
      </c>
    </row>
    <row r="597" spans="1:37">
      <c r="A597" s="11" t="s">
        <v>707</v>
      </c>
      <c r="B597" s="11"/>
      <c r="C597" s="11" t="s">
        <v>50</v>
      </c>
      <c r="E597" s="6">
        <v>16115189</v>
      </c>
      <c r="G597" s="6">
        <v>0</v>
      </c>
      <c r="I597" s="6">
        <f>18981908+285758</f>
        <v>19267666</v>
      </c>
      <c r="K597" s="6">
        <v>307658</v>
      </c>
      <c r="M597" s="6">
        <f>295109+4435+19150+106378+71017</f>
        <v>496089</v>
      </c>
      <c r="O597" s="6">
        <v>68036</v>
      </c>
      <c r="Q597" s="6">
        <v>38007</v>
      </c>
      <c r="S597" s="6">
        <v>33700</v>
      </c>
      <c r="U597" s="6">
        <v>183830</v>
      </c>
      <c r="W597" s="2">
        <f t="shared" si="93"/>
        <v>36510175</v>
      </c>
      <c r="Y597" s="6">
        <v>0</v>
      </c>
      <c r="AA597" s="6">
        <v>0</v>
      </c>
      <c r="AC597" s="6">
        <v>0</v>
      </c>
      <c r="AE597" s="6">
        <v>0</v>
      </c>
      <c r="AG597" s="6">
        <v>0</v>
      </c>
      <c r="AI597" s="6">
        <f t="shared" si="98"/>
        <v>0</v>
      </c>
      <c r="AK597" s="6">
        <f t="shared" si="95"/>
        <v>36510175</v>
      </c>
    </row>
    <row r="598" spans="1:37">
      <c r="A598" s="11" t="s">
        <v>241</v>
      </c>
      <c r="B598" s="11"/>
      <c r="C598" s="11" t="s">
        <v>113</v>
      </c>
      <c r="D598" s="9"/>
      <c r="E598" s="6">
        <v>29796144</v>
      </c>
      <c r="G598" s="6">
        <v>0</v>
      </c>
      <c r="I598" s="6">
        <v>29390982</v>
      </c>
      <c r="K598" s="6">
        <v>0</v>
      </c>
      <c r="M598" s="6">
        <f>844223+3165</f>
        <v>847388</v>
      </c>
      <c r="O598" s="6">
        <v>46877</v>
      </c>
      <c r="Q598" s="6">
        <v>0</v>
      </c>
      <c r="S598" s="6">
        <v>0</v>
      </c>
      <c r="U598" s="6">
        <v>863085</v>
      </c>
      <c r="W598" s="2">
        <f t="shared" ref="W598:W630" si="99">SUM(E598:V598)</f>
        <v>60944476</v>
      </c>
      <c r="Y598" s="6">
        <v>0</v>
      </c>
      <c r="AA598" s="6">
        <v>0</v>
      </c>
      <c r="AC598" s="6">
        <v>0</v>
      </c>
      <c r="AE598" s="6">
        <v>0</v>
      </c>
      <c r="AG598" s="6">
        <v>0</v>
      </c>
      <c r="AI598" s="6">
        <f t="shared" si="98"/>
        <v>0</v>
      </c>
      <c r="AK598" s="6">
        <f t="shared" si="95"/>
        <v>60944476</v>
      </c>
    </row>
    <row r="599" spans="1:37">
      <c r="A599" s="11" t="s">
        <v>316</v>
      </c>
      <c r="B599" s="11"/>
      <c r="C599" s="11" t="s">
        <v>30</v>
      </c>
      <c r="E599" s="6">
        <v>17758108</v>
      </c>
      <c r="G599" s="6">
        <v>0</v>
      </c>
      <c r="I599" s="6">
        <v>6302455</v>
      </c>
      <c r="K599" s="6">
        <v>81413</v>
      </c>
      <c r="M599" s="6">
        <f>1873355+6886+16003</f>
        <v>1896244</v>
      </c>
      <c r="O599" s="6">
        <v>84649</v>
      </c>
      <c r="Q599" s="6">
        <v>0</v>
      </c>
      <c r="S599" s="6">
        <v>115176</v>
      </c>
      <c r="U599" s="6">
        <v>22929</v>
      </c>
      <c r="W599" s="2">
        <f t="shared" si="99"/>
        <v>26260974</v>
      </c>
      <c r="Y599" s="6">
        <v>0</v>
      </c>
      <c r="AA599" s="6">
        <v>0</v>
      </c>
      <c r="AC599" s="6">
        <v>0</v>
      </c>
      <c r="AE599" s="6">
        <v>12595</v>
      </c>
      <c r="AG599" s="6">
        <v>0</v>
      </c>
      <c r="AI599" s="6">
        <f t="shared" si="98"/>
        <v>12595</v>
      </c>
      <c r="AK599" s="6">
        <f t="shared" si="95"/>
        <v>26273569</v>
      </c>
    </row>
    <row r="600" spans="1:37">
      <c r="A600" s="11" t="s">
        <v>354</v>
      </c>
      <c r="B600" s="11"/>
      <c r="C600" s="11" t="s">
        <v>36</v>
      </c>
      <c r="E600" s="6">
        <v>8321494</v>
      </c>
      <c r="G600" s="6">
        <v>0</v>
      </c>
      <c r="I600" s="6">
        <v>11398784</v>
      </c>
      <c r="K600" s="6">
        <v>53385</v>
      </c>
      <c r="M600" s="6">
        <f>548179+28879</f>
        <v>577058</v>
      </c>
      <c r="O600" s="6">
        <v>183941</v>
      </c>
      <c r="Q600" s="6">
        <v>0</v>
      </c>
      <c r="S600" s="6">
        <v>19159</v>
      </c>
      <c r="U600" s="6">
        <v>25193</v>
      </c>
      <c r="W600" s="2">
        <f t="shared" si="99"/>
        <v>20579014</v>
      </c>
      <c r="Y600" s="6">
        <v>0</v>
      </c>
      <c r="AA600" s="6">
        <v>0</v>
      </c>
      <c r="AC600" s="6">
        <v>0</v>
      </c>
      <c r="AE600" s="6">
        <v>0</v>
      </c>
      <c r="AG600" s="6">
        <v>0</v>
      </c>
      <c r="AI600" s="6">
        <f t="shared" si="98"/>
        <v>0</v>
      </c>
      <c r="AK600" s="6">
        <f t="shared" si="95"/>
        <v>20579014</v>
      </c>
    </row>
    <row r="601" spans="1:37">
      <c r="A601" s="11" t="s">
        <v>230</v>
      </c>
      <c r="B601" s="11"/>
      <c r="C601" s="11" t="s">
        <v>228</v>
      </c>
      <c r="D601" s="9"/>
      <c r="E601" s="6">
        <v>1549276</v>
      </c>
      <c r="G601" s="6">
        <v>1816024</v>
      </c>
      <c r="I601" s="6">
        <v>5922274</v>
      </c>
      <c r="K601" s="6">
        <v>6450</v>
      </c>
      <c r="M601" s="6">
        <f>1330133+20+12913</f>
        <v>1343066</v>
      </c>
      <c r="O601" s="6">
        <v>99563</v>
      </c>
      <c r="Q601" s="6">
        <v>0</v>
      </c>
      <c r="S601" s="6">
        <v>0</v>
      </c>
      <c r="U601" s="6">
        <v>164441</v>
      </c>
      <c r="W601" s="2">
        <f t="shared" si="99"/>
        <v>10901094</v>
      </c>
      <c r="Y601" s="6">
        <v>0</v>
      </c>
      <c r="AA601" s="6">
        <v>0</v>
      </c>
      <c r="AC601" s="6">
        <v>0</v>
      </c>
      <c r="AE601" s="6">
        <v>0</v>
      </c>
      <c r="AG601" s="6">
        <v>0</v>
      </c>
      <c r="AI601" s="6">
        <f t="shared" si="98"/>
        <v>0</v>
      </c>
      <c r="AK601" s="6">
        <f t="shared" si="95"/>
        <v>10901094</v>
      </c>
    </row>
    <row r="602" spans="1:37">
      <c r="A602" s="11" t="s">
        <v>447</v>
      </c>
      <c r="B602" s="11"/>
      <c r="C602" s="11" t="s">
        <v>51</v>
      </c>
      <c r="E602" s="6">
        <v>7528280</v>
      </c>
      <c r="G602" s="6">
        <v>0</v>
      </c>
      <c r="I602" s="6">
        <v>6809360</v>
      </c>
      <c r="K602" s="6">
        <v>34151</v>
      </c>
      <c r="M602" s="6">
        <f>1306314+1480</f>
        <v>1307794</v>
      </c>
      <c r="O602" s="6">
        <v>32306</v>
      </c>
      <c r="Q602" s="6">
        <v>0</v>
      </c>
      <c r="S602" s="6">
        <v>115171</v>
      </c>
      <c r="U602" s="6">
        <v>43108</v>
      </c>
      <c r="W602" s="2">
        <f t="shared" si="99"/>
        <v>15870170</v>
      </c>
      <c r="Y602" s="6">
        <v>0</v>
      </c>
      <c r="AA602" s="6">
        <v>0</v>
      </c>
      <c r="AC602" s="6">
        <v>0</v>
      </c>
      <c r="AE602" s="6">
        <v>1500</v>
      </c>
      <c r="AG602" s="6">
        <v>0</v>
      </c>
      <c r="AI602" s="6">
        <f t="shared" si="98"/>
        <v>1500</v>
      </c>
      <c r="AK602" s="6">
        <f t="shared" si="95"/>
        <v>15871670</v>
      </c>
    </row>
    <row r="603" spans="1:37">
      <c r="A603" s="11" t="s">
        <v>220</v>
      </c>
      <c r="B603" s="11"/>
      <c r="C603" s="11" t="s">
        <v>77</v>
      </c>
      <c r="D603" s="9"/>
      <c r="E603" s="6">
        <v>4342503</v>
      </c>
      <c r="G603" s="6">
        <v>0</v>
      </c>
      <c r="I603" s="6">
        <v>20240751</v>
      </c>
      <c r="K603" s="6">
        <v>10197</v>
      </c>
      <c r="M603" s="6">
        <f>1514872+17946</f>
        <v>1532818</v>
      </c>
      <c r="O603" s="6">
        <v>105455</v>
      </c>
      <c r="Q603" s="6">
        <v>104257</v>
      </c>
      <c r="S603" s="6">
        <v>69523</v>
      </c>
      <c r="U603" s="6">
        <v>76508</v>
      </c>
      <c r="W603" s="2">
        <f t="shared" si="99"/>
        <v>26482012</v>
      </c>
      <c r="Y603" s="6">
        <v>0</v>
      </c>
      <c r="AA603" s="6">
        <v>0</v>
      </c>
      <c r="AC603" s="6">
        <v>0</v>
      </c>
      <c r="AE603" s="6">
        <v>0</v>
      </c>
      <c r="AG603" s="6">
        <v>0</v>
      </c>
      <c r="AI603" s="6">
        <f t="shared" si="98"/>
        <v>0</v>
      </c>
      <c r="AK603" s="6">
        <f t="shared" si="95"/>
        <v>26482012</v>
      </c>
    </row>
    <row r="604" spans="1:37">
      <c r="A604" s="11" t="s">
        <v>458</v>
      </c>
      <c r="B604" s="11"/>
      <c r="C604" s="11" t="s">
        <v>55</v>
      </c>
      <c r="E604" s="6">
        <v>762614</v>
      </c>
      <c r="G604" s="6">
        <v>0</v>
      </c>
      <c r="I604" s="6">
        <v>6366786</v>
      </c>
      <c r="K604" s="6">
        <v>15276</v>
      </c>
      <c r="M604" s="6">
        <f>315+237519</f>
        <v>237834</v>
      </c>
      <c r="O604" s="6">
        <v>11834</v>
      </c>
      <c r="Q604" s="6">
        <v>0</v>
      </c>
      <c r="S604" s="6">
        <v>1455</v>
      </c>
      <c r="U604" s="6">
        <v>5403</v>
      </c>
      <c r="W604" s="2">
        <f t="shared" si="99"/>
        <v>7401202</v>
      </c>
      <c r="Y604" s="6">
        <v>14307</v>
      </c>
      <c r="AA604" s="6">
        <v>0</v>
      </c>
      <c r="AC604" s="6">
        <v>0</v>
      </c>
      <c r="AE604" s="6">
        <v>0</v>
      </c>
      <c r="AG604" s="6">
        <v>0</v>
      </c>
      <c r="AI604" s="6">
        <f t="shared" si="98"/>
        <v>14307</v>
      </c>
      <c r="AK604" s="6">
        <f t="shared" si="95"/>
        <v>7415509</v>
      </c>
    </row>
    <row r="605" spans="1:37">
      <c r="A605" s="11" t="s">
        <v>359</v>
      </c>
      <c r="B605" s="11"/>
      <c r="C605" s="11" t="s">
        <v>37</v>
      </c>
      <c r="E605" s="6">
        <v>2272878</v>
      </c>
      <c r="G605" s="6">
        <v>1771157</v>
      </c>
      <c r="I605" s="6">
        <f>49515+6265639</f>
        <v>6315154</v>
      </c>
      <c r="K605" s="6">
        <v>6976</v>
      </c>
      <c r="M605" s="6">
        <f>728420+24014+12872</f>
        <v>765306</v>
      </c>
      <c r="O605" s="6">
        <v>45339</v>
      </c>
      <c r="Q605" s="6">
        <v>0</v>
      </c>
      <c r="S605" s="6">
        <v>0</v>
      </c>
      <c r="U605" s="6">
        <v>68560</v>
      </c>
      <c r="W605" s="2">
        <f t="shared" si="99"/>
        <v>11245370</v>
      </c>
      <c r="Y605" s="6">
        <v>0</v>
      </c>
      <c r="AA605" s="6">
        <v>0</v>
      </c>
      <c r="AC605" s="6">
        <v>76000</v>
      </c>
      <c r="AE605" s="6">
        <v>0</v>
      </c>
      <c r="AG605" s="6">
        <v>0</v>
      </c>
      <c r="AI605" s="6">
        <f t="shared" si="98"/>
        <v>76000</v>
      </c>
      <c r="AK605" s="6">
        <f t="shared" si="95"/>
        <v>11321370</v>
      </c>
    </row>
    <row r="606" spans="1:37">
      <c r="A606" s="11" t="s">
        <v>359</v>
      </c>
      <c r="B606" s="11"/>
      <c r="C606" s="11" t="s">
        <v>45</v>
      </c>
      <c r="E606" s="6">
        <v>2551477</v>
      </c>
      <c r="G606" s="6">
        <v>0</v>
      </c>
      <c r="I606" s="6">
        <v>2780519</v>
      </c>
      <c r="K606" s="6">
        <v>6584</v>
      </c>
      <c r="M606" s="6">
        <f>812136+1426</f>
        <v>813562</v>
      </c>
      <c r="O606" s="6">
        <v>22895</v>
      </c>
      <c r="Q606" s="6">
        <v>0</v>
      </c>
      <c r="S606" s="6">
        <v>14702</v>
      </c>
      <c r="U606" s="6">
        <v>96650</v>
      </c>
      <c r="W606" s="2">
        <f>SUM(E606:V606)</f>
        <v>6286389</v>
      </c>
      <c r="Y606" s="6">
        <v>0</v>
      </c>
      <c r="AA606" s="6">
        <v>0</v>
      </c>
      <c r="AC606" s="6">
        <v>0</v>
      </c>
      <c r="AE606" s="6">
        <v>34211</v>
      </c>
      <c r="AG606" s="6">
        <v>273818</v>
      </c>
      <c r="AI606" s="6">
        <f>SUM(Y606:AH606)</f>
        <v>308029</v>
      </c>
      <c r="AK606" s="6">
        <f t="shared" si="95"/>
        <v>6594418</v>
      </c>
    </row>
    <row r="607" spans="1:37">
      <c r="A607" s="11" t="s">
        <v>309</v>
      </c>
      <c r="B607" s="11"/>
      <c r="C607" s="11" t="s">
        <v>27</v>
      </c>
      <c r="E607" s="6">
        <v>92827847</v>
      </c>
      <c r="G607" s="6">
        <v>0</v>
      </c>
      <c r="I607" s="6">
        <v>45377104</v>
      </c>
      <c r="K607" s="6">
        <v>34940</v>
      </c>
      <c r="M607" s="6">
        <f>1145130+569767+605189</f>
        <v>2320086</v>
      </c>
      <c r="O607" s="6">
        <v>844093</v>
      </c>
      <c r="Q607" s="6">
        <v>2385150</v>
      </c>
      <c r="S607" s="6">
        <v>100712</v>
      </c>
      <c r="U607" s="6">
        <v>362953</v>
      </c>
      <c r="W607" s="2">
        <f t="shared" si="99"/>
        <v>144252885</v>
      </c>
      <c r="Y607" s="6">
        <v>0</v>
      </c>
      <c r="AA607" s="6">
        <v>0</v>
      </c>
      <c r="AC607" s="6">
        <v>0</v>
      </c>
      <c r="AE607" s="6">
        <v>0</v>
      </c>
      <c r="AG607" s="6">
        <v>0</v>
      </c>
      <c r="AI607" s="6">
        <f t="shared" si="98"/>
        <v>0</v>
      </c>
      <c r="AK607" s="6">
        <f t="shared" si="95"/>
        <v>144252885</v>
      </c>
    </row>
    <row r="608" spans="1:37">
      <c r="A608" s="11" t="s">
        <v>455</v>
      </c>
      <c r="B608" s="11"/>
      <c r="C608" s="11" t="s">
        <v>54</v>
      </c>
      <c r="E608" s="6">
        <v>3824006</v>
      </c>
      <c r="G608" s="6">
        <v>0</v>
      </c>
      <c r="I608" s="6">
        <v>8144330</v>
      </c>
      <c r="K608" s="6">
        <v>44120</v>
      </c>
      <c r="M608" s="6">
        <f>529602+150827</f>
        <v>680429</v>
      </c>
      <c r="O608" s="6">
        <v>0</v>
      </c>
      <c r="Q608" s="6">
        <v>507166</v>
      </c>
      <c r="S608" s="6">
        <v>1720</v>
      </c>
      <c r="U608" s="6">
        <v>250000</v>
      </c>
      <c r="W608" s="2">
        <f t="shared" si="99"/>
        <v>13451771</v>
      </c>
      <c r="Y608" s="6">
        <v>0</v>
      </c>
      <c r="AA608" s="6">
        <v>0</v>
      </c>
      <c r="AC608" s="6">
        <v>0</v>
      </c>
      <c r="AE608" s="6">
        <v>0</v>
      </c>
      <c r="AG608" s="6">
        <v>0</v>
      </c>
      <c r="AI608" s="6">
        <f t="shared" si="98"/>
        <v>0</v>
      </c>
      <c r="AK608" s="6">
        <f t="shared" si="95"/>
        <v>13451771</v>
      </c>
    </row>
    <row r="609" spans="1:37">
      <c r="A609" s="11" t="s">
        <v>281</v>
      </c>
      <c r="B609" s="11"/>
      <c r="C609" s="11" t="s">
        <v>20</v>
      </c>
      <c r="E609" s="6">
        <v>38764058</v>
      </c>
      <c r="G609" s="6">
        <v>0</v>
      </c>
      <c r="I609" s="6">
        <v>9351617</v>
      </c>
      <c r="K609" s="6">
        <v>180349</v>
      </c>
      <c r="M609" s="6">
        <f>688926+22711+257721+52158+18060</f>
        <v>1039576</v>
      </c>
      <c r="O609" s="6">
        <v>106264</v>
      </c>
      <c r="Q609" s="6">
        <v>0</v>
      </c>
      <c r="S609" s="6">
        <v>56476</v>
      </c>
      <c r="U609" s="6">
        <v>53033</v>
      </c>
      <c r="W609" s="2">
        <f t="shared" si="99"/>
        <v>49551373</v>
      </c>
      <c r="Y609" s="6">
        <v>0</v>
      </c>
      <c r="AA609" s="6">
        <v>0</v>
      </c>
      <c r="AC609" s="6">
        <v>0</v>
      </c>
      <c r="AE609" s="6">
        <v>427</v>
      </c>
      <c r="AG609" s="6">
        <v>0</v>
      </c>
      <c r="AI609" s="6">
        <f t="shared" si="98"/>
        <v>427</v>
      </c>
      <c r="AK609" s="6">
        <f t="shared" si="95"/>
        <v>49551800</v>
      </c>
    </row>
    <row r="610" spans="1:37">
      <c r="A610" s="11" t="s">
        <v>486</v>
      </c>
      <c r="B610" s="11"/>
      <c r="C610" s="11" t="s">
        <v>59</v>
      </c>
      <c r="E610" s="6">
        <v>2666003</v>
      </c>
      <c r="G610" s="6">
        <v>0</v>
      </c>
      <c r="I610" s="6">
        <v>6785645</v>
      </c>
      <c r="K610" s="6">
        <v>36112</v>
      </c>
      <c r="M610" s="6">
        <f>1918353+260</f>
        <v>1918613</v>
      </c>
      <c r="O610" s="6">
        <v>23878</v>
      </c>
      <c r="Q610" s="6">
        <v>0</v>
      </c>
      <c r="S610" s="6">
        <v>7228</v>
      </c>
      <c r="U610" s="6">
        <v>20760</v>
      </c>
      <c r="W610" s="2">
        <f t="shared" si="99"/>
        <v>11458239</v>
      </c>
      <c r="Y610" s="6">
        <v>0</v>
      </c>
      <c r="AA610" s="6">
        <v>0</v>
      </c>
      <c r="AC610" s="6">
        <v>0</v>
      </c>
      <c r="AE610" s="6">
        <v>0</v>
      </c>
      <c r="AG610" s="6">
        <v>0</v>
      </c>
      <c r="AI610" s="6">
        <f t="shared" si="98"/>
        <v>0</v>
      </c>
      <c r="AK610" s="6">
        <f t="shared" ref="AK610:AK630" si="100">+AI610+W610</f>
        <v>11458239</v>
      </c>
    </row>
    <row r="611" spans="1:37">
      <c r="A611" s="11" t="s">
        <v>310</v>
      </c>
      <c r="B611" s="11"/>
      <c r="C611" s="11" t="s">
        <v>27</v>
      </c>
      <c r="E611" s="6">
        <v>9065196</v>
      </c>
      <c r="G611" s="6">
        <v>0</v>
      </c>
      <c r="I611" s="6">
        <f>52223+18636180+183200</f>
        <v>18871603</v>
      </c>
      <c r="K611" s="6">
        <v>138122</v>
      </c>
      <c r="M611" s="6">
        <v>205372</v>
      </c>
      <c r="O611" s="6">
        <v>8929</v>
      </c>
      <c r="Q611" s="6">
        <v>1023983</v>
      </c>
      <c r="S611" s="6">
        <v>0</v>
      </c>
      <c r="U611" s="6">
        <v>176278</v>
      </c>
      <c r="W611" s="2">
        <f t="shared" si="99"/>
        <v>29489483</v>
      </c>
      <c r="Y611" s="6">
        <v>0</v>
      </c>
      <c r="AA611" s="6">
        <v>0</v>
      </c>
      <c r="AC611" s="6">
        <v>0</v>
      </c>
      <c r="AE611" s="6">
        <v>0</v>
      </c>
      <c r="AG611" s="6">
        <v>0</v>
      </c>
      <c r="AI611" s="6">
        <f t="shared" si="98"/>
        <v>0</v>
      </c>
      <c r="AK611" s="6">
        <f t="shared" si="100"/>
        <v>29489483</v>
      </c>
    </row>
    <row r="612" spans="1:37" hidden="1">
      <c r="A612" s="11" t="s">
        <v>622</v>
      </c>
      <c r="B612" s="11"/>
      <c r="C612" s="11" t="s">
        <v>41</v>
      </c>
      <c r="W612" s="2">
        <f t="shared" si="99"/>
        <v>0</v>
      </c>
      <c r="AG612" s="6">
        <v>0</v>
      </c>
      <c r="AI612" s="6">
        <f t="shared" si="98"/>
        <v>0</v>
      </c>
      <c r="AK612" s="6">
        <f t="shared" si="100"/>
        <v>0</v>
      </c>
    </row>
    <row r="613" spans="1:37">
      <c r="A613" s="11" t="s">
        <v>360</v>
      </c>
      <c r="B613" s="11"/>
      <c r="C613" s="11" t="s">
        <v>37</v>
      </c>
      <c r="E613" s="6">
        <v>4093291</v>
      </c>
      <c r="G613" s="6">
        <v>0</v>
      </c>
      <c r="I613" s="6">
        <f>472+10303246+144867</f>
        <v>10448585</v>
      </c>
      <c r="K613" s="6">
        <v>7513</v>
      </c>
      <c r="M613" s="6">
        <f>210945+11813+29537+6056+1335</f>
        <v>259686</v>
      </c>
      <c r="O613" s="6">
        <v>47602</v>
      </c>
      <c r="Q613" s="6">
        <v>0</v>
      </c>
      <c r="S613" s="6">
        <v>75</v>
      </c>
      <c r="U613" s="6">
        <v>159717</v>
      </c>
      <c r="W613" s="2">
        <f t="shared" si="99"/>
        <v>15016469</v>
      </c>
      <c r="Y613" s="6">
        <v>0</v>
      </c>
      <c r="AA613" s="6">
        <v>0</v>
      </c>
      <c r="AC613" s="6">
        <v>0</v>
      </c>
      <c r="AE613" s="6">
        <v>21565</v>
      </c>
      <c r="AG613" s="6">
        <v>0</v>
      </c>
      <c r="AI613" s="6">
        <f t="shared" si="98"/>
        <v>21565</v>
      </c>
      <c r="AK613" s="6">
        <f t="shared" si="100"/>
        <v>15038034</v>
      </c>
    </row>
    <row r="614" spans="1:37" hidden="1">
      <c r="A614" s="11" t="s">
        <v>893</v>
      </c>
      <c r="B614" s="11"/>
      <c r="C614" s="11" t="s">
        <v>113</v>
      </c>
      <c r="D614" s="9"/>
      <c r="E614" s="6">
        <v>0</v>
      </c>
      <c r="G614" s="6">
        <v>0</v>
      </c>
      <c r="I614" s="6">
        <v>0</v>
      </c>
      <c r="K614" s="6">
        <v>0</v>
      </c>
      <c r="M614" s="6">
        <v>0</v>
      </c>
      <c r="O614" s="6">
        <v>0</v>
      </c>
      <c r="Q614" s="6">
        <v>0</v>
      </c>
      <c r="S614" s="6">
        <v>0</v>
      </c>
      <c r="U614" s="6">
        <v>0</v>
      </c>
      <c r="W614" s="2">
        <f t="shared" si="99"/>
        <v>0</v>
      </c>
      <c r="Y614" s="6">
        <v>0</v>
      </c>
      <c r="AA614" s="6">
        <v>0</v>
      </c>
      <c r="AC614" s="6">
        <v>0</v>
      </c>
      <c r="AE614" s="6">
        <v>0</v>
      </c>
      <c r="AG614" s="6">
        <v>0</v>
      </c>
      <c r="AI614" s="6">
        <f t="shared" si="98"/>
        <v>0</v>
      </c>
      <c r="AK614" s="6">
        <f t="shared" si="100"/>
        <v>0</v>
      </c>
    </row>
    <row r="615" spans="1:37">
      <c r="A615" s="11" t="s">
        <v>365</v>
      </c>
      <c r="B615" s="11"/>
      <c r="C615" s="11" t="s">
        <v>41</v>
      </c>
      <c r="E615" s="6">
        <v>53982922</v>
      </c>
      <c r="G615" s="6">
        <v>0</v>
      </c>
      <c r="I615" s="6">
        <v>24781439</v>
      </c>
      <c r="K615" s="6">
        <v>37484</v>
      </c>
      <c r="M615" s="6">
        <f>1458931+205735+615606</f>
        <v>2280272</v>
      </c>
      <c r="O615" s="6">
        <v>246270</v>
      </c>
      <c r="Q615" s="6">
        <v>0</v>
      </c>
      <c r="S615" s="6">
        <v>193491</v>
      </c>
      <c r="U615" s="6">
        <v>238656</v>
      </c>
      <c r="W615" s="2">
        <f t="shared" si="99"/>
        <v>81760534</v>
      </c>
      <c r="Y615" s="6">
        <v>0</v>
      </c>
      <c r="AA615" s="6">
        <v>0</v>
      </c>
      <c r="AC615" s="6">
        <v>0</v>
      </c>
      <c r="AE615" s="6">
        <v>0</v>
      </c>
      <c r="AG615" s="6">
        <v>0</v>
      </c>
      <c r="AI615" s="6">
        <f t="shared" si="98"/>
        <v>0</v>
      </c>
      <c r="AK615" s="6">
        <f t="shared" si="100"/>
        <v>81760534</v>
      </c>
    </row>
    <row r="616" spans="1:37">
      <c r="A616" s="11" t="s">
        <v>245</v>
      </c>
      <c r="B616" s="11"/>
      <c r="C616" s="11" t="s">
        <v>18</v>
      </c>
      <c r="D616" s="9"/>
      <c r="E616" s="6">
        <v>12970715</v>
      </c>
      <c r="G616" s="6">
        <v>0</v>
      </c>
      <c r="I616" s="6">
        <v>10108107</v>
      </c>
      <c r="K616" s="6">
        <v>6889</v>
      </c>
      <c r="M616" s="6">
        <f>759887</f>
        <v>759887</v>
      </c>
      <c r="O616" s="6">
        <v>0</v>
      </c>
      <c r="Q616" s="6">
        <v>0</v>
      </c>
      <c r="S616" s="6">
        <v>0</v>
      </c>
      <c r="U616" s="6">
        <v>0</v>
      </c>
      <c r="W616" s="2">
        <f t="shared" si="99"/>
        <v>23845598</v>
      </c>
      <c r="Y616" s="6">
        <v>0</v>
      </c>
      <c r="AA616" s="6">
        <v>0</v>
      </c>
      <c r="AC616" s="6">
        <v>0</v>
      </c>
      <c r="AE616" s="6">
        <v>0</v>
      </c>
      <c r="AG616" s="6">
        <v>0</v>
      </c>
      <c r="AI616" s="6">
        <f t="shared" si="98"/>
        <v>0</v>
      </c>
      <c r="AK616" s="6">
        <f t="shared" si="100"/>
        <v>23845598</v>
      </c>
    </row>
    <row r="617" spans="1:37">
      <c r="A617" s="11" t="s">
        <v>782</v>
      </c>
      <c r="B617" s="11"/>
      <c r="C617" s="11" t="s">
        <v>56</v>
      </c>
      <c r="E617" s="6">
        <v>1328598</v>
      </c>
      <c r="G617" s="6">
        <v>0</v>
      </c>
      <c r="I617" s="6">
        <f>6161765+73568</f>
        <v>6235333</v>
      </c>
      <c r="K617" s="6">
        <v>10109</v>
      </c>
      <c r="M617" s="6">
        <f>215191+1839</f>
        <v>217030</v>
      </c>
      <c r="O617" s="6">
        <v>29126</v>
      </c>
      <c r="Q617" s="6">
        <v>4390</v>
      </c>
      <c r="S617" s="6">
        <v>13505</v>
      </c>
      <c r="U617" s="6">
        <v>38830</v>
      </c>
      <c r="W617" s="2">
        <f t="shared" si="99"/>
        <v>7876921</v>
      </c>
      <c r="Y617" s="6">
        <v>0</v>
      </c>
      <c r="AA617" s="6">
        <v>0</v>
      </c>
      <c r="AC617" s="6">
        <v>0</v>
      </c>
      <c r="AE617" s="6">
        <v>0</v>
      </c>
      <c r="AG617" s="6">
        <v>0</v>
      </c>
      <c r="AI617" s="6">
        <f t="shared" si="98"/>
        <v>0</v>
      </c>
      <c r="AK617" s="6">
        <f t="shared" si="100"/>
        <v>7876921</v>
      </c>
    </row>
    <row r="618" spans="1:37">
      <c r="A618" s="11" t="s">
        <v>332</v>
      </c>
      <c r="B618" s="11"/>
      <c r="C618" s="11" t="s">
        <v>32</v>
      </c>
      <c r="E618" s="6">
        <v>22153113</v>
      </c>
      <c r="G618" s="6">
        <v>0</v>
      </c>
      <c r="I618" s="6">
        <v>17965946</v>
      </c>
      <c r="K618" s="6">
        <v>12698</v>
      </c>
      <c r="M618" s="6">
        <f>1501985+227102</f>
        <v>1729087</v>
      </c>
      <c r="O618" s="6">
        <v>38385</v>
      </c>
      <c r="Q618" s="6">
        <v>491051</v>
      </c>
      <c r="S618" s="6">
        <v>0</v>
      </c>
      <c r="U618" s="6">
        <v>638315</v>
      </c>
      <c r="W618" s="2">
        <f t="shared" si="99"/>
        <v>43028595</v>
      </c>
      <c r="Y618" s="6">
        <v>0</v>
      </c>
      <c r="AA618" s="6">
        <v>0</v>
      </c>
      <c r="AC618" s="6">
        <v>0</v>
      </c>
      <c r="AE618" s="6">
        <v>0</v>
      </c>
      <c r="AG618" s="6">
        <v>0</v>
      </c>
      <c r="AI618" s="6">
        <f t="shared" si="98"/>
        <v>0</v>
      </c>
      <c r="AK618" s="6">
        <f t="shared" si="100"/>
        <v>43028595</v>
      </c>
    </row>
    <row r="619" spans="1:37">
      <c r="A619" s="11" t="s">
        <v>550</v>
      </c>
      <c r="B619" s="11"/>
      <c r="C619" s="11" t="s">
        <v>70</v>
      </c>
      <c r="E619" s="6">
        <v>4400348</v>
      </c>
      <c r="G619" s="6">
        <v>0</v>
      </c>
      <c r="I619" s="6">
        <v>2068944</v>
      </c>
      <c r="K619" s="6">
        <v>46757</v>
      </c>
      <c r="M619" s="6">
        <v>323341</v>
      </c>
      <c r="O619" s="6">
        <v>9932</v>
      </c>
      <c r="Q619" s="6">
        <v>0</v>
      </c>
      <c r="S619" s="6">
        <v>78165</v>
      </c>
      <c r="U619" s="6">
        <v>53048</v>
      </c>
      <c r="W619" s="2">
        <f t="shared" si="99"/>
        <v>6980535</v>
      </c>
      <c r="Y619" s="6">
        <v>0</v>
      </c>
      <c r="AA619" s="6">
        <v>0</v>
      </c>
      <c r="AC619" s="6">
        <v>0</v>
      </c>
      <c r="AE619" s="6">
        <v>0</v>
      </c>
      <c r="AG619" s="6">
        <v>0</v>
      </c>
      <c r="AI619" s="6">
        <f t="shared" si="98"/>
        <v>0</v>
      </c>
      <c r="AK619" s="6">
        <f t="shared" si="100"/>
        <v>6980535</v>
      </c>
    </row>
    <row r="620" spans="1:37">
      <c r="A620" s="11" t="s">
        <v>478</v>
      </c>
      <c r="B620" s="11"/>
      <c r="C620" s="11" t="s">
        <v>79</v>
      </c>
      <c r="E620" s="6">
        <v>3730598</v>
      </c>
      <c r="G620" s="6">
        <v>0</v>
      </c>
      <c r="I620" s="6">
        <v>4404150</v>
      </c>
      <c r="K620" s="6">
        <v>2677</v>
      </c>
      <c r="M620" s="6">
        <f>362921+64934+11000</f>
        <v>438855</v>
      </c>
      <c r="O620" s="6">
        <v>28161</v>
      </c>
      <c r="Q620" s="6">
        <v>0</v>
      </c>
      <c r="S620" s="6">
        <v>0</v>
      </c>
      <c r="U620" s="6">
        <v>450</v>
      </c>
      <c r="W620" s="2">
        <f t="shared" si="99"/>
        <v>8604891</v>
      </c>
      <c r="Y620" s="6">
        <v>0</v>
      </c>
      <c r="AA620" s="6">
        <v>0</v>
      </c>
      <c r="AC620" s="6">
        <v>0</v>
      </c>
      <c r="AE620" s="6">
        <v>0</v>
      </c>
      <c r="AG620" s="6">
        <v>0</v>
      </c>
      <c r="AI620" s="6">
        <f t="shared" si="98"/>
        <v>0</v>
      </c>
      <c r="AK620" s="6">
        <f t="shared" si="100"/>
        <v>8604891</v>
      </c>
    </row>
    <row r="621" spans="1:37">
      <c r="A621" s="11" t="s">
        <v>517</v>
      </c>
      <c r="B621" s="11"/>
      <c r="C621" s="11" t="s">
        <v>63</v>
      </c>
      <c r="E621" s="6">
        <v>13877593</v>
      </c>
      <c r="G621" s="6">
        <v>0</v>
      </c>
      <c r="I621" s="6">
        <v>4987599</v>
      </c>
      <c r="K621" s="6">
        <v>9323</v>
      </c>
      <c r="M621" s="6">
        <f>1117539+2919</f>
        <v>1120458</v>
      </c>
      <c r="O621" s="6">
        <v>128200</v>
      </c>
      <c r="Q621" s="6">
        <v>227445</v>
      </c>
      <c r="S621" s="6">
        <v>26164</v>
      </c>
      <c r="U621" s="6">
        <v>28579</v>
      </c>
      <c r="W621" s="2">
        <f t="shared" si="99"/>
        <v>20405361</v>
      </c>
      <c r="Y621" s="6">
        <v>0</v>
      </c>
      <c r="AA621" s="6">
        <v>0</v>
      </c>
      <c r="AC621" s="6">
        <v>2276</v>
      </c>
      <c r="AE621" s="6">
        <v>0</v>
      </c>
      <c r="AG621" s="6">
        <v>0</v>
      </c>
      <c r="AI621" s="6">
        <f t="shared" si="98"/>
        <v>2276</v>
      </c>
      <c r="AK621" s="6">
        <f t="shared" si="100"/>
        <v>20407637</v>
      </c>
    </row>
    <row r="622" spans="1:37">
      <c r="A622" s="11" t="s">
        <v>623</v>
      </c>
      <c r="B622" s="11"/>
      <c r="C622" s="11" t="s">
        <v>71</v>
      </c>
      <c r="E622" s="6">
        <v>27058977</v>
      </c>
      <c r="G622" s="6">
        <v>0</v>
      </c>
      <c r="I622" s="6">
        <v>16206730</v>
      </c>
      <c r="K622" s="6">
        <v>94326</v>
      </c>
      <c r="M622" s="6">
        <f>835660+78848</f>
        <v>914508</v>
      </c>
      <c r="O622" s="6">
        <v>142750</v>
      </c>
      <c r="Q622" s="6">
        <v>0</v>
      </c>
      <c r="S622" s="6">
        <v>0</v>
      </c>
      <c r="U622" s="6">
        <v>33556</v>
      </c>
      <c r="W622" s="2">
        <f t="shared" si="99"/>
        <v>44450847</v>
      </c>
      <c r="Y622" s="6">
        <v>0</v>
      </c>
      <c r="AA622" s="6">
        <v>0</v>
      </c>
      <c r="AC622" s="6">
        <v>0</v>
      </c>
      <c r="AE622" s="6">
        <v>922</v>
      </c>
      <c r="AG622" s="6">
        <v>0</v>
      </c>
      <c r="AI622" s="6">
        <f t="shared" si="98"/>
        <v>922</v>
      </c>
      <c r="AK622" s="6">
        <f t="shared" si="100"/>
        <v>44451769</v>
      </c>
    </row>
    <row r="623" spans="1:37">
      <c r="A623" s="11" t="s">
        <v>311</v>
      </c>
      <c r="B623" s="11"/>
      <c r="C623" s="11" t="s">
        <v>27</v>
      </c>
      <c r="E623" s="6">
        <v>82750042</v>
      </c>
      <c r="G623" s="6">
        <v>0</v>
      </c>
      <c r="I623" s="6">
        <v>35647818</v>
      </c>
      <c r="K623" s="6">
        <v>263780</v>
      </c>
      <c r="M623" s="6">
        <f>1591359+309289</f>
        <v>1900648</v>
      </c>
      <c r="O623" s="6">
        <v>0</v>
      </c>
      <c r="Q623" s="6">
        <v>0</v>
      </c>
      <c r="S623" s="6">
        <v>0</v>
      </c>
      <c r="U623" s="6">
        <v>610275</v>
      </c>
      <c r="W623" s="2">
        <f t="shared" si="99"/>
        <v>121172563</v>
      </c>
      <c r="Y623" s="6">
        <v>0</v>
      </c>
      <c r="AA623" s="6">
        <v>0</v>
      </c>
      <c r="AC623" s="6">
        <v>0</v>
      </c>
      <c r="AE623" s="6">
        <v>10423</v>
      </c>
      <c r="AG623" s="6">
        <v>0</v>
      </c>
      <c r="AI623" s="6">
        <f t="shared" si="98"/>
        <v>10423</v>
      </c>
      <c r="AK623" s="6">
        <f t="shared" si="100"/>
        <v>121182986</v>
      </c>
    </row>
    <row r="624" spans="1:37">
      <c r="A624" s="11" t="s">
        <v>260</v>
      </c>
      <c r="B624" s="11"/>
      <c r="C624" s="11" t="s">
        <v>111</v>
      </c>
      <c r="E624" s="6">
        <v>3323688</v>
      </c>
      <c r="G624" s="6">
        <v>0</v>
      </c>
      <c r="I624" s="6">
        <f>5790102+56353</f>
        <v>5846455</v>
      </c>
      <c r="K624" s="6">
        <v>15151</v>
      </c>
      <c r="M624" s="6">
        <f>887400+48269+1650</f>
        <v>937319</v>
      </c>
      <c r="O624" s="6">
        <v>0</v>
      </c>
      <c r="Q624" s="6">
        <v>0</v>
      </c>
      <c r="S624" s="6">
        <v>0</v>
      </c>
      <c r="U624" s="6">
        <v>40349</v>
      </c>
      <c r="W624" s="2">
        <f t="shared" si="99"/>
        <v>10162962</v>
      </c>
      <c r="Y624" s="6">
        <v>0</v>
      </c>
      <c r="AA624" s="6">
        <v>0</v>
      </c>
      <c r="AC624" s="6">
        <v>0</v>
      </c>
      <c r="AE624" s="6">
        <v>0</v>
      </c>
      <c r="AG624" s="6">
        <v>0</v>
      </c>
      <c r="AI624" s="6">
        <f t="shared" si="98"/>
        <v>0</v>
      </c>
      <c r="AK624" s="6">
        <f t="shared" si="100"/>
        <v>10162962</v>
      </c>
    </row>
    <row r="625" spans="1:37">
      <c r="A625" s="11" t="s">
        <v>333</v>
      </c>
      <c r="B625" s="11"/>
      <c r="C625" s="11" t="s">
        <v>32</v>
      </c>
      <c r="E625" s="6">
        <v>14588664</v>
      </c>
      <c r="G625" s="6">
        <v>0</v>
      </c>
      <c r="I625" s="6">
        <v>6347229</v>
      </c>
      <c r="K625" s="6">
        <v>75601</v>
      </c>
      <c r="M625" s="6">
        <f>735251</f>
        <v>735251</v>
      </c>
      <c r="O625" s="6">
        <v>11969</v>
      </c>
      <c r="Q625" s="6">
        <v>0</v>
      </c>
      <c r="S625" s="6">
        <v>0</v>
      </c>
      <c r="U625" s="6">
        <v>304158</v>
      </c>
      <c r="W625" s="2">
        <f t="shared" si="99"/>
        <v>22062872</v>
      </c>
      <c r="Y625" s="6">
        <v>0</v>
      </c>
      <c r="AA625" s="6">
        <v>0</v>
      </c>
      <c r="AC625" s="6">
        <v>0</v>
      </c>
      <c r="AE625" s="6">
        <v>0</v>
      </c>
      <c r="AG625" s="6">
        <v>0</v>
      </c>
      <c r="AI625" s="6">
        <f t="shared" si="98"/>
        <v>0</v>
      </c>
      <c r="AK625" s="6">
        <f t="shared" si="100"/>
        <v>22062872</v>
      </c>
    </row>
    <row r="626" spans="1:37">
      <c r="A626" s="10" t="s">
        <v>884</v>
      </c>
      <c r="B626" s="10"/>
      <c r="C626" s="10" t="s">
        <v>114</v>
      </c>
      <c r="E626" s="6">
        <v>17820000</v>
      </c>
      <c r="G626" s="6">
        <v>3194973</v>
      </c>
      <c r="I626" s="6">
        <v>21417674</v>
      </c>
      <c r="K626" s="6">
        <v>23632</v>
      </c>
      <c r="M626" s="6">
        <f>992228+91776+7987</f>
        <v>1091991</v>
      </c>
      <c r="O626" s="6">
        <v>92107</v>
      </c>
      <c r="Q626" s="6">
        <v>31924</v>
      </c>
      <c r="S626" s="6">
        <v>7099</v>
      </c>
      <c r="U626" s="6">
        <v>16912</v>
      </c>
      <c r="W626" s="2">
        <f t="shared" ref="W626" si="101">SUM(E626:V626)</f>
        <v>43696312</v>
      </c>
      <c r="Y626" s="6">
        <v>0</v>
      </c>
      <c r="AA626" s="6">
        <v>0</v>
      </c>
      <c r="AC626" s="6">
        <v>0</v>
      </c>
      <c r="AE626" s="6">
        <v>210</v>
      </c>
      <c r="AG626" s="6">
        <v>0</v>
      </c>
      <c r="AI626" s="6">
        <f t="shared" ref="AI626" si="102">SUM(Y626:AH626)</f>
        <v>210</v>
      </c>
      <c r="AK626" s="6">
        <f t="shared" ref="AK626" si="103">+AI626+W626</f>
        <v>43696522</v>
      </c>
    </row>
    <row r="627" spans="1:37">
      <c r="A627" s="11" t="s">
        <v>783</v>
      </c>
      <c r="B627" s="11"/>
      <c r="C627" s="11" t="s">
        <v>114</v>
      </c>
      <c r="E627" s="6">
        <v>3274623</v>
      </c>
      <c r="G627" s="6">
        <v>1331297</v>
      </c>
      <c r="I627" s="6">
        <v>1662922</v>
      </c>
      <c r="K627" s="6">
        <v>8117</v>
      </c>
      <c r="M627" s="6">
        <f>841051+2950</f>
        <v>844001</v>
      </c>
      <c r="O627" s="6">
        <v>14812</v>
      </c>
      <c r="Q627" s="6">
        <v>0</v>
      </c>
      <c r="S627" s="6">
        <v>12035</v>
      </c>
      <c r="U627" s="6">
        <v>1964</v>
      </c>
      <c r="W627" s="2">
        <f t="shared" si="99"/>
        <v>7149771</v>
      </c>
      <c r="Y627" s="6">
        <v>0</v>
      </c>
      <c r="AA627" s="6">
        <v>0</v>
      </c>
      <c r="AC627" s="6">
        <v>0</v>
      </c>
      <c r="AE627" s="6">
        <v>900</v>
      </c>
      <c r="AG627" s="6">
        <v>0</v>
      </c>
      <c r="AI627" s="6">
        <f t="shared" si="98"/>
        <v>900</v>
      </c>
      <c r="AK627" s="6">
        <f t="shared" si="100"/>
        <v>7150671</v>
      </c>
    </row>
    <row r="628" spans="1:37">
      <c r="A628" s="11" t="s">
        <v>409</v>
      </c>
      <c r="B628" s="11"/>
      <c r="C628" s="11" t="s">
        <v>45</v>
      </c>
      <c r="E628" s="6">
        <v>20073384</v>
      </c>
      <c r="G628" s="6">
        <v>0</v>
      </c>
      <c r="I628" s="6">
        <v>85736419</v>
      </c>
      <c r="K628" s="6">
        <v>47778</v>
      </c>
      <c r="M628" s="6">
        <f>498261+113485</f>
        <v>611746</v>
      </c>
      <c r="O628" s="6">
        <v>56336</v>
      </c>
      <c r="Q628" s="6">
        <v>0</v>
      </c>
      <c r="S628" s="6">
        <v>24012</v>
      </c>
      <c r="U628" s="6">
        <v>112547</v>
      </c>
      <c r="W628" s="2">
        <f t="shared" si="99"/>
        <v>106662222</v>
      </c>
      <c r="Y628" s="6">
        <v>0</v>
      </c>
      <c r="AA628" s="6">
        <v>0</v>
      </c>
      <c r="AC628" s="6">
        <v>0</v>
      </c>
      <c r="AE628" s="6">
        <v>0</v>
      </c>
      <c r="AG628" s="6">
        <v>0</v>
      </c>
      <c r="AI628" s="6">
        <f t="shared" si="98"/>
        <v>0</v>
      </c>
      <c r="AK628" s="6">
        <f t="shared" si="100"/>
        <v>106662222</v>
      </c>
    </row>
    <row r="629" spans="1:37">
      <c r="A629" s="11" t="s">
        <v>477</v>
      </c>
      <c r="B629" s="11"/>
      <c r="C629" s="11" t="s">
        <v>58</v>
      </c>
      <c r="E629" s="6">
        <v>3282993</v>
      </c>
      <c r="G629" s="6">
        <v>3212</v>
      </c>
      <c r="I629" s="6">
        <v>7380263</v>
      </c>
      <c r="K629" s="6">
        <v>9922</v>
      </c>
      <c r="M629" s="6">
        <f>610152+143083</f>
        <v>753235</v>
      </c>
      <c r="O629" s="6">
        <v>66963</v>
      </c>
      <c r="Q629" s="6">
        <v>0</v>
      </c>
      <c r="S629" s="6">
        <v>53082</v>
      </c>
      <c r="U629" s="6">
        <v>48532</v>
      </c>
      <c r="W629" s="2">
        <f t="shared" si="99"/>
        <v>11598202</v>
      </c>
      <c r="Y629" s="6">
        <v>0</v>
      </c>
      <c r="AA629" s="6">
        <v>0</v>
      </c>
      <c r="AC629" s="6">
        <v>0</v>
      </c>
      <c r="AE629" s="6">
        <v>0</v>
      </c>
      <c r="AG629" s="6">
        <v>0</v>
      </c>
      <c r="AI629" s="6">
        <f t="shared" si="98"/>
        <v>0</v>
      </c>
      <c r="AK629" s="6">
        <f t="shared" si="100"/>
        <v>11598202</v>
      </c>
    </row>
    <row r="630" spans="1:37">
      <c r="A630" s="11" t="s">
        <v>448</v>
      </c>
      <c r="B630" s="11"/>
      <c r="C630" s="11" t="s">
        <v>51</v>
      </c>
      <c r="E630" s="6">
        <v>11474491</v>
      </c>
      <c r="G630" s="6">
        <v>0</v>
      </c>
      <c r="I630" s="6">
        <v>24103618</v>
      </c>
      <c r="K630" s="6">
        <v>26777</v>
      </c>
      <c r="M630" s="6">
        <f>1551730+96891+216691</f>
        <v>1865312</v>
      </c>
      <c r="O630" s="6">
        <v>21643</v>
      </c>
      <c r="Q630" s="6">
        <v>7431</v>
      </c>
      <c r="S630" s="6">
        <v>23140</v>
      </c>
      <c r="U630" s="6">
        <v>114997</v>
      </c>
      <c r="W630" s="2">
        <f t="shared" si="99"/>
        <v>37637409</v>
      </c>
      <c r="Y630" s="6">
        <v>0</v>
      </c>
      <c r="AA630" s="6">
        <v>0</v>
      </c>
      <c r="AC630" s="6">
        <v>0</v>
      </c>
      <c r="AE630" s="6">
        <v>0</v>
      </c>
      <c r="AG630" s="6">
        <v>0</v>
      </c>
      <c r="AI630" s="6">
        <f t="shared" si="98"/>
        <v>0</v>
      </c>
      <c r="AK630" s="6">
        <f t="shared" si="100"/>
        <v>37637409</v>
      </c>
    </row>
    <row r="631" spans="1:37">
      <c r="A631" s="11"/>
      <c r="B631" s="11"/>
      <c r="C631" s="11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</sheetData>
  <mergeCells count="1">
    <mergeCell ref="Y6:AE6"/>
  </mergeCells>
  <phoneticPr fontId="3" type="noConversion"/>
  <pageMargins left="0.9" right="0.75" top="0.5" bottom="0.5" header="0.25" footer="0.25"/>
  <pageSetup scale="77" firstPageNumber="96" fitToWidth="2" fitToHeight="18" pageOrder="overThenDown" orientation="portrait" useFirstPageNumber="1" r:id="rId1"/>
  <headerFooter alignWithMargins="0"/>
  <rowBreaks count="1" manualBreakCount="1">
    <brk id="562" max="38" man="1"/>
  </rowBreaks>
  <colBreaks count="1" manualBreakCount="1">
    <brk id="15" max="61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631"/>
  <sheetViews>
    <sheetView view="pageBreakPreview" zoomScaleNormal="100" zoomScaleSheetLayoutView="100" workbookViewId="0">
      <pane xSplit="3" ySplit="9" topLeftCell="D10" activePane="bottomRight" state="frozen"/>
      <selection activeCell="A563" sqref="A563:XFD563"/>
      <selection pane="topRight" activeCell="A563" sqref="A563:XFD563"/>
      <selection pane="bottomLeft" activeCell="A563" sqref="A563:XFD563"/>
      <selection pane="bottomRight" activeCell="D10" sqref="D10"/>
    </sheetView>
  </sheetViews>
  <sheetFormatPr defaultColWidth="9.140625" defaultRowHeight="12"/>
  <cols>
    <col min="1" max="1" width="34.7109375" style="6" customWidth="1"/>
    <col min="2" max="2" width="1.7109375" style="6" customWidth="1"/>
    <col min="3" max="3" width="10.140625" style="6" customWidth="1"/>
    <col min="4" max="4" width="1.7109375" style="6" customWidth="1"/>
    <col min="5" max="5" width="10.140625" style="6" bestFit="1" customWidth="1"/>
    <col min="6" max="6" width="1.5703125" style="6" customWidth="1"/>
    <col min="7" max="7" width="10.140625" style="6" bestFit="1" customWidth="1"/>
    <col min="8" max="8" width="1.5703125" style="6" customWidth="1"/>
    <col min="9" max="9" width="9.28515625" style="6" bestFit="1" customWidth="1"/>
    <col min="10" max="10" width="1.5703125" style="6" customWidth="1"/>
    <col min="11" max="11" width="8.5703125" style="6" bestFit="1" customWidth="1"/>
    <col min="12" max="12" width="1.5703125" style="6" customWidth="1"/>
    <col min="13" max="13" width="9.28515625" style="6" bestFit="1" customWidth="1"/>
    <col min="14" max="14" width="1.5703125" style="6" customWidth="1"/>
    <col min="15" max="15" width="9.28515625" style="6" bestFit="1" customWidth="1"/>
    <col min="16" max="16" width="1.5703125" style="6" customWidth="1"/>
    <col min="17" max="17" width="9.7109375" style="6" bestFit="1" customWidth="1"/>
    <col min="18" max="18" width="1.5703125" style="6" customWidth="1"/>
    <col min="19" max="19" width="8.42578125" style="6" bestFit="1" customWidth="1"/>
    <col min="20" max="20" width="1.5703125" style="6" customWidth="1"/>
    <col min="21" max="21" width="11.42578125" style="6" bestFit="1" customWidth="1"/>
    <col min="22" max="22" width="1.5703125" style="6" customWidth="1"/>
    <col min="23" max="23" width="9.28515625" style="6" bestFit="1" customWidth="1"/>
    <col min="24" max="24" width="1.5703125" style="6" customWidth="1"/>
    <col min="25" max="25" width="9.7109375" style="6" customWidth="1"/>
    <col min="26" max="26" width="1.5703125" style="6" customWidth="1"/>
    <col min="27" max="27" width="10.85546875" style="6" bestFit="1" customWidth="1"/>
    <col min="28" max="28" width="1.5703125" style="6" customWidth="1"/>
    <col min="29" max="29" width="11.42578125" style="6" bestFit="1" customWidth="1"/>
    <col min="30" max="30" width="1.5703125" style="6" customWidth="1"/>
    <col min="31" max="31" width="9.28515625" style="6" bestFit="1" customWidth="1"/>
    <col min="32" max="32" width="1.5703125" style="6" customWidth="1"/>
    <col min="33" max="33" width="9.7109375" style="6" customWidth="1"/>
    <col min="34" max="34" width="1.5703125" style="6" customWidth="1"/>
    <col min="35" max="35" width="10" style="6" customWidth="1"/>
    <col min="36" max="36" width="49.5703125" style="6" customWidth="1"/>
    <col min="37" max="37" width="1.7109375" style="6" customWidth="1"/>
    <col min="38" max="38" width="10.140625" style="6" bestFit="1" customWidth="1"/>
    <col min="39" max="39" width="1.5703125" style="6" customWidth="1"/>
    <col min="40" max="40" width="11" style="6" bestFit="1" customWidth="1"/>
    <col min="41" max="41" width="1.5703125" style="6" customWidth="1"/>
    <col min="42" max="42" width="8.42578125" style="6" bestFit="1" customWidth="1"/>
    <col min="43" max="43" width="1.5703125" style="6" customWidth="1"/>
    <col min="44" max="44" width="10.140625" style="6" hidden="1" customWidth="1"/>
    <col min="45" max="45" width="1.7109375" style="6" hidden="1" customWidth="1"/>
    <col min="46" max="46" width="11" style="6" bestFit="1" customWidth="1"/>
    <col min="47" max="47" width="1.5703125" style="6" customWidth="1"/>
    <col min="48" max="48" width="9.28515625" style="6" customWidth="1"/>
    <col min="49" max="49" width="1.5703125" style="6" customWidth="1"/>
    <col min="50" max="50" width="10" style="6" bestFit="1" customWidth="1"/>
    <col min="51" max="51" width="1.7109375" style="6" customWidth="1"/>
    <col min="52" max="52" width="10.140625" style="6" bestFit="1" customWidth="1"/>
    <col min="53" max="53" width="1.7109375" style="6" customWidth="1"/>
    <col min="54" max="54" width="10.140625" style="6" bestFit="1" customWidth="1"/>
    <col min="55" max="55" width="1.7109375" style="6" customWidth="1"/>
    <col min="56" max="56" width="7.7109375" style="6" hidden="1" customWidth="1"/>
    <col min="57" max="57" width="1.7109375" style="6" hidden="1" customWidth="1"/>
    <col min="58" max="58" width="9" style="6" hidden="1" customWidth="1"/>
    <col min="59" max="59" width="1.7109375" style="6" hidden="1" customWidth="1"/>
    <col min="60" max="60" width="9.28515625" style="6" bestFit="1" customWidth="1"/>
    <col min="61" max="61" width="1.7109375" style="6" customWidth="1"/>
    <col min="62" max="62" width="10.140625" style="6" bestFit="1" customWidth="1"/>
    <col min="63" max="63" width="1.7109375" style="6" customWidth="1"/>
    <col min="64" max="64" width="9.85546875" style="6" bestFit="1" customWidth="1"/>
    <col min="65" max="65" width="1.7109375" style="6" customWidth="1"/>
    <col min="66" max="66" width="10.140625" style="6" bestFit="1" customWidth="1"/>
    <col min="67" max="67" width="1.7109375" style="6" customWidth="1"/>
    <col min="68" max="68" width="10" style="6" bestFit="1" customWidth="1"/>
    <col min="69" max="69" width="1.5703125" style="6" customWidth="1"/>
    <col min="70" max="70" width="10.85546875" style="6" customWidth="1"/>
    <col min="71" max="71" width="1.7109375" style="6" customWidth="1"/>
    <col min="72" max="72" width="10.140625" style="6" bestFit="1" customWidth="1"/>
    <col min="73" max="73" width="1.7109375" style="6" customWidth="1"/>
    <col min="74" max="74" width="11.7109375" style="7" hidden="1" customWidth="1"/>
    <col min="75" max="75" width="1.7109375" style="6" hidden="1" customWidth="1"/>
    <col min="76" max="76" width="4.140625" style="6" customWidth="1"/>
    <col min="77" max="16384" width="9.140625" style="6"/>
  </cols>
  <sheetData>
    <row r="1" spans="1:74" s="13" customFormat="1">
      <c r="A1" s="34" t="s">
        <v>128</v>
      </c>
      <c r="B1" s="34"/>
      <c r="C1" s="34"/>
      <c r="D1" s="34"/>
      <c r="E1" s="34"/>
      <c r="F1" s="34"/>
      <c r="G1" s="35"/>
      <c r="H1" s="35"/>
      <c r="I1" s="35"/>
      <c r="J1" s="35"/>
      <c r="K1" s="35"/>
      <c r="L1" s="35"/>
      <c r="M1" s="35"/>
      <c r="N1" s="35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34" t="s">
        <v>128</v>
      </c>
      <c r="AK1" s="34"/>
      <c r="AL1" s="34"/>
      <c r="AM1" s="21"/>
      <c r="AN1" s="21"/>
      <c r="AO1" s="21"/>
      <c r="AP1" s="21"/>
      <c r="AQ1" s="24"/>
      <c r="AR1" s="24"/>
      <c r="AS1" s="24"/>
      <c r="AT1" s="24"/>
      <c r="BV1" s="22"/>
    </row>
    <row r="2" spans="1:74" s="13" customFormat="1">
      <c r="A2" s="34" t="s">
        <v>852</v>
      </c>
      <c r="B2" s="34"/>
      <c r="C2" s="34"/>
      <c r="D2" s="34"/>
      <c r="E2" s="34"/>
      <c r="F2" s="34"/>
      <c r="G2" s="35"/>
      <c r="H2" s="35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34" t="s">
        <v>852</v>
      </c>
      <c r="AK2" s="34"/>
      <c r="AL2" s="34"/>
      <c r="AM2" s="21"/>
      <c r="AN2" s="21"/>
      <c r="AO2" s="21"/>
      <c r="AP2" s="21"/>
      <c r="AQ2" s="24"/>
      <c r="AR2" s="24"/>
      <c r="AS2" s="24"/>
      <c r="AT2" s="24"/>
      <c r="BV2" s="22"/>
    </row>
    <row r="3" spans="1:74" s="13" customFormat="1">
      <c r="A3" s="34"/>
      <c r="B3" s="34"/>
      <c r="C3" s="34"/>
      <c r="D3" s="34"/>
      <c r="E3" s="34"/>
      <c r="F3" s="34"/>
      <c r="G3" s="35"/>
      <c r="H3" s="35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4"/>
      <c r="AK3" s="34"/>
      <c r="AL3" s="34"/>
      <c r="AM3" s="21"/>
      <c r="AN3" s="21"/>
      <c r="AO3" s="21"/>
      <c r="AP3" s="21"/>
      <c r="AQ3" s="24"/>
      <c r="AR3" s="24"/>
      <c r="AS3" s="24"/>
      <c r="AT3" s="24"/>
      <c r="BV3" s="22"/>
    </row>
    <row r="4" spans="1:74">
      <c r="A4" s="24" t="s">
        <v>169</v>
      </c>
      <c r="B4" s="24"/>
      <c r="C4" s="24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24" t="s">
        <v>169</v>
      </c>
      <c r="AK4" s="24"/>
      <c r="AL4" s="24"/>
      <c r="AM4" s="9"/>
      <c r="AN4" s="9"/>
      <c r="AO4" s="9"/>
      <c r="AP4" s="9"/>
      <c r="AQ4" s="9"/>
      <c r="AR4" s="9"/>
      <c r="AS4" s="9"/>
      <c r="AT4" s="9"/>
    </row>
    <row r="5" spans="1:74" s="13" customFormat="1">
      <c r="B5" s="9"/>
      <c r="C5" s="9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14" t="s">
        <v>842</v>
      </c>
      <c r="P5" s="52"/>
      <c r="Q5" s="52"/>
      <c r="R5" s="52"/>
      <c r="S5" s="52"/>
      <c r="T5" s="52"/>
      <c r="U5" s="52"/>
      <c r="AK5" s="9"/>
      <c r="AL5" s="9"/>
      <c r="BJ5" s="14" t="s">
        <v>3</v>
      </c>
    </row>
    <row r="6" spans="1:74">
      <c r="A6" s="45" t="s">
        <v>727</v>
      </c>
      <c r="B6" s="13"/>
      <c r="C6" s="13"/>
      <c r="E6" s="16" t="s">
        <v>143</v>
      </c>
      <c r="F6" s="16"/>
      <c r="G6" s="16"/>
      <c r="H6" s="16"/>
      <c r="I6" s="16"/>
      <c r="J6" s="16"/>
      <c r="K6" s="16"/>
      <c r="L6" s="16"/>
      <c r="M6" s="16"/>
      <c r="O6" s="53" t="s">
        <v>6</v>
      </c>
      <c r="P6" s="21"/>
      <c r="Q6" s="16" t="s">
        <v>843</v>
      </c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G6" s="16" t="s">
        <v>156</v>
      </c>
      <c r="AH6" s="16"/>
      <c r="AI6" s="16"/>
      <c r="AJ6" s="45" t="s">
        <v>727</v>
      </c>
      <c r="AK6" s="13"/>
      <c r="AL6" s="13"/>
      <c r="AT6" s="16" t="s">
        <v>179</v>
      </c>
      <c r="AU6" s="16"/>
      <c r="AV6" s="16"/>
      <c r="BB6" s="16" t="s">
        <v>180</v>
      </c>
      <c r="BC6" s="16"/>
      <c r="BD6" s="16"/>
      <c r="BE6" s="16"/>
      <c r="BF6" s="16"/>
      <c r="BG6" s="16"/>
      <c r="BH6" s="16"/>
      <c r="BJ6" s="14" t="s">
        <v>74</v>
      </c>
      <c r="BK6" s="14"/>
      <c r="BL6" s="14" t="s">
        <v>184</v>
      </c>
      <c r="BM6" s="14"/>
      <c r="BN6" s="14" t="s">
        <v>90</v>
      </c>
      <c r="BO6" s="14"/>
      <c r="BP6" s="14" t="s">
        <v>845</v>
      </c>
      <c r="BQ6" s="14"/>
      <c r="BR6" s="14"/>
      <c r="BS6" s="14"/>
      <c r="BT6" s="14" t="s">
        <v>90</v>
      </c>
      <c r="BU6" s="14"/>
    </row>
    <row r="7" spans="1:74">
      <c r="A7" s="45"/>
      <c r="AA7" s="14" t="s">
        <v>151</v>
      </c>
      <c r="AJ7" s="45"/>
      <c r="AR7" s="14" t="s">
        <v>1</v>
      </c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 t="s">
        <v>585</v>
      </c>
      <c r="BG7" s="14"/>
      <c r="BH7" s="14" t="s">
        <v>183</v>
      </c>
      <c r="BJ7" s="14" t="s">
        <v>195</v>
      </c>
      <c r="BK7" s="14"/>
      <c r="BL7" s="14" t="s">
        <v>119</v>
      </c>
      <c r="BM7" s="14"/>
      <c r="BN7" s="14" t="s">
        <v>185</v>
      </c>
      <c r="BO7" s="14"/>
      <c r="BP7" s="14" t="s">
        <v>844</v>
      </c>
      <c r="BQ7" s="14"/>
      <c r="BR7" s="14"/>
      <c r="BS7" s="14"/>
      <c r="BT7" s="14" t="s">
        <v>185</v>
      </c>
      <c r="BU7" s="14"/>
      <c r="BV7" s="14" t="s">
        <v>133</v>
      </c>
    </row>
    <row r="8" spans="1:74">
      <c r="B8" s="54"/>
      <c r="C8" s="54"/>
      <c r="E8" s="54"/>
      <c r="F8" s="54"/>
      <c r="G8" s="54"/>
      <c r="H8" s="54"/>
      <c r="I8" s="54"/>
      <c r="J8" s="54"/>
      <c r="K8" s="54" t="s">
        <v>859</v>
      </c>
      <c r="L8" s="54"/>
      <c r="M8" s="54"/>
      <c r="N8" s="54"/>
      <c r="O8" s="54"/>
      <c r="P8" s="54"/>
      <c r="Q8" s="54" t="s">
        <v>145</v>
      </c>
      <c r="R8" s="54"/>
      <c r="S8" s="54" t="s">
        <v>147</v>
      </c>
      <c r="T8" s="54"/>
      <c r="U8" s="54"/>
      <c r="V8" s="54"/>
      <c r="W8" s="54"/>
      <c r="X8" s="54"/>
      <c r="Y8" s="54"/>
      <c r="Z8" s="54"/>
      <c r="AA8" s="54" t="s">
        <v>152</v>
      </c>
      <c r="AB8" s="54"/>
      <c r="AC8" s="54" t="s">
        <v>154</v>
      </c>
      <c r="AD8" s="54"/>
      <c r="AE8" s="54"/>
      <c r="AF8" s="54"/>
      <c r="AG8" s="14" t="s">
        <v>157</v>
      </c>
      <c r="AH8" s="14"/>
      <c r="AI8" s="14"/>
      <c r="AK8" s="54"/>
      <c r="AL8" s="54"/>
      <c r="AM8" s="14"/>
      <c r="AN8" s="14" t="s">
        <v>159</v>
      </c>
      <c r="AO8" s="14"/>
      <c r="AP8" s="14" t="s">
        <v>73</v>
      </c>
      <c r="AQ8" s="14"/>
      <c r="AR8" s="14" t="s">
        <v>7</v>
      </c>
      <c r="AS8" s="14"/>
      <c r="AT8" s="14" t="s">
        <v>76</v>
      </c>
      <c r="AU8" s="14"/>
      <c r="AV8" s="14"/>
      <c r="AW8" s="14"/>
      <c r="AX8" s="14" t="s">
        <v>127</v>
      </c>
      <c r="AY8" s="14"/>
      <c r="AZ8" s="14" t="s">
        <v>3</v>
      </c>
      <c r="BA8" s="14"/>
      <c r="BB8" s="14" t="s">
        <v>162</v>
      </c>
      <c r="BC8" s="14"/>
      <c r="BD8" s="14" t="s">
        <v>181</v>
      </c>
      <c r="BE8" s="14"/>
      <c r="BF8" s="14" t="s">
        <v>584</v>
      </c>
      <c r="BG8" s="14"/>
      <c r="BH8" s="14" t="s">
        <v>82</v>
      </c>
      <c r="BI8" s="14"/>
      <c r="BJ8" s="14" t="s">
        <v>193</v>
      </c>
      <c r="BK8" s="14"/>
      <c r="BL8" s="14" t="s">
        <v>90</v>
      </c>
      <c r="BM8" s="14"/>
      <c r="BN8" s="54" t="s">
        <v>163</v>
      </c>
      <c r="BO8" s="14"/>
      <c r="BP8" s="14" t="s">
        <v>578</v>
      </c>
      <c r="BQ8" s="14"/>
      <c r="BR8" s="14" t="s">
        <v>593</v>
      </c>
      <c r="BS8" s="14"/>
      <c r="BT8" s="54" t="s">
        <v>186</v>
      </c>
      <c r="BU8" s="14"/>
      <c r="BV8" s="14" t="s">
        <v>134</v>
      </c>
    </row>
    <row r="9" spans="1:74">
      <c r="A9" s="53" t="s">
        <v>199</v>
      </c>
      <c r="B9" s="14"/>
      <c r="C9" s="53" t="s">
        <v>4</v>
      </c>
      <c r="E9" s="1" t="s">
        <v>853</v>
      </c>
      <c r="G9" s="1" t="s">
        <v>2</v>
      </c>
      <c r="I9" s="1" t="s">
        <v>142</v>
      </c>
      <c r="K9" s="1" t="s">
        <v>841</v>
      </c>
      <c r="M9" s="1" t="s">
        <v>82</v>
      </c>
      <c r="O9" s="1" t="s">
        <v>854</v>
      </c>
      <c r="Q9" s="1" t="s">
        <v>146</v>
      </c>
      <c r="S9" s="1" t="s">
        <v>148</v>
      </c>
      <c r="U9" s="1" t="s">
        <v>149</v>
      </c>
      <c r="W9" s="1" t="s">
        <v>150</v>
      </c>
      <c r="X9" s="54"/>
      <c r="Y9" s="53" t="s">
        <v>559</v>
      </c>
      <c r="AA9" s="1" t="s">
        <v>153</v>
      </c>
      <c r="AB9" s="54"/>
      <c r="AC9" s="53" t="s">
        <v>155</v>
      </c>
      <c r="AD9" s="54"/>
      <c r="AE9" s="53" t="s">
        <v>560</v>
      </c>
      <c r="AG9" s="53" t="s">
        <v>158</v>
      </c>
      <c r="AI9" s="53" t="s">
        <v>82</v>
      </c>
      <c r="AJ9" s="53" t="s">
        <v>199</v>
      </c>
      <c r="AK9" s="14"/>
      <c r="AL9" s="53" t="s">
        <v>4</v>
      </c>
      <c r="AM9" s="54"/>
      <c r="AN9" s="53" t="s">
        <v>160</v>
      </c>
      <c r="AO9" s="54"/>
      <c r="AP9" s="53" t="s">
        <v>75</v>
      </c>
      <c r="AQ9" s="54"/>
      <c r="AR9" s="53" t="s">
        <v>581</v>
      </c>
      <c r="AS9" s="54"/>
      <c r="AT9" s="53" t="s">
        <v>855</v>
      </c>
      <c r="AU9" s="54"/>
      <c r="AV9" s="53" t="s">
        <v>161</v>
      </c>
      <c r="AW9" s="54"/>
      <c r="AX9" s="53" t="s">
        <v>74</v>
      </c>
      <c r="AY9" s="54"/>
      <c r="AZ9" s="53" t="s">
        <v>74</v>
      </c>
      <c r="BA9" s="54"/>
      <c r="BB9" s="53" t="s">
        <v>118</v>
      </c>
      <c r="BC9" s="54"/>
      <c r="BD9" s="53" t="s">
        <v>118</v>
      </c>
      <c r="BE9" s="54"/>
      <c r="BF9" s="54" t="s">
        <v>586</v>
      </c>
      <c r="BG9" s="54"/>
      <c r="BH9" s="53" t="s">
        <v>182</v>
      </c>
      <c r="BI9" s="54"/>
      <c r="BJ9" s="53" t="s">
        <v>182</v>
      </c>
      <c r="BK9" s="54"/>
      <c r="BL9" s="53" t="s">
        <v>185</v>
      </c>
      <c r="BM9" s="14"/>
      <c r="BN9" s="53" t="s">
        <v>164</v>
      </c>
      <c r="BO9" s="14"/>
      <c r="BP9" s="53" t="s">
        <v>579</v>
      </c>
      <c r="BQ9" s="14"/>
      <c r="BR9" s="53" t="s">
        <v>594</v>
      </c>
      <c r="BS9" s="14"/>
      <c r="BT9" s="53" t="s">
        <v>164</v>
      </c>
      <c r="BU9" s="14"/>
      <c r="BV9" s="53" t="s">
        <v>135</v>
      </c>
    </row>
    <row r="10" spans="1:74">
      <c r="A10" s="11"/>
      <c r="B10" s="11"/>
      <c r="C10" s="11"/>
      <c r="D10" s="9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1"/>
      <c r="AK10" s="11"/>
      <c r="AL10" s="11"/>
      <c r="AM10" s="12"/>
      <c r="AN10" s="12"/>
      <c r="AO10" s="12"/>
      <c r="AP10" s="12"/>
      <c r="AQ10" s="18"/>
      <c r="AR10" s="18"/>
      <c r="AS10" s="18"/>
      <c r="AT10" s="9"/>
    </row>
    <row r="11" spans="1:74" hidden="1">
      <c r="A11" s="11" t="s">
        <v>862</v>
      </c>
      <c r="B11" s="11"/>
      <c r="C11" s="11" t="s">
        <v>339</v>
      </c>
      <c r="AJ11" s="11" t="s">
        <v>862</v>
      </c>
      <c r="AK11" s="11"/>
      <c r="AL11" s="11" t="s">
        <v>339</v>
      </c>
      <c r="AX11" s="6">
        <v>0</v>
      </c>
      <c r="AZ11" s="6">
        <f t="shared" ref="AZ11" si="0">SUM(E11:AX11)</f>
        <v>0</v>
      </c>
      <c r="BD11" s="6">
        <v>0</v>
      </c>
      <c r="BF11" s="6">
        <v>0</v>
      </c>
      <c r="BH11" s="6">
        <v>0</v>
      </c>
      <c r="BJ11" s="6">
        <f t="shared" ref="BJ11" si="1">+AZ11+BB11+BD11+BH11</f>
        <v>0</v>
      </c>
      <c r="BL11" s="6">
        <f>+'Gen Fd Rev'!AK11-'Gen Fd Exp'!BJ11</f>
        <v>0</v>
      </c>
      <c r="BP11" s="6">
        <v>0</v>
      </c>
      <c r="BR11" s="6">
        <v>0</v>
      </c>
      <c r="BT11" s="6">
        <f>+BN11+BL11-BP11</f>
        <v>0</v>
      </c>
      <c r="BV11" s="7">
        <f>+BT11-'Gen Fd BS'!AC11+BR11</f>
        <v>0</v>
      </c>
    </row>
    <row r="12" spans="1:74" s="28" customFormat="1">
      <c r="A12" s="27" t="s">
        <v>788</v>
      </c>
      <c r="B12" s="27"/>
      <c r="C12" s="27" t="s">
        <v>200</v>
      </c>
      <c r="D12" s="55"/>
      <c r="E12" s="28">
        <v>13914044</v>
      </c>
      <c r="G12" s="28">
        <v>3177236</v>
      </c>
      <c r="I12" s="28">
        <v>1762917</v>
      </c>
      <c r="K12" s="28">
        <v>378934</v>
      </c>
      <c r="M12" s="28">
        <v>500709</v>
      </c>
      <c r="O12" s="28">
        <v>1288002</v>
      </c>
      <c r="Q12" s="28">
        <v>1127516</v>
      </c>
      <c r="S12" s="28">
        <v>79484</v>
      </c>
      <c r="U12" s="28">
        <v>1958602</v>
      </c>
      <c r="W12" s="28">
        <v>934835</v>
      </c>
      <c r="Y12" s="28">
        <v>240745</v>
      </c>
      <c r="AA12" s="28">
        <v>2196260</v>
      </c>
      <c r="AC12" s="28">
        <v>2036657</v>
      </c>
      <c r="AE12" s="28">
        <v>271882</v>
      </c>
      <c r="AG12" s="28">
        <v>0</v>
      </c>
      <c r="AI12" s="28">
        <v>2933</v>
      </c>
      <c r="AJ12" s="27" t="s">
        <v>788</v>
      </c>
      <c r="AK12" s="27"/>
      <c r="AL12" s="27" t="s">
        <v>200</v>
      </c>
      <c r="AN12" s="28">
        <v>295499</v>
      </c>
      <c r="AP12" s="28">
        <v>0</v>
      </c>
      <c r="AT12" s="28">
        <v>0</v>
      </c>
      <c r="AV12" s="28">
        <v>0</v>
      </c>
      <c r="AX12" s="28">
        <v>0</v>
      </c>
      <c r="AZ12" s="28">
        <f>SUM(E12:AX12)</f>
        <v>30166255</v>
      </c>
      <c r="BB12" s="28">
        <v>0</v>
      </c>
      <c r="BD12" s="28">
        <v>0</v>
      </c>
      <c r="BF12" s="28">
        <v>0</v>
      </c>
      <c r="BH12" s="28">
        <v>0</v>
      </c>
      <c r="BJ12" s="28">
        <f t="shared" ref="BJ12:BJ45" si="2">+AZ12+BB12+BD12+BH12</f>
        <v>30166255</v>
      </c>
      <c r="BL12" s="28">
        <f>+'Gen Fd Rev'!AK12-'Gen Fd Exp'!BJ12</f>
        <v>4711956</v>
      </c>
      <c r="BN12" s="28">
        <v>762997</v>
      </c>
      <c r="BP12" s="28">
        <v>0</v>
      </c>
      <c r="BR12" s="28">
        <v>0</v>
      </c>
      <c r="BT12" s="28">
        <f t="shared" ref="BT12:BT46" si="3">+BN12+BL12-BP12</f>
        <v>5474953</v>
      </c>
      <c r="BV12" s="32">
        <f>+BT12-'Gen Fd BS'!AC12+BR12</f>
        <v>0</v>
      </c>
    </row>
    <row r="13" spans="1:74">
      <c r="A13" s="11" t="s">
        <v>587</v>
      </c>
      <c r="B13" s="11"/>
      <c r="C13" s="11" t="s">
        <v>58</v>
      </c>
      <c r="E13" s="6">
        <v>4471573</v>
      </c>
      <c r="G13" s="6">
        <v>778228</v>
      </c>
      <c r="I13" s="6">
        <v>1070</v>
      </c>
      <c r="K13" s="6">
        <v>0</v>
      </c>
      <c r="M13" s="6">
        <v>742283</v>
      </c>
      <c r="O13" s="6">
        <v>470739</v>
      </c>
      <c r="Q13" s="6">
        <v>508648</v>
      </c>
      <c r="S13" s="6">
        <v>56770</v>
      </c>
      <c r="U13" s="6">
        <v>907648</v>
      </c>
      <c r="W13" s="6">
        <v>323705</v>
      </c>
      <c r="Y13" s="6">
        <v>0</v>
      </c>
      <c r="AA13" s="6">
        <v>655962</v>
      </c>
      <c r="AC13" s="6">
        <v>804072</v>
      </c>
      <c r="AE13" s="6">
        <v>181716</v>
      </c>
      <c r="AG13" s="6">
        <v>0</v>
      </c>
      <c r="AI13" s="6">
        <v>8637</v>
      </c>
      <c r="AJ13" s="11" t="s">
        <v>587</v>
      </c>
      <c r="AK13" s="11"/>
      <c r="AL13" s="11" t="s">
        <v>58</v>
      </c>
      <c r="AN13" s="6">
        <v>208522</v>
      </c>
      <c r="AP13" s="6">
        <v>311391</v>
      </c>
      <c r="AT13" s="6">
        <v>24402</v>
      </c>
      <c r="AV13" s="6">
        <v>4970</v>
      </c>
      <c r="AX13" s="6">
        <v>0</v>
      </c>
      <c r="AZ13" s="6">
        <f t="shared" ref="AZ13:AZ83" si="4">SUM(E13:AX13)</f>
        <v>10460336</v>
      </c>
      <c r="BB13" s="6">
        <v>109719</v>
      </c>
      <c r="BD13" s="6">
        <v>0</v>
      </c>
      <c r="BF13" s="6">
        <v>0</v>
      </c>
      <c r="BH13" s="6">
        <v>0</v>
      </c>
      <c r="BJ13" s="6">
        <f t="shared" si="2"/>
        <v>10570055</v>
      </c>
      <c r="BL13" s="6">
        <f>+'Gen Fd Rev'!AK13-'Gen Fd Exp'!BJ13</f>
        <v>-222548</v>
      </c>
      <c r="BN13" s="6">
        <v>4552341</v>
      </c>
      <c r="BP13" s="6">
        <v>0</v>
      </c>
      <c r="BR13" s="6">
        <v>0</v>
      </c>
      <c r="BT13" s="6">
        <f t="shared" si="3"/>
        <v>4329793</v>
      </c>
      <c r="BV13" s="7">
        <f>+BT13-'Gen Fd BS'!AC13+BR13</f>
        <v>0</v>
      </c>
    </row>
    <row r="14" spans="1:74">
      <c r="A14" s="11" t="s">
        <v>506</v>
      </c>
      <c r="B14" s="11"/>
      <c r="C14" s="11" t="s">
        <v>63</v>
      </c>
      <c r="E14" s="6">
        <v>140449070</v>
      </c>
      <c r="G14" s="6">
        <v>38062137</v>
      </c>
      <c r="I14" s="6">
        <v>11472536</v>
      </c>
      <c r="K14" s="6">
        <v>716238</v>
      </c>
      <c r="M14" s="6">
        <v>2473352</v>
      </c>
      <c r="O14" s="6">
        <v>18065934</v>
      </c>
      <c r="Q14" s="6">
        <v>11967180</v>
      </c>
      <c r="S14" s="6">
        <v>102187</v>
      </c>
      <c r="U14" s="6">
        <v>12386532</v>
      </c>
      <c r="W14" s="6">
        <v>4035136</v>
      </c>
      <c r="Y14" s="6">
        <v>2690636</v>
      </c>
      <c r="AA14" s="6">
        <v>31784427</v>
      </c>
      <c r="AC14" s="6">
        <v>12083856</v>
      </c>
      <c r="AE14" s="6">
        <v>9082220</v>
      </c>
      <c r="AG14" s="6">
        <v>0</v>
      </c>
      <c r="AI14" s="6">
        <v>12350</v>
      </c>
      <c r="AJ14" s="11" t="s">
        <v>506</v>
      </c>
      <c r="AK14" s="11"/>
      <c r="AL14" s="11" t="s">
        <v>63</v>
      </c>
      <c r="AN14" s="6">
        <v>2776203</v>
      </c>
      <c r="AP14" s="6">
        <v>829358</v>
      </c>
      <c r="AT14" s="6">
        <v>0</v>
      </c>
      <c r="AV14" s="6">
        <v>0</v>
      </c>
      <c r="AX14" s="6">
        <v>0</v>
      </c>
      <c r="AZ14" s="6">
        <f t="shared" si="4"/>
        <v>298989352</v>
      </c>
      <c r="BB14" s="6">
        <v>38618</v>
      </c>
      <c r="BD14" s="6">
        <v>0</v>
      </c>
      <c r="BF14" s="6">
        <v>0</v>
      </c>
      <c r="BH14" s="6">
        <v>0</v>
      </c>
      <c r="BJ14" s="6">
        <f t="shared" si="2"/>
        <v>299027970</v>
      </c>
      <c r="BL14" s="6">
        <f>+'Gen Fd Rev'!AK14-'Gen Fd Exp'!BJ14</f>
        <v>-14406256</v>
      </c>
      <c r="BN14" s="6">
        <v>25366802</v>
      </c>
      <c r="BP14" s="6">
        <v>0</v>
      </c>
      <c r="BR14" s="6">
        <v>0</v>
      </c>
      <c r="BT14" s="6">
        <f>+BN14+BL14-BP14</f>
        <v>10960546</v>
      </c>
      <c r="BV14" s="7">
        <f>+BT14-'Gen Fd BS'!AC14+BR14</f>
        <v>0</v>
      </c>
    </row>
    <row r="15" spans="1:74" hidden="1">
      <c r="A15" s="11" t="s">
        <v>617</v>
      </c>
      <c r="B15" s="11"/>
      <c r="C15" s="11" t="s">
        <v>13</v>
      </c>
      <c r="D15" s="9"/>
      <c r="AJ15" s="11" t="s">
        <v>617</v>
      </c>
      <c r="AK15" s="11"/>
      <c r="AL15" s="11" t="s">
        <v>13</v>
      </c>
      <c r="AZ15" s="6">
        <f t="shared" si="4"/>
        <v>0</v>
      </c>
      <c r="BD15" s="6">
        <v>0</v>
      </c>
      <c r="BF15" s="6">
        <v>0</v>
      </c>
      <c r="BJ15" s="6">
        <f t="shared" si="2"/>
        <v>0</v>
      </c>
      <c r="BL15" s="6">
        <f>+'Gen Fd Rev'!AK15-'Gen Fd Exp'!BJ15</f>
        <v>0</v>
      </c>
      <c r="BR15" s="6">
        <v>0</v>
      </c>
      <c r="BT15" s="6">
        <f t="shared" si="3"/>
        <v>0</v>
      </c>
      <c r="BV15" s="7">
        <f>+BT15-'Gen Fd BS'!AC15+BR15</f>
        <v>0</v>
      </c>
    </row>
    <row r="16" spans="1:74" hidden="1">
      <c r="A16" s="11" t="s">
        <v>864</v>
      </c>
      <c r="B16" s="11"/>
      <c r="C16" s="11" t="s">
        <v>10</v>
      </c>
      <c r="D16" s="9"/>
      <c r="AJ16" s="11" t="s">
        <v>864</v>
      </c>
      <c r="AK16" s="11"/>
      <c r="AL16" s="11" t="s">
        <v>10</v>
      </c>
      <c r="AX16" s="6">
        <v>0</v>
      </c>
      <c r="AZ16" s="6">
        <f>SUM(E16:AX16)</f>
        <v>0</v>
      </c>
      <c r="BD16" s="6">
        <v>0</v>
      </c>
      <c r="BF16" s="6">
        <v>0</v>
      </c>
      <c r="BH16" s="6">
        <v>0</v>
      </c>
      <c r="BJ16" s="6">
        <f t="shared" ref="BJ16" si="5">+AZ16+BB16+BD16+BH16</f>
        <v>0</v>
      </c>
      <c r="BL16" s="6">
        <f>+'Gen Fd Rev'!AK16-'Gen Fd Exp'!BJ16</f>
        <v>0</v>
      </c>
      <c r="BP16" s="6">
        <v>0</v>
      </c>
      <c r="BR16" s="6">
        <v>0</v>
      </c>
      <c r="BT16" s="6">
        <f t="shared" ref="BT16" si="6">+BN16+BL16-BP16</f>
        <v>0</v>
      </c>
      <c r="BV16" s="7">
        <f>+BT16-'Gen Fd BS'!AC16+BR16</f>
        <v>0</v>
      </c>
    </row>
    <row r="17" spans="1:74">
      <c r="A17" s="11" t="s">
        <v>493</v>
      </c>
      <c r="B17" s="11"/>
      <c r="C17" s="11" t="s">
        <v>62</v>
      </c>
      <c r="E17" s="6">
        <v>13049789</v>
      </c>
      <c r="G17" s="6">
        <v>3620734</v>
      </c>
      <c r="I17" s="6">
        <v>1199095</v>
      </c>
      <c r="K17" s="6">
        <v>385529</v>
      </c>
      <c r="M17" s="6">
        <f>89911+223297</f>
        <v>313208</v>
      </c>
      <c r="O17" s="6">
        <v>1165433</v>
      </c>
      <c r="Q17" s="6">
        <v>520738</v>
      </c>
      <c r="S17" s="6">
        <v>35881</v>
      </c>
      <c r="U17" s="6">
        <v>2149660</v>
      </c>
      <c r="W17" s="6">
        <v>531958</v>
      </c>
      <c r="Y17" s="6">
        <v>428193</v>
      </c>
      <c r="AA17" s="6">
        <v>2785874</v>
      </c>
      <c r="AC17" s="6">
        <v>752730</v>
      </c>
      <c r="AE17" s="6">
        <v>36900</v>
      </c>
      <c r="AG17" s="6">
        <v>0</v>
      </c>
      <c r="AI17" s="6">
        <v>35825</v>
      </c>
      <c r="AJ17" s="11" t="s">
        <v>493</v>
      </c>
      <c r="AK17" s="11"/>
      <c r="AL17" s="11" t="s">
        <v>62</v>
      </c>
      <c r="AN17" s="6">
        <v>369357</v>
      </c>
      <c r="AP17" s="6">
        <v>0</v>
      </c>
      <c r="AT17" s="6">
        <v>15000</v>
      </c>
      <c r="AV17" s="6">
        <v>132936</v>
      </c>
      <c r="AX17" s="6">
        <v>0</v>
      </c>
      <c r="AZ17" s="6">
        <f t="shared" si="4"/>
        <v>27528840</v>
      </c>
      <c r="BB17" s="6">
        <v>0</v>
      </c>
      <c r="BD17" s="6">
        <v>0</v>
      </c>
      <c r="BF17" s="6">
        <v>0</v>
      </c>
      <c r="BH17" s="6">
        <v>0</v>
      </c>
      <c r="BJ17" s="6">
        <f>+AZ17+BB17+BD17+BH17</f>
        <v>27528840</v>
      </c>
      <c r="BL17" s="6">
        <f>+'Gen Fd Rev'!AK17-'Gen Fd Exp'!BJ17</f>
        <v>-851647</v>
      </c>
      <c r="BN17" s="6">
        <v>3791302</v>
      </c>
      <c r="BP17" s="6">
        <v>0</v>
      </c>
      <c r="BR17" s="6">
        <v>0</v>
      </c>
      <c r="BT17" s="6">
        <f>+BN17+BL17-BP17-BR17</f>
        <v>2939655</v>
      </c>
      <c r="BV17" s="7">
        <f>+BT17-'Gen Fd BS'!AC17+BR17</f>
        <v>0</v>
      </c>
    </row>
    <row r="18" spans="1:74">
      <c r="A18" s="11" t="s">
        <v>292</v>
      </c>
      <c r="B18" s="11"/>
      <c r="C18" s="11" t="s">
        <v>25</v>
      </c>
      <c r="E18" s="6">
        <v>4672617</v>
      </c>
      <c r="G18" s="6">
        <v>1771874</v>
      </c>
      <c r="I18" s="6">
        <v>266772</v>
      </c>
      <c r="K18" s="6">
        <v>0</v>
      </c>
      <c r="M18" s="6">
        <f>30028+48879</f>
        <v>78907</v>
      </c>
      <c r="O18" s="6">
        <v>645025</v>
      </c>
      <c r="Q18" s="6">
        <v>168017</v>
      </c>
      <c r="S18" s="6">
        <v>103593</v>
      </c>
      <c r="U18" s="6">
        <v>1004143</v>
      </c>
      <c r="W18" s="6">
        <v>320343</v>
      </c>
      <c r="Y18" s="6">
        <v>36316</v>
      </c>
      <c r="AA18" s="6">
        <v>1318651</v>
      </c>
      <c r="AC18" s="6">
        <v>1159500</v>
      </c>
      <c r="AE18" s="6">
        <v>199925</v>
      </c>
      <c r="AG18" s="6">
        <v>0</v>
      </c>
      <c r="AI18" s="6">
        <v>0</v>
      </c>
      <c r="AJ18" s="11" t="s">
        <v>292</v>
      </c>
      <c r="AK18" s="11"/>
      <c r="AL18" s="11" t="s">
        <v>25</v>
      </c>
      <c r="AN18" s="6">
        <v>7687</v>
      </c>
      <c r="AP18" s="6">
        <v>5822</v>
      </c>
      <c r="AT18" s="6">
        <v>133116</v>
      </c>
      <c r="AV18" s="6">
        <v>12867</v>
      </c>
      <c r="AX18" s="6">
        <v>0</v>
      </c>
      <c r="AZ18" s="6">
        <f t="shared" si="4"/>
        <v>11905175</v>
      </c>
      <c r="BB18" s="6">
        <v>0</v>
      </c>
      <c r="BD18" s="6">
        <v>0</v>
      </c>
      <c r="BF18" s="6">
        <v>0</v>
      </c>
      <c r="BH18" s="6">
        <v>0</v>
      </c>
      <c r="BJ18" s="6">
        <f t="shared" si="2"/>
        <v>11905175</v>
      </c>
      <c r="BL18" s="6">
        <f>+'Gen Fd Rev'!AK18-'Gen Fd Exp'!BJ18</f>
        <v>1830402</v>
      </c>
      <c r="BN18" s="6">
        <v>625876</v>
      </c>
      <c r="BP18" s="6">
        <v>0</v>
      </c>
      <c r="BR18" s="6">
        <v>0</v>
      </c>
      <c r="BT18" s="6">
        <f t="shared" si="3"/>
        <v>2456278</v>
      </c>
      <c r="BV18" s="7">
        <f>+BT18-'Gen Fd BS'!AC18+BR18</f>
        <v>0</v>
      </c>
    </row>
    <row r="19" spans="1:74">
      <c r="A19" s="11" t="s">
        <v>749</v>
      </c>
      <c r="B19" s="11"/>
      <c r="C19" s="11" t="s">
        <v>44</v>
      </c>
      <c r="D19" s="9"/>
      <c r="E19" s="6">
        <v>16170641</v>
      </c>
      <c r="G19" s="6">
        <v>4665262</v>
      </c>
      <c r="I19" s="6">
        <v>365711</v>
      </c>
      <c r="K19" s="6">
        <v>0</v>
      </c>
      <c r="M19" s="6">
        <v>0</v>
      </c>
      <c r="O19" s="6">
        <v>1697847</v>
      </c>
      <c r="Q19" s="6">
        <v>1629591</v>
      </c>
      <c r="S19" s="6">
        <v>31115</v>
      </c>
      <c r="U19" s="6">
        <v>2947229</v>
      </c>
      <c r="W19" s="6">
        <v>771461</v>
      </c>
      <c r="Y19" s="6">
        <v>0</v>
      </c>
      <c r="AA19" s="6">
        <v>3113673</v>
      </c>
      <c r="AC19" s="6">
        <v>1324677</v>
      </c>
      <c r="AE19" s="6">
        <v>20973</v>
      </c>
      <c r="AG19" s="6">
        <v>0</v>
      </c>
      <c r="AI19" s="6">
        <v>1003</v>
      </c>
      <c r="AJ19" s="11" t="s">
        <v>749</v>
      </c>
      <c r="AK19" s="11"/>
      <c r="AL19" s="11" t="s">
        <v>44</v>
      </c>
      <c r="AN19" s="6">
        <v>516080</v>
      </c>
      <c r="AP19" s="6">
        <v>0</v>
      </c>
      <c r="AT19" s="6">
        <v>100000</v>
      </c>
      <c r="AV19" s="6">
        <v>27925</v>
      </c>
      <c r="AX19" s="6">
        <v>0</v>
      </c>
      <c r="AZ19" s="6">
        <f>SUM(E19:AX19)</f>
        <v>33383188</v>
      </c>
      <c r="BB19" s="6">
        <v>0</v>
      </c>
      <c r="BD19" s="6">
        <v>0</v>
      </c>
      <c r="BF19" s="6">
        <v>0</v>
      </c>
      <c r="BH19" s="6">
        <v>0</v>
      </c>
      <c r="BJ19" s="6">
        <f t="shared" si="2"/>
        <v>33383188</v>
      </c>
      <c r="BL19" s="6">
        <f>+'Gen Fd Rev'!AK19-'Gen Fd Exp'!BJ19</f>
        <v>-18033</v>
      </c>
      <c r="BN19" s="6">
        <v>4310020</v>
      </c>
      <c r="BP19" s="6">
        <v>0</v>
      </c>
      <c r="BR19" s="6">
        <v>0</v>
      </c>
      <c r="BT19" s="6">
        <f t="shared" si="3"/>
        <v>4291987</v>
      </c>
      <c r="BV19" s="7">
        <f>+BT19-'Gen Fd BS'!AC19+BR19</f>
        <v>0</v>
      </c>
    </row>
    <row r="20" spans="1:74">
      <c r="A20" s="11" t="s">
        <v>804</v>
      </c>
      <c r="B20" s="11"/>
      <c r="C20" s="11" t="s">
        <v>61</v>
      </c>
      <c r="E20" s="6">
        <v>4644447</v>
      </c>
      <c r="G20" s="6">
        <v>629168</v>
      </c>
      <c r="I20" s="6">
        <v>389793</v>
      </c>
      <c r="K20" s="6">
        <v>0</v>
      </c>
      <c r="M20" s="6">
        <v>11711</v>
      </c>
      <c r="O20" s="6">
        <v>444088</v>
      </c>
      <c r="Q20" s="6">
        <v>251689</v>
      </c>
      <c r="S20" s="6">
        <v>59842</v>
      </c>
      <c r="U20" s="6">
        <v>674234</v>
      </c>
      <c r="W20" s="6">
        <v>338125</v>
      </c>
      <c r="Y20" s="6">
        <v>74402</v>
      </c>
      <c r="AA20" s="6">
        <v>976797</v>
      </c>
      <c r="AC20" s="6">
        <v>516114</v>
      </c>
      <c r="AE20" s="6">
        <v>3864</v>
      </c>
      <c r="AG20" s="6">
        <v>0</v>
      </c>
      <c r="AI20" s="6">
        <v>0</v>
      </c>
      <c r="AJ20" s="11" t="s">
        <v>804</v>
      </c>
      <c r="AK20" s="11"/>
      <c r="AL20" s="11" t="s">
        <v>61</v>
      </c>
      <c r="AN20" s="6">
        <v>385636</v>
      </c>
      <c r="AP20" s="6">
        <v>2849</v>
      </c>
      <c r="AT20" s="6">
        <v>0</v>
      </c>
      <c r="AV20" s="6">
        <v>0</v>
      </c>
      <c r="AX20" s="6">
        <v>0</v>
      </c>
      <c r="AZ20" s="6">
        <f t="shared" si="4"/>
        <v>9402759</v>
      </c>
      <c r="BB20" s="6">
        <v>0</v>
      </c>
      <c r="BD20" s="6">
        <v>0</v>
      </c>
      <c r="BF20" s="6">
        <v>0</v>
      </c>
      <c r="BH20" s="6">
        <v>0</v>
      </c>
      <c r="BJ20" s="6">
        <f t="shared" si="2"/>
        <v>9402759</v>
      </c>
      <c r="BL20" s="6">
        <f>+'Gen Fd Rev'!AK20-'Gen Fd Exp'!BJ20</f>
        <v>728458</v>
      </c>
      <c r="BN20" s="6">
        <v>2228511</v>
      </c>
      <c r="BP20" s="6">
        <v>0</v>
      </c>
      <c r="BR20" s="6">
        <v>0</v>
      </c>
      <c r="BT20" s="6">
        <f t="shared" si="3"/>
        <v>2956969</v>
      </c>
      <c r="BV20" s="7">
        <f>+BT20-'Gen Fd BS'!AC20+BR20</f>
        <v>0</v>
      </c>
    </row>
    <row r="21" spans="1:74" hidden="1">
      <c r="A21" s="11" t="s">
        <v>691</v>
      </c>
      <c r="B21" s="11"/>
      <c r="C21" s="11" t="s">
        <v>603</v>
      </c>
      <c r="AJ21" s="11" t="s">
        <v>691</v>
      </c>
      <c r="AK21" s="11"/>
      <c r="AL21" s="11" t="s">
        <v>603</v>
      </c>
      <c r="AZ21" s="6">
        <f t="shared" si="4"/>
        <v>0</v>
      </c>
      <c r="BD21" s="6">
        <v>0</v>
      </c>
      <c r="BF21" s="6">
        <v>0</v>
      </c>
      <c r="BJ21" s="6">
        <f t="shared" si="2"/>
        <v>0</v>
      </c>
      <c r="BL21" s="6">
        <f>+'Gen Fd Rev'!AK21-'Gen Fd Exp'!BJ21</f>
        <v>0</v>
      </c>
      <c r="BR21" s="6">
        <v>0</v>
      </c>
      <c r="BT21" s="6">
        <f t="shared" si="3"/>
        <v>0</v>
      </c>
      <c r="BV21" s="7">
        <f>+BT21-'Gen Fd BS'!AC21+BR21</f>
        <v>0</v>
      </c>
    </row>
    <row r="22" spans="1:74">
      <c r="A22" s="11" t="s">
        <v>390</v>
      </c>
      <c r="B22" s="11"/>
      <c r="C22" s="11" t="s">
        <v>115</v>
      </c>
      <c r="E22" s="6">
        <v>17876328</v>
      </c>
      <c r="G22" s="6">
        <v>2698072</v>
      </c>
      <c r="I22" s="6">
        <v>3363</v>
      </c>
      <c r="K22" s="6">
        <v>0</v>
      </c>
      <c r="M22" s="6">
        <v>0</v>
      </c>
      <c r="O22" s="6">
        <v>1448246</v>
      </c>
      <c r="Q22" s="6">
        <v>843994</v>
      </c>
      <c r="S22" s="6">
        <v>617101</v>
      </c>
      <c r="U22" s="6">
        <v>2994237</v>
      </c>
      <c r="W22" s="6">
        <v>911896</v>
      </c>
      <c r="Y22" s="6">
        <v>0</v>
      </c>
      <c r="AA22" s="6">
        <v>3377500</v>
      </c>
      <c r="AC22" s="6">
        <v>2413179</v>
      </c>
      <c r="AE22" s="6">
        <v>36250</v>
      </c>
      <c r="AG22" s="6">
        <v>0</v>
      </c>
      <c r="AI22" s="6">
        <v>1054</v>
      </c>
      <c r="AJ22" s="11" t="s">
        <v>390</v>
      </c>
      <c r="AK22" s="11"/>
      <c r="AL22" s="11" t="s">
        <v>115</v>
      </c>
      <c r="AN22" s="6">
        <v>612009</v>
      </c>
      <c r="AP22" s="6">
        <v>0</v>
      </c>
      <c r="AT22" s="6">
        <v>0</v>
      </c>
      <c r="AV22" s="6">
        <v>0</v>
      </c>
      <c r="AX22" s="6">
        <v>0</v>
      </c>
      <c r="AZ22" s="6">
        <f t="shared" si="4"/>
        <v>33833229</v>
      </c>
      <c r="BB22" s="6">
        <v>0</v>
      </c>
      <c r="BD22" s="6">
        <v>0</v>
      </c>
      <c r="BF22" s="6">
        <v>0</v>
      </c>
      <c r="BH22" s="6">
        <v>0</v>
      </c>
      <c r="BJ22" s="6">
        <f t="shared" si="2"/>
        <v>33833229</v>
      </c>
      <c r="BL22" s="6">
        <f>+'Gen Fd Rev'!AK22-'Gen Fd Exp'!BJ22</f>
        <v>-1144011</v>
      </c>
      <c r="BN22" s="6">
        <v>5165675</v>
      </c>
      <c r="BP22" s="6">
        <v>5708</v>
      </c>
      <c r="BR22" s="6">
        <v>0</v>
      </c>
      <c r="BT22" s="6">
        <f t="shared" si="3"/>
        <v>4015956</v>
      </c>
      <c r="BV22" s="7">
        <f>+BT22-'Gen Fd BS'!AC22+BR22</f>
        <v>0</v>
      </c>
    </row>
    <row r="23" spans="1:74" hidden="1">
      <c r="A23" s="11" t="s">
        <v>865</v>
      </c>
      <c r="B23" s="11"/>
      <c r="C23" s="11" t="s">
        <v>450</v>
      </c>
      <c r="AJ23" s="11" t="s">
        <v>865</v>
      </c>
      <c r="AK23" s="11"/>
      <c r="AL23" s="11" t="s">
        <v>450</v>
      </c>
      <c r="AX23" s="6">
        <v>0</v>
      </c>
      <c r="AZ23" s="6">
        <f t="shared" ref="AZ23" si="7">SUM(E23:AX23)</f>
        <v>0</v>
      </c>
      <c r="BD23" s="6">
        <v>0</v>
      </c>
      <c r="BF23" s="6">
        <v>0</v>
      </c>
      <c r="BH23" s="6">
        <v>0</v>
      </c>
      <c r="BJ23" s="6">
        <f t="shared" ref="BJ23" si="8">+AZ23+BB23+BD23+BH23</f>
        <v>0</v>
      </c>
      <c r="BL23" s="6">
        <f>+'Gen Fd Rev'!AK23-'Gen Fd Exp'!BJ23</f>
        <v>0</v>
      </c>
      <c r="BP23" s="6">
        <v>0</v>
      </c>
      <c r="BR23" s="6">
        <v>0</v>
      </c>
      <c r="BT23" s="6">
        <f t="shared" ref="BT23" si="9">+BN23+BL23-BP23</f>
        <v>0</v>
      </c>
      <c r="BV23" s="7">
        <f>+BT23-'Gen Fd BS'!AC23+BR23</f>
        <v>0</v>
      </c>
    </row>
    <row r="24" spans="1:74">
      <c r="A24" s="11" t="s">
        <v>334</v>
      </c>
      <c r="B24" s="11"/>
      <c r="C24" s="11" t="s">
        <v>33</v>
      </c>
      <c r="E24" s="6">
        <v>2429438</v>
      </c>
      <c r="G24" s="6">
        <v>319080</v>
      </c>
      <c r="I24" s="6">
        <v>327821</v>
      </c>
      <c r="K24" s="6">
        <v>0</v>
      </c>
      <c r="M24" s="6">
        <v>0</v>
      </c>
      <c r="O24" s="6">
        <v>116856</v>
      </c>
      <c r="Q24" s="6">
        <v>195843</v>
      </c>
      <c r="S24" s="6">
        <v>24262</v>
      </c>
      <c r="U24" s="6">
        <v>638505</v>
      </c>
      <c r="W24" s="6">
        <v>193264</v>
      </c>
      <c r="Y24" s="6">
        <v>0</v>
      </c>
      <c r="AA24" s="6">
        <v>520218</v>
      </c>
      <c r="AC24" s="6">
        <v>318763</v>
      </c>
      <c r="AE24" s="6">
        <v>3970</v>
      </c>
      <c r="AG24" s="6">
        <v>0</v>
      </c>
      <c r="AI24" s="6">
        <v>0</v>
      </c>
      <c r="AJ24" s="11" t="s">
        <v>334</v>
      </c>
      <c r="AK24" s="11"/>
      <c r="AL24" s="11" t="s">
        <v>33</v>
      </c>
      <c r="AN24" s="6">
        <v>175071</v>
      </c>
      <c r="AP24" s="6">
        <v>8154</v>
      </c>
      <c r="AT24" s="6">
        <v>0</v>
      </c>
      <c r="AV24" s="6">
        <v>0</v>
      </c>
      <c r="AX24" s="6">
        <v>0</v>
      </c>
      <c r="AZ24" s="6">
        <f t="shared" si="4"/>
        <v>5271245</v>
      </c>
      <c r="BB24" s="6">
        <v>0</v>
      </c>
      <c r="BD24" s="6">
        <v>0</v>
      </c>
      <c r="BF24" s="6">
        <v>0</v>
      </c>
      <c r="BH24" s="6">
        <v>0</v>
      </c>
      <c r="BJ24" s="6">
        <f t="shared" si="2"/>
        <v>5271245</v>
      </c>
      <c r="BL24" s="6">
        <f>+'Gen Fd Rev'!AK24-'Gen Fd Exp'!BJ24</f>
        <v>732662</v>
      </c>
      <c r="BN24" s="6">
        <v>3183493</v>
      </c>
      <c r="BP24" s="6">
        <v>0</v>
      </c>
      <c r="BR24" s="6">
        <v>0</v>
      </c>
      <c r="BT24" s="6">
        <f t="shared" si="3"/>
        <v>3916155</v>
      </c>
      <c r="BV24" s="7">
        <f>+BT24-'Gen Fd BS'!AC24+BR24</f>
        <v>0</v>
      </c>
    </row>
    <row r="25" spans="1:74" hidden="1">
      <c r="A25" s="11" t="s">
        <v>670</v>
      </c>
      <c r="B25" s="11"/>
      <c r="C25" s="11" t="s">
        <v>21</v>
      </c>
      <c r="AJ25" s="11" t="s">
        <v>670</v>
      </c>
      <c r="AK25" s="11"/>
      <c r="AL25" s="11" t="s">
        <v>21</v>
      </c>
      <c r="AZ25" s="6">
        <f t="shared" si="4"/>
        <v>0</v>
      </c>
      <c r="BD25" s="6">
        <v>0</v>
      </c>
      <c r="BF25" s="6">
        <v>0</v>
      </c>
      <c r="BJ25" s="6">
        <f t="shared" si="2"/>
        <v>0</v>
      </c>
      <c r="BL25" s="6">
        <f>+'Gen Fd Rev'!AK25-'Gen Fd Exp'!BJ25</f>
        <v>0</v>
      </c>
      <c r="BR25" s="6">
        <v>0</v>
      </c>
      <c r="BT25" s="6">
        <f t="shared" si="3"/>
        <v>0</v>
      </c>
      <c r="BV25" s="7">
        <f>+BT25-'Gen Fd BS'!AC25+BR25</f>
        <v>0</v>
      </c>
    </row>
    <row r="26" spans="1:74">
      <c r="A26" s="11" t="s">
        <v>866</v>
      </c>
      <c r="B26" s="11"/>
      <c r="C26" s="11" t="s">
        <v>28</v>
      </c>
      <c r="E26" s="6">
        <v>6224787</v>
      </c>
      <c r="G26" s="6">
        <v>908402</v>
      </c>
      <c r="I26" s="6">
        <v>164741</v>
      </c>
      <c r="K26" s="6">
        <v>0</v>
      </c>
      <c r="M26" s="6">
        <f>2265+27904</f>
        <v>30169</v>
      </c>
      <c r="O26" s="6">
        <v>646574</v>
      </c>
      <c r="Q26" s="6">
        <v>491426</v>
      </c>
      <c r="S26" s="6">
        <v>43686</v>
      </c>
      <c r="U26" s="6">
        <v>782371</v>
      </c>
      <c r="W26" s="6">
        <v>352592</v>
      </c>
      <c r="Y26" s="6">
        <v>0</v>
      </c>
      <c r="AA26" s="6">
        <v>985576</v>
      </c>
      <c r="AC26" s="6">
        <v>480635</v>
      </c>
      <c r="AE26" s="6">
        <v>0</v>
      </c>
      <c r="AG26" s="6">
        <v>0</v>
      </c>
      <c r="AI26" s="6">
        <v>0</v>
      </c>
      <c r="AJ26" s="11" t="s">
        <v>866</v>
      </c>
      <c r="AK26" s="11"/>
      <c r="AL26" s="11" t="s">
        <v>28</v>
      </c>
      <c r="AN26" s="6">
        <v>417767</v>
      </c>
      <c r="AP26" s="6">
        <v>0</v>
      </c>
      <c r="AT26" s="6">
        <v>0</v>
      </c>
      <c r="AV26" s="6">
        <v>0</v>
      </c>
      <c r="AX26" s="6">
        <v>0</v>
      </c>
      <c r="AZ26" s="6">
        <f t="shared" si="4"/>
        <v>11528726</v>
      </c>
      <c r="BB26" s="6">
        <v>0</v>
      </c>
      <c r="BD26" s="6">
        <v>0</v>
      </c>
      <c r="BF26" s="6">
        <v>0</v>
      </c>
      <c r="BH26" s="6">
        <v>0</v>
      </c>
      <c r="BJ26" s="6">
        <f t="shared" si="2"/>
        <v>11528726</v>
      </c>
      <c r="BL26" s="6">
        <f>+'Gen Fd Rev'!AK26-'Gen Fd Exp'!BJ26</f>
        <v>-243833</v>
      </c>
      <c r="BN26" s="6">
        <v>4087505</v>
      </c>
      <c r="BP26" s="6">
        <v>0</v>
      </c>
      <c r="BR26" s="6">
        <v>0</v>
      </c>
      <c r="BT26" s="6">
        <f t="shared" si="3"/>
        <v>3843672</v>
      </c>
      <c r="BV26" s="7">
        <f>+BT26-'Gen Fd BS'!AC26+BR26</f>
        <v>0</v>
      </c>
    </row>
    <row r="27" spans="1:74">
      <c r="A27" s="11" t="s">
        <v>335</v>
      </c>
      <c r="B27" s="11"/>
      <c r="C27" s="11" t="s">
        <v>33</v>
      </c>
      <c r="E27" s="6">
        <v>2855698</v>
      </c>
      <c r="G27" s="6">
        <v>727636</v>
      </c>
      <c r="I27" s="6">
        <v>316958</v>
      </c>
      <c r="K27" s="6">
        <v>0</v>
      </c>
      <c r="M27" s="6">
        <v>0</v>
      </c>
      <c r="O27" s="6">
        <v>163542</v>
      </c>
      <c r="Q27" s="6">
        <v>296578</v>
      </c>
      <c r="S27" s="6">
        <v>21508</v>
      </c>
      <c r="U27" s="6">
        <v>509040</v>
      </c>
      <c r="W27" s="6">
        <v>217962</v>
      </c>
      <c r="Y27" s="6">
        <v>0</v>
      </c>
      <c r="AA27" s="6">
        <v>448476</v>
      </c>
      <c r="AC27" s="6">
        <v>215590</v>
      </c>
      <c r="AE27" s="6">
        <v>1054</v>
      </c>
      <c r="AG27" s="6">
        <v>0</v>
      </c>
      <c r="AI27" s="6">
        <v>716</v>
      </c>
      <c r="AJ27" s="11" t="s">
        <v>335</v>
      </c>
      <c r="AK27" s="11"/>
      <c r="AL27" s="11" t="s">
        <v>33</v>
      </c>
      <c r="AN27" s="6">
        <v>175095</v>
      </c>
      <c r="AP27" s="6">
        <v>0</v>
      </c>
      <c r="AT27" s="6">
        <v>35000</v>
      </c>
      <c r="AV27" s="6">
        <v>7702</v>
      </c>
      <c r="AX27" s="6">
        <v>0</v>
      </c>
      <c r="AZ27" s="6">
        <f t="shared" si="4"/>
        <v>5992555</v>
      </c>
      <c r="BB27" s="6">
        <v>0</v>
      </c>
      <c r="BD27" s="6">
        <v>0</v>
      </c>
      <c r="BF27" s="6">
        <v>0</v>
      </c>
      <c r="BH27" s="6">
        <v>0</v>
      </c>
      <c r="BJ27" s="6">
        <f t="shared" si="2"/>
        <v>5992555</v>
      </c>
      <c r="BL27" s="6">
        <f>+'Gen Fd Rev'!AK27-'Gen Fd Exp'!BJ27</f>
        <v>-70342</v>
      </c>
      <c r="BN27" s="6">
        <v>2054006</v>
      </c>
      <c r="BP27" s="6">
        <v>0</v>
      </c>
      <c r="BR27" s="6">
        <v>0</v>
      </c>
      <c r="BT27" s="6">
        <f t="shared" si="3"/>
        <v>1983664</v>
      </c>
      <c r="BV27" s="7">
        <f>+BT27-'Gen Fd BS'!AC27+BR27</f>
        <v>0</v>
      </c>
    </row>
    <row r="28" spans="1:74">
      <c r="A28" s="11" t="s">
        <v>203</v>
      </c>
      <c r="B28" s="11"/>
      <c r="C28" s="11" t="s">
        <v>11</v>
      </c>
      <c r="D28" s="9"/>
      <c r="E28" s="6">
        <v>14895255</v>
      </c>
      <c r="G28" s="6">
        <v>3656088</v>
      </c>
      <c r="I28" s="6">
        <v>675083</v>
      </c>
      <c r="K28" s="6">
        <v>0</v>
      </c>
      <c r="M28" s="6">
        <v>952081</v>
      </c>
      <c r="O28" s="6">
        <v>1652264</v>
      </c>
      <c r="Q28" s="6">
        <v>942976</v>
      </c>
      <c r="S28" s="6">
        <v>90601</v>
      </c>
      <c r="U28" s="6">
        <v>2371356</v>
      </c>
      <c r="W28" s="6">
        <v>836636</v>
      </c>
      <c r="Y28" s="6">
        <v>328821</v>
      </c>
      <c r="AA28" s="6">
        <v>2532891</v>
      </c>
      <c r="AC28" s="6">
        <v>1144979</v>
      </c>
      <c r="AE28" s="6">
        <v>267977</v>
      </c>
      <c r="AG28" s="6">
        <v>16126</v>
      </c>
      <c r="AI28" s="6">
        <v>0</v>
      </c>
      <c r="AJ28" s="11" t="s">
        <v>203</v>
      </c>
      <c r="AK28" s="11"/>
      <c r="AL28" s="11" t="s">
        <v>11</v>
      </c>
      <c r="AN28" s="6">
        <v>690646</v>
      </c>
      <c r="AP28" s="6">
        <v>16194</v>
      </c>
      <c r="AT28" s="6">
        <v>210246</v>
      </c>
      <c r="AV28" s="6">
        <v>115354</v>
      </c>
      <c r="AX28" s="6">
        <v>0</v>
      </c>
      <c r="AZ28" s="6">
        <f t="shared" si="4"/>
        <v>31395574</v>
      </c>
      <c r="BB28" s="6">
        <v>2571</v>
      </c>
      <c r="BD28" s="6">
        <v>0</v>
      </c>
      <c r="BF28" s="6">
        <v>0</v>
      </c>
      <c r="BH28" s="6">
        <v>0</v>
      </c>
      <c r="BJ28" s="6">
        <f t="shared" si="2"/>
        <v>31398145</v>
      </c>
      <c r="BL28" s="6">
        <f>+'Gen Fd Rev'!AK28-'Gen Fd Exp'!BJ28</f>
        <v>-2803953</v>
      </c>
      <c r="BN28" s="6">
        <v>8142276</v>
      </c>
      <c r="BP28" s="6">
        <v>0</v>
      </c>
      <c r="BR28" s="6">
        <v>0</v>
      </c>
      <c r="BT28" s="6">
        <f t="shared" si="3"/>
        <v>5338323</v>
      </c>
      <c r="BV28" s="7">
        <f>+BT28-'Gen Fd BS'!AC28+BR28</f>
        <v>0</v>
      </c>
    </row>
    <row r="29" spans="1:74">
      <c r="A29" s="11" t="s">
        <v>669</v>
      </c>
      <c r="B29" s="11"/>
      <c r="C29" s="11" t="s">
        <v>12</v>
      </c>
      <c r="D29" s="9"/>
      <c r="E29" s="6">
        <v>16315733</v>
      </c>
      <c r="G29" s="6">
        <v>4770844</v>
      </c>
      <c r="I29" s="6">
        <v>207436</v>
      </c>
      <c r="K29" s="6">
        <v>0</v>
      </c>
      <c r="M29" s="6">
        <v>319589</v>
      </c>
      <c r="O29" s="6">
        <v>1792573</v>
      </c>
      <c r="Q29" s="6">
        <v>2223969</v>
      </c>
      <c r="S29" s="6">
        <v>180341</v>
      </c>
      <c r="U29" s="6">
        <v>2127943</v>
      </c>
      <c r="W29" s="6">
        <v>733790</v>
      </c>
      <c r="Y29" s="6">
        <v>610325</v>
      </c>
      <c r="AA29" s="6">
        <v>3301766</v>
      </c>
      <c r="AC29" s="6">
        <v>2210420</v>
      </c>
      <c r="AE29" s="6">
        <v>120903</v>
      </c>
      <c r="AG29" s="6">
        <v>0</v>
      </c>
      <c r="AI29" s="6">
        <v>0</v>
      </c>
      <c r="AJ29" s="11" t="s">
        <v>669</v>
      </c>
      <c r="AK29" s="11"/>
      <c r="AL29" s="11" t="s">
        <v>12</v>
      </c>
      <c r="AN29" s="6">
        <v>375908</v>
      </c>
      <c r="AP29" s="6">
        <v>296</v>
      </c>
      <c r="AT29" s="6">
        <v>0</v>
      </c>
      <c r="AV29" s="6">
        <v>0</v>
      </c>
      <c r="AX29" s="6">
        <v>0</v>
      </c>
      <c r="AZ29" s="6">
        <f t="shared" si="4"/>
        <v>35291836</v>
      </c>
      <c r="BB29" s="6">
        <v>19000</v>
      </c>
      <c r="BD29" s="6">
        <v>0</v>
      </c>
      <c r="BF29" s="6">
        <v>0</v>
      </c>
      <c r="BH29" s="6">
        <v>0</v>
      </c>
      <c r="BJ29" s="6">
        <f t="shared" si="2"/>
        <v>35310836</v>
      </c>
      <c r="BL29" s="6">
        <f>+'Gen Fd Rev'!AK29-'Gen Fd Exp'!BJ29</f>
        <v>-940029</v>
      </c>
      <c r="BN29" s="6">
        <v>1884885</v>
      </c>
      <c r="BP29" s="6">
        <v>0</v>
      </c>
      <c r="BR29" s="6">
        <v>0</v>
      </c>
      <c r="BT29" s="6">
        <f t="shared" si="3"/>
        <v>944856</v>
      </c>
      <c r="BV29" s="7">
        <f>+BT29-'Gen Fd BS'!AC29+BR29</f>
        <v>0</v>
      </c>
    </row>
    <row r="30" spans="1:74">
      <c r="A30" s="11" t="s">
        <v>210</v>
      </c>
      <c r="B30" s="11"/>
      <c r="C30" s="11" t="s">
        <v>13</v>
      </c>
      <c r="D30" s="9"/>
      <c r="E30" s="6">
        <v>14258107</v>
      </c>
      <c r="G30" s="6">
        <v>2681642</v>
      </c>
      <c r="I30" s="6">
        <v>439824</v>
      </c>
      <c r="K30" s="6">
        <v>0</v>
      </c>
      <c r="M30" s="6">
        <v>138420</v>
      </c>
      <c r="O30" s="6">
        <v>1310819</v>
      </c>
      <c r="Q30" s="6">
        <v>2198668</v>
      </c>
      <c r="S30" s="6">
        <v>120087</v>
      </c>
      <c r="U30" s="6">
        <v>1801393</v>
      </c>
      <c r="W30" s="6">
        <v>583787</v>
      </c>
      <c r="Y30" s="6">
        <v>499628</v>
      </c>
      <c r="AA30" s="6">
        <v>3159350</v>
      </c>
      <c r="AC30" s="6">
        <v>1581432</v>
      </c>
      <c r="AE30" s="6">
        <v>146426</v>
      </c>
      <c r="AG30" s="6">
        <v>0</v>
      </c>
      <c r="AI30" s="6">
        <v>5108</v>
      </c>
      <c r="AJ30" s="11" t="s">
        <v>210</v>
      </c>
      <c r="AK30" s="11"/>
      <c r="AL30" s="11" t="s">
        <v>13</v>
      </c>
      <c r="AN30" s="6">
        <v>391714</v>
      </c>
      <c r="AP30" s="6">
        <v>6163</v>
      </c>
      <c r="AT30" s="6">
        <v>0</v>
      </c>
      <c r="AV30" s="6">
        <v>0</v>
      </c>
      <c r="AX30" s="6">
        <v>0</v>
      </c>
      <c r="AZ30" s="6">
        <f t="shared" si="4"/>
        <v>29322568</v>
      </c>
      <c r="BB30" s="6">
        <v>51520</v>
      </c>
      <c r="BD30" s="6">
        <v>0</v>
      </c>
      <c r="BF30" s="6">
        <v>0</v>
      </c>
      <c r="BH30" s="6">
        <v>0</v>
      </c>
      <c r="BJ30" s="6">
        <f t="shared" si="2"/>
        <v>29374088</v>
      </c>
      <c r="BL30" s="6">
        <f>+'Gen Fd Rev'!AK30-'Gen Fd Exp'!BJ30</f>
        <v>-548409</v>
      </c>
      <c r="BN30" s="6">
        <v>8119207</v>
      </c>
      <c r="BP30" s="6">
        <v>0</v>
      </c>
      <c r="BR30" s="6">
        <v>0</v>
      </c>
      <c r="BT30" s="6">
        <f t="shared" si="3"/>
        <v>7570798</v>
      </c>
      <c r="BV30" s="7">
        <f>+BT30-'Gen Fd BS'!AC30+BR30</f>
        <v>0</v>
      </c>
    </row>
    <row r="31" spans="1:74">
      <c r="A31" s="11" t="s">
        <v>459</v>
      </c>
      <c r="B31" s="11"/>
      <c r="C31" s="11" t="s">
        <v>56</v>
      </c>
      <c r="E31" s="6">
        <v>13812566</v>
      </c>
      <c r="G31" s="6">
        <v>2143177</v>
      </c>
      <c r="I31" s="6">
        <v>178387</v>
      </c>
      <c r="K31" s="6">
        <v>0</v>
      </c>
      <c r="M31" s="6">
        <v>1149406</v>
      </c>
      <c r="O31" s="6">
        <v>1771311</v>
      </c>
      <c r="Q31" s="6">
        <v>1789457</v>
      </c>
      <c r="S31" s="6">
        <v>91063</v>
      </c>
      <c r="U31" s="6">
        <v>2140501</v>
      </c>
      <c r="W31" s="6">
        <v>769942</v>
      </c>
      <c r="Y31" s="6">
        <v>195694</v>
      </c>
      <c r="AA31" s="6">
        <v>2583972</v>
      </c>
      <c r="AC31" s="6">
        <v>1577293</v>
      </c>
      <c r="AE31" s="6">
        <v>192679</v>
      </c>
      <c r="AG31" s="6">
        <v>0</v>
      </c>
      <c r="AI31" s="6">
        <v>0</v>
      </c>
      <c r="AJ31" s="11" t="s">
        <v>459</v>
      </c>
      <c r="AK31" s="11"/>
      <c r="AL31" s="11" t="s">
        <v>56</v>
      </c>
      <c r="AN31" s="6">
        <v>644595</v>
      </c>
      <c r="AP31" s="6">
        <v>264042</v>
      </c>
      <c r="AT31" s="6">
        <v>61704</v>
      </c>
      <c r="AV31" s="6">
        <v>386547</v>
      </c>
      <c r="AX31" s="6">
        <v>0</v>
      </c>
      <c r="AZ31" s="6">
        <f t="shared" si="4"/>
        <v>29752336</v>
      </c>
      <c r="BB31" s="6">
        <v>0</v>
      </c>
      <c r="BD31" s="6">
        <v>0</v>
      </c>
      <c r="BF31" s="6">
        <v>0</v>
      </c>
      <c r="BH31" s="6">
        <v>0</v>
      </c>
      <c r="BJ31" s="6">
        <f t="shared" si="2"/>
        <v>29752336</v>
      </c>
      <c r="BL31" s="6">
        <f>+'Gen Fd Rev'!AK31-'Gen Fd Exp'!BJ31</f>
        <v>-238906</v>
      </c>
      <c r="BN31" s="6">
        <v>2550602</v>
      </c>
      <c r="BP31" s="6">
        <v>0</v>
      </c>
      <c r="BR31" s="6">
        <v>0</v>
      </c>
      <c r="BT31" s="6">
        <f t="shared" si="3"/>
        <v>2311696</v>
      </c>
      <c r="BV31" s="7">
        <f>+BT31-'Gen Fd BS'!AC31+BR31</f>
        <v>0</v>
      </c>
    </row>
    <row r="32" spans="1:74">
      <c r="A32" s="11" t="s">
        <v>401</v>
      </c>
      <c r="B32" s="11"/>
      <c r="C32" s="11" t="s">
        <v>45</v>
      </c>
      <c r="E32" s="6">
        <v>17456235</v>
      </c>
      <c r="G32" s="6">
        <v>4566503</v>
      </c>
      <c r="I32" s="6">
        <v>245931</v>
      </c>
      <c r="K32" s="6">
        <v>0</v>
      </c>
      <c r="M32" s="6">
        <v>1735218</v>
      </c>
      <c r="O32" s="6">
        <v>2560043</v>
      </c>
      <c r="Q32" s="6">
        <v>853224</v>
      </c>
      <c r="S32" s="6">
        <v>70486</v>
      </c>
      <c r="U32" s="6">
        <v>3295124</v>
      </c>
      <c r="W32" s="6">
        <v>855041</v>
      </c>
      <c r="Y32" s="6">
        <v>1579</v>
      </c>
      <c r="AA32" s="6">
        <v>3497062</v>
      </c>
      <c r="AC32" s="6">
        <v>2273294</v>
      </c>
      <c r="AE32" s="6">
        <v>19025</v>
      </c>
      <c r="AG32" s="6">
        <v>0</v>
      </c>
      <c r="AI32" s="6">
        <v>3965</v>
      </c>
      <c r="AJ32" s="11" t="s">
        <v>401</v>
      </c>
      <c r="AK32" s="11"/>
      <c r="AL32" s="11" t="s">
        <v>45</v>
      </c>
      <c r="AN32" s="6">
        <v>536518</v>
      </c>
      <c r="AP32" s="6">
        <v>2571</v>
      </c>
      <c r="AT32" s="6">
        <v>0</v>
      </c>
      <c r="AV32" s="6">
        <v>0</v>
      </c>
      <c r="AX32" s="6">
        <v>0</v>
      </c>
      <c r="AZ32" s="6">
        <f t="shared" si="4"/>
        <v>37971819</v>
      </c>
      <c r="BB32" s="6">
        <v>1298424</v>
      </c>
      <c r="BD32" s="6">
        <v>0</v>
      </c>
      <c r="BF32" s="6">
        <v>0</v>
      </c>
      <c r="BH32" s="6">
        <v>0</v>
      </c>
      <c r="BJ32" s="6">
        <f t="shared" si="2"/>
        <v>39270243</v>
      </c>
      <c r="BL32" s="6">
        <f>+'Gen Fd Rev'!AK32-'Gen Fd Exp'!BJ32</f>
        <v>1255883</v>
      </c>
      <c r="BN32" s="6">
        <v>646624</v>
      </c>
      <c r="BP32" s="6">
        <v>0</v>
      </c>
      <c r="BR32" s="6">
        <v>0</v>
      </c>
      <c r="BT32" s="6">
        <f t="shared" si="3"/>
        <v>1902507</v>
      </c>
      <c r="BV32" s="7">
        <f>+BT32-'Gen Fd BS'!AC32+BR32</f>
        <v>0</v>
      </c>
    </row>
    <row r="33" spans="1:76">
      <c r="A33" s="11" t="s">
        <v>380</v>
      </c>
      <c r="B33" s="11"/>
      <c r="C33" s="11" t="s">
        <v>44</v>
      </c>
      <c r="E33" s="6">
        <v>18921210</v>
      </c>
      <c r="G33" s="6">
        <v>2518925</v>
      </c>
      <c r="I33" s="6">
        <v>103768</v>
      </c>
      <c r="K33" s="6">
        <v>17130</v>
      </c>
      <c r="M33" s="6">
        <v>1540655</v>
      </c>
      <c r="O33" s="6">
        <v>3216660</v>
      </c>
      <c r="Q33" s="6">
        <v>830523</v>
      </c>
      <c r="S33" s="6">
        <v>21129</v>
      </c>
      <c r="U33" s="6">
        <v>3076668</v>
      </c>
      <c r="W33" s="6">
        <v>1046163</v>
      </c>
      <c r="Y33" s="6">
        <v>137857</v>
      </c>
      <c r="AA33" s="6">
        <v>4330988</v>
      </c>
      <c r="AC33" s="6">
        <v>1555114</v>
      </c>
      <c r="AE33" s="6">
        <v>204684</v>
      </c>
      <c r="AG33" s="6">
        <v>0</v>
      </c>
      <c r="AI33" s="6">
        <v>13295</v>
      </c>
      <c r="AJ33" s="11" t="s">
        <v>380</v>
      </c>
      <c r="AK33" s="11"/>
      <c r="AL33" s="11" t="s">
        <v>44</v>
      </c>
      <c r="AN33" s="6">
        <v>906760</v>
      </c>
      <c r="AP33" s="6">
        <v>0</v>
      </c>
      <c r="AT33" s="6">
        <v>181225</v>
      </c>
      <c r="AV33" s="6">
        <v>3016</v>
      </c>
      <c r="AX33" s="6">
        <v>0</v>
      </c>
      <c r="AZ33" s="6">
        <f t="shared" si="4"/>
        <v>38625770</v>
      </c>
      <c r="BB33" s="6">
        <v>4620</v>
      </c>
      <c r="BD33" s="6">
        <v>0</v>
      </c>
      <c r="BF33" s="6">
        <v>0</v>
      </c>
      <c r="BH33" s="6">
        <v>0</v>
      </c>
      <c r="BJ33" s="6">
        <f t="shared" si="2"/>
        <v>38630390</v>
      </c>
      <c r="BL33" s="6">
        <f>+'Gen Fd Rev'!AK33-'Gen Fd Exp'!BJ33</f>
        <v>-3299007</v>
      </c>
      <c r="BN33" s="6">
        <v>12556774</v>
      </c>
      <c r="BP33" s="6">
        <v>0</v>
      </c>
      <c r="BR33" s="6">
        <v>0</v>
      </c>
      <c r="BT33" s="6">
        <f t="shared" si="3"/>
        <v>9257767</v>
      </c>
      <c r="BV33" s="7">
        <f>+BT33-'Gen Fd BS'!AC33+BR33</f>
        <v>0</v>
      </c>
    </row>
    <row r="34" spans="1:76">
      <c r="A34" s="11" t="s">
        <v>381</v>
      </c>
      <c r="B34" s="11"/>
      <c r="C34" s="11" t="s">
        <v>44</v>
      </c>
      <c r="E34" s="6">
        <v>13651075</v>
      </c>
      <c r="G34" s="6">
        <v>3602753</v>
      </c>
      <c r="I34" s="6">
        <v>170748</v>
      </c>
      <c r="K34" s="6">
        <v>0</v>
      </c>
      <c r="M34" s="6">
        <v>651164</v>
      </c>
      <c r="O34" s="6">
        <v>974282</v>
      </c>
      <c r="Q34" s="6">
        <v>1685849</v>
      </c>
      <c r="S34" s="6">
        <v>183895</v>
      </c>
      <c r="U34" s="6">
        <v>1954406</v>
      </c>
      <c r="W34" s="6">
        <v>779733</v>
      </c>
      <c r="Y34" s="6">
        <v>129296</v>
      </c>
      <c r="AA34" s="6">
        <v>2100022</v>
      </c>
      <c r="AC34" s="6">
        <v>1625448</v>
      </c>
      <c r="AE34" s="6">
        <v>349894</v>
      </c>
      <c r="AG34" s="6">
        <v>0</v>
      </c>
      <c r="AI34" s="6">
        <v>0</v>
      </c>
      <c r="AJ34" s="11" t="s">
        <v>381</v>
      </c>
      <c r="AK34" s="11"/>
      <c r="AL34" s="11" t="s">
        <v>44</v>
      </c>
      <c r="AN34" s="6">
        <v>668120</v>
      </c>
      <c r="AP34" s="6">
        <v>0</v>
      </c>
      <c r="AT34" s="6">
        <v>97294</v>
      </c>
      <c r="AV34" s="6">
        <v>9801</v>
      </c>
      <c r="AX34" s="6">
        <v>0</v>
      </c>
      <c r="AZ34" s="6">
        <f t="shared" si="4"/>
        <v>28633780</v>
      </c>
      <c r="BB34" s="6">
        <v>0</v>
      </c>
      <c r="BD34" s="6">
        <v>0</v>
      </c>
      <c r="BF34" s="6">
        <v>0</v>
      </c>
      <c r="BH34" s="6">
        <v>0</v>
      </c>
      <c r="BJ34" s="6">
        <f t="shared" si="2"/>
        <v>28633780</v>
      </c>
      <c r="BL34" s="6">
        <f>+'Gen Fd Rev'!AK34-'Gen Fd Exp'!BJ34</f>
        <v>4264966</v>
      </c>
      <c r="BN34" s="6">
        <v>7270924</v>
      </c>
      <c r="BP34" s="6">
        <v>0</v>
      </c>
      <c r="BR34" s="6">
        <v>0</v>
      </c>
      <c r="BT34" s="6">
        <f t="shared" si="3"/>
        <v>11535890</v>
      </c>
      <c r="BV34" s="7">
        <f>+BT34-'Gen Fd BS'!AC34+BR34</f>
        <v>0</v>
      </c>
    </row>
    <row r="35" spans="1:76">
      <c r="A35" s="11" t="s">
        <v>283</v>
      </c>
      <c r="B35" s="11"/>
      <c r="C35" s="11" t="s">
        <v>22</v>
      </c>
      <c r="E35" s="6">
        <v>3670531</v>
      </c>
      <c r="G35" s="6">
        <v>406049</v>
      </c>
      <c r="I35" s="6">
        <v>59445</v>
      </c>
      <c r="K35" s="6">
        <v>0</v>
      </c>
      <c r="M35" s="6">
        <v>283186</v>
      </c>
      <c r="O35" s="6">
        <v>355312</v>
      </c>
      <c r="Q35" s="6">
        <v>273658</v>
      </c>
      <c r="S35" s="6">
        <v>16098</v>
      </c>
      <c r="U35" s="6">
        <v>574469</v>
      </c>
      <c r="W35" s="6">
        <v>310745</v>
      </c>
      <c r="Y35" s="6">
        <v>0</v>
      </c>
      <c r="AA35" s="6">
        <v>527335</v>
      </c>
      <c r="AC35" s="6">
        <v>251012</v>
      </c>
      <c r="AE35" s="6">
        <v>34273</v>
      </c>
      <c r="AG35" s="6">
        <v>0</v>
      </c>
      <c r="AI35" s="6">
        <v>13772</v>
      </c>
      <c r="AJ35" s="11" t="s">
        <v>283</v>
      </c>
      <c r="AK35" s="11"/>
      <c r="AL35" s="11" t="s">
        <v>22</v>
      </c>
      <c r="AN35" s="6">
        <v>327142</v>
      </c>
      <c r="AP35" s="6">
        <v>125873</v>
      </c>
      <c r="AT35" s="6">
        <v>99571</v>
      </c>
      <c r="AV35" s="6">
        <v>7319</v>
      </c>
      <c r="AX35" s="6">
        <v>0</v>
      </c>
      <c r="AZ35" s="6">
        <f t="shared" si="4"/>
        <v>7335790</v>
      </c>
      <c r="BB35" s="6">
        <v>22422</v>
      </c>
      <c r="BD35" s="6">
        <v>0</v>
      </c>
      <c r="BF35" s="6">
        <v>0</v>
      </c>
      <c r="BH35" s="6">
        <v>0</v>
      </c>
      <c r="BJ35" s="6">
        <f t="shared" si="2"/>
        <v>7358212</v>
      </c>
      <c r="BL35" s="6">
        <f>+'Gen Fd Rev'!AK35-'Gen Fd Exp'!BJ35</f>
        <v>635566</v>
      </c>
      <c r="BN35" s="6">
        <v>3277511</v>
      </c>
      <c r="BP35" s="6">
        <v>-10730</v>
      </c>
      <c r="BR35" s="6">
        <v>0</v>
      </c>
      <c r="BT35" s="6">
        <f t="shared" si="3"/>
        <v>3923807</v>
      </c>
      <c r="BV35" s="7">
        <f>+BT35-'Gen Fd BS'!AC35+BR35</f>
        <v>0</v>
      </c>
    </row>
    <row r="36" spans="1:76">
      <c r="A36" s="11" t="s">
        <v>507</v>
      </c>
      <c r="B36" s="11"/>
      <c r="C36" s="11" t="s">
        <v>63</v>
      </c>
      <c r="E36" s="6">
        <v>15024736</v>
      </c>
      <c r="G36" s="6">
        <v>3258901</v>
      </c>
      <c r="I36" s="6">
        <v>1400489</v>
      </c>
      <c r="K36" s="6">
        <v>0</v>
      </c>
      <c r="M36" s="6">
        <v>4632259</v>
      </c>
      <c r="O36" s="6">
        <v>1986543</v>
      </c>
      <c r="Q36" s="6">
        <v>1419511</v>
      </c>
      <c r="S36" s="6">
        <v>25755</v>
      </c>
      <c r="U36" s="6">
        <v>3194028</v>
      </c>
      <c r="W36" s="6">
        <v>740599</v>
      </c>
      <c r="Y36" s="6">
        <v>343904</v>
      </c>
      <c r="AA36" s="6">
        <v>3323424</v>
      </c>
      <c r="AC36" s="6">
        <v>1034679</v>
      </c>
      <c r="AE36" s="6">
        <v>80856</v>
      </c>
      <c r="AG36" s="6">
        <v>0</v>
      </c>
      <c r="AI36" s="6">
        <v>112466</v>
      </c>
      <c r="AJ36" s="11" t="s">
        <v>507</v>
      </c>
      <c r="AK36" s="11"/>
      <c r="AL36" s="11" t="s">
        <v>63</v>
      </c>
      <c r="AN36" s="6">
        <v>1115089</v>
      </c>
      <c r="AP36" s="6">
        <v>37728</v>
      </c>
      <c r="AT36" s="6">
        <v>0</v>
      </c>
      <c r="AV36" s="6">
        <v>0</v>
      </c>
      <c r="AX36" s="6">
        <v>0</v>
      </c>
      <c r="AZ36" s="6">
        <f t="shared" si="4"/>
        <v>37730967</v>
      </c>
      <c r="BB36" s="6">
        <v>52363</v>
      </c>
      <c r="BD36" s="6">
        <v>0</v>
      </c>
      <c r="BF36" s="6">
        <v>0</v>
      </c>
      <c r="BH36" s="6">
        <v>0</v>
      </c>
      <c r="BJ36" s="6">
        <f t="shared" si="2"/>
        <v>37783330</v>
      </c>
      <c r="BL36" s="6">
        <f>+'Gen Fd Rev'!AK36-'Gen Fd Exp'!BJ36</f>
        <v>-1007056</v>
      </c>
      <c r="BN36" s="6">
        <v>4191009</v>
      </c>
      <c r="BP36" s="6">
        <v>0</v>
      </c>
      <c r="BR36" s="6">
        <v>0</v>
      </c>
      <c r="BT36" s="6">
        <f t="shared" si="3"/>
        <v>3183953</v>
      </c>
      <c r="BV36" s="7">
        <f>+BT36-'Gen Fd BS'!AC36+BR36</f>
        <v>0</v>
      </c>
    </row>
    <row r="37" spans="1:76">
      <c r="A37" s="11" t="s">
        <v>750</v>
      </c>
      <c r="B37" s="11"/>
      <c r="C37" s="11" t="s">
        <v>15</v>
      </c>
      <c r="E37" s="6">
        <v>2982719</v>
      </c>
      <c r="G37" s="6">
        <v>714380</v>
      </c>
      <c r="I37" s="6">
        <v>188702</v>
      </c>
      <c r="K37" s="6">
        <v>0</v>
      </c>
      <c r="M37" s="6">
        <v>51210</v>
      </c>
      <c r="O37" s="6">
        <v>660571</v>
      </c>
      <c r="Q37" s="6">
        <v>208447</v>
      </c>
      <c r="S37" s="6">
        <v>141649</v>
      </c>
      <c r="U37" s="6">
        <v>432547</v>
      </c>
      <c r="W37" s="6">
        <v>384902</v>
      </c>
      <c r="Y37" s="6">
        <v>23992</v>
      </c>
      <c r="AA37" s="6">
        <v>1067204</v>
      </c>
      <c r="AC37" s="6">
        <v>635806</v>
      </c>
      <c r="AE37" s="6">
        <v>23364</v>
      </c>
      <c r="AG37" s="6">
        <v>0</v>
      </c>
      <c r="AI37" s="6">
        <v>1627</v>
      </c>
      <c r="AJ37" s="11" t="s">
        <v>750</v>
      </c>
      <c r="AK37" s="11"/>
      <c r="AL37" s="11" t="s">
        <v>15</v>
      </c>
      <c r="AN37" s="6">
        <v>102774</v>
      </c>
      <c r="AP37" s="6">
        <v>77546</v>
      </c>
      <c r="AT37" s="6">
        <v>62549</v>
      </c>
      <c r="AV37" s="6">
        <v>13329</v>
      </c>
      <c r="AX37" s="6">
        <v>0</v>
      </c>
      <c r="AZ37" s="6">
        <f t="shared" si="4"/>
        <v>7773318</v>
      </c>
      <c r="BB37" s="6">
        <v>1678700</v>
      </c>
      <c r="BD37" s="6">
        <v>0</v>
      </c>
      <c r="BF37" s="6">
        <v>0</v>
      </c>
      <c r="BH37" s="6">
        <v>0</v>
      </c>
      <c r="BJ37" s="6">
        <f t="shared" si="2"/>
        <v>9452018</v>
      </c>
      <c r="BL37" s="6">
        <f>+'Gen Fd Rev'!AK37-'Gen Fd Exp'!BJ37</f>
        <v>943323</v>
      </c>
      <c r="BN37" s="6">
        <v>2084576</v>
      </c>
      <c r="BP37" s="6">
        <v>0</v>
      </c>
      <c r="BR37" s="6">
        <v>0</v>
      </c>
      <c r="BT37" s="6">
        <f t="shared" si="3"/>
        <v>3027899</v>
      </c>
      <c r="BV37" s="7">
        <f>+BT37-'Gen Fd BS'!AC37+BR37</f>
        <v>0</v>
      </c>
    </row>
    <row r="38" spans="1:76">
      <c r="A38" s="11" t="s">
        <v>237</v>
      </c>
      <c r="B38" s="11"/>
      <c r="C38" s="11" t="s">
        <v>113</v>
      </c>
      <c r="D38" s="9"/>
      <c r="E38" s="6">
        <v>8083919</v>
      </c>
      <c r="G38" s="6">
        <v>3298327</v>
      </c>
      <c r="I38" s="6">
        <v>0</v>
      </c>
      <c r="K38" s="6">
        <v>0</v>
      </c>
      <c r="M38" s="6">
        <v>92667</v>
      </c>
      <c r="O38" s="6">
        <v>404413</v>
      </c>
      <c r="Q38" s="6">
        <v>282293</v>
      </c>
      <c r="S38" s="6">
        <v>193130</v>
      </c>
      <c r="U38" s="6">
        <v>1250142</v>
      </c>
      <c r="W38" s="6">
        <v>483171</v>
      </c>
      <c r="Y38" s="6">
        <v>0</v>
      </c>
      <c r="AA38" s="6">
        <v>1225808</v>
      </c>
      <c r="AC38" s="6">
        <v>1307884</v>
      </c>
      <c r="AE38" s="6">
        <v>2018</v>
      </c>
      <c r="AG38" s="6">
        <v>0</v>
      </c>
      <c r="AI38" s="6">
        <v>0</v>
      </c>
      <c r="AJ38" s="11" t="s">
        <v>237</v>
      </c>
      <c r="AK38" s="11"/>
      <c r="AL38" s="11" t="s">
        <v>113</v>
      </c>
      <c r="AN38" s="6">
        <v>268181</v>
      </c>
      <c r="AP38" s="6">
        <v>599216</v>
      </c>
      <c r="AT38" s="6">
        <v>85000</v>
      </c>
      <c r="AV38" s="6">
        <v>22601</v>
      </c>
      <c r="AX38" s="6">
        <v>0</v>
      </c>
      <c r="AZ38" s="6">
        <f t="shared" si="4"/>
        <v>17598770</v>
      </c>
      <c r="BB38" s="6">
        <v>80000</v>
      </c>
      <c r="BD38" s="6">
        <v>0</v>
      </c>
      <c r="BF38" s="6">
        <v>0</v>
      </c>
      <c r="BH38" s="6">
        <v>0</v>
      </c>
      <c r="BJ38" s="6">
        <f t="shared" si="2"/>
        <v>17678770</v>
      </c>
      <c r="BL38" s="6">
        <f>+'Gen Fd Rev'!AK38-'Gen Fd Exp'!BJ38</f>
        <v>-605070</v>
      </c>
      <c r="BN38" s="6">
        <v>466908</v>
      </c>
      <c r="BP38" s="6">
        <v>0</v>
      </c>
      <c r="BR38" s="6">
        <v>0</v>
      </c>
      <c r="BT38" s="6">
        <f t="shared" si="3"/>
        <v>-138162</v>
      </c>
      <c r="BV38" s="7">
        <f>+BT38-'Gen Fd BS'!AC38+BR38</f>
        <v>0</v>
      </c>
    </row>
    <row r="39" spans="1:76" hidden="1">
      <c r="A39" s="11" t="s">
        <v>671</v>
      </c>
      <c r="B39" s="11"/>
      <c r="C39" s="11" t="s">
        <v>10</v>
      </c>
      <c r="D39" s="9"/>
      <c r="AJ39" s="11" t="s">
        <v>671</v>
      </c>
      <c r="AK39" s="11"/>
      <c r="AL39" s="11" t="s">
        <v>10</v>
      </c>
      <c r="AZ39" s="6">
        <f t="shared" si="4"/>
        <v>0</v>
      </c>
      <c r="BD39" s="6">
        <v>0</v>
      </c>
      <c r="BF39" s="6">
        <v>0</v>
      </c>
      <c r="BJ39" s="6">
        <f t="shared" si="2"/>
        <v>0</v>
      </c>
      <c r="BL39" s="6">
        <f>+'Gen Fd Rev'!AK39-'Gen Fd Exp'!BJ39</f>
        <v>0</v>
      </c>
      <c r="BR39" s="6">
        <v>0</v>
      </c>
      <c r="BT39" s="6">
        <f t="shared" si="3"/>
        <v>0</v>
      </c>
      <c r="BV39" s="7">
        <f>+BT39-'Gen Fd BS'!AC39+BR39</f>
        <v>0</v>
      </c>
    </row>
    <row r="40" spans="1:76">
      <c r="A40" s="11" t="s">
        <v>634</v>
      </c>
      <c r="B40" s="11"/>
      <c r="C40" s="11" t="s">
        <v>20</v>
      </c>
      <c r="E40" s="6">
        <v>12873332</v>
      </c>
      <c r="G40" s="6">
        <v>2086777</v>
      </c>
      <c r="I40" s="6">
        <v>353679</v>
      </c>
      <c r="K40" s="6">
        <v>0</v>
      </c>
      <c r="M40" s="6">
        <v>1029457</v>
      </c>
      <c r="O40" s="6">
        <v>2304771</v>
      </c>
      <c r="Q40" s="6">
        <v>804061</v>
      </c>
      <c r="S40" s="6">
        <v>29549</v>
      </c>
      <c r="U40" s="6">
        <v>2008814</v>
      </c>
      <c r="W40" s="6">
        <v>762237</v>
      </c>
      <c r="Y40" s="6">
        <v>393580</v>
      </c>
      <c r="AA40" s="6">
        <v>2711591</v>
      </c>
      <c r="AC40" s="6">
        <v>755761</v>
      </c>
      <c r="AE40" s="6">
        <v>387270</v>
      </c>
      <c r="AG40" s="6">
        <v>0</v>
      </c>
      <c r="AI40" s="6">
        <f>64689+857126</f>
        <v>921815</v>
      </c>
      <c r="AJ40" s="11" t="s">
        <v>634</v>
      </c>
      <c r="AK40" s="11"/>
      <c r="AL40" s="11" t="s">
        <v>20</v>
      </c>
      <c r="AN40" s="6">
        <f>304575+600277</f>
        <v>904852</v>
      </c>
      <c r="AP40" s="6">
        <v>245509</v>
      </c>
      <c r="AT40" s="6">
        <v>105000</v>
      </c>
      <c r="AV40" s="6">
        <v>85463</v>
      </c>
      <c r="AX40" s="6">
        <v>0</v>
      </c>
      <c r="AZ40" s="6">
        <f t="shared" si="4"/>
        <v>28763518</v>
      </c>
      <c r="BB40" s="6">
        <v>60541</v>
      </c>
      <c r="BD40" s="6">
        <v>0</v>
      </c>
      <c r="BF40" s="6">
        <v>0</v>
      </c>
      <c r="BH40" s="6">
        <v>0</v>
      </c>
      <c r="BJ40" s="6">
        <f t="shared" si="2"/>
        <v>28824059</v>
      </c>
      <c r="BL40" s="6">
        <f>+'Gen Fd Rev'!AK40-'Gen Fd Exp'!BJ40</f>
        <v>1963462</v>
      </c>
      <c r="BN40" s="6">
        <v>6634363</v>
      </c>
      <c r="BP40" s="6">
        <v>0</v>
      </c>
      <c r="BR40" s="6">
        <v>0</v>
      </c>
      <c r="BT40" s="6">
        <f t="shared" si="3"/>
        <v>8597825</v>
      </c>
      <c r="BV40" s="7">
        <f>+BT40-'Gen Fd BS'!AC40+BR40</f>
        <v>0</v>
      </c>
    </row>
    <row r="41" spans="1:76">
      <c r="A41" s="11" t="s">
        <v>261</v>
      </c>
      <c r="B41" s="11"/>
      <c r="C41" s="11" t="s">
        <v>20</v>
      </c>
      <c r="E41" s="6">
        <v>11616657</v>
      </c>
      <c r="G41" s="6">
        <v>5259295</v>
      </c>
      <c r="I41" s="6">
        <v>342363</v>
      </c>
      <c r="K41" s="6">
        <v>0</v>
      </c>
      <c r="M41" s="6">
        <v>238069</v>
      </c>
      <c r="O41" s="6">
        <v>1965669</v>
      </c>
      <c r="Q41" s="6">
        <v>914811</v>
      </c>
      <c r="S41" s="6">
        <v>337438</v>
      </c>
      <c r="U41" s="6">
        <v>2341265</v>
      </c>
      <c r="W41" s="6">
        <v>1105928</v>
      </c>
      <c r="Y41" s="6">
        <v>479569</v>
      </c>
      <c r="AA41" s="6">
        <v>2888556</v>
      </c>
      <c r="AC41" s="6">
        <v>1665516</v>
      </c>
      <c r="AE41" s="6">
        <v>1083554</v>
      </c>
      <c r="AG41" s="6">
        <v>0</v>
      </c>
      <c r="AI41" s="6">
        <v>9745</v>
      </c>
      <c r="AJ41" s="11" t="s">
        <v>261</v>
      </c>
      <c r="AK41" s="11"/>
      <c r="AL41" s="11" t="s">
        <v>20</v>
      </c>
      <c r="AN41" s="6">
        <v>931315</v>
      </c>
      <c r="AP41" s="6">
        <v>133215</v>
      </c>
      <c r="AT41" s="6">
        <v>0</v>
      </c>
      <c r="AV41" s="6">
        <v>0</v>
      </c>
      <c r="AX41" s="6">
        <v>0</v>
      </c>
      <c r="AZ41" s="6">
        <f t="shared" si="4"/>
        <v>31312965</v>
      </c>
      <c r="BB41" s="6">
        <v>233540</v>
      </c>
      <c r="BD41" s="6">
        <v>0</v>
      </c>
      <c r="BF41" s="6">
        <v>0</v>
      </c>
      <c r="BH41" s="6">
        <v>0</v>
      </c>
      <c r="BJ41" s="6">
        <f t="shared" si="2"/>
        <v>31546505</v>
      </c>
      <c r="BL41" s="6">
        <f>+'Gen Fd Rev'!AK41-'Gen Fd Exp'!BJ41</f>
        <v>276929</v>
      </c>
      <c r="BN41" s="6">
        <v>18674576</v>
      </c>
      <c r="BP41" s="6">
        <v>0</v>
      </c>
      <c r="BR41" s="6">
        <v>0</v>
      </c>
      <c r="BT41" s="6">
        <f t="shared" si="3"/>
        <v>18951505</v>
      </c>
      <c r="BV41" s="7">
        <f>+BT41-'Gen Fd BS'!AC41+BR41</f>
        <v>0</v>
      </c>
    </row>
    <row r="42" spans="1:76">
      <c r="A42" s="11" t="s">
        <v>246</v>
      </c>
      <c r="B42" s="11"/>
      <c r="C42" s="11" t="s">
        <v>112</v>
      </c>
      <c r="D42" s="9"/>
      <c r="E42" s="6">
        <v>9451706</v>
      </c>
      <c r="G42" s="6">
        <v>1118045</v>
      </c>
      <c r="I42" s="6">
        <v>6518</v>
      </c>
      <c r="K42" s="6">
        <v>0</v>
      </c>
      <c r="M42" s="6">
        <v>14961</v>
      </c>
      <c r="O42" s="6">
        <v>369071</v>
      </c>
      <c r="Q42" s="6">
        <v>649156</v>
      </c>
      <c r="S42" s="6">
        <v>30506</v>
      </c>
      <c r="U42" s="6">
        <v>1475898</v>
      </c>
      <c r="W42" s="6">
        <v>443943</v>
      </c>
      <c r="Y42" s="6">
        <v>0</v>
      </c>
      <c r="AA42" s="6">
        <v>1333381</v>
      </c>
      <c r="AC42" s="6">
        <v>1341449</v>
      </c>
      <c r="AE42" s="6">
        <v>65040</v>
      </c>
      <c r="AG42" s="6">
        <v>0</v>
      </c>
      <c r="AI42" s="6">
        <v>0</v>
      </c>
      <c r="AJ42" s="11" t="s">
        <v>246</v>
      </c>
      <c r="AK42" s="11"/>
      <c r="AL42" s="11" t="s">
        <v>112</v>
      </c>
      <c r="AN42" s="6">
        <v>350124</v>
      </c>
      <c r="AP42" s="6">
        <v>0</v>
      </c>
      <c r="AT42" s="6">
        <v>444500</v>
      </c>
      <c r="AV42" s="6">
        <v>0</v>
      </c>
      <c r="AX42" s="6">
        <v>0</v>
      </c>
      <c r="AZ42" s="6">
        <f t="shared" si="4"/>
        <v>17094298</v>
      </c>
      <c r="BB42" s="6">
        <v>0</v>
      </c>
      <c r="BD42" s="6">
        <v>0</v>
      </c>
      <c r="BF42" s="6">
        <v>0</v>
      </c>
      <c r="BH42" s="6">
        <v>0</v>
      </c>
      <c r="BJ42" s="6">
        <f t="shared" si="2"/>
        <v>17094298</v>
      </c>
      <c r="BL42" s="6">
        <f>+'Gen Fd Rev'!AK42-'Gen Fd Exp'!BJ42</f>
        <v>636712</v>
      </c>
      <c r="BN42" s="6">
        <v>-1190920</v>
      </c>
      <c r="BP42" s="6">
        <v>0</v>
      </c>
      <c r="BR42" s="6">
        <v>0</v>
      </c>
      <c r="BT42" s="6">
        <f t="shared" si="3"/>
        <v>-554208</v>
      </c>
      <c r="BV42" s="7">
        <f>+BT42-'Gen Fd BS'!AC42+BR42</f>
        <v>0</v>
      </c>
    </row>
    <row r="43" spans="1:76">
      <c r="A43" s="11" t="s">
        <v>317</v>
      </c>
      <c r="B43" s="11"/>
      <c r="C43" s="11" t="s">
        <v>114</v>
      </c>
      <c r="E43" s="6">
        <v>32818324</v>
      </c>
      <c r="G43" s="6">
        <v>9644289</v>
      </c>
      <c r="I43" s="6">
        <v>354058</v>
      </c>
      <c r="K43" s="6">
        <v>0</v>
      </c>
      <c r="M43" s="6">
        <f>624661+1114965</f>
        <v>1739626</v>
      </c>
      <c r="O43" s="6">
        <v>4801162</v>
      </c>
      <c r="Q43" s="6">
        <v>5346581</v>
      </c>
      <c r="S43" s="6">
        <v>51215</v>
      </c>
      <c r="U43" s="6">
        <v>4656633</v>
      </c>
      <c r="W43" s="6">
        <v>1586995</v>
      </c>
      <c r="Y43" s="6">
        <v>519206</v>
      </c>
      <c r="AA43" s="6">
        <v>6266041</v>
      </c>
      <c r="AC43" s="6">
        <v>5514689</v>
      </c>
      <c r="AE43" s="6">
        <v>1384124</v>
      </c>
      <c r="AG43" s="6">
        <v>0</v>
      </c>
      <c r="AI43" s="6">
        <v>7500</v>
      </c>
      <c r="AJ43" s="11" t="s">
        <v>317</v>
      </c>
      <c r="AK43" s="11"/>
      <c r="AL43" s="11" t="s">
        <v>114</v>
      </c>
      <c r="AN43" s="6">
        <f>332103+768923+29778</f>
        <v>1130804</v>
      </c>
      <c r="AP43" s="6">
        <f>33153+6229+78680</f>
        <v>118062</v>
      </c>
      <c r="AT43" s="6">
        <v>105000</v>
      </c>
      <c r="AV43" s="6">
        <v>142210</v>
      </c>
      <c r="AX43" s="6">
        <v>0</v>
      </c>
      <c r="AZ43" s="6">
        <f t="shared" si="4"/>
        <v>76186519</v>
      </c>
      <c r="BB43" s="6">
        <v>0</v>
      </c>
      <c r="BD43" s="6">
        <v>0</v>
      </c>
      <c r="BF43" s="6">
        <v>0</v>
      </c>
      <c r="BH43" s="6">
        <v>0</v>
      </c>
      <c r="BJ43" s="6">
        <f t="shared" si="2"/>
        <v>76186519</v>
      </c>
      <c r="BL43" s="6">
        <f>+'Gen Fd Rev'!AK43-'Gen Fd Exp'!BJ43</f>
        <v>-5894683</v>
      </c>
      <c r="BN43" s="6">
        <v>28156698</v>
      </c>
      <c r="BP43" s="6">
        <v>0</v>
      </c>
      <c r="BR43" s="6">
        <v>0</v>
      </c>
      <c r="BT43" s="6">
        <f t="shared" si="3"/>
        <v>22262015</v>
      </c>
      <c r="BV43" s="7">
        <f>+BT43-'Gen Fd BS'!AC43+BR43</f>
        <v>0</v>
      </c>
    </row>
    <row r="44" spans="1:76">
      <c r="A44" s="11" t="s">
        <v>262</v>
      </c>
      <c r="B44" s="11"/>
      <c r="C44" s="11" t="s">
        <v>20</v>
      </c>
      <c r="E44" s="6">
        <v>18427660</v>
      </c>
      <c r="G44" s="6">
        <v>4367984</v>
      </c>
      <c r="I44" s="6">
        <v>720104</v>
      </c>
      <c r="K44" s="6">
        <v>0</v>
      </c>
      <c r="M44" s="6">
        <v>21548</v>
      </c>
      <c r="O44" s="6">
        <v>2050274</v>
      </c>
      <c r="Q44" s="6">
        <v>1938482</v>
      </c>
      <c r="S44" s="6">
        <v>98729</v>
      </c>
      <c r="U44" s="6">
        <v>3781319</v>
      </c>
      <c r="W44" s="6">
        <v>1466882</v>
      </c>
      <c r="Y44" s="6">
        <v>667206</v>
      </c>
      <c r="AA44" s="6">
        <v>5700942</v>
      </c>
      <c r="AC44" s="6">
        <v>3544394</v>
      </c>
      <c r="AE44" s="6">
        <v>204586</v>
      </c>
      <c r="AG44" s="6">
        <v>0</v>
      </c>
      <c r="AI44" s="6">
        <v>3859</v>
      </c>
      <c r="AJ44" s="11" t="s">
        <v>262</v>
      </c>
      <c r="AK44" s="11"/>
      <c r="AL44" s="11" t="s">
        <v>20</v>
      </c>
      <c r="AN44" s="6">
        <v>500723</v>
      </c>
      <c r="AP44" s="6">
        <v>6767</v>
      </c>
      <c r="AT44" s="6">
        <v>330693</v>
      </c>
      <c r="AV44" s="6">
        <v>111166</v>
      </c>
      <c r="AX44" s="6">
        <v>0</v>
      </c>
      <c r="AZ44" s="6">
        <f t="shared" si="4"/>
        <v>43943318</v>
      </c>
      <c r="BB44" s="6">
        <v>390230</v>
      </c>
      <c r="BD44" s="6">
        <v>0</v>
      </c>
      <c r="BF44" s="6">
        <v>0</v>
      </c>
      <c r="BH44" s="6">
        <v>0</v>
      </c>
      <c r="BJ44" s="6">
        <f t="shared" si="2"/>
        <v>44333548</v>
      </c>
      <c r="BL44" s="6">
        <f>+'Gen Fd Rev'!AK44-'Gen Fd Exp'!BJ44</f>
        <v>1536848</v>
      </c>
      <c r="BN44" s="6">
        <v>17593253</v>
      </c>
      <c r="BP44" s="6">
        <v>0</v>
      </c>
      <c r="BR44" s="6">
        <v>0</v>
      </c>
      <c r="BT44" s="6">
        <f t="shared" si="3"/>
        <v>19130101</v>
      </c>
      <c r="BV44" s="7">
        <f>+BT44-'Gen Fd BS'!AC44+BR44</f>
        <v>0</v>
      </c>
    </row>
    <row r="45" spans="1:76">
      <c r="A45" s="11" t="s">
        <v>215</v>
      </c>
      <c r="B45" s="11"/>
      <c r="C45" s="11" t="s">
        <v>15</v>
      </c>
      <c r="E45" s="6">
        <v>5259793</v>
      </c>
      <c r="G45" s="6">
        <v>993292</v>
      </c>
      <c r="I45" s="6">
        <v>24063</v>
      </c>
      <c r="K45" s="6">
        <v>0</v>
      </c>
      <c r="M45" s="6">
        <v>171463</v>
      </c>
      <c r="O45" s="6">
        <v>462489</v>
      </c>
      <c r="Q45" s="6">
        <v>241133</v>
      </c>
      <c r="S45" s="6">
        <v>17414</v>
      </c>
      <c r="U45" s="6">
        <v>1018253</v>
      </c>
      <c r="W45" s="6">
        <v>483897</v>
      </c>
      <c r="Y45" s="6">
        <v>0</v>
      </c>
      <c r="AA45" s="6">
        <v>1303922</v>
      </c>
      <c r="AC45" s="6">
        <v>1025298</v>
      </c>
      <c r="AE45" s="6">
        <v>3990</v>
      </c>
      <c r="AG45" s="6">
        <v>0</v>
      </c>
      <c r="AI45" s="6">
        <v>0</v>
      </c>
      <c r="AJ45" s="11" t="s">
        <v>215</v>
      </c>
      <c r="AK45" s="11"/>
      <c r="AL45" s="11" t="s">
        <v>15</v>
      </c>
      <c r="AN45" s="6">
        <v>152959</v>
      </c>
      <c r="AP45" s="6">
        <v>0</v>
      </c>
      <c r="AT45" s="6">
        <v>0</v>
      </c>
      <c r="AV45" s="6">
        <v>0</v>
      </c>
      <c r="AX45" s="6">
        <v>0</v>
      </c>
      <c r="AZ45" s="6">
        <f t="shared" si="4"/>
        <v>11157966</v>
      </c>
      <c r="BB45" s="6">
        <v>0</v>
      </c>
      <c r="BD45" s="6">
        <v>0</v>
      </c>
      <c r="BF45" s="6">
        <v>0</v>
      </c>
      <c r="BH45" s="6">
        <v>0</v>
      </c>
      <c r="BJ45" s="6">
        <f t="shared" si="2"/>
        <v>11157966</v>
      </c>
      <c r="BL45" s="6">
        <f>+'Gen Fd Rev'!AK45-'Gen Fd Exp'!BJ45</f>
        <v>963865</v>
      </c>
      <c r="BN45" s="6">
        <v>-4330080</v>
      </c>
      <c r="BP45" s="6">
        <v>0</v>
      </c>
      <c r="BR45" s="6">
        <v>0</v>
      </c>
      <c r="BT45" s="6">
        <f t="shared" si="3"/>
        <v>-3366215</v>
      </c>
      <c r="BV45" s="7">
        <f>+BT45-'Gen Fd BS'!AC45+BR45</f>
        <v>0</v>
      </c>
    </row>
    <row r="46" spans="1:76">
      <c r="A46" s="11" t="s">
        <v>735</v>
      </c>
      <c r="B46" s="11"/>
      <c r="C46" s="11" t="s">
        <v>114</v>
      </c>
      <c r="E46" s="6">
        <v>11112845</v>
      </c>
      <c r="G46" s="6">
        <v>2529257</v>
      </c>
      <c r="I46" s="6">
        <v>7045</v>
      </c>
      <c r="K46" s="6">
        <v>0</v>
      </c>
      <c r="M46" s="6">
        <v>0</v>
      </c>
      <c r="O46" s="6">
        <v>1139017</v>
      </c>
      <c r="Q46" s="6">
        <v>742389</v>
      </c>
      <c r="S46" s="6">
        <v>71064</v>
      </c>
      <c r="U46" s="6">
        <v>1835898</v>
      </c>
      <c r="W46" s="6">
        <v>670832</v>
      </c>
      <c r="Y46" s="6">
        <v>84980</v>
      </c>
      <c r="AA46" s="6">
        <v>4301282</v>
      </c>
      <c r="AC46" s="6">
        <v>1433727</v>
      </c>
      <c r="AE46" s="6">
        <v>105375</v>
      </c>
      <c r="AG46" s="6">
        <v>0</v>
      </c>
      <c r="AI46" s="6">
        <v>3239</v>
      </c>
      <c r="AJ46" s="11" t="s">
        <v>735</v>
      </c>
      <c r="AK46" s="11"/>
      <c r="AL46" s="11" t="s">
        <v>114</v>
      </c>
      <c r="AN46" s="6">
        <v>673077</v>
      </c>
      <c r="AP46" s="6">
        <v>0</v>
      </c>
      <c r="AT46" s="6">
        <v>0</v>
      </c>
      <c r="AV46" s="6">
        <v>0</v>
      </c>
      <c r="AX46" s="6">
        <v>0</v>
      </c>
      <c r="AZ46" s="6">
        <f t="shared" si="4"/>
        <v>24710027</v>
      </c>
      <c r="BB46" s="6">
        <v>0</v>
      </c>
      <c r="BD46" s="6">
        <v>0</v>
      </c>
      <c r="BF46" s="6">
        <v>0</v>
      </c>
      <c r="BH46" s="6">
        <v>0</v>
      </c>
      <c r="BJ46" s="6">
        <f t="shared" ref="BJ46:BJ47" si="10">+AZ46+BB46+BD46+BH46</f>
        <v>24710027</v>
      </c>
      <c r="BL46" s="6">
        <f>+'Gen Fd Rev'!AK46-'Gen Fd Exp'!BJ46</f>
        <v>828028</v>
      </c>
      <c r="BN46" s="6">
        <v>388068</v>
      </c>
      <c r="BP46" s="6">
        <v>0</v>
      </c>
      <c r="BR46" s="6">
        <v>0</v>
      </c>
      <c r="BT46" s="6">
        <f t="shared" si="3"/>
        <v>1216096</v>
      </c>
      <c r="BV46" s="7">
        <f>+BT46-'Gen Fd BS'!AC46+BR46</f>
        <v>0</v>
      </c>
    </row>
    <row r="47" spans="1:76" hidden="1">
      <c r="A47" s="11" t="s">
        <v>885</v>
      </c>
      <c r="B47" s="11"/>
      <c r="C47" s="11" t="s">
        <v>43</v>
      </c>
      <c r="D47" s="9"/>
      <c r="AJ47" s="11" t="s">
        <v>885</v>
      </c>
      <c r="AK47" s="11"/>
      <c r="AL47" s="11" t="s">
        <v>43</v>
      </c>
      <c r="AZ47" s="6">
        <f t="shared" ref="AZ47" si="11">SUM(E47:AX47)</f>
        <v>0</v>
      </c>
      <c r="BD47" s="6">
        <v>0</v>
      </c>
      <c r="BF47" s="6">
        <v>0</v>
      </c>
      <c r="BJ47" s="6">
        <f t="shared" si="10"/>
        <v>0</v>
      </c>
      <c r="BL47" s="6">
        <f>+'Gen Fd Rev'!AK47-'Gen Fd Exp'!BJ47</f>
        <v>0</v>
      </c>
      <c r="BR47" s="6">
        <v>0</v>
      </c>
      <c r="BT47" s="6">
        <f t="shared" ref="BT47" si="12">+BN47+BL47-BP47</f>
        <v>0</v>
      </c>
      <c r="BV47" s="7">
        <f>+BT47-'Gen Fd BS'!AC47+BR47</f>
        <v>0</v>
      </c>
    </row>
    <row r="48" spans="1:76">
      <c r="A48" s="11" t="s">
        <v>355</v>
      </c>
      <c r="B48" s="11"/>
      <c r="C48" s="11" t="s">
        <v>37</v>
      </c>
      <c r="E48" s="6">
        <v>6914730</v>
      </c>
      <c r="G48" s="6">
        <v>2548127</v>
      </c>
      <c r="I48" s="6">
        <v>380958</v>
      </c>
      <c r="K48" s="6">
        <v>10119</v>
      </c>
      <c r="M48" s="6">
        <v>1058857</v>
      </c>
      <c r="O48" s="6">
        <v>1058242</v>
      </c>
      <c r="Q48" s="6">
        <v>843178</v>
      </c>
      <c r="S48" s="6">
        <v>21706</v>
      </c>
      <c r="U48" s="6">
        <v>1466936</v>
      </c>
      <c r="W48" s="6">
        <v>515897</v>
      </c>
      <c r="Y48" s="6">
        <v>11435</v>
      </c>
      <c r="AA48" s="6">
        <v>1637044</v>
      </c>
      <c r="AC48" s="6">
        <v>999689</v>
      </c>
      <c r="AE48" s="6">
        <v>60644</v>
      </c>
      <c r="AG48" s="6">
        <v>0</v>
      </c>
      <c r="AI48" s="6">
        <v>20845</v>
      </c>
      <c r="AJ48" s="11" t="s">
        <v>355</v>
      </c>
      <c r="AK48" s="11"/>
      <c r="AL48" s="11" t="s">
        <v>37</v>
      </c>
      <c r="AN48" s="6">
        <v>481980</v>
      </c>
      <c r="AP48" s="6">
        <v>171298</v>
      </c>
      <c r="AT48" s="6">
        <v>73943</v>
      </c>
      <c r="AV48" s="6">
        <v>13300</v>
      </c>
      <c r="AX48" s="6">
        <v>0</v>
      </c>
      <c r="AZ48" s="6">
        <f t="shared" si="4"/>
        <v>18288928</v>
      </c>
      <c r="BB48" s="6">
        <v>85762</v>
      </c>
      <c r="BD48" s="6">
        <v>0</v>
      </c>
      <c r="BF48" s="6">
        <v>0</v>
      </c>
      <c r="BH48" s="6">
        <v>0</v>
      </c>
      <c r="BJ48" s="6">
        <f t="shared" ref="BJ48:BJ80" si="13">+AZ48+BB48+BD48+BH48</f>
        <v>18374690</v>
      </c>
      <c r="BL48" s="6">
        <f>+'Gen Fd Rev'!AK48-'Gen Fd Exp'!BJ48</f>
        <v>211696</v>
      </c>
      <c r="BN48" s="6">
        <v>4327472</v>
      </c>
      <c r="BP48" s="6">
        <v>45275</v>
      </c>
      <c r="BR48" s="6">
        <v>0</v>
      </c>
      <c r="BT48" s="6">
        <f t="shared" ref="BT48:BT80" si="14">+BN48+BL48-BP48</f>
        <v>4493893</v>
      </c>
      <c r="BV48" s="7">
        <f>+BT48-'Gen Fd BS'!AC48+BR48</f>
        <v>0</v>
      </c>
      <c r="BW48" s="38"/>
      <c r="BX48" s="38"/>
    </row>
    <row r="49" spans="1:76">
      <c r="A49" s="11" t="s">
        <v>547</v>
      </c>
      <c r="B49" s="11"/>
      <c r="C49" s="11" t="s">
        <v>70</v>
      </c>
      <c r="E49" s="6">
        <v>3045350</v>
      </c>
      <c r="G49" s="6">
        <v>1067050</v>
      </c>
      <c r="I49" s="6">
        <v>0</v>
      </c>
      <c r="K49" s="6">
        <v>0</v>
      </c>
      <c r="M49" s="6">
        <v>819230</v>
      </c>
      <c r="O49" s="6">
        <v>1028073</v>
      </c>
      <c r="Q49" s="6">
        <v>269102</v>
      </c>
      <c r="S49" s="6">
        <v>55646</v>
      </c>
      <c r="U49" s="6">
        <v>796491</v>
      </c>
      <c r="W49" s="6">
        <v>371949</v>
      </c>
      <c r="Y49" s="6">
        <v>2244</v>
      </c>
      <c r="AA49" s="6">
        <v>984111</v>
      </c>
      <c r="AC49" s="6">
        <v>385487</v>
      </c>
      <c r="AE49" s="6">
        <v>1380</v>
      </c>
      <c r="AG49" s="6">
        <v>0</v>
      </c>
      <c r="AI49" s="6">
        <v>0</v>
      </c>
      <c r="AJ49" s="11" t="s">
        <v>547</v>
      </c>
      <c r="AK49" s="11"/>
      <c r="AL49" s="11" t="s">
        <v>70</v>
      </c>
      <c r="AN49" s="6">
        <v>172474</v>
      </c>
      <c r="AP49" s="6">
        <v>21214</v>
      </c>
      <c r="AT49" s="6">
        <v>0</v>
      </c>
      <c r="AV49" s="6">
        <v>0</v>
      </c>
      <c r="AX49" s="6">
        <v>0</v>
      </c>
      <c r="AZ49" s="6">
        <f t="shared" si="4"/>
        <v>9019801</v>
      </c>
      <c r="BB49" s="6">
        <v>0</v>
      </c>
      <c r="BD49" s="6">
        <v>0</v>
      </c>
      <c r="BF49" s="6">
        <v>0</v>
      </c>
      <c r="BH49" s="6">
        <v>0</v>
      </c>
      <c r="BJ49" s="6">
        <f t="shared" si="13"/>
        <v>9019801</v>
      </c>
      <c r="BL49" s="6">
        <f>+'Gen Fd Rev'!AK49-'Gen Fd Exp'!BJ49</f>
        <v>213960</v>
      </c>
      <c r="BN49" s="6">
        <v>674231</v>
      </c>
      <c r="BP49" s="6">
        <v>0</v>
      </c>
      <c r="BR49" s="6">
        <v>0</v>
      </c>
      <c r="BT49" s="6">
        <f t="shared" si="14"/>
        <v>888191</v>
      </c>
      <c r="BV49" s="7">
        <f>+BT49-'Gen Fd BS'!AC49+BR49</f>
        <v>0</v>
      </c>
      <c r="BW49" s="38"/>
      <c r="BX49" s="38"/>
    </row>
    <row r="50" spans="1:76" hidden="1">
      <c r="A50" s="11" t="s">
        <v>886</v>
      </c>
      <c r="B50" s="11"/>
      <c r="C50" s="11" t="s">
        <v>43</v>
      </c>
      <c r="AJ50" s="11" t="s">
        <v>886</v>
      </c>
      <c r="AK50" s="11"/>
      <c r="AL50" s="11" t="s">
        <v>43</v>
      </c>
      <c r="AX50" s="6">
        <v>0</v>
      </c>
      <c r="AZ50" s="6">
        <f t="shared" ref="AZ50" si="15">SUM(E50:AX50)</f>
        <v>0</v>
      </c>
      <c r="BD50" s="6">
        <v>0</v>
      </c>
      <c r="BF50" s="6">
        <v>0</v>
      </c>
      <c r="BH50" s="6">
        <v>0</v>
      </c>
      <c r="BJ50" s="6">
        <f t="shared" ref="BJ50" si="16">+AZ50+BB50+BD50+BH50</f>
        <v>0</v>
      </c>
      <c r="BL50" s="6">
        <f>+'Gen Fd Rev'!AK50-'Gen Fd Exp'!BJ50</f>
        <v>0</v>
      </c>
      <c r="BP50" s="6">
        <v>0</v>
      </c>
      <c r="BR50" s="6">
        <v>0</v>
      </c>
      <c r="BT50" s="6">
        <f t="shared" ref="BT50" si="17">+BN50+BL50-BP50</f>
        <v>0</v>
      </c>
      <c r="BV50" s="7">
        <f>+BT50-'Gen Fd BS'!AC50+BR50</f>
        <v>0</v>
      </c>
    </row>
    <row r="51" spans="1:76" hidden="1">
      <c r="A51" s="11" t="s">
        <v>869</v>
      </c>
      <c r="B51" s="11"/>
      <c r="C51" s="11" t="s">
        <v>53</v>
      </c>
      <c r="AJ51" s="11" t="s">
        <v>869</v>
      </c>
      <c r="AK51" s="11"/>
      <c r="AL51" s="11" t="s">
        <v>53</v>
      </c>
      <c r="AX51" s="6">
        <v>0</v>
      </c>
      <c r="AZ51" s="6">
        <f t="shared" si="4"/>
        <v>0</v>
      </c>
      <c r="BD51" s="6">
        <v>0</v>
      </c>
      <c r="BF51" s="6">
        <v>0</v>
      </c>
      <c r="BH51" s="6">
        <v>0</v>
      </c>
      <c r="BJ51" s="6">
        <f t="shared" si="13"/>
        <v>0</v>
      </c>
      <c r="BL51" s="6">
        <f>+'Gen Fd Rev'!AK51-'Gen Fd Exp'!BJ51</f>
        <v>0</v>
      </c>
      <c r="BP51" s="6">
        <v>0</v>
      </c>
      <c r="BR51" s="6">
        <v>0</v>
      </c>
      <c r="BT51" s="6">
        <f t="shared" si="14"/>
        <v>0</v>
      </c>
      <c r="BV51" s="7">
        <f>+BT51-'Gen Fd BS'!AC51+BR51</f>
        <v>0</v>
      </c>
    </row>
    <row r="52" spans="1:76">
      <c r="A52" s="11" t="s">
        <v>263</v>
      </c>
      <c r="B52" s="11"/>
      <c r="C52" s="11" t="s">
        <v>20</v>
      </c>
      <c r="E52" s="6">
        <v>37581585</v>
      </c>
      <c r="G52" s="6">
        <v>9231174</v>
      </c>
      <c r="I52" s="6">
        <v>768027</v>
      </c>
      <c r="K52" s="6">
        <v>0</v>
      </c>
      <c r="M52" s="6">
        <v>0</v>
      </c>
      <c r="O52" s="6">
        <v>4697138</v>
      </c>
      <c r="Q52" s="6">
        <v>6145122</v>
      </c>
      <c r="S52" s="6">
        <v>33962</v>
      </c>
      <c r="U52" s="6">
        <v>4800922</v>
      </c>
      <c r="W52" s="6">
        <v>1867012</v>
      </c>
      <c r="Y52" s="6">
        <v>614602</v>
      </c>
      <c r="AA52" s="6">
        <v>7542853</v>
      </c>
      <c r="AC52" s="6">
        <v>4515496</v>
      </c>
      <c r="AE52" s="6">
        <v>2608620</v>
      </c>
      <c r="AG52" s="6">
        <v>0</v>
      </c>
      <c r="AI52" s="6">
        <v>127160</v>
      </c>
      <c r="AJ52" s="11" t="s">
        <v>263</v>
      </c>
      <c r="AK52" s="11"/>
      <c r="AL52" s="11" t="s">
        <v>20</v>
      </c>
      <c r="AN52" s="6">
        <v>1432682</v>
      </c>
      <c r="AP52" s="6">
        <v>0</v>
      </c>
      <c r="AT52" s="6">
        <v>0</v>
      </c>
      <c r="AV52" s="6">
        <v>580835</v>
      </c>
      <c r="AX52" s="6">
        <v>0</v>
      </c>
      <c r="AZ52" s="6">
        <f t="shared" si="4"/>
        <v>82547190</v>
      </c>
      <c r="BB52" s="6">
        <v>570437</v>
      </c>
      <c r="BD52" s="6">
        <v>0</v>
      </c>
      <c r="BF52" s="6">
        <v>0</v>
      </c>
      <c r="BH52" s="6">
        <v>0</v>
      </c>
      <c r="BJ52" s="6">
        <f t="shared" si="13"/>
        <v>83117627</v>
      </c>
      <c r="BL52" s="6">
        <f>+'Gen Fd Rev'!AK52-'Gen Fd Exp'!BJ52</f>
        <v>-6534341</v>
      </c>
      <c r="BN52" s="6">
        <v>15475064</v>
      </c>
      <c r="BP52" s="6">
        <v>0</v>
      </c>
      <c r="BR52" s="6">
        <v>0</v>
      </c>
      <c r="BT52" s="6">
        <f t="shared" si="14"/>
        <v>8940723</v>
      </c>
      <c r="BV52" s="7">
        <f>+BT52-'Gen Fd BS'!AC52+BR52</f>
        <v>0</v>
      </c>
    </row>
    <row r="53" spans="1:76">
      <c r="A53" s="11" t="s">
        <v>639</v>
      </c>
      <c r="B53" s="11"/>
      <c r="C53" s="11" t="s">
        <v>30</v>
      </c>
      <c r="E53" s="6">
        <v>4674871</v>
      </c>
      <c r="G53" s="6">
        <v>1320408</v>
      </c>
      <c r="I53" s="6">
        <v>75001</v>
      </c>
      <c r="K53" s="6">
        <v>0</v>
      </c>
      <c r="M53" s="6">
        <v>165196</v>
      </c>
      <c r="O53" s="6">
        <v>625181</v>
      </c>
      <c r="Q53" s="6">
        <v>312709</v>
      </c>
      <c r="S53" s="6">
        <v>83794</v>
      </c>
      <c r="U53" s="6">
        <v>1090004</v>
      </c>
      <c r="W53" s="6">
        <v>320855</v>
      </c>
      <c r="Y53" s="6">
        <v>21999</v>
      </c>
      <c r="AA53" s="6">
        <v>635132</v>
      </c>
      <c r="AC53" s="6">
        <v>688329</v>
      </c>
      <c r="AE53" s="6">
        <v>0</v>
      </c>
      <c r="AG53" s="6">
        <v>349</v>
      </c>
      <c r="AI53" s="6">
        <v>0</v>
      </c>
      <c r="AJ53" s="11" t="s">
        <v>639</v>
      </c>
      <c r="AK53" s="11"/>
      <c r="AL53" s="11" t="s">
        <v>30</v>
      </c>
      <c r="AN53" s="6">
        <v>319154</v>
      </c>
      <c r="AP53" s="6">
        <v>1239</v>
      </c>
      <c r="AT53" s="6">
        <v>0</v>
      </c>
      <c r="AV53" s="6">
        <v>0</v>
      </c>
      <c r="AX53" s="6">
        <v>0</v>
      </c>
      <c r="AZ53" s="6">
        <f t="shared" si="4"/>
        <v>10334221</v>
      </c>
      <c r="BB53" s="6">
        <v>286000</v>
      </c>
      <c r="BD53" s="6">
        <v>0</v>
      </c>
      <c r="BF53" s="6">
        <v>0</v>
      </c>
      <c r="BH53" s="6">
        <v>0</v>
      </c>
      <c r="BJ53" s="6">
        <f t="shared" si="13"/>
        <v>10620221</v>
      </c>
      <c r="BL53" s="6">
        <f>+'Gen Fd Rev'!AK53-'Gen Fd Exp'!BJ53</f>
        <v>-100685</v>
      </c>
      <c r="BN53" s="6">
        <v>2069123</v>
      </c>
      <c r="BP53" s="6">
        <v>0</v>
      </c>
      <c r="BR53" s="6">
        <v>0</v>
      </c>
      <c r="BT53" s="6">
        <f t="shared" si="14"/>
        <v>1968438</v>
      </c>
      <c r="BV53" s="7">
        <f>+BT53-'Gen Fd BS'!AC53+BR53</f>
        <v>0</v>
      </c>
    </row>
    <row r="54" spans="1:76" hidden="1">
      <c r="A54" s="11" t="s">
        <v>285</v>
      </c>
      <c r="B54" s="11"/>
      <c r="C54" s="11" t="s">
        <v>24</v>
      </c>
      <c r="AJ54" s="11" t="s">
        <v>285</v>
      </c>
      <c r="AK54" s="11"/>
      <c r="AL54" s="11" t="s">
        <v>24</v>
      </c>
      <c r="AX54" s="6">
        <v>0</v>
      </c>
      <c r="AZ54" s="6">
        <f t="shared" si="4"/>
        <v>0</v>
      </c>
      <c r="BD54" s="6">
        <v>0</v>
      </c>
      <c r="BF54" s="6">
        <v>0</v>
      </c>
      <c r="BH54" s="6">
        <v>0</v>
      </c>
      <c r="BJ54" s="6">
        <f t="shared" si="13"/>
        <v>0</v>
      </c>
      <c r="BL54" s="6">
        <f>+'Gen Fd Rev'!AK54-'Gen Fd Exp'!BJ54</f>
        <v>0</v>
      </c>
      <c r="BP54" s="6">
        <v>0</v>
      </c>
      <c r="BR54" s="6">
        <v>0</v>
      </c>
      <c r="BT54" s="6">
        <f t="shared" si="14"/>
        <v>0</v>
      </c>
      <c r="BV54" s="7">
        <f>+BT54-'Gen Fd BS'!AC54+BR54</f>
        <v>0</v>
      </c>
    </row>
    <row r="55" spans="1:76" hidden="1">
      <c r="A55" s="11" t="s">
        <v>792</v>
      </c>
      <c r="B55" s="11"/>
      <c r="C55" s="11" t="s">
        <v>25</v>
      </c>
      <c r="AJ55" s="11" t="s">
        <v>792</v>
      </c>
      <c r="AK55" s="11"/>
      <c r="AL55" s="11" t="s">
        <v>25</v>
      </c>
      <c r="AZ55" s="6">
        <f t="shared" si="4"/>
        <v>0</v>
      </c>
      <c r="BD55" s="6">
        <v>0</v>
      </c>
      <c r="BF55" s="6">
        <v>0</v>
      </c>
      <c r="BJ55" s="6">
        <f t="shared" si="13"/>
        <v>0</v>
      </c>
      <c r="BL55" s="6">
        <f>+'Gen Fd Rev'!AK55-'Gen Fd Exp'!BJ55</f>
        <v>0</v>
      </c>
      <c r="BR55" s="6">
        <v>0</v>
      </c>
      <c r="BT55" s="6">
        <f t="shared" si="14"/>
        <v>0</v>
      </c>
      <c r="BV55" s="7">
        <f>+BT55-'Gen Fd BS'!AC55+BR55</f>
        <v>0</v>
      </c>
    </row>
    <row r="56" spans="1:76">
      <c r="A56" s="11" t="s">
        <v>423</v>
      </c>
      <c r="B56" s="11"/>
      <c r="C56" s="11" t="s">
        <v>48</v>
      </c>
      <c r="E56" s="6">
        <v>3180845</v>
      </c>
      <c r="G56" s="6">
        <v>983329</v>
      </c>
      <c r="I56" s="6">
        <v>0</v>
      </c>
      <c r="K56" s="6">
        <v>0</v>
      </c>
      <c r="M56" s="6">
        <v>682652</v>
      </c>
      <c r="O56" s="6">
        <v>145693</v>
      </c>
      <c r="Q56" s="6">
        <v>212935</v>
      </c>
      <c r="S56" s="6">
        <v>51641</v>
      </c>
      <c r="U56" s="6">
        <v>604574</v>
      </c>
      <c r="W56" s="6">
        <v>324620</v>
      </c>
      <c r="Y56" s="6">
        <v>9901</v>
      </c>
      <c r="AA56" s="6">
        <v>463761</v>
      </c>
      <c r="AC56" s="6">
        <v>688292</v>
      </c>
      <c r="AE56" s="6">
        <v>133771</v>
      </c>
      <c r="AG56" s="6">
        <v>0</v>
      </c>
      <c r="AI56" s="6">
        <v>0</v>
      </c>
      <c r="AJ56" s="11" t="s">
        <v>423</v>
      </c>
      <c r="AK56" s="11"/>
      <c r="AL56" s="11" t="s">
        <v>48</v>
      </c>
      <c r="AN56" s="6">
        <v>113754</v>
      </c>
      <c r="AP56" s="6">
        <v>0</v>
      </c>
      <c r="AT56" s="6">
        <v>77350</v>
      </c>
      <c r="AV56" s="6">
        <v>60452</v>
      </c>
      <c r="AX56" s="6">
        <v>0</v>
      </c>
      <c r="AZ56" s="6">
        <f t="shared" si="4"/>
        <v>7733570</v>
      </c>
      <c r="BB56" s="6">
        <v>34000</v>
      </c>
      <c r="BD56" s="6">
        <v>0</v>
      </c>
      <c r="BF56" s="6">
        <v>0</v>
      </c>
      <c r="BH56" s="6">
        <v>0</v>
      </c>
      <c r="BJ56" s="6">
        <f t="shared" si="13"/>
        <v>7767570</v>
      </c>
      <c r="BL56" s="6">
        <f>+'Gen Fd Rev'!AK56-'Gen Fd Exp'!BJ56</f>
        <v>441689</v>
      </c>
      <c r="BN56" s="6">
        <v>362750</v>
      </c>
      <c r="BP56" s="6">
        <v>0</v>
      </c>
      <c r="BR56" s="6">
        <v>0</v>
      </c>
      <c r="BT56" s="6">
        <f t="shared" si="14"/>
        <v>804439</v>
      </c>
      <c r="BV56" s="7">
        <f>+BT56-'Gen Fd BS'!AC56+BR56</f>
        <v>0</v>
      </c>
    </row>
    <row r="57" spans="1:76">
      <c r="A57" s="11" t="s">
        <v>238</v>
      </c>
      <c r="B57" s="11"/>
      <c r="C57" s="11" t="s">
        <v>113</v>
      </c>
      <c r="D57" s="9"/>
      <c r="E57" s="6">
        <v>6741306</v>
      </c>
      <c r="G57" s="6">
        <v>1458150</v>
      </c>
      <c r="I57" s="6">
        <v>117736</v>
      </c>
      <c r="K57" s="6">
        <v>0</v>
      </c>
      <c r="M57" s="6">
        <v>18374</v>
      </c>
      <c r="O57" s="6">
        <v>534356</v>
      </c>
      <c r="Q57" s="6">
        <v>559012</v>
      </c>
      <c r="S57" s="6">
        <v>27383</v>
      </c>
      <c r="U57" s="6">
        <v>976187</v>
      </c>
      <c r="W57" s="6">
        <v>333929</v>
      </c>
      <c r="Y57" s="6">
        <v>0</v>
      </c>
      <c r="AA57" s="6">
        <v>1111786</v>
      </c>
      <c r="AC57" s="6">
        <v>731619</v>
      </c>
      <c r="AE57" s="6">
        <v>3726</v>
      </c>
      <c r="AG57" s="6">
        <v>0</v>
      </c>
      <c r="AI57" s="6">
        <v>0</v>
      </c>
      <c r="AJ57" s="11" t="s">
        <v>238</v>
      </c>
      <c r="AK57" s="11"/>
      <c r="AL57" s="11" t="s">
        <v>113</v>
      </c>
      <c r="AN57" s="6">
        <v>32810</v>
      </c>
      <c r="AP57" s="6">
        <v>160676</v>
      </c>
      <c r="AT57" s="6">
        <v>114944</v>
      </c>
      <c r="AV57" s="6">
        <v>143134</v>
      </c>
      <c r="AX57" s="6">
        <v>0</v>
      </c>
      <c r="AZ57" s="6">
        <f t="shared" si="4"/>
        <v>13065128</v>
      </c>
      <c r="BB57" s="6">
        <v>400262</v>
      </c>
      <c r="BD57" s="6">
        <v>0</v>
      </c>
      <c r="BF57" s="6">
        <v>0</v>
      </c>
      <c r="BH57" s="6">
        <v>0</v>
      </c>
      <c r="BJ57" s="6">
        <f t="shared" si="13"/>
        <v>13465390</v>
      </c>
      <c r="BL57" s="6">
        <f>+'Gen Fd Rev'!AK57-'Gen Fd Exp'!BJ57</f>
        <v>376254</v>
      </c>
      <c r="BN57" s="6">
        <v>1450362</v>
      </c>
      <c r="BP57" s="6">
        <v>0</v>
      </c>
      <c r="BR57" s="6">
        <v>0</v>
      </c>
      <c r="BT57" s="6">
        <f t="shared" si="14"/>
        <v>1826616</v>
      </c>
      <c r="BV57" s="7">
        <f>+BT57-'Gen Fd BS'!AC57+BR57</f>
        <v>0</v>
      </c>
    </row>
    <row r="58" spans="1:76" hidden="1">
      <c r="A58" s="11" t="s">
        <v>672</v>
      </c>
      <c r="B58" s="11"/>
      <c r="C58" s="11" t="s">
        <v>60</v>
      </c>
      <c r="AJ58" s="11" t="s">
        <v>672</v>
      </c>
      <c r="AK58" s="11"/>
      <c r="AL58" s="11" t="s">
        <v>60</v>
      </c>
      <c r="AZ58" s="6">
        <f t="shared" si="4"/>
        <v>0</v>
      </c>
      <c r="BD58" s="6">
        <v>0</v>
      </c>
      <c r="BF58" s="6">
        <v>0</v>
      </c>
      <c r="BJ58" s="6">
        <f t="shared" si="13"/>
        <v>0</v>
      </c>
      <c r="BL58" s="6">
        <f>+'Gen Fd Rev'!AK58-'Gen Fd Exp'!BJ58</f>
        <v>0</v>
      </c>
      <c r="BR58" s="6">
        <v>0</v>
      </c>
      <c r="BT58" s="6">
        <f t="shared" si="14"/>
        <v>0</v>
      </c>
      <c r="BV58" s="7">
        <f>+BT58-'Gen Fd BS'!AC58+BR58</f>
        <v>0</v>
      </c>
    </row>
    <row r="59" spans="1:76">
      <c r="A59" s="11" t="s">
        <v>299</v>
      </c>
      <c r="B59" s="11"/>
      <c r="C59" s="11" t="s">
        <v>27</v>
      </c>
      <c r="E59" s="6">
        <v>15358698</v>
      </c>
      <c r="G59" s="6">
        <v>3398515</v>
      </c>
      <c r="I59" s="6">
        <v>342153</v>
      </c>
      <c r="K59" s="6">
        <v>0</v>
      </c>
      <c r="M59" s="6">
        <v>0</v>
      </c>
      <c r="O59" s="6">
        <v>1419285</v>
      </c>
      <c r="Q59" s="6">
        <v>2166014</v>
      </c>
      <c r="S59" s="6">
        <v>55106</v>
      </c>
      <c r="U59" s="6">
        <v>1832818</v>
      </c>
      <c r="W59" s="6">
        <v>1280163</v>
      </c>
      <c r="Y59" s="6">
        <v>0</v>
      </c>
      <c r="AA59" s="6">
        <v>3544964</v>
      </c>
      <c r="AC59" s="6">
        <v>599494</v>
      </c>
      <c r="AE59" s="6">
        <v>123698</v>
      </c>
      <c r="AG59" s="6">
        <v>0</v>
      </c>
      <c r="AI59" s="6">
        <v>768</v>
      </c>
      <c r="AJ59" s="11" t="s">
        <v>299</v>
      </c>
      <c r="AK59" s="11"/>
      <c r="AL59" s="11" t="s">
        <v>27</v>
      </c>
      <c r="AN59" s="6">
        <v>824943</v>
      </c>
      <c r="AP59" s="6">
        <v>418867</v>
      </c>
      <c r="AT59" s="6">
        <v>0</v>
      </c>
      <c r="AV59" s="6">
        <v>0</v>
      </c>
      <c r="AX59" s="6">
        <v>0</v>
      </c>
      <c r="AZ59" s="6">
        <f t="shared" si="4"/>
        <v>31365486</v>
      </c>
      <c r="BB59" s="6">
        <v>200442</v>
      </c>
      <c r="BD59" s="6">
        <v>0</v>
      </c>
      <c r="BF59" s="6">
        <v>0</v>
      </c>
      <c r="BH59" s="6">
        <v>0</v>
      </c>
      <c r="BJ59" s="6">
        <f t="shared" si="13"/>
        <v>31565928</v>
      </c>
      <c r="BL59" s="6">
        <f>+'Gen Fd Rev'!AK59-'Gen Fd Exp'!BJ59</f>
        <v>1088068</v>
      </c>
      <c r="BN59" s="6">
        <v>22784023</v>
      </c>
      <c r="BP59" s="6">
        <v>0</v>
      </c>
      <c r="BR59" s="6">
        <v>0</v>
      </c>
      <c r="BT59" s="6">
        <f t="shared" si="14"/>
        <v>23872091</v>
      </c>
      <c r="BV59" s="7">
        <f>+BT59-'Gen Fd BS'!AC59+BR59</f>
        <v>0</v>
      </c>
    </row>
    <row r="60" spans="1:76">
      <c r="A60" s="11" t="s">
        <v>635</v>
      </c>
      <c r="B60" s="11"/>
      <c r="C60" s="11" t="s">
        <v>23</v>
      </c>
      <c r="E60" s="6">
        <v>14371108</v>
      </c>
      <c r="G60" s="6">
        <v>629375</v>
      </c>
      <c r="I60" s="6">
        <v>185958</v>
      </c>
      <c r="K60" s="6">
        <v>0</v>
      </c>
      <c r="M60" s="6">
        <v>0</v>
      </c>
      <c r="O60" s="6">
        <v>1636178</v>
      </c>
      <c r="Q60" s="6">
        <v>1675700</v>
      </c>
      <c r="S60" s="6">
        <v>159274</v>
      </c>
      <c r="U60" s="6">
        <v>2174138</v>
      </c>
      <c r="W60" s="6">
        <v>904873</v>
      </c>
      <c r="Y60" s="6">
        <v>44401</v>
      </c>
      <c r="AA60" s="6">
        <v>2502390</v>
      </c>
      <c r="AC60" s="6">
        <v>1992844</v>
      </c>
      <c r="AE60" s="6">
        <v>5582</v>
      </c>
      <c r="AG60" s="6">
        <v>0</v>
      </c>
      <c r="AI60" s="6">
        <v>0</v>
      </c>
      <c r="AJ60" s="11" t="s">
        <v>635</v>
      </c>
      <c r="AK60" s="11"/>
      <c r="AL60" s="11" t="s">
        <v>23</v>
      </c>
      <c r="AN60" s="6">
        <v>403793</v>
      </c>
      <c r="AP60" s="6">
        <v>0</v>
      </c>
      <c r="AT60" s="6">
        <v>26011</v>
      </c>
      <c r="AV60" s="6">
        <v>659</v>
      </c>
      <c r="AX60" s="6">
        <v>0</v>
      </c>
      <c r="AZ60" s="6">
        <f t="shared" si="4"/>
        <v>26712284</v>
      </c>
      <c r="BB60" s="6">
        <v>321377</v>
      </c>
      <c r="BD60" s="6">
        <v>0</v>
      </c>
      <c r="BF60" s="6">
        <v>0</v>
      </c>
      <c r="BH60" s="6">
        <v>0</v>
      </c>
      <c r="BJ60" s="6">
        <f t="shared" si="13"/>
        <v>27033661</v>
      </c>
      <c r="BL60" s="6">
        <f>+'Gen Fd Rev'!AK60-'Gen Fd Exp'!BJ60</f>
        <v>2471064</v>
      </c>
      <c r="BN60" s="6">
        <v>5428548</v>
      </c>
      <c r="BP60" s="6">
        <v>0</v>
      </c>
      <c r="BR60" s="6">
        <v>0</v>
      </c>
      <c r="BT60" s="6">
        <f t="shared" si="14"/>
        <v>7899612</v>
      </c>
      <c r="BV60" s="7">
        <f>+BT60-'Gen Fd BS'!AC60+BR60</f>
        <v>0</v>
      </c>
    </row>
    <row r="61" spans="1:76">
      <c r="A61" s="11" t="s">
        <v>414</v>
      </c>
      <c r="B61" s="11"/>
      <c r="C61" s="11" t="s">
        <v>47</v>
      </c>
      <c r="E61" s="6">
        <v>6255507</v>
      </c>
      <c r="G61" s="6">
        <v>873780</v>
      </c>
      <c r="I61" s="6">
        <v>148323</v>
      </c>
      <c r="K61" s="6">
        <v>0</v>
      </c>
      <c r="M61" s="6">
        <v>540</v>
      </c>
      <c r="O61" s="6">
        <v>513521</v>
      </c>
      <c r="Q61" s="6">
        <v>264111</v>
      </c>
      <c r="S61" s="6">
        <v>50890</v>
      </c>
      <c r="U61" s="6">
        <v>967017</v>
      </c>
      <c r="W61" s="6">
        <v>362736</v>
      </c>
      <c r="Y61" s="6">
        <v>22579</v>
      </c>
      <c r="AA61" s="6">
        <v>838295</v>
      </c>
      <c r="AC61" s="6">
        <v>658260</v>
      </c>
      <c r="AE61" s="6">
        <v>42934</v>
      </c>
      <c r="AG61" s="6">
        <v>0</v>
      </c>
      <c r="AI61" s="6">
        <v>3033</v>
      </c>
      <c r="AJ61" s="11" t="s">
        <v>414</v>
      </c>
      <c r="AK61" s="11"/>
      <c r="AL61" s="11" t="s">
        <v>47</v>
      </c>
      <c r="AN61" s="6">
        <v>305986</v>
      </c>
      <c r="AP61" s="6">
        <v>0</v>
      </c>
      <c r="AT61" s="6">
        <v>29256</v>
      </c>
      <c r="AV61" s="6">
        <v>3354</v>
      </c>
      <c r="AX61" s="6">
        <v>0</v>
      </c>
      <c r="AZ61" s="6">
        <f t="shared" si="4"/>
        <v>11340122</v>
      </c>
      <c r="BB61" s="6">
        <v>160259</v>
      </c>
      <c r="BD61" s="6">
        <v>0</v>
      </c>
      <c r="BF61" s="6">
        <v>0</v>
      </c>
      <c r="BH61" s="6">
        <v>0</v>
      </c>
      <c r="BJ61" s="6">
        <f t="shared" si="13"/>
        <v>11500381</v>
      </c>
      <c r="BL61" s="6">
        <f>+'Gen Fd Rev'!AK61-'Gen Fd Exp'!BJ61</f>
        <v>598842</v>
      </c>
      <c r="BN61" s="6">
        <v>-1330660</v>
      </c>
      <c r="BP61" s="6">
        <v>0</v>
      </c>
      <c r="BR61" s="6">
        <v>0</v>
      </c>
      <c r="BT61" s="6">
        <f t="shared" si="14"/>
        <v>-731818</v>
      </c>
      <c r="BV61" s="7">
        <f>+BT61-'Gen Fd BS'!AC61+BR61</f>
        <v>0</v>
      </c>
    </row>
    <row r="62" spans="1:76">
      <c r="A62" s="11" t="s">
        <v>242</v>
      </c>
      <c r="B62" s="11"/>
      <c r="C62" s="11" t="s">
        <v>18</v>
      </c>
      <c r="D62" s="9"/>
      <c r="E62" s="6">
        <v>4703897</v>
      </c>
      <c r="G62" s="6">
        <v>828108</v>
      </c>
      <c r="I62" s="6">
        <v>322468</v>
      </c>
      <c r="K62" s="6">
        <v>0</v>
      </c>
      <c r="M62" s="6">
        <v>742524</v>
      </c>
      <c r="O62" s="6">
        <v>375789</v>
      </c>
      <c r="Q62" s="6">
        <v>1052235</v>
      </c>
      <c r="S62" s="6">
        <v>28729</v>
      </c>
      <c r="U62" s="6">
        <v>1412228</v>
      </c>
      <c r="W62" s="6">
        <v>388421</v>
      </c>
      <c r="Y62" s="6">
        <v>7788</v>
      </c>
      <c r="AA62" s="6">
        <v>1194894</v>
      </c>
      <c r="AC62" s="6">
        <v>881688</v>
      </c>
      <c r="AE62" s="6">
        <v>11521</v>
      </c>
      <c r="AG62" s="6">
        <v>0</v>
      </c>
      <c r="AI62" s="6">
        <v>0</v>
      </c>
      <c r="AJ62" s="11" t="s">
        <v>242</v>
      </c>
      <c r="AK62" s="11"/>
      <c r="AL62" s="11" t="s">
        <v>18</v>
      </c>
      <c r="AN62" s="6">
        <v>267130</v>
      </c>
      <c r="AP62" s="6">
        <v>0</v>
      </c>
      <c r="AT62" s="6">
        <v>0</v>
      </c>
      <c r="AV62" s="6">
        <v>0</v>
      </c>
      <c r="AX62" s="6">
        <v>0</v>
      </c>
      <c r="AZ62" s="6">
        <f t="shared" si="4"/>
        <v>12217420</v>
      </c>
      <c r="BB62" s="6">
        <v>0</v>
      </c>
      <c r="BD62" s="6">
        <v>0</v>
      </c>
      <c r="BF62" s="6">
        <v>0</v>
      </c>
      <c r="BH62" s="6">
        <v>0</v>
      </c>
      <c r="BJ62" s="6">
        <f t="shared" si="13"/>
        <v>12217420</v>
      </c>
      <c r="BL62" s="6">
        <f>+'Gen Fd Rev'!AK62-'Gen Fd Exp'!BJ62</f>
        <v>1526343</v>
      </c>
      <c r="BN62" s="6">
        <v>1094145</v>
      </c>
      <c r="BP62" s="6">
        <v>0</v>
      </c>
      <c r="BR62" s="6">
        <v>0</v>
      </c>
      <c r="BT62" s="6">
        <f t="shared" si="14"/>
        <v>2620488</v>
      </c>
      <c r="BV62" s="7">
        <f>+BT62-'Gen Fd BS'!AC62+BR62</f>
        <v>0</v>
      </c>
    </row>
    <row r="63" spans="1:76">
      <c r="A63" s="11" t="s">
        <v>293</v>
      </c>
      <c r="B63" s="11"/>
      <c r="C63" s="11" t="s">
        <v>25</v>
      </c>
      <c r="E63" s="6">
        <v>5961800</v>
      </c>
      <c r="G63" s="6">
        <v>1425301</v>
      </c>
      <c r="I63" s="6">
        <v>256881</v>
      </c>
      <c r="K63" s="6">
        <v>0</v>
      </c>
      <c r="M63" s="6">
        <f>66222+580835</f>
        <v>647057</v>
      </c>
      <c r="O63" s="6">
        <v>742573</v>
      </c>
      <c r="Q63" s="6">
        <v>769508</v>
      </c>
      <c r="S63" s="6">
        <v>208666</v>
      </c>
      <c r="U63" s="6">
        <v>1822199</v>
      </c>
      <c r="W63" s="6">
        <v>219957</v>
      </c>
      <c r="Y63" s="6">
        <v>0</v>
      </c>
      <c r="AA63" s="6">
        <v>1321909</v>
      </c>
      <c r="AC63" s="6">
        <v>1352931</v>
      </c>
      <c r="AE63" s="6">
        <v>51019</v>
      </c>
      <c r="AG63" s="6">
        <v>0</v>
      </c>
      <c r="AI63" s="6">
        <v>0</v>
      </c>
      <c r="AJ63" s="11" t="s">
        <v>293</v>
      </c>
      <c r="AK63" s="11"/>
      <c r="AL63" s="11" t="s">
        <v>25</v>
      </c>
      <c r="AN63" s="6">
        <v>474727</v>
      </c>
      <c r="AP63" s="6">
        <v>0</v>
      </c>
      <c r="AT63" s="6">
        <v>0</v>
      </c>
      <c r="AV63" s="6">
        <v>0</v>
      </c>
      <c r="AX63" s="6">
        <v>0</v>
      </c>
      <c r="AZ63" s="6">
        <f t="shared" si="4"/>
        <v>15254528</v>
      </c>
      <c r="BB63" s="6">
        <v>0</v>
      </c>
      <c r="BD63" s="6">
        <v>0</v>
      </c>
      <c r="BF63" s="6">
        <v>0</v>
      </c>
      <c r="BH63" s="6">
        <v>0</v>
      </c>
      <c r="BJ63" s="6">
        <f t="shared" si="13"/>
        <v>15254528</v>
      </c>
      <c r="BL63" s="6">
        <f>+'Gen Fd Rev'!AK63-'Gen Fd Exp'!BJ63</f>
        <v>-348454</v>
      </c>
      <c r="BN63" s="6">
        <v>1328480</v>
      </c>
      <c r="BP63" s="6">
        <v>0</v>
      </c>
      <c r="BR63" s="6">
        <v>0</v>
      </c>
      <c r="BT63" s="6">
        <f t="shared" si="14"/>
        <v>980026</v>
      </c>
      <c r="BV63" s="7">
        <f>+BT63-'Gen Fd BS'!AC63+BR63</f>
        <v>0</v>
      </c>
    </row>
    <row r="64" spans="1:76">
      <c r="A64" s="11" t="s">
        <v>518</v>
      </c>
      <c r="B64" s="11"/>
      <c r="C64" s="11" t="s">
        <v>64</v>
      </c>
      <c r="E64" s="6">
        <v>1247171</v>
      </c>
      <c r="G64" s="6">
        <v>172351</v>
      </c>
      <c r="I64" s="6">
        <v>54458</v>
      </c>
      <c r="K64" s="6">
        <v>0</v>
      </c>
      <c r="M64" s="6">
        <v>0</v>
      </c>
      <c r="O64" s="6">
        <v>134018</v>
      </c>
      <c r="Q64" s="6">
        <v>32254</v>
      </c>
      <c r="S64" s="6">
        <v>18669</v>
      </c>
      <c r="U64" s="6">
        <v>420657</v>
      </c>
      <c r="W64" s="6">
        <v>226872</v>
      </c>
      <c r="Y64" s="6">
        <v>0</v>
      </c>
      <c r="AA64" s="6">
        <v>312180</v>
      </c>
      <c r="AC64" s="6">
        <v>245054</v>
      </c>
      <c r="AE64" s="6">
        <v>4191</v>
      </c>
      <c r="AG64" s="6">
        <v>0</v>
      </c>
      <c r="AI64" s="6">
        <v>0</v>
      </c>
      <c r="AJ64" s="11" t="s">
        <v>518</v>
      </c>
      <c r="AK64" s="11"/>
      <c r="AL64" s="11" t="s">
        <v>64</v>
      </c>
      <c r="AN64" s="6">
        <v>61141</v>
      </c>
      <c r="AP64" s="6">
        <v>44880</v>
      </c>
      <c r="AT64" s="6">
        <v>13584</v>
      </c>
      <c r="AV64" s="6">
        <v>1772</v>
      </c>
      <c r="AX64" s="6">
        <v>0</v>
      </c>
      <c r="AZ64" s="6">
        <f t="shared" si="4"/>
        <v>2989252</v>
      </c>
      <c r="BB64" s="6">
        <v>0</v>
      </c>
      <c r="BD64" s="6">
        <v>0</v>
      </c>
      <c r="BF64" s="6">
        <v>0</v>
      </c>
      <c r="BH64" s="6">
        <v>0</v>
      </c>
      <c r="BJ64" s="6">
        <f t="shared" si="13"/>
        <v>2989252</v>
      </c>
      <c r="BL64" s="6">
        <f>+'Gen Fd Rev'!AK64-'Gen Fd Exp'!BJ64</f>
        <v>-49220</v>
      </c>
      <c r="BN64" s="6">
        <v>227311</v>
      </c>
      <c r="BP64" s="6">
        <v>0</v>
      </c>
      <c r="BR64" s="6">
        <v>0</v>
      </c>
      <c r="BT64" s="6">
        <f t="shared" si="14"/>
        <v>178091</v>
      </c>
      <c r="BV64" s="7">
        <f>+BT64-'Gen Fd BS'!AC64+BR64</f>
        <v>0</v>
      </c>
    </row>
    <row r="65" spans="1:74">
      <c r="A65" s="11" t="s">
        <v>479</v>
      </c>
      <c r="B65" s="11"/>
      <c r="C65" s="11" t="s">
        <v>59</v>
      </c>
      <c r="E65" s="6">
        <v>3990032</v>
      </c>
      <c r="G65" s="6">
        <v>619231</v>
      </c>
      <c r="I65" s="6">
        <v>8695</v>
      </c>
      <c r="K65" s="6">
        <v>0</v>
      </c>
      <c r="M65" s="6">
        <v>168992</v>
      </c>
      <c r="O65" s="6">
        <v>277293</v>
      </c>
      <c r="Q65" s="6">
        <v>392346</v>
      </c>
      <c r="S65" s="6">
        <v>25604</v>
      </c>
      <c r="U65" s="6">
        <v>724759</v>
      </c>
      <c r="W65" s="6">
        <v>172096</v>
      </c>
      <c r="Y65" s="6">
        <v>19666</v>
      </c>
      <c r="AA65" s="6">
        <v>827433</v>
      </c>
      <c r="AC65" s="6">
        <v>741838</v>
      </c>
      <c r="AE65" s="6">
        <v>9661</v>
      </c>
      <c r="AG65" s="6">
        <v>0</v>
      </c>
      <c r="AI65" s="6">
        <v>134</v>
      </c>
      <c r="AJ65" s="11" t="s">
        <v>479</v>
      </c>
      <c r="AK65" s="11"/>
      <c r="AL65" s="11" t="s">
        <v>59</v>
      </c>
      <c r="AN65" s="6">
        <v>130199</v>
      </c>
      <c r="AP65" s="6">
        <v>402</v>
      </c>
      <c r="AT65" s="6">
        <v>50000</v>
      </c>
      <c r="AV65" s="6">
        <v>22990</v>
      </c>
      <c r="AX65" s="6">
        <v>0</v>
      </c>
      <c r="AZ65" s="6">
        <f t="shared" ref="AZ65" si="18">SUM(E65:AX65)</f>
        <v>8181371</v>
      </c>
      <c r="BB65" s="6">
        <v>52591</v>
      </c>
      <c r="BD65" s="6">
        <v>0</v>
      </c>
      <c r="BF65" s="6">
        <v>0</v>
      </c>
      <c r="BH65" s="6">
        <v>0</v>
      </c>
      <c r="BJ65" s="6">
        <f t="shared" ref="BJ65" si="19">+AZ65+BB65+BD65+BH65</f>
        <v>8233962</v>
      </c>
      <c r="BL65" s="6">
        <f>+'Gen Fd Rev'!AK65-'Gen Fd Exp'!BJ65</f>
        <v>314192</v>
      </c>
      <c r="BN65" s="6">
        <v>749434</v>
      </c>
      <c r="BP65" s="6">
        <v>0</v>
      </c>
      <c r="BR65" s="6">
        <v>0</v>
      </c>
      <c r="BT65" s="6">
        <f t="shared" ref="BT65" si="20">+BN65+BL65-BP65</f>
        <v>1063626</v>
      </c>
      <c r="BV65" s="7">
        <f>+BT65-'Gen Fd BS'!AC65+BR65</f>
        <v>0</v>
      </c>
    </row>
    <row r="66" spans="1:74" hidden="1">
      <c r="A66" s="11" t="s">
        <v>887</v>
      </c>
      <c r="B66" s="11"/>
      <c r="C66" s="11" t="s">
        <v>10</v>
      </c>
      <c r="AJ66" s="11" t="s">
        <v>887</v>
      </c>
      <c r="AK66" s="11"/>
      <c r="AL66" s="11" t="s">
        <v>10</v>
      </c>
      <c r="AZ66" s="6">
        <f>SUM(E66:AX66)</f>
        <v>0</v>
      </c>
      <c r="BD66" s="6">
        <v>0</v>
      </c>
      <c r="BF66" s="6">
        <v>0</v>
      </c>
      <c r="BJ66" s="6">
        <f t="shared" si="13"/>
        <v>0</v>
      </c>
      <c r="BL66" s="6">
        <f>+'Gen Fd Rev'!AK66-'Gen Fd Exp'!BJ66</f>
        <v>0</v>
      </c>
      <c r="BP66" s="6">
        <v>0</v>
      </c>
      <c r="BR66" s="6">
        <v>0</v>
      </c>
      <c r="BT66" s="6">
        <f t="shared" si="14"/>
        <v>0</v>
      </c>
      <c r="BV66" s="7">
        <f>+BT66-'Gen Fd BS'!AC66+BR66</f>
        <v>0</v>
      </c>
    </row>
    <row r="67" spans="1:74">
      <c r="A67" s="11" t="s">
        <v>402</v>
      </c>
      <c r="B67" s="11"/>
      <c r="C67" s="11" t="s">
        <v>45</v>
      </c>
      <c r="E67" s="6">
        <v>22034312</v>
      </c>
      <c r="G67" s="6">
        <v>3959878</v>
      </c>
      <c r="I67" s="6">
        <v>0</v>
      </c>
      <c r="K67" s="6">
        <v>6174</v>
      </c>
      <c r="M67" s="6">
        <v>149855</v>
      </c>
      <c r="O67" s="6">
        <v>1618411</v>
      </c>
      <c r="Q67" s="6">
        <v>2290036</v>
      </c>
      <c r="S67" s="6">
        <v>159692</v>
      </c>
      <c r="U67" s="6">
        <v>2615204</v>
      </c>
      <c r="W67" s="6">
        <v>997736</v>
      </c>
      <c r="Y67" s="6">
        <v>149724</v>
      </c>
      <c r="AA67" s="6">
        <v>4417837</v>
      </c>
      <c r="AC67" s="6">
        <v>2902084</v>
      </c>
      <c r="AE67" s="6">
        <v>14193</v>
      </c>
      <c r="AG67" s="6">
        <v>0</v>
      </c>
      <c r="AI67" s="6">
        <v>272767</v>
      </c>
      <c r="AJ67" s="11" t="s">
        <v>402</v>
      </c>
      <c r="AK67" s="11"/>
      <c r="AL67" s="11" t="s">
        <v>45</v>
      </c>
      <c r="AN67" s="6">
        <v>757514</v>
      </c>
      <c r="AP67" s="6">
        <v>18132</v>
      </c>
      <c r="AT67" s="6">
        <v>0</v>
      </c>
      <c r="AV67" s="6">
        <v>0</v>
      </c>
      <c r="AX67" s="6">
        <v>0</v>
      </c>
      <c r="AZ67" s="6">
        <f t="shared" si="4"/>
        <v>42363549</v>
      </c>
      <c r="BB67" s="6">
        <v>467671</v>
      </c>
      <c r="BD67" s="6">
        <v>0</v>
      </c>
      <c r="BF67" s="6">
        <v>0</v>
      </c>
      <c r="BH67" s="6">
        <v>0</v>
      </c>
      <c r="BJ67" s="6">
        <f t="shared" si="13"/>
        <v>42831220</v>
      </c>
      <c r="BL67" s="6">
        <f>+'Gen Fd Rev'!AK67-'Gen Fd Exp'!BJ67</f>
        <v>-2535794</v>
      </c>
      <c r="BN67" s="6">
        <v>5364502</v>
      </c>
      <c r="BP67" s="6">
        <v>0</v>
      </c>
      <c r="BR67" s="6">
        <v>0</v>
      </c>
      <c r="BT67" s="6">
        <f t="shared" si="14"/>
        <v>2828708</v>
      </c>
      <c r="BV67" s="7">
        <f>+BT67-'Gen Fd BS'!AC67+BR67</f>
        <v>0</v>
      </c>
    </row>
    <row r="68" spans="1:74">
      <c r="A68" s="11" t="s">
        <v>489</v>
      </c>
      <c r="B68" s="11"/>
      <c r="C68" s="11" t="s">
        <v>61</v>
      </c>
      <c r="E68" s="6">
        <v>2109069</v>
      </c>
      <c r="G68" s="6">
        <v>321997</v>
      </c>
      <c r="I68" s="6">
        <v>157792</v>
      </c>
      <c r="K68" s="6">
        <v>267</v>
      </c>
      <c r="M68" s="6">
        <f>23907+26886</f>
        <v>50793</v>
      </c>
      <c r="O68" s="6">
        <v>138141</v>
      </c>
      <c r="Q68" s="6">
        <v>219111</v>
      </c>
      <c r="S68" s="6">
        <v>13913</v>
      </c>
      <c r="U68" s="6">
        <v>409978</v>
      </c>
      <c r="W68" s="6">
        <v>217351</v>
      </c>
      <c r="Y68" s="6">
        <v>0</v>
      </c>
      <c r="AA68" s="6">
        <v>343097</v>
      </c>
      <c r="AC68" s="6">
        <v>146022</v>
      </c>
      <c r="AE68" s="6">
        <v>1555</v>
      </c>
      <c r="AG68" s="6">
        <v>0</v>
      </c>
      <c r="AI68" s="6">
        <v>0</v>
      </c>
      <c r="AJ68" s="11" t="s">
        <v>489</v>
      </c>
      <c r="AK68" s="11"/>
      <c r="AL68" s="11" t="s">
        <v>61</v>
      </c>
      <c r="AN68" s="6">
        <v>185728</v>
      </c>
      <c r="AP68" s="6">
        <v>0</v>
      </c>
      <c r="AT68" s="6">
        <v>0</v>
      </c>
      <c r="AV68" s="6">
        <v>0</v>
      </c>
      <c r="AX68" s="6">
        <v>0</v>
      </c>
      <c r="AZ68" s="6">
        <f t="shared" si="4"/>
        <v>4314814</v>
      </c>
      <c r="BB68" s="6">
        <v>4389</v>
      </c>
      <c r="BD68" s="6">
        <v>0</v>
      </c>
      <c r="BF68" s="6">
        <v>0</v>
      </c>
      <c r="BH68" s="6">
        <v>0</v>
      </c>
      <c r="BJ68" s="6">
        <f t="shared" si="13"/>
        <v>4319203</v>
      </c>
      <c r="BL68" s="6">
        <f>+'Gen Fd Rev'!AK68-'Gen Fd Exp'!BJ68</f>
        <v>682634</v>
      </c>
      <c r="BN68" s="6">
        <v>1978825</v>
      </c>
      <c r="BP68" s="6">
        <v>0</v>
      </c>
      <c r="BR68" s="6">
        <v>0</v>
      </c>
      <c r="BT68" s="6">
        <f t="shared" si="14"/>
        <v>2661459</v>
      </c>
      <c r="BV68" s="7">
        <f>+BT68-'Gen Fd BS'!AC68+BR68</f>
        <v>0</v>
      </c>
    </row>
    <row r="69" spans="1:74">
      <c r="A69" s="11" t="s">
        <v>554</v>
      </c>
      <c r="B69" s="11"/>
      <c r="C69" s="11" t="s">
        <v>72</v>
      </c>
      <c r="E69" s="6">
        <v>18814968</v>
      </c>
      <c r="G69" s="6">
        <v>0</v>
      </c>
      <c r="I69" s="6">
        <v>0</v>
      </c>
      <c r="K69" s="6">
        <v>0</v>
      </c>
      <c r="M69" s="6">
        <v>0</v>
      </c>
      <c r="O69" s="6">
        <v>10248561</v>
      </c>
      <c r="Q69" s="6">
        <v>0</v>
      </c>
      <c r="S69" s="6">
        <v>0</v>
      </c>
      <c r="U69" s="6">
        <v>0</v>
      </c>
      <c r="W69" s="6">
        <v>0</v>
      </c>
      <c r="Y69" s="6">
        <v>0</v>
      </c>
      <c r="AA69" s="6">
        <v>0</v>
      </c>
      <c r="AC69" s="6">
        <v>0</v>
      </c>
      <c r="AE69" s="6">
        <v>0</v>
      </c>
      <c r="AG69" s="6">
        <v>0</v>
      </c>
      <c r="AI69" s="6">
        <v>937</v>
      </c>
      <c r="AJ69" s="11" t="s">
        <v>554</v>
      </c>
      <c r="AK69" s="11"/>
      <c r="AL69" s="11" t="s">
        <v>72</v>
      </c>
      <c r="AN69" s="6">
        <v>662640</v>
      </c>
      <c r="AP69" s="6">
        <v>0</v>
      </c>
      <c r="AT69" s="6">
        <v>0</v>
      </c>
      <c r="AV69" s="6">
        <v>0</v>
      </c>
      <c r="AX69" s="6">
        <v>0</v>
      </c>
      <c r="AZ69" s="6">
        <f t="shared" si="4"/>
        <v>29727106</v>
      </c>
      <c r="BB69" s="6">
        <v>30000</v>
      </c>
      <c r="BD69" s="6">
        <v>0</v>
      </c>
      <c r="BF69" s="6">
        <v>0</v>
      </c>
      <c r="BH69" s="6">
        <v>73</v>
      </c>
      <c r="BJ69" s="6">
        <f t="shared" si="13"/>
        <v>29757179</v>
      </c>
      <c r="BL69" s="6">
        <f>+'Gen Fd Rev'!AK69-'Gen Fd Exp'!BJ69</f>
        <v>-2164285</v>
      </c>
      <c r="BN69" s="6">
        <v>9277346</v>
      </c>
      <c r="BP69" s="6">
        <v>0</v>
      </c>
      <c r="BR69" s="6">
        <v>0</v>
      </c>
      <c r="BT69" s="6">
        <f t="shared" si="14"/>
        <v>7113061</v>
      </c>
      <c r="BV69" s="7">
        <f>+BT69-'Gen Fd BS'!AC69+BR69</f>
        <v>0</v>
      </c>
    </row>
    <row r="70" spans="1:74" hidden="1">
      <c r="A70" s="11" t="s">
        <v>888</v>
      </c>
      <c r="B70" s="11"/>
      <c r="C70" s="11" t="s">
        <v>48</v>
      </c>
      <c r="AJ70" s="11" t="s">
        <v>888</v>
      </c>
      <c r="AK70" s="11"/>
      <c r="AL70" s="11" t="s">
        <v>48</v>
      </c>
      <c r="AZ70" s="6">
        <f>SUM(E70:AX70)</f>
        <v>0</v>
      </c>
      <c r="BD70" s="6">
        <v>0</v>
      </c>
      <c r="BF70" s="6">
        <v>0</v>
      </c>
      <c r="BJ70" s="6">
        <f t="shared" si="13"/>
        <v>0</v>
      </c>
      <c r="BL70" s="6">
        <f>+'Gen Fd Rev'!AK70-'Gen Fd Exp'!BJ70</f>
        <v>0</v>
      </c>
      <c r="BR70" s="6">
        <v>0</v>
      </c>
      <c r="BT70" s="6">
        <f t="shared" si="14"/>
        <v>0</v>
      </c>
      <c r="BV70" s="7">
        <f>+BT70-'Gen Fd BS'!AC70+BR70</f>
        <v>0</v>
      </c>
    </row>
    <row r="71" spans="1:74">
      <c r="A71" s="11" t="s">
        <v>785</v>
      </c>
      <c r="B71" s="11"/>
      <c r="C71" s="11" t="s">
        <v>20</v>
      </c>
      <c r="E71" s="6">
        <v>20485695</v>
      </c>
      <c r="G71" s="6">
        <v>5921395</v>
      </c>
      <c r="I71" s="6">
        <v>113343</v>
      </c>
      <c r="K71" s="6">
        <v>528865</v>
      </c>
      <c r="M71" s="6">
        <v>368663</v>
      </c>
      <c r="O71" s="6">
        <v>3606710</v>
      </c>
      <c r="Q71" s="6">
        <v>2457154</v>
      </c>
      <c r="S71" s="6">
        <v>200571</v>
      </c>
      <c r="U71" s="6">
        <v>2809453</v>
      </c>
      <c r="W71" s="6">
        <v>1221808</v>
      </c>
      <c r="Y71" s="6">
        <v>444328</v>
      </c>
      <c r="AA71" s="6">
        <v>3909068</v>
      </c>
      <c r="AC71" s="6">
        <v>2990929</v>
      </c>
      <c r="AE71" s="6">
        <v>248501</v>
      </c>
      <c r="AG71" s="6">
        <v>0</v>
      </c>
      <c r="AI71" s="6">
        <v>0</v>
      </c>
      <c r="AJ71" s="11" t="s">
        <v>785</v>
      </c>
      <c r="AK71" s="11"/>
      <c r="AL71" s="11" t="s">
        <v>20</v>
      </c>
      <c r="AN71" s="6">
        <v>758967</v>
      </c>
      <c r="AP71" s="6">
        <v>320</v>
      </c>
      <c r="AT71" s="6">
        <v>0</v>
      </c>
      <c r="AV71" s="6">
        <v>0</v>
      </c>
      <c r="AX71" s="6">
        <v>0</v>
      </c>
      <c r="AZ71" s="6">
        <f t="shared" si="4"/>
        <v>46065770</v>
      </c>
      <c r="BB71" s="6">
        <v>270817</v>
      </c>
      <c r="BD71" s="6">
        <v>0</v>
      </c>
      <c r="BF71" s="6">
        <v>0</v>
      </c>
      <c r="BH71" s="6">
        <v>0</v>
      </c>
      <c r="BJ71" s="6">
        <f t="shared" si="13"/>
        <v>46336587</v>
      </c>
      <c r="BL71" s="6">
        <f>+'Gen Fd Rev'!AK71-'Gen Fd Exp'!BJ71</f>
        <v>-747217</v>
      </c>
      <c r="BN71" s="6">
        <v>10169903</v>
      </c>
      <c r="BP71" s="6">
        <v>0</v>
      </c>
      <c r="BR71" s="6">
        <v>0</v>
      </c>
      <c r="BT71" s="6">
        <f t="shared" si="14"/>
        <v>9422686</v>
      </c>
      <c r="BV71" s="7">
        <f>+BT71-'Gen Fd BS'!AC71+BR71</f>
        <v>0</v>
      </c>
    </row>
    <row r="72" spans="1:74">
      <c r="A72" s="11" t="s">
        <v>751</v>
      </c>
      <c r="B72" s="11"/>
      <c r="C72" s="11" t="s">
        <v>15</v>
      </c>
      <c r="D72" s="9"/>
      <c r="E72" s="6">
        <v>3162122</v>
      </c>
      <c r="G72" s="6">
        <v>506245</v>
      </c>
      <c r="I72" s="6">
        <v>51167</v>
      </c>
      <c r="K72" s="6">
        <v>0</v>
      </c>
      <c r="M72" s="6">
        <v>60041</v>
      </c>
      <c r="O72" s="6">
        <v>233648</v>
      </c>
      <c r="Q72" s="6">
        <v>399840</v>
      </c>
      <c r="S72" s="6">
        <v>29096</v>
      </c>
      <c r="U72" s="6">
        <v>558264</v>
      </c>
      <c r="W72" s="6">
        <v>267548</v>
      </c>
      <c r="Y72" s="6">
        <v>45649</v>
      </c>
      <c r="AA72" s="6">
        <v>727324</v>
      </c>
      <c r="AC72" s="6">
        <v>307817</v>
      </c>
      <c r="AE72" s="6">
        <v>5408</v>
      </c>
      <c r="AG72" s="6">
        <v>0</v>
      </c>
      <c r="AI72" s="6">
        <v>0</v>
      </c>
      <c r="AJ72" s="11" t="s">
        <v>751</v>
      </c>
      <c r="AK72" s="11"/>
      <c r="AL72" s="11" t="s">
        <v>15</v>
      </c>
      <c r="AN72" s="6">
        <v>110743</v>
      </c>
      <c r="AP72" s="6">
        <v>0</v>
      </c>
      <c r="AT72" s="6">
        <v>6569</v>
      </c>
      <c r="AV72" s="6">
        <v>76</v>
      </c>
      <c r="AX72" s="6">
        <v>0</v>
      </c>
      <c r="AZ72" s="6">
        <f t="shared" si="4"/>
        <v>6471557</v>
      </c>
      <c r="BB72" s="6">
        <v>3826</v>
      </c>
      <c r="BD72" s="6">
        <v>0</v>
      </c>
      <c r="BF72" s="6">
        <v>0</v>
      </c>
      <c r="BH72" s="6">
        <v>0</v>
      </c>
      <c r="BJ72" s="6">
        <f t="shared" si="13"/>
        <v>6475383</v>
      </c>
      <c r="BL72" s="6">
        <f>+'Gen Fd Rev'!AK72-'Gen Fd Exp'!BJ72</f>
        <v>368396</v>
      </c>
      <c r="BN72" s="6">
        <v>299621</v>
      </c>
      <c r="BP72" s="6">
        <v>0</v>
      </c>
      <c r="BR72" s="6">
        <v>0</v>
      </c>
      <c r="BT72" s="6">
        <f t="shared" si="14"/>
        <v>668017</v>
      </c>
      <c r="BV72" s="7">
        <f>+BT72-'Gen Fd BS'!AC72+BR72</f>
        <v>0</v>
      </c>
    </row>
    <row r="73" spans="1:74" hidden="1">
      <c r="A73" s="11" t="s">
        <v>793</v>
      </c>
      <c r="B73" s="11"/>
      <c r="C73" s="11" t="s">
        <v>348</v>
      </c>
      <c r="AJ73" s="11" t="s">
        <v>793</v>
      </c>
      <c r="AK73" s="11"/>
      <c r="AL73" s="11" t="s">
        <v>348</v>
      </c>
      <c r="AZ73" s="6">
        <f t="shared" si="4"/>
        <v>0</v>
      </c>
      <c r="BD73" s="6">
        <v>0</v>
      </c>
      <c r="BF73" s="6">
        <v>0</v>
      </c>
      <c r="BJ73" s="6">
        <f t="shared" si="13"/>
        <v>0</v>
      </c>
      <c r="BL73" s="6">
        <f>+'Gen Fd Rev'!AK73-'Gen Fd Exp'!BJ73</f>
        <v>0</v>
      </c>
      <c r="BR73" s="6">
        <v>0</v>
      </c>
      <c r="BT73" s="6">
        <f t="shared" si="14"/>
        <v>0</v>
      </c>
      <c r="BV73" s="7">
        <f>+BT73-'Gen Fd BS'!AC73+BR73</f>
        <v>0</v>
      </c>
    </row>
    <row r="74" spans="1:74">
      <c r="A74" s="11" t="s">
        <v>519</v>
      </c>
      <c r="B74" s="11"/>
      <c r="C74" s="11" t="s">
        <v>64</v>
      </c>
      <c r="E74" s="6">
        <v>3546391</v>
      </c>
      <c r="G74" s="6">
        <v>513983</v>
      </c>
      <c r="I74" s="6">
        <v>57283</v>
      </c>
      <c r="K74" s="6">
        <v>0</v>
      </c>
      <c r="M74" s="6">
        <v>7927</v>
      </c>
      <c r="O74" s="6">
        <v>236816</v>
      </c>
      <c r="Q74" s="6">
        <v>77813</v>
      </c>
      <c r="S74" s="6">
        <v>38465</v>
      </c>
      <c r="U74" s="6">
        <v>642232</v>
      </c>
      <c r="W74" s="6">
        <v>245094</v>
      </c>
      <c r="Y74" s="6">
        <v>25397</v>
      </c>
      <c r="AA74" s="6">
        <v>530530</v>
      </c>
      <c r="AC74" s="6">
        <v>450421</v>
      </c>
      <c r="AE74" s="6">
        <v>9903</v>
      </c>
      <c r="AG74" s="6">
        <v>0</v>
      </c>
      <c r="AI74" s="6">
        <v>0</v>
      </c>
      <c r="AJ74" s="11" t="s">
        <v>519</v>
      </c>
      <c r="AK74" s="11"/>
      <c r="AL74" s="11" t="s">
        <v>64</v>
      </c>
      <c r="AN74" s="6">
        <v>56473</v>
      </c>
      <c r="AP74" s="6">
        <v>8990</v>
      </c>
      <c r="AT74" s="6">
        <v>0</v>
      </c>
      <c r="AV74" s="6">
        <v>0</v>
      </c>
      <c r="AX74" s="6">
        <v>0</v>
      </c>
      <c r="AZ74" s="6">
        <f t="shared" si="4"/>
        <v>6447718</v>
      </c>
      <c r="BB74" s="6">
        <v>207495</v>
      </c>
      <c r="BD74" s="6">
        <v>0</v>
      </c>
      <c r="BF74" s="6">
        <v>0</v>
      </c>
      <c r="BH74" s="6">
        <v>0</v>
      </c>
      <c r="BJ74" s="6">
        <f t="shared" si="13"/>
        <v>6655213</v>
      </c>
      <c r="BL74" s="6">
        <f>+'Gen Fd Rev'!AK74-'Gen Fd Exp'!BJ74</f>
        <v>-285659</v>
      </c>
      <c r="BN74" s="6">
        <v>1776017</v>
      </c>
      <c r="BP74" s="6">
        <v>0</v>
      </c>
      <c r="BR74" s="6">
        <v>0</v>
      </c>
      <c r="BT74" s="6">
        <f t="shared" si="14"/>
        <v>1490358</v>
      </c>
      <c r="BV74" s="7">
        <f>+BT74-'Gen Fd BS'!AC74+BR74</f>
        <v>0</v>
      </c>
    </row>
    <row r="75" spans="1:74">
      <c r="A75" s="11" t="s">
        <v>673</v>
      </c>
      <c r="B75" s="11"/>
      <c r="C75" s="11" t="s">
        <v>64</v>
      </c>
      <c r="E75" s="6">
        <v>5074847</v>
      </c>
      <c r="G75" s="6">
        <v>950788</v>
      </c>
      <c r="I75" s="6">
        <v>140664</v>
      </c>
      <c r="K75" s="6">
        <v>0</v>
      </c>
      <c r="M75" s="6">
        <v>0</v>
      </c>
      <c r="O75" s="6">
        <v>569830</v>
      </c>
      <c r="Q75" s="6">
        <v>110116</v>
      </c>
      <c r="S75" s="6">
        <v>13337</v>
      </c>
      <c r="U75" s="6">
        <v>872932</v>
      </c>
      <c r="W75" s="6">
        <v>292959</v>
      </c>
      <c r="Y75" s="6">
        <v>66968</v>
      </c>
      <c r="AA75" s="6">
        <v>890646</v>
      </c>
      <c r="AC75" s="6">
        <v>616707</v>
      </c>
      <c r="AE75" s="6">
        <v>6015</v>
      </c>
      <c r="AG75" s="6">
        <v>0</v>
      </c>
      <c r="AI75" s="6">
        <v>0</v>
      </c>
      <c r="AJ75" s="11" t="s">
        <v>673</v>
      </c>
      <c r="AK75" s="11"/>
      <c r="AL75" s="11" t="s">
        <v>64</v>
      </c>
      <c r="AN75" s="6">
        <v>273001</v>
      </c>
      <c r="AP75" s="6">
        <v>0</v>
      </c>
      <c r="AT75" s="6">
        <v>20539</v>
      </c>
      <c r="AV75" s="6">
        <v>3465</v>
      </c>
      <c r="AX75" s="6">
        <v>0</v>
      </c>
      <c r="AZ75" s="6">
        <f t="shared" si="4"/>
        <v>9902814</v>
      </c>
      <c r="BB75" s="6">
        <v>0</v>
      </c>
      <c r="BD75" s="6">
        <v>0</v>
      </c>
      <c r="BF75" s="6">
        <v>0</v>
      </c>
      <c r="BH75" s="6">
        <v>0</v>
      </c>
      <c r="BJ75" s="6">
        <f t="shared" si="13"/>
        <v>9902814</v>
      </c>
      <c r="BL75" s="6">
        <f>+'Gen Fd Rev'!AK75-'Gen Fd Exp'!BJ75</f>
        <v>-472382</v>
      </c>
      <c r="BN75" s="6">
        <v>-1363415</v>
      </c>
      <c r="BP75" s="6">
        <v>0</v>
      </c>
      <c r="BR75" s="6">
        <v>0</v>
      </c>
      <c r="BT75" s="6">
        <f t="shared" si="14"/>
        <v>-1835797</v>
      </c>
      <c r="BV75" s="7">
        <f>+BT75-'Gen Fd BS'!AC75+BR75</f>
        <v>0</v>
      </c>
    </row>
    <row r="76" spans="1:74">
      <c r="A76" s="11" t="s">
        <v>264</v>
      </c>
      <c r="B76" s="11"/>
      <c r="C76" s="11" t="s">
        <v>20</v>
      </c>
      <c r="E76" s="6">
        <v>6926473</v>
      </c>
      <c r="G76" s="6">
        <v>2144216</v>
      </c>
      <c r="I76" s="6">
        <v>121585</v>
      </c>
      <c r="K76" s="6">
        <v>0</v>
      </c>
      <c r="M76" s="6">
        <v>0</v>
      </c>
      <c r="O76" s="6">
        <v>1440688</v>
      </c>
      <c r="Q76" s="6">
        <v>146719</v>
      </c>
      <c r="S76" s="6">
        <v>38774</v>
      </c>
      <c r="U76" s="6">
        <v>1443599</v>
      </c>
      <c r="W76" s="6">
        <v>690504</v>
      </c>
      <c r="Y76" s="6">
        <v>87688</v>
      </c>
      <c r="AA76" s="6">
        <v>1189699</v>
      </c>
      <c r="AC76" s="6">
        <v>320210</v>
      </c>
      <c r="AE76" s="6">
        <v>230191</v>
      </c>
      <c r="AG76" s="6">
        <v>0</v>
      </c>
      <c r="AI76" s="6">
        <v>0</v>
      </c>
      <c r="AJ76" s="11" t="s">
        <v>264</v>
      </c>
      <c r="AK76" s="11"/>
      <c r="AL76" s="11" t="s">
        <v>20</v>
      </c>
      <c r="AN76" s="6">
        <v>276008</v>
      </c>
      <c r="AP76" s="6">
        <v>13300</v>
      </c>
      <c r="AT76" s="6">
        <v>0</v>
      </c>
      <c r="AV76" s="6">
        <v>0</v>
      </c>
      <c r="AX76" s="6">
        <v>0</v>
      </c>
      <c r="AZ76" s="6">
        <f t="shared" si="4"/>
        <v>15069654</v>
      </c>
      <c r="BB76" s="6">
        <v>0</v>
      </c>
      <c r="BD76" s="6">
        <v>0</v>
      </c>
      <c r="BF76" s="6">
        <v>0</v>
      </c>
      <c r="BH76" s="6">
        <v>0</v>
      </c>
      <c r="BJ76" s="6">
        <f t="shared" si="13"/>
        <v>15069654</v>
      </c>
      <c r="BL76" s="6">
        <f>+'Gen Fd Rev'!AK76-'Gen Fd Exp'!BJ76</f>
        <v>49961</v>
      </c>
      <c r="BN76" s="6">
        <v>4631624</v>
      </c>
      <c r="BP76" s="6">
        <v>0</v>
      </c>
      <c r="BR76" s="6">
        <v>0</v>
      </c>
      <c r="BT76" s="6">
        <f t="shared" si="14"/>
        <v>4681585</v>
      </c>
      <c r="BV76" s="7">
        <f>+BT76-'Gen Fd BS'!AC76+BR76</f>
        <v>0</v>
      </c>
    </row>
    <row r="77" spans="1:74">
      <c r="A77" s="11" t="s">
        <v>428</v>
      </c>
      <c r="B77" s="11"/>
      <c r="C77" s="11" t="s">
        <v>50</v>
      </c>
      <c r="E77" s="6">
        <v>5456078</v>
      </c>
      <c r="G77" s="6">
        <v>1029340</v>
      </c>
      <c r="I77" s="6">
        <v>173867</v>
      </c>
      <c r="K77" s="6">
        <v>0</v>
      </c>
      <c r="M77" s="6">
        <v>110095</v>
      </c>
      <c r="O77" s="6">
        <v>742043</v>
      </c>
      <c r="Q77" s="6">
        <v>727051</v>
      </c>
      <c r="S77" s="6">
        <v>23222</v>
      </c>
      <c r="U77" s="6">
        <v>1374494</v>
      </c>
      <c r="W77" s="6">
        <v>337015</v>
      </c>
      <c r="Y77" s="6">
        <v>728</v>
      </c>
      <c r="AA77" s="6">
        <v>1304939</v>
      </c>
      <c r="AC77" s="6">
        <v>730214</v>
      </c>
      <c r="AE77" s="6">
        <v>25364</v>
      </c>
      <c r="AG77" s="6">
        <v>0</v>
      </c>
      <c r="AI77" s="6">
        <v>58414</v>
      </c>
      <c r="AJ77" s="11" t="s">
        <v>428</v>
      </c>
      <c r="AK77" s="11"/>
      <c r="AL77" s="11" t="s">
        <v>50</v>
      </c>
      <c r="AN77" s="6">
        <v>373847</v>
      </c>
      <c r="AP77" s="6">
        <v>200</v>
      </c>
      <c r="AT77" s="6">
        <v>0</v>
      </c>
      <c r="AV77" s="6">
        <v>0</v>
      </c>
      <c r="AX77" s="6">
        <v>0</v>
      </c>
      <c r="AZ77" s="6">
        <f t="shared" si="4"/>
        <v>12466911</v>
      </c>
      <c r="BB77" s="6">
        <v>40000</v>
      </c>
      <c r="BD77" s="6">
        <v>0</v>
      </c>
      <c r="BF77" s="6">
        <v>0</v>
      </c>
      <c r="BH77" s="6">
        <v>0</v>
      </c>
      <c r="BJ77" s="6">
        <f t="shared" si="13"/>
        <v>12506911</v>
      </c>
      <c r="BL77" s="6">
        <f>+'Gen Fd Rev'!AK77-'Gen Fd Exp'!BJ77</f>
        <v>-377617</v>
      </c>
      <c r="BN77" s="6">
        <v>3553959</v>
      </c>
      <c r="BP77" s="6">
        <v>0</v>
      </c>
      <c r="BR77" s="6">
        <v>0</v>
      </c>
      <c r="BT77" s="6">
        <f t="shared" si="14"/>
        <v>3176342</v>
      </c>
      <c r="BV77" s="7">
        <f>+BT77-'Gen Fd BS'!AC77+BR77</f>
        <v>0</v>
      </c>
    </row>
    <row r="78" spans="1:74">
      <c r="A78" s="11" t="s">
        <v>227</v>
      </c>
      <c r="B78" s="11"/>
      <c r="C78" s="11" t="s">
        <v>16</v>
      </c>
      <c r="D78" s="9"/>
      <c r="E78" s="6">
        <v>3425304</v>
      </c>
      <c r="G78" s="6">
        <v>476645</v>
      </c>
      <c r="I78" s="6">
        <v>68004</v>
      </c>
      <c r="K78" s="6">
        <v>0</v>
      </c>
      <c r="M78" s="6">
        <v>0</v>
      </c>
      <c r="O78" s="6">
        <v>249502</v>
      </c>
      <c r="Q78" s="6">
        <v>266177</v>
      </c>
      <c r="S78" s="6">
        <v>195499</v>
      </c>
      <c r="U78" s="6">
        <v>601435</v>
      </c>
      <c r="W78" s="6">
        <v>166284</v>
      </c>
      <c r="Y78" s="6">
        <v>0</v>
      </c>
      <c r="AA78" s="6">
        <v>510126</v>
      </c>
      <c r="AC78" s="6">
        <v>316886</v>
      </c>
      <c r="AE78" s="6">
        <v>29496</v>
      </c>
      <c r="AG78" s="6">
        <v>0</v>
      </c>
      <c r="AI78" s="6">
        <v>0</v>
      </c>
      <c r="AJ78" s="11" t="s">
        <v>227</v>
      </c>
      <c r="AK78" s="11"/>
      <c r="AL78" s="11" t="s">
        <v>16</v>
      </c>
      <c r="AN78" s="6">
        <v>205701</v>
      </c>
      <c r="AP78" s="6">
        <v>0</v>
      </c>
      <c r="AT78" s="6">
        <v>14653</v>
      </c>
      <c r="AV78" s="6">
        <v>1620</v>
      </c>
      <c r="AX78" s="6">
        <v>0</v>
      </c>
      <c r="AZ78" s="6">
        <f t="shared" si="4"/>
        <v>6527332</v>
      </c>
      <c r="BB78" s="6">
        <v>0</v>
      </c>
      <c r="BD78" s="6">
        <v>0</v>
      </c>
      <c r="BF78" s="6">
        <v>0</v>
      </c>
      <c r="BH78" s="6">
        <v>0</v>
      </c>
      <c r="BJ78" s="6">
        <f t="shared" si="13"/>
        <v>6527332</v>
      </c>
      <c r="BL78" s="6">
        <f>+'Gen Fd Rev'!AK78-'Gen Fd Exp'!BJ78</f>
        <v>333601</v>
      </c>
      <c r="BN78" s="6">
        <v>2878541</v>
      </c>
      <c r="BP78" s="6">
        <v>0</v>
      </c>
      <c r="BR78" s="6">
        <v>0</v>
      </c>
      <c r="BT78" s="6">
        <f t="shared" si="14"/>
        <v>3212142</v>
      </c>
      <c r="BV78" s="7">
        <f>+BT78-'Gen Fd BS'!AC78+BR78</f>
        <v>0</v>
      </c>
    </row>
    <row r="79" spans="1:74">
      <c r="A79" s="11" t="s">
        <v>415</v>
      </c>
      <c r="B79" s="11"/>
      <c r="C79" s="11" t="s">
        <v>47</v>
      </c>
      <c r="E79" s="6">
        <v>29935203</v>
      </c>
      <c r="G79" s="6">
        <v>7060119</v>
      </c>
      <c r="I79" s="6">
        <v>204002</v>
      </c>
      <c r="K79" s="6">
        <v>0</v>
      </c>
      <c r="M79" s="6">
        <v>2064516</v>
      </c>
      <c r="O79" s="6">
        <v>4787224</v>
      </c>
      <c r="Q79" s="6">
        <v>2813670</v>
      </c>
      <c r="S79" s="6">
        <v>610261</v>
      </c>
      <c r="U79" s="6">
        <v>4505612</v>
      </c>
      <c r="W79" s="6">
        <v>1364107</v>
      </c>
      <c r="Y79" s="6">
        <v>363483</v>
      </c>
      <c r="AA79" s="6">
        <v>5872218</v>
      </c>
      <c r="AC79" s="6">
        <v>4317365</v>
      </c>
      <c r="AE79" s="6">
        <v>238548</v>
      </c>
      <c r="AG79" s="6">
        <v>2559</v>
      </c>
      <c r="AI79" s="6">
        <v>11927</v>
      </c>
      <c r="AJ79" s="11" t="s">
        <v>415</v>
      </c>
      <c r="AK79" s="11"/>
      <c r="AL79" s="11" t="s">
        <v>47</v>
      </c>
      <c r="AN79" s="6">
        <v>1569964</v>
      </c>
      <c r="AP79" s="6">
        <v>0</v>
      </c>
      <c r="AT79" s="6">
        <v>0</v>
      </c>
      <c r="AV79" s="6">
        <v>0</v>
      </c>
      <c r="AX79" s="6">
        <v>0</v>
      </c>
      <c r="AZ79" s="6">
        <f t="shared" si="4"/>
        <v>65720778</v>
      </c>
      <c r="BB79" s="6">
        <v>0</v>
      </c>
      <c r="BD79" s="6">
        <v>0</v>
      </c>
      <c r="BF79" s="6">
        <v>0</v>
      </c>
      <c r="BH79" s="6">
        <v>0</v>
      </c>
      <c r="BJ79" s="6">
        <f t="shared" si="13"/>
        <v>65720778</v>
      </c>
      <c r="BL79" s="6">
        <f>+'Gen Fd Rev'!AK79-'Gen Fd Exp'!BJ79</f>
        <v>-3252479</v>
      </c>
      <c r="BN79" s="6">
        <v>7426637</v>
      </c>
      <c r="BP79" s="6">
        <v>0</v>
      </c>
      <c r="BR79" s="6">
        <v>0</v>
      </c>
      <c r="BT79" s="6">
        <f t="shared" si="14"/>
        <v>4174158</v>
      </c>
      <c r="BV79" s="7">
        <f>+BT79-'Gen Fd BS'!AC79+BR79</f>
        <v>0</v>
      </c>
    </row>
    <row r="80" spans="1:74" hidden="1">
      <c r="A80" s="11" t="s">
        <v>674</v>
      </c>
      <c r="B80" s="11"/>
      <c r="C80" s="11" t="s">
        <v>552</v>
      </c>
      <c r="AJ80" s="11" t="s">
        <v>674</v>
      </c>
      <c r="AK80" s="11"/>
      <c r="AL80" s="11" t="s">
        <v>552</v>
      </c>
      <c r="AZ80" s="6">
        <f t="shared" si="4"/>
        <v>0</v>
      </c>
      <c r="BD80" s="6">
        <v>0</v>
      </c>
      <c r="BF80" s="6">
        <v>0</v>
      </c>
      <c r="BJ80" s="6">
        <f t="shared" si="13"/>
        <v>0</v>
      </c>
      <c r="BL80" s="6">
        <f>+'Gen Fd Rev'!AK80-'Gen Fd Exp'!BJ80</f>
        <v>0</v>
      </c>
      <c r="BR80" s="6">
        <v>0</v>
      </c>
      <c r="BT80" s="6">
        <f t="shared" si="14"/>
        <v>0</v>
      </c>
      <c r="BV80" s="7">
        <f>+BT80-'Gen Fd BS'!AC80+BR80</f>
        <v>0</v>
      </c>
    </row>
    <row r="81" spans="1:74">
      <c r="A81" s="11" t="s">
        <v>256</v>
      </c>
      <c r="B81" s="11"/>
      <c r="C81" s="11" t="s">
        <v>111</v>
      </c>
      <c r="D81" s="9"/>
      <c r="E81" s="6">
        <v>4362297</v>
      </c>
      <c r="G81" s="6">
        <v>691894</v>
      </c>
      <c r="I81" s="6">
        <v>140584</v>
      </c>
      <c r="K81" s="6">
        <v>0</v>
      </c>
      <c r="M81" s="6">
        <v>75</v>
      </c>
      <c r="O81" s="6">
        <v>221878</v>
      </c>
      <c r="Q81" s="6">
        <v>118932</v>
      </c>
      <c r="S81" s="6">
        <v>20795</v>
      </c>
      <c r="U81" s="6">
        <v>759798</v>
      </c>
      <c r="W81" s="6">
        <v>262433</v>
      </c>
      <c r="Y81" s="6">
        <v>0</v>
      </c>
      <c r="AA81" s="6">
        <v>525415</v>
      </c>
      <c r="AC81" s="6">
        <v>612788</v>
      </c>
      <c r="AE81" s="6">
        <v>60326</v>
      </c>
      <c r="AG81" s="6">
        <v>0</v>
      </c>
      <c r="AI81" s="6">
        <v>12686</v>
      </c>
      <c r="AJ81" s="11" t="s">
        <v>256</v>
      </c>
      <c r="AK81" s="11"/>
      <c r="AL81" s="11" t="s">
        <v>111</v>
      </c>
      <c r="AN81" s="6">
        <v>288576</v>
      </c>
      <c r="AP81" s="6">
        <v>893</v>
      </c>
      <c r="AT81" s="6">
        <v>46998</v>
      </c>
      <c r="AV81" s="6">
        <v>26599</v>
      </c>
      <c r="AX81" s="6">
        <v>0</v>
      </c>
      <c r="AZ81" s="6">
        <f t="shared" si="4"/>
        <v>8152967</v>
      </c>
      <c r="BB81" s="6">
        <v>50000</v>
      </c>
      <c r="BD81" s="6">
        <v>0</v>
      </c>
      <c r="BF81" s="6">
        <v>0</v>
      </c>
      <c r="BH81" s="6">
        <v>0</v>
      </c>
      <c r="BJ81" s="6">
        <f t="shared" ref="BJ81:BJ87" si="21">+AZ81+BB81+BD81+BH81</f>
        <v>8202967</v>
      </c>
      <c r="BL81" s="6">
        <f>+'Gen Fd Rev'!AK81-'Gen Fd Exp'!BJ81</f>
        <v>-413006</v>
      </c>
      <c r="BN81" s="6">
        <v>2900012</v>
      </c>
      <c r="BP81" s="6">
        <v>0</v>
      </c>
      <c r="BR81" s="6">
        <v>0</v>
      </c>
      <c r="BT81" s="6">
        <f t="shared" ref="BT81:BT105" si="22">+BN81+BL81-BP81</f>
        <v>2487006</v>
      </c>
      <c r="BV81" s="7">
        <f>+BT81-'Gen Fd BS'!AC81+BR81</f>
        <v>0</v>
      </c>
    </row>
    <row r="82" spans="1:74">
      <c r="A82" s="11" t="s">
        <v>206</v>
      </c>
      <c r="B82" s="11"/>
      <c r="C82" s="11" t="s">
        <v>12</v>
      </c>
      <c r="D82" s="9"/>
      <c r="E82" s="6">
        <v>8335471</v>
      </c>
      <c r="G82" s="6">
        <v>1802962</v>
      </c>
      <c r="I82" s="6">
        <v>212577</v>
      </c>
      <c r="K82" s="6">
        <v>0</v>
      </c>
      <c r="M82" s="6">
        <v>0</v>
      </c>
      <c r="O82" s="6">
        <v>512799</v>
      </c>
      <c r="Q82" s="6">
        <v>165762</v>
      </c>
      <c r="S82" s="6">
        <v>29219</v>
      </c>
      <c r="U82" s="6">
        <v>1324594</v>
      </c>
      <c r="W82" s="6">
        <v>497306</v>
      </c>
      <c r="Y82" s="6">
        <v>82365</v>
      </c>
      <c r="AA82" s="6">
        <v>1651716</v>
      </c>
      <c r="AC82" s="6">
        <v>898711</v>
      </c>
      <c r="AE82" s="6">
        <v>36733</v>
      </c>
      <c r="AG82" s="6">
        <v>0</v>
      </c>
      <c r="AI82" s="6">
        <v>0</v>
      </c>
      <c r="AJ82" s="11" t="s">
        <v>206</v>
      </c>
      <c r="AK82" s="11"/>
      <c r="AL82" s="11" t="s">
        <v>12</v>
      </c>
      <c r="AN82" s="6">
        <v>300450</v>
      </c>
      <c r="AP82" s="6">
        <v>112228</v>
      </c>
      <c r="AT82" s="6">
        <v>0</v>
      </c>
      <c r="AV82" s="6">
        <v>0</v>
      </c>
      <c r="AX82" s="6">
        <v>0</v>
      </c>
      <c r="AZ82" s="6">
        <f t="shared" si="4"/>
        <v>15962893</v>
      </c>
      <c r="BB82" s="6">
        <v>0</v>
      </c>
      <c r="BD82" s="6">
        <v>0</v>
      </c>
      <c r="BF82" s="6">
        <v>0</v>
      </c>
      <c r="BH82" s="6">
        <v>0</v>
      </c>
      <c r="BJ82" s="6">
        <f t="shared" si="21"/>
        <v>15962893</v>
      </c>
      <c r="BL82" s="6">
        <f>+'Gen Fd Rev'!AK82-'Gen Fd Exp'!BJ82</f>
        <v>278879</v>
      </c>
      <c r="BN82" s="6">
        <v>6408175</v>
      </c>
      <c r="BP82" s="6">
        <v>0</v>
      </c>
      <c r="BR82" s="6">
        <v>0</v>
      </c>
      <c r="BT82" s="6">
        <f t="shared" si="22"/>
        <v>6687054</v>
      </c>
      <c r="BV82" s="7">
        <f>+BT82-'Gen Fd BS'!AC82+BR82</f>
        <v>0</v>
      </c>
    </row>
    <row r="83" spans="1:74">
      <c r="A83" s="11" t="s">
        <v>206</v>
      </c>
      <c r="B83" s="11"/>
      <c r="C83" s="11" t="s">
        <v>39</v>
      </c>
      <c r="E83" s="6">
        <v>8386058</v>
      </c>
      <c r="G83" s="6">
        <v>1615233</v>
      </c>
      <c r="I83" s="6">
        <v>464834</v>
      </c>
      <c r="K83" s="6">
        <v>0</v>
      </c>
      <c r="M83" s="6">
        <v>52558</v>
      </c>
      <c r="O83" s="6">
        <v>615486</v>
      </c>
      <c r="Q83" s="6">
        <v>327630</v>
      </c>
      <c r="S83" s="6">
        <v>115277</v>
      </c>
      <c r="U83" s="6">
        <v>1639364</v>
      </c>
      <c r="W83" s="6">
        <v>451853</v>
      </c>
      <c r="Y83" s="6">
        <v>57664</v>
      </c>
      <c r="AA83" s="6">
        <v>2042699</v>
      </c>
      <c r="AC83" s="6">
        <v>1675747</v>
      </c>
      <c r="AE83" s="6">
        <v>0</v>
      </c>
      <c r="AG83" s="6">
        <v>0</v>
      </c>
      <c r="AI83" s="6">
        <v>250</v>
      </c>
      <c r="AJ83" s="11" t="s">
        <v>206</v>
      </c>
      <c r="AK83" s="11"/>
      <c r="AL83" s="11" t="s">
        <v>39</v>
      </c>
      <c r="AN83" s="6">
        <v>280788</v>
      </c>
      <c r="AP83" s="6">
        <v>30300</v>
      </c>
      <c r="AT83" s="6">
        <v>3579</v>
      </c>
      <c r="AV83" s="6">
        <v>1044</v>
      </c>
      <c r="AX83" s="6">
        <v>0</v>
      </c>
      <c r="AZ83" s="6">
        <f t="shared" si="4"/>
        <v>17760364</v>
      </c>
      <c r="BB83" s="6">
        <v>58815</v>
      </c>
      <c r="BD83" s="6">
        <v>0</v>
      </c>
      <c r="BF83" s="6">
        <v>0</v>
      </c>
      <c r="BH83" s="6">
        <v>0</v>
      </c>
      <c r="BJ83" s="6">
        <f t="shared" si="21"/>
        <v>17819179</v>
      </c>
      <c r="BL83" s="6">
        <f>+'Gen Fd Rev'!AK83-'Gen Fd Exp'!BJ83</f>
        <v>-160574</v>
      </c>
      <c r="BN83" s="6">
        <v>-34996</v>
      </c>
      <c r="BP83" s="6">
        <v>0</v>
      </c>
      <c r="BR83" s="6">
        <v>0</v>
      </c>
      <c r="BT83" s="6">
        <f t="shared" si="22"/>
        <v>-195570</v>
      </c>
      <c r="BV83" s="7">
        <f>+BT83-'Gen Fd BS'!AC83+BR83</f>
        <v>0</v>
      </c>
    </row>
    <row r="84" spans="1:74">
      <c r="A84" s="11" t="s">
        <v>675</v>
      </c>
      <c r="B84" s="11"/>
      <c r="C84" s="11" t="s">
        <v>47</v>
      </c>
      <c r="E84" s="6">
        <v>8399633</v>
      </c>
      <c r="G84" s="6">
        <v>1719969</v>
      </c>
      <c r="I84" s="6">
        <v>131201</v>
      </c>
      <c r="K84" s="6">
        <v>0</v>
      </c>
      <c r="M84" s="6">
        <v>895799</v>
      </c>
      <c r="O84" s="6">
        <v>674299</v>
      </c>
      <c r="Q84" s="6">
        <v>1000931</v>
      </c>
      <c r="S84" s="6">
        <v>30491</v>
      </c>
      <c r="U84" s="6">
        <v>1379079</v>
      </c>
      <c r="W84" s="6">
        <v>625837</v>
      </c>
      <c r="Y84" s="6">
        <v>26883</v>
      </c>
      <c r="AA84" s="6">
        <v>1217676</v>
      </c>
      <c r="AC84" s="6">
        <v>971733</v>
      </c>
      <c r="AE84" s="6">
        <v>3045</v>
      </c>
      <c r="AG84" s="6">
        <v>374</v>
      </c>
      <c r="AI84" s="6">
        <v>101028</v>
      </c>
      <c r="AJ84" s="11" t="s">
        <v>675</v>
      </c>
      <c r="AK84" s="11"/>
      <c r="AL84" s="11" t="s">
        <v>47</v>
      </c>
      <c r="AN84" s="6">
        <v>244586</v>
      </c>
      <c r="AP84" s="6">
        <v>0</v>
      </c>
      <c r="AT84" s="6">
        <v>0</v>
      </c>
      <c r="AV84" s="6">
        <v>0</v>
      </c>
      <c r="AX84" s="6">
        <v>0</v>
      </c>
      <c r="AZ84" s="6">
        <f t="shared" ref="AZ84:AZ87" si="23">SUM(E84:AX84)</f>
        <v>17422564</v>
      </c>
      <c r="BB84" s="6">
        <v>176903</v>
      </c>
      <c r="BD84" s="6">
        <v>0</v>
      </c>
      <c r="BF84" s="6">
        <v>0</v>
      </c>
      <c r="BH84" s="6">
        <v>0</v>
      </c>
      <c r="BJ84" s="6">
        <f t="shared" si="21"/>
        <v>17599467</v>
      </c>
      <c r="BL84" s="6">
        <f>+'Gen Fd Rev'!AK84-'Gen Fd Exp'!BJ84</f>
        <v>-167901</v>
      </c>
      <c r="BN84" s="6">
        <v>-642829</v>
      </c>
      <c r="BP84" s="6">
        <v>0</v>
      </c>
      <c r="BR84" s="6">
        <v>0</v>
      </c>
      <c r="BT84" s="6">
        <f t="shared" si="22"/>
        <v>-810730</v>
      </c>
      <c r="BV84" s="7">
        <f>+BT84-'Gen Fd BS'!AC84+BR84</f>
        <v>0</v>
      </c>
    </row>
    <row r="85" spans="1:74" hidden="1">
      <c r="A85" s="42" t="s">
        <v>794</v>
      </c>
      <c r="B85" s="11"/>
      <c r="C85" s="11" t="s">
        <v>112</v>
      </c>
      <c r="AJ85" s="42" t="s">
        <v>794</v>
      </c>
      <c r="AK85" s="11"/>
      <c r="AL85" s="11" t="s">
        <v>112</v>
      </c>
      <c r="AZ85" s="6">
        <f t="shared" si="23"/>
        <v>0</v>
      </c>
      <c r="BD85" s="6">
        <v>0</v>
      </c>
      <c r="BF85" s="6">
        <v>0</v>
      </c>
      <c r="BJ85" s="6">
        <f t="shared" si="21"/>
        <v>0</v>
      </c>
      <c r="BL85" s="6">
        <f>+'Gen Fd Rev'!AK85-'Gen Fd Exp'!BJ85</f>
        <v>0</v>
      </c>
      <c r="BR85" s="6">
        <v>0</v>
      </c>
      <c r="BT85" s="6">
        <f t="shared" si="22"/>
        <v>0</v>
      </c>
      <c r="BV85" s="7">
        <f>+BT85-'Gen Fd BS'!AC85+BR85</f>
        <v>0</v>
      </c>
    </row>
    <row r="86" spans="1:74">
      <c r="A86" s="11" t="s">
        <v>636</v>
      </c>
      <c r="B86" s="11"/>
      <c r="C86" s="11" t="s">
        <v>23</v>
      </c>
      <c r="E86" s="6">
        <v>10539834</v>
      </c>
      <c r="G86" s="6">
        <v>1537046</v>
      </c>
      <c r="I86" s="6">
        <v>22866</v>
      </c>
      <c r="K86" s="6">
        <v>0</v>
      </c>
      <c r="M86" s="6">
        <v>16729</v>
      </c>
      <c r="O86" s="6">
        <v>1732071</v>
      </c>
      <c r="Q86" s="6">
        <v>356400</v>
      </c>
      <c r="S86" s="6">
        <v>173413</v>
      </c>
      <c r="U86" s="6">
        <v>2116696</v>
      </c>
      <c r="W86" s="6">
        <v>570416</v>
      </c>
      <c r="Y86" s="6">
        <v>0</v>
      </c>
      <c r="AA86" s="6">
        <v>2198828</v>
      </c>
      <c r="AC86" s="6">
        <v>1560900</v>
      </c>
      <c r="AE86" s="6">
        <v>39265</v>
      </c>
      <c r="AG86" s="6">
        <v>0</v>
      </c>
      <c r="AI86" s="6">
        <v>16984</v>
      </c>
      <c r="AJ86" s="11" t="s">
        <v>636</v>
      </c>
      <c r="AK86" s="11"/>
      <c r="AL86" s="11" t="s">
        <v>23</v>
      </c>
      <c r="AN86" s="6">
        <v>294686</v>
      </c>
      <c r="AP86" s="6">
        <v>0</v>
      </c>
      <c r="AT86" s="6">
        <v>17643</v>
      </c>
      <c r="AV86" s="6">
        <v>871</v>
      </c>
      <c r="AX86" s="6">
        <v>0</v>
      </c>
      <c r="AZ86" s="6">
        <f t="shared" si="23"/>
        <v>21194648</v>
      </c>
      <c r="BB86" s="6">
        <v>0</v>
      </c>
      <c r="BD86" s="6">
        <v>0</v>
      </c>
      <c r="BF86" s="6">
        <v>0</v>
      </c>
      <c r="BH86" s="6">
        <v>0</v>
      </c>
      <c r="BJ86" s="6">
        <f t="shared" si="21"/>
        <v>21194648</v>
      </c>
      <c r="BL86" s="6">
        <f>+'Gen Fd Rev'!AK86-'Gen Fd Exp'!BJ86</f>
        <v>480471</v>
      </c>
      <c r="BN86" s="6">
        <v>4572133</v>
      </c>
      <c r="BP86" s="6">
        <v>0</v>
      </c>
      <c r="BR86" s="6">
        <v>0</v>
      </c>
      <c r="BT86" s="6">
        <f t="shared" si="22"/>
        <v>5052604</v>
      </c>
      <c r="BV86" s="7">
        <f>+BT86-'Gen Fd BS'!AC86+BR86</f>
        <v>0</v>
      </c>
    </row>
    <row r="87" spans="1:74">
      <c r="A87" s="11" t="s">
        <v>257</v>
      </c>
      <c r="B87" s="11"/>
      <c r="C87" s="11" t="s">
        <v>111</v>
      </c>
      <c r="E87" s="6">
        <v>7332598</v>
      </c>
      <c r="G87" s="6">
        <v>1739111</v>
      </c>
      <c r="I87" s="6">
        <v>34555</v>
      </c>
      <c r="K87" s="6">
        <v>0</v>
      </c>
      <c r="M87" s="6">
        <v>0</v>
      </c>
      <c r="O87" s="6">
        <v>759411</v>
      </c>
      <c r="Q87" s="6">
        <v>1062438</v>
      </c>
      <c r="S87" s="6">
        <v>72403</v>
      </c>
      <c r="U87" s="6">
        <v>1480882</v>
      </c>
      <c r="W87" s="6">
        <v>466768</v>
      </c>
      <c r="Y87" s="6">
        <v>131668</v>
      </c>
      <c r="AA87" s="6">
        <v>1079743</v>
      </c>
      <c r="AC87" s="6">
        <v>287507</v>
      </c>
      <c r="AE87" s="6">
        <v>175460</v>
      </c>
      <c r="AG87" s="6">
        <v>0</v>
      </c>
      <c r="AI87" s="6">
        <v>200</v>
      </c>
      <c r="AJ87" s="11" t="s">
        <v>257</v>
      </c>
      <c r="AK87" s="11"/>
      <c r="AL87" s="11" t="s">
        <v>111</v>
      </c>
      <c r="AN87" s="6">
        <v>326587</v>
      </c>
      <c r="AP87" s="6">
        <v>220</v>
      </c>
      <c r="AT87" s="6">
        <v>0</v>
      </c>
      <c r="AV87" s="6">
        <v>0</v>
      </c>
      <c r="AX87" s="6">
        <v>0</v>
      </c>
      <c r="AZ87" s="6">
        <f t="shared" si="23"/>
        <v>14949551</v>
      </c>
      <c r="BB87" s="6">
        <v>0</v>
      </c>
      <c r="BD87" s="6">
        <v>0</v>
      </c>
      <c r="BF87" s="6">
        <v>0</v>
      </c>
      <c r="BH87" s="6">
        <v>0</v>
      </c>
      <c r="BJ87" s="6">
        <f t="shared" si="21"/>
        <v>14949551</v>
      </c>
      <c r="BL87" s="6">
        <f>+'Gen Fd Rev'!AK87-'Gen Fd Exp'!BJ87</f>
        <v>-523629</v>
      </c>
      <c r="BN87" s="6">
        <v>6137763</v>
      </c>
      <c r="BP87" s="6">
        <v>0</v>
      </c>
      <c r="BR87" s="6">
        <v>0</v>
      </c>
      <c r="BT87" s="6">
        <f t="shared" si="22"/>
        <v>5614134</v>
      </c>
      <c r="BV87" s="7">
        <f>+BT87-'Gen Fd BS'!AC87+BR87</f>
        <v>0</v>
      </c>
    </row>
    <row r="88" spans="1:74">
      <c r="A88" s="11" t="s">
        <v>752</v>
      </c>
      <c r="B88" s="11"/>
      <c r="C88" s="11" t="s">
        <v>52</v>
      </c>
      <c r="E88" s="6">
        <v>3645948</v>
      </c>
      <c r="G88" s="6">
        <v>402104</v>
      </c>
      <c r="I88" s="6">
        <v>74210</v>
      </c>
      <c r="K88" s="6">
        <v>5553</v>
      </c>
      <c r="M88" s="6">
        <v>927</v>
      </c>
      <c r="O88" s="6">
        <v>478322</v>
      </c>
      <c r="Q88" s="6">
        <v>455079</v>
      </c>
      <c r="S88" s="6">
        <v>41527</v>
      </c>
      <c r="U88" s="6">
        <v>624137</v>
      </c>
      <c r="W88" s="6">
        <v>337176</v>
      </c>
      <c r="Y88" s="6">
        <v>0</v>
      </c>
      <c r="AA88" s="6">
        <v>453912</v>
      </c>
      <c r="AC88" s="6">
        <v>555053</v>
      </c>
      <c r="AE88" s="6">
        <v>0</v>
      </c>
      <c r="AG88" s="6">
        <v>0</v>
      </c>
      <c r="AI88" s="6">
        <v>3455</v>
      </c>
      <c r="AJ88" s="11" t="s">
        <v>752</v>
      </c>
      <c r="AK88" s="11"/>
      <c r="AL88" s="11" t="s">
        <v>52</v>
      </c>
      <c r="AN88" s="6">
        <v>131515</v>
      </c>
      <c r="AP88" s="6">
        <v>0</v>
      </c>
      <c r="AT88" s="6">
        <v>4659</v>
      </c>
      <c r="AV88" s="6">
        <v>3481</v>
      </c>
      <c r="AX88" s="6">
        <v>0</v>
      </c>
      <c r="AZ88" s="6">
        <f t="shared" ref="AZ88:AZ104" si="24">SUM(E88:AX88)</f>
        <v>7217058</v>
      </c>
      <c r="BB88" s="6">
        <v>0</v>
      </c>
      <c r="BD88" s="6">
        <v>0</v>
      </c>
      <c r="BF88" s="6">
        <v>0</v>
      </c>
      <c r="BH88" s="6">
        <v>0</v>
      </c>
      <c r="BJ88" s="6">
        <f t="shared" ref="BJ88:BJ89" si="25">+AZ88+BB88+BD88+BH88</f>
        <v>7217058</v>
      </c>
      <c r="BL88" s="6">
        <f>+'Gen Fd Rev'!AK88-'Gen Fd Exp'!BJ88</f>
        <v>-283982</v>
      </c>
      <c r="BN88" s="6">
        <v>333062</v>
      </c>
      <c r="BP88" s="6">
        <v>0</v>
      </c>
      <c r="BR88" s="6">
        <v>0</v>
      </c>
      <c r="BT88" s="6">
        <f t="shared" si="22"/>
        <v>49080</v>
      </c>
      <c r="BV88" s="7">
        <f>+BT88-'Gen Fd BS'!AC88+BR88</f>
        <v>0</v>
      </c>
    </row>
    <row r="89" spans="1:74">
      <c r="A89" s="11" t="s">
        <v>319</v>
      </c>
      <c r="B89" s="11"/>
      <c r="C89" s="11" t="s">
        <v>31</v>
      </c>
      <c r="E89" s="6">
        <v>10547340</v>
      </c>
      <c r="G89" s="6">
        <v>1707461</v>
      </c>
      <c r="I89" s="6">
        <v>281498</v>
      </c>
      <c r="K89" s="6">
        <v>14117</v>
      </c>
      <c r="M89" s="6">
        <v>6851</v>
      </c>
      <c r="O89" s="6">
        <v>995847</v>
      </c>
      <c r="Q89" s="6">
        <v>630858</v>
      </c>
      <c r="S89" s="6">
        <v>90295</v>
      </c>
      <c r="U89" s="6">
        <v>1305630</v>
      </c>
      <c r="W89" s="6">
        <v>478626</v>
      </c>
      <c r="Y89" s="6">
        <v>34671</v>
      </c>
      <c r="AA89" s="6">
        <v>1945375</v>
      </c>
      <c r="AC89" s="6">
        <v>1193312</v>
      </c>
      <c r="AE89" s="6">
        <v>187551</v>
      </c>
      <c r="AG89" s="6">
        <v>0</v>
      </c>
      <c r="AI89" s="6">
        <v>0</v>
      </c>
      <c r="AJ89" s="11" t="s">
        <v>319</v>
      </c>
      <c r="AK89" s="11"/>
      <c r="AL89" s="11" t="s">
        <v>31</v>
      </c>
      <c r="AN89" s="6">
        <v>432308</v>
      </c>
      <c r="AP89" s="6">
        <v>0</v>
      </c>
      <c r="AT89" s="6">
        <v>11228</v>
      </c>
      <c r="AV89" s="6">
        <v>1854</v>
      </c>
      <c r="AX89" s="6">
        <v>0</v>
      </c>
      <c r="AZ89" s="6">
        <f t="shared" si="24"/>
        <v>19864822</v>
      </c>
      <c r="BB89" s="6">
        <v>0</v>
      </c>
      <c r="BD89" s="6">
        <v>0</v>
      </c>
      <c r="BF89" s="6">
        <v>0</v>
      </c>
      <c r="BH89" s="6">
        <v>0</v>
      </c>
      <c r="BJ89" s="6">
        <f t="shared" si="25"/>
        <v>19864822</v>
      </c>
      <c r="BL89" s="6">
        <f>+'Gen Fd Rev'!AK89-'Gen Fd Exp'!BJ89</f>
        <v>56110</v>
      </c>
      <c r="BN89" s="6">
        <v>1064257</v>
      </c>
      <c r="BP89" s="6">
        <v>0</v>
      </c>
      <c r="BR89" s="6">
        <v>0</v>
      </c>
      <c r="BT89" s="6">
        <f t="shared" si="22"/>
        <v>1120367</v>
      </c>
      <c r="BV89" s="7">
        <f>+BT89-'Gen Fd BS'!AC89+BR89</f>
        <v>0</v>
      </c>
    </row>
    <row r="90" spans="1:74">
      <c r="A90" s="11" t="s">
        <v>647</v>
      </c>
      <c r="B90" s="11"/>
      <c r="C90" s="11" t="s">
        <v>45</v>
      </c>
      <c r="E90" s="6">
        <v>6406912</v>
      </c>
      <c r="G90" s="6">
        <v>1446712</v>
      </c>
      <c r="I90" s="6">
        <v>233391</v>
      </c>
      <c r="K90" s="6">
        <v>0</v>
      </c>
      <c r="M90" s="6">
        <v>222049</v>
      </c>
      <c r="O90" s="6">
        <v>286279</v>
      </c>
      <c r="Q90" s="6">
        <v>596153</v>
      </c>
      <c r="S90" s="6">
        <v>20127</v>
      </c>
      <c r="U90" s="6">
        <v>805020</v>
      </c>
      <c r="W90" s="6">
        <v>292551</v>
      </c>
      <c r="Y90" s="6">
        <v>0</v>
      </c>
      <c r="AA90" s="6">
        <v>1750492</v>
      </c>
      <c r="AC90" s="6">
        <v>377811</v>
      </c>
      <c r="AE90" s="6">
        <v>0</v>
      </c>
      <c r="AG90" s="6">
        <v>0</v>
      </c>
      <c r="AI90" s="6">
        <v>0</v>
      </c>
      <c r="AJ90" s="11" t="s">
        <v>647</v>
      </c>
      <c r="AK90" s="11"/>
      <c r="AL90" s="11" t="s">
        <v>45</v>
      </c>
      <c r="AN90" s="6">
        <v>243966</v>
      </c>
      <c r="AP90" s="6">
        <v>0</v>
      </c>
      <c r="AT90" s="6">
        <v>131000</v>
      </c>
      <c r="AV90" s="6">
        <v>108195</v>
      </c>
      <c r="AX90" s="6">
        <v>0</v>
      </c>
      <c r="AZ90" s="6">
        <f t="shared" si="24"/>
        <v>12920658</v>
      </c>
      <c r="BB90" s="6">
        <v>0</v>
      </c>
      <c r="BD90" s="6">
        <v>0</v>
      </c>
      <c r="BF90" s="6">
        <v>0</v>
      </c>
      <c r="BH90" s="6">
        <v>0</v>
      </c>
      <c r="BJ90" s="6">
        <f t="shared" ref="BJ90:BJ121" si="26">+AZ90+BB90+BD90+BH90</f>
        <v>12920658</v>
      </c>
      <c r="BL90" s="6">
        <f>+'Gen Fd Rev'!AK90-'Gen Fd Exp'!BJ90</f>
        <v>-96229</v>
      </c>
      <c r="BN90" s="6">
        <v>-547004</v>
      </c>
      <c r="BP90" s="6">
        <v>0</v>
      </c>
      <c r="BR90" s="6">
        <v>0</v>
      </c>
      <c r="BT90" s="6">
        <f t="shared" si="22"/>
        <v>-643233</v>
      </c>
      <c r="BV90" s="7">
        <f>+BT90-'Gen Fd BS'!AC90+BR90</f>
        <v>0</v>
      </c>
    </row>
    <row r="91" spans="1:74">
      <c r="A91" s="11" t="s">
        <v>300</v>
      </c>
      <c r="B91" s="11"/>
      <c r="C91" s="11" t="s">
        <v>27</v>
      </c>
      <c r="E91" s="6">
        <v>14241876</v>
      </c>
      <c r="G91" s="6">
        <v>3303180</v>
      </c>
      <c r="I91" s="6">
        <v>399043</v>
      </c>
      <c r="K91" s="6">
        <v>0</v>
      </c>
      <c r="M91" s="6">
        <v>161596</v>
      </c>
      <c r="O91" s="6">
        <v>1707617</v>
      </c>
      <c r="Q91" s="6">
        <v>1010047</v>
      </c>
      <c r="S91" s="6">
        <v>148401</v>
      </c>
      <c r="U91" s="6">
        <v>2506227</v>
      </c>
      <c r="W91" s="6">
        <v>833893</v>
      </c>
      <c r="Y91" s="6">
        <v>0</v>
      </c>
      <c r="AA91" s="6">
        <v>3877526</v>
      </c>
      <c r="AC91" s="6">
        <v>2515817</v>
      </c>
      <c r="AE91" s="6">
        <v>256152</v>
      </c>
      <c r="AG91" s="6">
        <v>0</v>
      </c>
      <c r="AI91" s="6">
        <v>219495</v>
      </c>
      <c r="AJ91" s="11" t="s">
        <v>300</v>
      </c>
      <c r="AK91" s="11"/>
      <c r="AL91" s="11" t="s">
        <v>27</v>
      </c>
      <c r="AN91" s="6">
        <v>545209</v>
      </c>
      <c r="AP91" s="6">
        <v>0</v>
      </c>
      <c r="AT91" s="6">
        <v>118978</v>
      </c>
      <c r="AV91" s="6">
        <v>64728</v>
      </c>
      <c r="AX91" s="6">
        <v>0</v>
      </c>
      <c r="AZ91" s="6">
        <f t="shared" si="24"/>
        <v>31909785</v>
      </c>
      <c r="BB91" s="6">
        <v>34200</v>
      </c>
      <c r="BD91" s="6">
        <v>0</v>
      </c>
      <c r="BF91" s="6">
        <v>0</v>
      </c>
      <c r="BH91" s="6">
        <v>0</v>
      </c>
      <c r="BJ91" s="6">
        <f t="shared" si="26"/>
        <v>31943985</v>
      </c>
      <c r="BL91" s="6">
        <f>+'Gen Fd Rev'!AK91-'Gen Fd Exp'!BJ91</f>
        <v>2562575</v>
      </c>
      <c r="BN91" s="6">
        <v>7228989</v>
      </c>
      <c r="BP91" s="6">
        <v>0</v>
      </c>
      <c r="BR91" s="6">
        <v>0</v>
      </c>
      <c r="BT91" s="6">
        <f t="shared" si="22"/>
        <v>9791564</v>
      </c>
      <c r="BV91" s="7">
        <f>+BT91-'Gen Fd BS'!AC91+BR91</f>
        <v>0</v>
      </c>
    </row>
    <row r="92" spans="1:74">
      <c r="A92" s="11" t="s">
        <v>403</v>
      </c>
      <c r="B92" s="11"/>
      <c r="C92" s="11" t="s">
        <v>45</v>
      </c>
      <c r="E92" s="6">
        <v>13028494</v>
      </c>
      <c r="G92" s="6">
        <v>1828541</v>
      </c>
      <c r="I92" s="6">
        <v>295694</v>
      </c>
      <c r="K92" s="6">
        <v>0</v>
      </c>
      <c r="M92" s="6">
        <v>0</v>
      </c>
      <c r="O92" s="6">
        <v>1113483</v>
      </c>
      <c r="Q92" s="6">
        <v>1128769</v>
      </c>
      <c r="S92" s="6">
        <v>36668</v>
      </c>
      <c r="U92" s="6">
        <v>1452574</v>
      </c>
      <c r="W92" s="6">
        <v>567544</v>
      </c>
      <c r="Y92" s="6">
        <v>203139</v>
      </c>
      <c r="AA92" s="6">
        <v>1883484</v>
      </c>
      <c r="AC92" s="6">
        <v>1486583</v>
      </c>
      <c r="AE92" s="6">
        <v>111473</v>
      </c>
      <c r="AG92" s="6">
        <v>0</v>
      </c>
      <c r="AI92" s="6">
        <v>0</v>
      </c>
      <c r="AJ92" s="11" t="s">
        <v>403</v>
      </c>
      <c r="AK92" s="11"/>
      <c r="AL92" s="11" t="s">
        <v>45</v>
      </c>
      <c r="AN92" s="6">
        <v>576885</v>
      </c>
      <c r="AP92" s="6">
        <v>0</v>
      </c>
      <c r="AT92" s="6">
        <v>0</v>
      </c>
      <c r="AV92" s="6">
        <v>0</v>
      </c>
      <c r="AX92" s="6">
        <v>0</v>
      </c>
      <c r="AZ92" s="6">
        <f t="shared" si="24"/>
        <v>23713331</v>
      </c>
      <c r="BB92" s="6">
        <v>85000</v>
      </c>
      <c r="BD92" s="6">
        <v>0</v>
      </c>
      <c r="BF92" s="6">
        <v>0</v>
      </c>
      <c r="BH92" s="6">
        <v>0</v>
      </c>
      <c r="BJ92" s="6">
        <f t="shared" si="26"/>
        <v>23798331</v>
      </c>
      <c r="BL92" s="6">
        <f>+'Gen Fd Rev'!AK92-'Gen Fd Exp'!BJ92</f>
        <v>-481492</v>
      </c>
      <c r="BN92" s="6">
        <v>3613284</v>
      </c>
      <c r="BP92" s="6">
        <v>0</v>
      </c>
      <c r="BR92" s="6">
        <v>0</v>
      </c>
      <c r="BT92" s="6">
        <f t="shared" si="22"/>
        <v>3131792</v>
      </c>
      <c r="BV92" s="7">
        <f>+BT92-'Gen Fd BS'!AC92+BR92</f>
        <v>0</v>
      </c>
    </row>
    <row r="93" spans="1:74">
      <c r="A93" s="11" t="s">
        <v>494</v>
      </c>
      <c r="B93" s="11"/>
      <c r="C93" s="11" t="s">
        <v>62</v>
      </c>
      <c r="E93" s="6">
        <v>36846000</v>
      </c>
      <c r="G93" s="6">
        <v>10957000</v>
      </c>
      <c r="I93" s="6">
        <v>2262000</v>
      </c>
      <c r="K93" s="6">
        <v>910000</v>
      </c>
      <c r="M93" s="6">
        <v>12157000</v>
      </c>
      <c r="O93" s="6">
        <v>5880000</v>
      </c>
      <c r="Q93" s="6">
        <v>1960000</v>
      </c>
      <c r="S93" s="6">
        <v>35000</v>
      </c>
      <c r="U93" s="6">
        <v>7681000</v>
      </c>
      <c r="W93" s="6">
        <v>1486000</v>
      </c>
      <c r="Y93" s="6">
        <v>469000</v>
      </c>
      <c r="AA93" s="6">
        <v>9783000</v>
      </c>
      <c r="AC93" s="6">
        <v>2902000</v>
      </c>
      <c r="AE93" s="6">
        <v>3352000</v>
      </c>
      <c r="AG93" s="6">
        <v>0</v>
      </c>
      <c r="AI93" s="6">
        <v>942000</v>
      </c>
      <c r="AJ93" s="11" t="s">
        <v>494</v>
      </c>
      <c r="AK93" s="11"/>
      <c r="AL93" s="11" t="s">
        <v>62</v>
      </c>
      <c r="AN93" s="6">
        <v>1457000</v>
      </c>
      <c r="AP93" s="6">
        <v>78000</v>
      </c>
      <c r="AT93" s="6">
        <v>142000</v>
      </c>
      <c r="AV93" s="6">
        <v>5000</v>
      </c>
      <c r="AX93" s="6">
        <v>0</v>
      </c>
      <c r="AZ93" s="6">
        <f>SUM(E93:AX93)</f>
        <v>99304000</v>
      </c>
      <c r="BB93" s="6">
        <v>1391000</v>
      </c>
      <c r="BD93" s="6">
        <v>0</v>
      </c>
      <c r="BF93" s="6">
        <v>0</v>
      </c>
      <c r="BH93" s="6">
        <v>0</v>
      </c>
      <c r="BJ93" s="6">
        <f>+AZ93+BB93+BD93+BH93</f>
        <v>100695000</v>
      </c>
      <c r="BL93" s="6">
        <f>+'Gen Fd Rev'!AK93-'Gen Fd Exp'!BJ93</f>
        <v>1817000</v>
      </c>
      <c r="BN93" s="6">
        <v>2909000</v>
      </c>
      <c r="BP93" s="6">
        <v>-368000</v>
      </c>
      <c r="BR93" s="6">
        <v>0</v>
      </c>
      <c r="BT93" s="6">
        <f>+BN93+BL93-BP93</f>
        <v>5094000</v>
      </c>
      <c r="BV93" s="7">
        <f>+BT93-'Gen Fd BS'!AC93+BR93</f>
        <v>0</v>
      </c>
    </row>
    <row r="94" spans="1:74">
      <c r="A94" s="11" t="s">
        <v>495</v>
      </c>
      <c r="B94" s="11"/>
      <c r="C94" s="11" t="s">
        <v>62</v>
      </c>
      <c r="E94" s="6">
        <v>8537189</v>
      </c>
      <c r="G94" s="6">
        <v>1859006</v>
      </c>
      <c r="I94" s="6">
        <v>1319112</v>
      </c>
      <c r="K94" s="6">
        <v>378</v>
      </c>
      <c r="M94" s="6">
        <v>647406</v>
      </c>
      <c r="O94" s="6">
        <v>1097894</v>
      </c>
      <c r="Q94" s="6">
        <v>709115</v>
      </c>
      <c r="S94" s="6">
        <v>41651</v>
      </c>
      <c r="U94" s="6">
        <v>1384827</v>
      </c>
      <c r="W94" s="6">
        <v>365657</v>
      </c>
      <c r="Y94" s="6">
        <v>281890</v>
      </c>
      <c r="AA94" s="6">
        <v>2254095</v>
      </c>
      <c r="AC94" s="6">
        <v>966517</v>
      </c>
      <c r="AE94" s="6">
        <v>314887</v>
      </c>
      <c r="AG94" s="6">
        <v>0</v>
      </c>
      <c r="AI94" s="6">
        <v>0</v>
      </c>
      <c r="AJ94" s="11" t="s">
        <v>495</v>
      </c>
      <c r="AK94" s="11"/>
      <c r="AL94" s="11" t="s">
        <v>62</v>
      </c>
      <c r="AN94" s="6">
        <v>588179</v>
      </c>
      <c r="AP94" s="6">
        <v>172681</v>
      </c>
      <c r="AT94" s="6">
        <v>0</v>
      </c>
      <c r="AV94" s="6">
        <v>0</v>
      </c>
      <c r="AX94" s="6">
        <v>0</v>
      </c>
      <c r="AZ94" s="6">
        <f t="shared" ref="AZ94" si="27">SUM(E94:AX94)</f>
        <v>20540484</v>
      </c>
      <c r="BB94" s="6">
        <v>0</v>
      </c>
      <c r="BD94" s="6">
        <v>0</v>
      </c>
      <c r="BF94" s="6">
        <v>0</v>
      </c>
      <c r="BH94" s="6">
        <v>0</v>
      </c>
      <c r="BJ94" s="6">
        <f t="shared" ref="BJ94" si="28">+AZ94+BB94+BD94+BH94</f>
        <v>20540484</v>
      </c>
      <c r="BL94" s="6">
        <f>+'Gen Fd Rev'!AK94-'Gen Fd Exp'!BJ94</f>
        <v>843467</v>
      </c>
      <c r="BN94" s="6">
        <v>-633008</v>
      </c>
      <c r="BP94" s="6">
        <v>0</v>
      </c>
      <c r="BR94" s="6">
        <v>0</v>
      </c>
      <c r="BT94" s="6">
        <f t="shared" ref="BT94" si="29">+BN94+BL94-BP94</f>
        <v>210459</v>
      </c>
      <c r="BV94" s="7">
        <f>+BT94-'Gen Fd BS'!AC94+BR94</f>
        <v>0</v>
      </c>
    </row>
    <row r="95" spans="1:74">
      <c r="A95" s="11" t="s">
        <v>648</v>
      </c>
      <c r="B95" s="11"/>
      <c r="C95" s="11" t="s">
        <v>30</v>
      </c>
      <c r="E95" s="6">
        <v>5316087</v>
      </c>
      <c r="G95" s="6">
        <v>2913004</v>
      </c>
      <c r="I95" s="6">
        <v>0</v>
      </c>
      <c r="K95" s="6">
        <v>0</v>
      </c>
      <c r="M95" s="6">
        <v>0</v>
      </c>
      <c r="O95" s="6">
        <v>413784</v>
      </c>
      <c r="Q95" s="6">
        <v>169363</v>
      </c>
      <c r="S95" s="6">
        <v>27158</v>
      </c>
      <c r="U95" s="6">
        <v>1057638</v>
      </c>
      <c r="W95" s="6">
        <v>385610</v>
      </c>
      <c r="Y95" s="6">
        <v>63130</v>
      </c>
      <c r="AA95" s="6">
        <v>980676</v>
      </c>
      <c r="AC95" s="6">
        <v>1318644</v>
      </c>
      <c r="AE95" s="6">
        <v>242331</v>
      </c>
      <c r="AG95" s="6">
        <v>4855</v>
      </c>
      <c r="AI95" s="6">
        <v>0</v>
      </c>
      <c r="AJ95" s="11" t="s">
        <v>648</v>
      </c>
      <c r="AK95" s="11"/>
      <c r="AL95" s="11" t="s">
        <v>30</v>
      </c>
      <c r="AN95" s="6">
        <v>242319</v>
      </c>
      <c r="AP95" s="6">
        <v>0</v>
      </c>
      <c r="AT95" s="6">
        <v>65000</v>
      </c>
      <c r="AV95" s="6">
        <v>19124</v>
      </c>
      <c r="AX95" s="6">
        <v>0</v>
      </c>
      <c r="AZ95" s="6">
        <f t="shared" si="24"/>
        <v>13218723</v>
      </c>
      <c r="BB95" s="6">
        <v>128500</v>
      </c>
      <c r="BD95" s="6">
        <v>0</v>
      </c>
      <c r="BF95" s="6">
        <v>0</v>
      </c>
      <c r="BH95" s="6">
        <v>0</v>
      </c>
      <c r="BJ95" s="6">
        <f t="shared" si="26"/>
        <v>13347223</v>
      </c>
      <c r="BL95" s="6">
        <f>+'Gen Fd Rev'!AK95-'Gen Fd Exp'!BJ95</f>
        <v>-272043</v>
      </c>
      <c r="BN95" s="6">
        <v>-114605</v>
      </c>
      <c r="BP95" s="6">
        <v>0</v>
      </c>
      <c r="BR95" s="6">
        <v>0</v>
      </c>
      <c r="BT95" s="6">
        <f t="shared" si="22"/>
        <v>-386648</v>
      </c>
      <c r="BV95" s="7">
        <f>+BT95-'Gen Fd BS'!AC95+BR95</f>
        <v>0</v>
      </c>
    </row>
    <row r="96" spans="1:74">
      <c r="A96" s="11" t="s">
        <v>441</v>
      </c>
      <c r="B96" s="11"/>
      <c r="C96" s="11" t="s">
        <v>78</v>
      </c>
      <c r="E96" s="6">
        <v>4098566</v>
      </c>
      <c r="G96" s="6">
        <v>878740</v>
      </c>
      <c r="I96" s="6">
        <v>224504</v>
      </c>
      <c r="K96" s="6">
        <v>0</v>
      </c>
      <c r="M96" s="6">
        <v>1632626</v>
      </c>
      <c r="O96" s="6">
        <v>295598</v>
      </c>
      <c r="Q96" s="6">
        <v>377155</v>
      </c>
      <c r="S96" s="6">
        <v>18758</v>
      </c>
      <c r="U96" s="6">
        <v>934419</v>
      </c>
      <c r="W96" s="6">
        <v>226597</v>
      </c>
      <c r="Y96" s="6">
        <v>0</v>
      </c>
      <c r="AA96" s="6">
        <v>1196594</v>
      </c>
      <c r="AC96" s="6">
        <v>610015</v>
      </c>
      <c r="AE96" s="6">
        <v>29950</v>
      </c>
      <c r="AG96" s="6">
        <v>0</v>
      </c>
      <c r="AI96" s="6">
        <v>3515</v>
      </c>
      <c r="AJ96" s="11" t="s">
        <v>441</v>
      </c>
      <c r="AK96" s="11"/>
      <c r="AL96" s="11" t="s">
        <v>78</v>
      </c>
      <c r="AN96" s="6">
        <v>154521</v>
      </c>
      <c r="AP96" s="6">
        <v>0</v>
      </c>
      <c r="AT96" s="6">
        <v>0</v>
      </c>
      <c r="AV96" s="6">
        <v>0</v>
      </c>
      <c r="AX96" s="6">
        <v>0</v>
      </c>
      <c r="AZ96" s="6">
        <f t="shared" si="24"/>
        <v>10681558</v>
      </c>
      <c r="BB96" s="6">
        <v>0</v>
      </c>
      <c r="BD96" s="6">
        <v>0</v>
      </c>
      <c r="BF96" s="6">
        <v>0</v>
      </c>
      <c r="BH96" s="6">
        <v>0</v>
      </c>
      <c r="BJ96" s="6">
        <f t="shared" si="26"/>
        <v>10681558</v>
      </c>
      <c r="BL96" s="6">
        <f>+'Gen Fd Rev'!AK96-'Gen Fd Exp'!BJ96</f>
        <v>-315323</v>
      </c>
      <c r="BN96" s="6">
        <v>288566</v>
      </c>
      <c r="BR96" s="6">
        <v>0</v>
      </c>
      <c r="BT96" s="6">
        <f t="shared" si="22"/>
        <v>-26757</v>
      </c>
      <c r="BV96" s="7">
        <f>+BT96-'Gen Fd BS'!AC96+BR96</f>
        <v>0</v>
      </c>
    </row>
    <row r="97" spans="1:74" hidden="1">
      <c r="A97" s="11" t="s">
        <v>867</v>
      </c>
      <c r="B97" s="11"/>
      <c r="C97" s="11" t="s">
        <v>558</v>
      </c>
      <c r="AJ97" s="11" t="s">
        <v>867</v>
      </c>
      <c r="AK97" s="11"/>
      <c r="AL97" s="11" t="s">
        <v>558</v>
      </c>
      <c r="AZ97" s="6">
        <f t="shared" si="24"/>
        <v>0</v>
      </c>
      <c r="BD97" s="6">
        <v>0</v>
      </c>
      <c r="BF97" s="6">
        <v>0</v>
      </c>
      <c r="BJ97" s="6">
        <f t="shared" si="26"/>
        <v>0</v>
      </c>
      <c r="BL97" s="6">
        <f>+'Gen Fd Rev'!AK97-'Gen Fd Exp'!BJ97</f>
        <v>0</v>
      </c>
      <c r="BR97" s="6">
        <v>0</v>
      </c>
      <c r="BT97" s="6">
        <f t="shared" si="22"/>
        <v>0</v>
      </c>
      <c r="BV97" s="7">
        <f>+BT97-'Gen Fd BS'!AC97+BR97</f>
        <v>0</v>
      </c>
    </row>
    <row r="98" spans="1:74">
      <c r="A98" s="11" t="s">
        <v>543</v>
      </c>
      <c r="B98" s="11"/>
      <c r="C98" s="11" t="s">
        <v>69</v>
      </c>
      <c r="E98" s="6">
        <v>7364102</v>
      </c>
      <c r="G98" s="6">
        <v>1710696</v>
      </c>
      <c r="I98" s="6">
        <v>218227</v>
      </c>
      <c r="K98" s="6">
        <v>0</v>
      </c>
      <c r="M98" s="6">
        <v>84706</v>
      </c>
      <c r="O98" s="6">
        <v>755308</v>
      </c>
      <c r="Q98" s="6">
        <v>984876</v>
      </c>
      <c r="S98" s="6">
        <v>32635</v>
      </c>
      <c r="U98" s="6">
        <v>990480</v>
      </c>
      <c r="W98" s="6">
        <v>613900</v>
      </c>
      <c r="Y98" s="6">
        <v>15403</v>
      </c>
      <c r="AA98" s="6">
        <v>1220508</v>
      </c>
      <c r="AC98" s="6">
        <v>839260</v>
      </c>
      <c r="AE98" s="6">
        <v>43735</v>
      </c>
      <c r="AG98" s="6">
        <v>0</v>
      </c>
      <c r="AI98" s="6">
        <v>2382</v>
      </c>
      <c r="AJ98" s="11" t="s">
        <v>543</v>
      </c>
      <c r="AK98" s="11"/>
      <c r="AL98" s="11" t="s">
        <v>69</v>
      </c>
      <c r="AN98" s="6">
        <v>436750</v>
      </c>
      <c r="AP98" s="6">
        <v>0</v>
      </c>
      <c r="AT98" s="6">
        <v>0</v>
      </c>
      <c r="AV98" s="6">
        <v>0</v>
      </c>
      <c r="AX98" s="6">
        <v>0</v>
      </c>
      <c r="AZ98" s="6">
        <f t="shared" si="24"/>
        <v>15312968</v>
      </c>
      <c r="BB98" s="6">
        <v>0</v>
      </c>
      <c r="BD98" s="6">
        <v>0</v>
      </c>
      <c r="BF98" s="6">
        <v>0</v>
      </c>
      <c r="BH98" s="6">
        <v>0</v>
      </c>
      <c r="BJ98" s="6">
        <f t="shared" si="26"/>
        <v>15312968</v>
      </c>
      <c r="BL98" s="6">
        <f>+'Gen Fd Rev'!AK98-'Gen Fd Exp'!BJ98</f>
        <v>-915745</v>
      </c>
      <c r="BN98" s="6">
        <v>259252</v>
      </c>
      <c r="BP98" s="6">
        <v>0</v>
      </c>
      <c r="BR98" s="6">
        <v>0</v>
      </c>
      <c r="BT98" s="6">
        <f t="shared" si="22"/>
        <v>-656493</v>
      </c>
      <c r="BV98" s="7">
        <f>+BT98-'Gen Fd BS'!AC98+BR98</f>
        <v>0</v>
      </c>
    </row>
    <row r="99" spans="1:74" s="28" customFormat="1">
      <c r="A99" s="27" t="s">
        <v>753</v>
      </c>
      <c r="B99" s="27"/>
      <c r="C99" s="27" t="s">
        <v>16</v>
      </c>
      <c r="E99" s="28">
        <v>9321093</v>
      </c>
      <c r="G99" s="28">
        <v>1358937</v>
      </c>
      <c r="I99" s="28">
        <v>279188</v>
      </c>
      <c r="K99" s="28">
        <v>0</v>
      </c>
      <c r="M99" s="28">
        <f>19072+317357</f>
        <v>336429</v>
      </c>
      <c r="O99" s="28">
        <v>1099588</v>
      </c>
      <c r="Q99" s="28">
        <v>579281</v>
      </c>
      <c r="S99" s="28">
        <v>23793</v>
      </c>
      <c r="U99" s="28">
        <v>1594840</v>
      </c>
      <c r="W99" s="28">
        <v>631190</v>
      </c>
      <c r="Y99" s="28">
        <v>55150</v>
      </c>
      <c r="AA99" s="28">
        <v>2389756</v>
      </c>
      <c r="AC99" s="28">
        <v>1663894</v>
      </c>
      <c r="AE99" s="28">
        <v>42818</v>
      </c>
      <c r="AG99" s="28">
        <v>0</v>
      </c>
      <c r="AI99" s="28">
        <v>59259</v>
      </c>
      <c r="AJ99" s="27" t="s">
        <v>753</v>
      </c>
      <c r="AK99" s="27"/>
      <c r="AL99" s="27" t="s">
        <v>16</v>
      </c>
      <c r="AN99" s="28">
        <v>446237</v>
      </c>
      <c r="AP99" s="28">
        <v>142369</v>
      </c>
      <c r="AT99" s="28">
        <v>0</v>
      </c>
      <c r="AV99" s="28">
        <v>0</v>
      </c>
      <c r="AX99" s="28">
        <v>0</v>
      </c>
      <c r="AZ99" s="28">
        <f t="shared" si="24"/>
        <v>20023822</v>
      </c>
      <c r="BB99" s="28">
        <v>125902</v>
      </c>
      <c r="BD99" s="28">
        <v>0</v>
      </c>
      <c r="BF99" s="28">
        <v>0</v>
      </c>
      <c r="BH99" s="28">
        <v>0</v>
      </c>
      <c r="BJ99" s="28">
        <f t="shared" si="26"/>
        <v>20149724</v>
      </c>
      <c r="BL99" s="28">
        <f>+'Gen Fd Rev'!AK99-'Gen Fd Exp'!BJ99</f>
        <v>-1038325</v>
      </c>
      <c r="BN99" s="28">
        <v>5619906</v>
      </c>
      <c r="BP99" s="28">
        <v>0</v>
      </c>
      <c r="BR99" s="28">
        <v>0</v>
      </c>
      <c r="BT99" s="28">
        <f t="shared" si="22"/>
        <v>4581581</v>
      </c>
      <c r="BV99" s="32">
        <f>+BT99-'Gen Fd BS'!AC99+BR99</f>
        <v>0</v>
      </c>
    </row>
    <row r="100" spans="1:74">
      <c r="A100" s="11" t="s">
        <v>649</v>
      </c>
      <c r="B100" s="11"/>
      <c r="C100" s="11" t="s">
        <v>114</v>
      </c>
      <c r="E100" s="6">
        <v>2336661</v>
      </c>
      <c r="G100" s="6">
        <v>389561</v>
      </c>
      <c r="I100" s="6">
        <v>5535</v>
      </c>
      <c r="K100" s="6">
        <v>0</v>
      </c>
      <c r="M100" s="6">
        <f>5349+330887</f>
        <v>336236</v>
      </c>
      <c r="O100" s="6">
        <v>480539</v>
      </c>
      <c r="Q100" s="6">
        <v>259715</v>
      </c>
      <c r="S100" s="6">
        <v>34693</v>
      </c>
      <c r="U100" s="6">
        <v>656859</v>
      </c>
      <c r="W100" s="6">
        <v>318641</v>
      </c>
      <c r="Y100" s="6">
        <v>380</v>
      </c>
      <c r="AA100" s="6">
        <v>433996</v>
      </c>
      <c r="AC100" s="6">
        <v>197711</v>
      </c>
      <c r="AE100" s="6">
        <v>1293</v>
      </c>
      <c r="AG100" s="6">
        <v>0</v>
      </c>
      <c r="AI100" s="6">
        <v>0</v>
      </c>
      <c r="AJ100" s="11" t="s">
        <v>649</v>
      </c>
      <c r="AK100" s="11"/>
      <c r="AL100" s="11" t="s">
        <v>114</v>
      </c>
      <c r="AN100" s="6">
        <v>192542</v>
      </c>
      <c r="AP100" s="6">
        <v>35942</v>
      </c>
      <c r="AT100" s="6">
        <v>0</v>
      </c>
      <c r="AV100" s="6">
        <v>0</v>
      </c>
      <c r="AX100" s="6">
        <v>0</v>
      </c>
      <c r="AZ100" s="6">
        <f t="shared" si="24"/>
        <v>5680304</v>
      </c>
      <c r="BB100" s="6">
        <v>0</v>
      </c>
      <c r="BD100" s="6">
        <v>0</v>
      </c>
      <c r="BF100" s="6">
        <v>0</v>
      </c>
      <c r="BH100" s="6">
        <v>0</v>
      </c>
      <c r="BJ100" s="6">
        <f t="shared" si="26"/>
        <v>5680304</v>
      </c>
      <c r="BL100" s="6">
        <f>+'Gen Fd Rev'!AK100-'Gen Fd Exp'!BJ100</f>
        <v>340147</v>
      </c>
      <c r="BN100" s="6">
        <v>2094667</v>
      </c>
      <c r="BP100" s="6">
        <v>0</v>
      </c>
      <c r="BR100" s="6">
        <v>0</v>
      </c>
      <c r="BT100" s="6">
        <f t="shared" si="22"/>
        <v>2434814</v>
      </c>
      <c r="BV100" s="7">
        <f>+BT100-'Gen Fd BS'!AC100+BR100</f>
        <v>0</v>
      </c>
    </row>
    <row r="101" spans="1:74" hidden="1">
      <c r="A101" s="11" t="s">
        <v>618</v>
      </c>
      <c r="B101" s="11"/>
      <c r="C101" s="11" t="s">
        <v>422</v>
      </c>
      <c r="AJ101" s="11" t="s">
        <v>618</v>
      </c>
      <c r="AK101" s="11"/>
      <c r="AL101" s="11" t="s">
        <v>422</v>
      </c>
      <c r="AZ101" s="6">
        <f t="shared" si="24"/>
        <v>0</v>
      </c>
      <c r="BD101" s="6">
        <v>0</v>
      </c>
      <c r="BF101" s="6">
        <v>0</v>
      </c>
      <c r="BJ101" s="6">
        <f t="shared" si="26"/>
        <v>0</v>
      </c>
      <c r="BL101" s="6">
        <f>+'Gen Fd Rev'!AK101-'Gen Fd Exp'!BJ101</f>
        <v>0</v>
      </c>
      <c r="BR101" s="6">
        <v>0</v>
      </c>
      <c r="BT101" s="6">
        <f t="shared" si="22"/>
        <v>0</v>
      </c>
      <c r="BV101" s="7">
        <f>+BT101-'Gen Fd BS'!AC101+BR101</f>
        <v>0</v>
      </c>
    </row>
    <row r="102" spans="1:74" hidden="1">
      <c r="A102" s="11" t="s">
        <v>868</v>
      </c>
      <c r="B102" s="11"/>
      <c r="C102" s="11" t="s">
        <v>40</v>
      </c>
      <c r="E102" s="6">
        <v>0</v>
      </c>
      <c r="G102" s="6">
        <v>0</v>
      </c>
      <c r="I102" s="6">
        <v>0</v>
      </c>
      <c r="K102" s="6">
        <v>0</v>
      </c>
      <c r="M102" s="6">
        <v>0</v>
      </c>
      <c r="O102" s="6">
        <v>0</v>
      </c>
      <c r="Q102" s="6">
        <v>0</v>
      </c>
      <c r="S102" s="6">
        <v>0</v>
      </c>
      <c r="U102" s="6">
        <v>0</v>
      </c>
      <c r="W102" s="6">
        <v>0</v>
      </c>
      <c r="Y102" s="6">
        <v>0</v>
      </c>
      <c r="AA102" s="6">
        <v>0</v>
      </c>
      <c r="AC102" s="6">
        <v>0</v>
      </c>
      <c r="AE102" s="6">
        <v>0</v>
      </c>
      <c r="AG102" s="6">
        <v>0</v>
      </c>
      <c r="AI102" s="6">
        <v>0</v>
      </c>
      <c r="AJ102" s="11" t="s">
        <v>868</v>
      </c>
      <c r="AK102" s="11"/>
      <c r="AL102" s="11" t="s">
        <v>40</v>
      </c>
      <c r="AN102" s="6">
        <v>0</v>
      </c>
      <c r="AP102" s="6">
        <v>0</v>
      </c>
      <c r="AT102" s="6">
        <v>0</v>
      </c>
      <c r="AV102" s="6">
        <v>0</v>
      </c>
      <c r="AX102" s="6">
        <v>0</v>
      </c>
      <c r="AZ102" s="6">
        <f t="shared" si="24"/>
        <v>0</v>
      </c>
      <c r="BB102" s="6">
        <v>0</v>
      </c>
      <c r="BD102" s="6">
        <v>0</v>
      </c>
      <c r="BF102" s="6">
        <v>0</v>
      </c>
      <c r="BH102" s="6">
        <v>0</v>
      </c>
      <c r="BJ102" s="6">
        <f t="shared" si="26"/>
        <v>0</v>
      </c>
      <c r="BL102" s="6">
        <f>+'Gen Fd Rev'!AK102-'Gen Fd Exp'!BJ102</f>
        <v>0</v>
      </c>
      <c r="BP102" s="6">
        <v>0</v>
      </c>
      <c r="BR102" s="6">
        <v>0</v>
      </c>
      <c r="BT102" s="6">
        <f t="shared" si="22"/>
        <v>0</v>
      </c>
      <c r="BV102" s="7">
        <f>+BT102-'Gen Fd BS'!AC102+BR102</f>
        <v>0</v>
      </c>
    </row>
    <row r="103" spans="1:74">
      <c r="A103" s="11" t="s">
        <v>650</v>
      </c>
      <c r="B103" s="11"/>
      <c r="C103" s="11" t="s">
        <v>50</v>
      </c>
      <c r="E103" s="6">
        <v>39065341</v>
      </c>
      <c r="G103" s="6">
        <v>7948207</v>
      </c>
      <c r="I103" s="6">
        <v>2669331</v>
      </c>
      <c r="K103" s="6">
        <v>0</v>
      </c>
      <c r="M103" s="6">
        <v>1067118</v>
      </c>
      <c r="O103" s="6">
        <v>4716496</v>
      </c>
      <c r="Q103" s="6">
        <v>6180631</v>
      </c>
      <c r="S103" s="6">
        <v>21396</v>
      </c>
      <c r="U103" s="6">
        <v>4980292</v>
      </c>
      <c r="W103" s="6">
        <v>1489796</v>
      </c>
      <c r="Y103" s="6">
        <v>540334</v>
      </c>
      <c r="AA103" s="6">
        <v>5671472</v>
      </c>
      <c r="AC103" s="6">
        <v>6692662</v>
      </c>
      <c r="AE103" s="6">
        <v>55126</v>
      </c>
      <c r="AG103" s="6">
        <v>0</v>
      </c>
      <c r="AI103" s="6">
        <v>25633</v>
      </c>
      <c r="AJ103" s="11" t="s">
        <v>650</v>
      </c>
      <c r="AK103" s="11"/>
      <c r="AL103" s="11" t="s">
        <v>50</v>
      </c>
      <c r="AN103" s="6">
        <v>16375</v>
      </c>
      <c r="AP103" s="6">
        <v>0</v>
      </c>
      <c r="AT103" s="6">
        <v>0</v>
      </c>
      <c r="AV103" s="6">
        <v>0</v>
      </c>
      <c r="AX103" s="6">
        <v>0</v>
      </c>
      <c r="AZ103" s="6">
        <f t="shared" si="24"/>
        <v>81140210</v>
      </c>
      <c r="BB103" s="6">
        <v>132431</v>
      </c>
      <c r="BD103" s="6">
        <v>0</v>
      </c>
      <c r="BF103" s="6">
        <v>0</v>
      </c>
      <c r="BH103" s="6">
        <v>0</v>
      </c>
      <c r="BJ103" s="6">
        <f t="shared" si="26"/>
        <v>81272641</v>
      </c>
      <c r="BL103" s="6">
        <f>+'Gen Fd Rev'!AK103-'Gen Fd Exp'!BJ103</f>
        <v>-534343</v>
      </c>
      <c r="BN103" s="6">
        <v>16417705</v>
      </c>
      <c r="BP103" s="6">
        <v>0</v>
      </c>
      <c r="BR103" s="6">
        <v>0</v>
      </c>
      <c r="BT103" s="6">
        <f t="shared" si="22"/>
        <v>15883362</v>
      </c>
      <c r="BV103" s="7">
        <f>+BT103-'Gen Fd BS'!AC103+BR103</f>
        <v>0</v>
      </c>
    </row>
    <row r="104" spans="1:74" hidden="1">
      <c r="A104" s="11" t="s">
        <v>736</v>
      </c>
      <c r="B104" s="11"/>
      <c r="C104" s="11" t="s">
        <v>22</v>
      </c>
      <c r="AJ104" s="11" t="s">
        <v>736</v>
      </c>
      <c r="AK104" s="11"/>
      <c r="AL104" s="11" t="s">
        <v>22</v>
      </c>
      <c r="AZ104" s="6">
        <f t="shared" si="24"/>
        <v>0</v>
      </c>
      <c r="BD104" s="6">
        <v>0</v>
      </c>
      <c r="BF104" s="6">
        <v>0</v>
      </c>
      <c r="BJ104" s="6">
        <f t="shared" si="26"/>
        <v>0</v>
      </c>
      <c r="BL104" s="6">
        <f>+'Gen Fd Rev'!AK104-'Gen Fd Exp'!BJ104</f>
        <v>0</v>
      </c>
      <c r="BR104" s="6">
        <v>0</v>
      </c>
      <c r="BT104" s="6">
        <f t="shared" si="22"/>
        <v>0</v>
      </c>
      <c r="BV104" s="7">
        <f>+BT104-'Gen Fd BS'!AC104+BR104</f>
        <v>0</v>
      </c>
    </row>
    <row r="105" spans="1:74">
      <c r="A105" s="11" t="s">
        <v>754</v>
      </c>
      <c r="B105" s="11"/>
      <c r="C105" s="11" t="s">
        <v>20</v>
      </c>
      <c r="E105" s="6">
        <v>11916767</v>
      </c>
      <c r="G105" s="6">
        <v>2406039</v>
      </c>
      <c r="I105" s="6">
        <v>657097</v>
      </c>
      <c r="K105" s="6">
        <v>0</v>
      </c>
      <c r="M105" s="6">
        <v>17778</v>
      </c>
      <c r="O105" s="6">
        <v>1045124</v>
      </c>
      <c r="Q105" s="6">
        <v>1093403</v>
      </c>
      <c r="S105" s="6">
        <v>79204</v>
      </c>
      <c r="U105" s="6">
        <v>2053193</v>
      </c>
      <c r="W105" s="6">
        <v>922187</v>
      </c>
      <c r="Y105" s="6">
        <v>400</v>
      </c>
      <c r="AA105" s="6">
        <v>2395654</v>
      </c>
      <c r="AC105" s="6">
        <v>1132491</v>
      </c>
      <c r="AE105" s="6">
        <v>15564</v>
      </c>
      <c r="AG105" s="6">
        <v>0</v>
      </c>
      <c r="AI105" s="6">
        <v>8948</v>
      </c>
      <c r="AJ105" s="11" t="s">
        <v>754</v>
      </c>
      <c r="AK105" s="11"/>
      <c r="AL105" s="11" t="s">
        <v>20</v>
      </c>
      <c r="AN105" s="6">
        <v>567532</v>
      </c>
      <c r="AP105" s="6">
        <v>0</v>
      </c>
      <c r="AT105" s="6">
        <v>100286</v>
      </c>
      <c r="AV105" s="6">
        <v>72068</v>
      </c>
      <c r="AX105" s="6">
        <v>0</v>
      </c>
      <c r="AZ105" s="6">
        <f t="shared" ref="AZ105:AZ136" si="30">SUM(E105:AX105)</f>
        <v>24483735</v>
      </c>
      <c r="BB105" s="6">
        <v>495100</v>
      </c>
      <c r="BD105" s="6">
        <v>0</v>
      </c>
      <c r="BF105" s="6">
        <v>0</v>
      </c>
      <c r="BH105" s="6">
        <v>0</v>
      </c>
      <c r="BJ105" s="6">
        <f t="shared" si="26"/>
        <v>24978835</v>
      </c>
      <c r="BL105" s="6">
        <f>+'Gen Fd Rev'!AK105-'Gen Fd Exp'!BJ105</f>
        <v>-49591</v>
      </c>
      <c r="BN105" s="6">
        <v>6691105</v>
      </c>
      <c r="BP105" s="6">
        <v>0</v>
      </c>
      <c r="BR105" s="6">
        <v>0</v>
      </c>
      <c r="BT105" s="6">
        <f t="shared" si="22"/>
        <v>6641514</v>
      </c>
      <c r="BV105" s="7">
        <f>+BT105-'Gen Fd BS'!AC105+BR105</f>
        <v>0</v>
      </c>
    </row>
    <row r="106" spans="1:74">
      <c r="A106" s="11" t="s">
        <v>520</v>
      </c>
      <c r="B106" s="11"/>
      <c r="C106" s="11" t="s">
        <v>64</v>
      </c>
      <c r="E106" s="6">
        <v>5378358</v>
      </c>
      <c r="G106" s="6">
        <v>1192679</v>
      </c>
      <c r="I106" s="6">
        <v>121910</v>
      </c>
      <c r="K106" s="6">
        <v>0</v>
      </c>
      <c r="M106" s="6">
        <v>462189</v>
      </c>
      <c r="O106" s="6">
        <v>200764</v>
      </c>
      <c r="Q106" s="6">
        <v>897184</v>
      </c>
      <c r="S106" s="6">
        <v>30686</v>
      </c>
      <c r="U106" s="6">
        <v>1117646</v>
      </c>
      <c r="W106" s="6">
        <v>375360</v>
      </c>
      <c r="Y106" s="6">
        <v>0</v>
      </c>
      <c r="AA106" s="6">
        <v>1304934</v>
      </c>
      <c r="AC106" s="6">
        <v>806235</v>
      </c>
      <c r="AE106" s="6">
        <v>4013</v>
      </c>
      <c r="AG106" s="6">
        <v>0</v>
      </c>
      <c r="AI106" s="6">
        <v>0</v>
      </c>
      <c r="AJ106" s="11" t="s">
        <v>520</v>
      </c>
      <c r="AK106" s="11"/>
      <c r="AL106" s="11" t="s">
        <v>64</v>
      </c>
      <c r="AN106" s="6">
        <v>296249</v>
      </c>
      <c r="AP106" s="6">
        <v>640</v>
      </c>
      <c r="AT106" s="6">
        <v>114392</v>
      </c>
      <c r="AV106" s="6">
        <v>44278</v>
      </c>
      <c r="AX106" s="6">
        <v>0</v>
      </c>
      <c r="AZ106" s="6">
        <f t="shared" si="30"/>
        <v>12347517</v>
      </c>
      <c r="BB106" s="6">
        <v>55717</v>
      </c>
      <c r="BD106" s="6">
        <v>0</v>
      </c>
      <c r="BF106" s="6">
        <v>0</v>
      </c>
      <c r="BH106" s="6">
        <v>0</v>
      </c>
      <c r="BJ106" s="6">
        <f t="shared" si="26"/>
        <v>12403234</v>
      </c>
      <c r="BL106" s="6">
        <f>+'Gen Fd Rev'!AK106-'Gen Fd Exp'!BJ106</f>
        <v>275915</v>
      </c>
      <c r="BN106" s="6">
        <v>-690060</v>
      </c>
      <c r="BP106" s="6">
        <v>-1653</v>
      </c>
      <c r="BR106" s="6">
        <v>0</v>
      </c>
      <c r="BT106" s="6">
        <f t="shared" ref="BT106:BT155" si="31">+BN106+BL106-BP106</f>
        <v>-412492</v>
      </c>
      <c r="BV106" s="7">
        <f>+BT106-'Gen Fd BS'!AC106+BR106</f>
        <v>0</v>
      </c>
    </row>
    <row r="107" spans="1:74" hidden="1">
      <c r="A107" s="11" t="s">
        <v>737</v>
      </c>
      <c r="B107" s="11"/>
      <c r="C107" s="11" t="s">
        <v>30</v>
      </c>
      <c r="AJ107" s="11" t="s">
        <v>737</v>
      </c>
      <c r="AK107" s="11"/>
      <c r="AL107" s="11" t="s">
        <v>30</v>
      </c>
      <c r="AZ107" s="6">
        <f t="shared" si="30"/>
        <v>0</v>
      </c>
      <c r="BD107" s="6">
        <v>0</v>
      </c>
      <c r="BF107" s="6">
        <v>0</v>
      </c>
      <c r="BJ107" s="6">
        <f t="shared" si="26"/>
        <v>0</v>
      </c>
      <c r="BL107" s="6">
        <f>+'Gen Fd Rev'!AK107-'Gen Fd Exp'!BJ107</f>
        <v>0</v>
      </c>
      <c r="BR107" s="6">
        <v>0</v>
      </c>
      <c r="BT107" s="6">
        <f t="shared" si="31"/>
        <v>0</v>
      </c>
      <c r="BV107" s="7">
        <f>+BT107-'Gen Fd BS'!AC107+BR107</f>
        <v>0</v>
      </c>
    </row>
    <row r="108" spans="1:74">
      <c r="A108" s="11" t="s">
        <v>755</v>
      </c>
      <c r="B108" s="11"/>
      <c r="C108" s="11" t="s">
        <v>366</v>
      </c>
      <c r="E108" s="6">
        <v>5754751</v>
      </c>
      <c r="G108" s="6">
        <v>761023</v>
      </c>
      <c r="I108" s="6">
        <v>0</v>
      </c>
      <c r="K108" s="6">
        <v>0</v>
      </c>
      <c r="M108" s="6">
        <v>431650</v>
      </c>
      <c r="O108" s="6">
        <v>281518</v>
      </c>
      <c r="Q108" s="6">
        <v>295657</v>
      </c>
      <c r="S108" s="6">
        <v>73897</v>
      </c>
      <c r="U108" s="6">
        <v>1058518</v>
      </c>
      <c r="W108" s="6">
        <v>298509</v>
      </c>
      <c r="Y108" s="6">
        <v>0</v>
      </c>
      <c r="AA108" s="6">
        <v>1153071</v>
      </c>
      <c r="AC108" s="6">
        <v>607706</v>
      </c>
      <c r="AE108" s="6">
        <v>152809</v>
      </c>
      <c r="AG108" s="6">
        <v>0</v>
      </c>
      <c r="AI108" s="6">
        <v>3889</v>
      </c>
      <c r="AJ108" s="11" t="s">
        <v>755</v>
      </c>
      <c r="AK108" s="11"/>
      <c r="AL108" s="11" t="s">
        <v>366</v>
      </c>
      <c r="AN108" s="6">
        <v>225604</v>
      </c>
      <c r="AP108" s="6">
        <v>68324</v>
      </c>
      <c r="AT108" s="6">
        <v>18705</v>
      </c>
      <c r="AV108" s="6">
        <v>1265</v>
      </c>
      <c r="AX108" s="6">
        <v>0</v>
      </c>
      <c r="AZ108" s="6">
        <f t="shared" si="30"/>
        <v>11186896</v>
      </c>
      <c r="BB108" s="6">
        <v>47149</v>
      </c>
      <c r="BD108" s="6">
        <v>0</v>
      </c>
      <c r="BF108" s="6">
        <v>0</v>
      </c>
      <c r="BH108" s="6">
        <v>0</v>
      </c>
      <c r="BJ108" s="6">
        <f t="shared" si="26"/>
        <v>11234045</v>
      </c>
      <c r="BL108" s="6">
        <f>+'Gen Fd Rev'!AK108-'Gen Fd Exp'!BJ108</f>
        <v>688381</v>
      </c>
      <c r="BN108" s="6">
        <v>168980</v>
      </c>
      <c r="BP108" s="6">
        <v>0</v>
      </c>
      <c r="BR108" s="6">
        <v>0</v>
      </c>
      <c r="BT108" s="6">
        <f t="shared" si="31"/>
        <v>857361</v>
      </c>
      <c r="BV108" s="7">
        <f>+BT108-'Gen Fd BS'!AC108+BR108</f>
        <v>0</v>
      </c>
    </row>
    <row r="109" spans="1:74">
      <c r="A109" s="11" t="s">
        <v>473</v>
      </c>
      <c r="B109" s="11"/>
      <c r="C109" s="11" t="s">
        <v>58</v>
      </c>
      <c r="E109" s="6">
        <v>15342156</v>
      </c>
      <c r="G109" s="6">
        <v>1395312</v>
      </c>
      <c r="I109" s="6">
        <v>1625</v>
      </c>
      <c r="K109" s="6">
        <v>0</v>
      </c>
      <c r="M109" s="6">
        <v>349797</v>
      </c>
      <c r="O109" s="6">
        <v>1362510</v>
      </c>
      <c r="Q109" s="6">
        <v>979575</v>
      </c>
      <c r="S109" s="6">
        <v>75602</v>
      </c>
      <c r="U109" s="6">
        <v>2670996</v>
      </c>
      <c r="W109" s="6">
        <v>826248</v>
      </c>
      <c r="Y109" s="6">
        <v>89004</v>
      </c>
      <c r="AA109" s="6">
        <v>2154828</v>
      </c>
      <c r="AC109" s="6">
        <v>800359</v>
      </c>
      <c r="AE109" s="6">
        <v>163247</v>
      </c>
      <c r="AG109" s="6">
        <v>0</v>
      </c>
      <c r="AI109" s="6">
        <v>11715</v>
      </c>
      <c r="AJ109" s="11" t="s">
        <v>473</v>
      </c>
      <c r="AK109" s="11"/>
      <c r="AL109" s="11" t="s">
        <v>58</v>
      </c>
      <c r="AN109" s="6">
        <v>555905</v>
      </c>
      <c r="AP109" s="6">
        <v>0</v>
      </c>
      <c r="AT109" s="6">
        <v>1205000</v>
      </c>
      <c r="AV109" s="6">
        <v>23333</v>
      </c>
      <c r="AX109" s="6">
        <v>0</v>
      </c>
      <c r="AZ109" s="6">
        <f t="shared" si="30"/>
        <v>28007212</v>
      </c>
      <c r="BB109" s="6">
        <v>0</v>
      </c>
      <c r="BD109" s="6">
        <v>0</v>
      </c>
      <c r="BF109" s="6">
        <v>0</v>
      </c>
      <c r="BH109" s="6">
        <v>0</v>
      </c>
      <c r="BJ109" s="6">
        <f t="shared" si="26"/>
        <v>28007212</v>
      </c>
      <c r="BL109" s="6">
        <f>+'Gen Fd Rev'!AK109-'Gen Fd Exp'!BJ109</f>
        <v>-2765046</v>
      </c>
      <c r="BN109" s="6">
        <v>2868505</v>
      </c>
      <c r="BP109" s="6">
        <v>0</v>
      </c>
      <c r="BR109" s="6">
        <v>0</v>
      </c>
      <c r="BT109" s="6">
        <f t="shared" si="31"/>
        <v>103459</v>
      </c>
      <c r="BV109" s="7">
        <f>+BT109-'Gen Fd BS'!AC109+BR109</f>
        <v>0</v>
      </c>
    </row>
    <row r="110" spans="1:74">
      <c r="A110" s="11" t="s">
        <v>551</v>
      </c>
      <c r="B110" s="11"/>
      <c r="C110" s="11" t="s">
        <v>71</v>
      </c>
      <c r="E110" s="6">
        <v>5237476</v>
      </c>
      <c r="G110" s="6">
        <v>311766</v>
      </c>
      <c r="I110" s="6">
        <v>14807</v>
      </c>
      <c r="K110" s="6">
        <v>0</v>
      </c>
      <c r="M110" s="6">
        <v>290074</v>
      </c>
      <c r="O110" s="6">
        <v>139538</v>
      </c>
      <c r="Q110" s="6">
        <v>460603</v>
      </c>
      <c r="S110" s="6">
        <v>31910</v>
      </c>
      <c r="U110" s="6">
        <v>1210580</v>
      </c>
      <c r="W110" s="6">
        <v>372719</v>
      </c>
      <c r="Y110" s="6">
        <v>0</v>
      </c>
      <c r="AA110" s="6">
        <v>901553</v>
      </c>
      <c r="AC110" s="6">
        <v>626816</v>
      </c>
      <c r="AE110" s="6">
        <v>192708</v>
      </c>
      <c r="AG110" s="6">
        <v>0</v>
      </c>
      <c r="AI110" s="6">
        <v>0</v>
      </c>
      <c r="AJ110" s="11" t="s">
        <v>551</v>
      </c>
      <c r="AK110" s="11"/>
      <c r="AL110" s="11" t="s">
        <v>71</v>
      </c>
      <c r="AN110" s="6">
        <v>378591</v>
      </c>
      <c r="AP110" s="6">
        <v>0</v>
      </c>
      <c r="AT110" s="6">
        <v>0</v>
      </c>
      <c r="AV110" s="6">
        <v>0</v>
      </c>
      <c r="AX110" s="6">
        <v>0</v>
      </c>
      <c r="AZ110" s="6">
        <f t="shared" si="30"/>
        <v>10169141</v>
      </c>
      <c r="BB110" s="6">
        <v>125000</v>
      </c>
      <c r="BD110" s="6">
        <v>0</v>
      </c>
      <c r="BF110" s="6">
        <v>0</v>
      </c>
      <c r="BH110" s="6">
        <v>0</v>
      </c>
      <c r="BJ110" s="6">
        <f t="shared" si="26"/>
        <v>10294141</v>
      </c>
      <c r="BL110" s="6">
        <f>+'Gen Fd Rev'!AK110-'Gen Fd Exp'!BJ110</f>
        <v>930910</v>
      </c>
      <c r="BN110" s="6">
        <v>5494815</v>
      </c>
      <c r="BP110" s="6">
        <v>0</v>
      </c>
      <c r="BR110" s="6">
        <v>0</v>
      </c>
      <c r="BT110" s="6">
        <f t="shared" si="31"/>
        <v>6425725</v>
      </c>
      <c r="BV110" s="7">
        <f>+BT110-'Gen Fd BS'!AC110+BR110</f>
        <v>0</v>
      </c>
    </row>
    <row r="111" spans="1:74">
      <c r="A111" s="11" t="s">
        <v>652</v>
      </c>
      <c r="B111" s="11"/>
      <c r="C111" s="11" t="s">
        <v>32</v>
      </c>
      <c r="E111" s="6">
        <v>132559181</v>
      </c>
      <c r="G111" s="6">
        <v>39534216</v>
      </c>
      <c r="I111" s="6">
        <v>3147194</v>
      </c>
      <c r="K111" s="6">
        <v>0</v>
      </c>
      <c r="M111" s="6">
        <v>0</v>
      </c>
      <c r="O111" s="6">
        <v>20356386</v>
      </c>
      <c r="Q111" s="6">
        <v>14031324</v>
      </c>
      <c r="S111" s="6">
        <v>393684</v>
      </c>
      <c r="U111" s="6">
        <v>12407555</v>
      </c>
      <c r="W111" s="6">
        <v>5944991</v>
      </c>
      <c r="Y111" s="6">
        <v>1419773</v>
      </c>
      <c r="AA111" s="6">
        <v>29338454</v>
      </c>
      <c r="AC111" s="6">
        <v>29572509</v>
      </c>
      <c r="AE111" s="6">
        <v>18472601</v>
      </c>
      <c r="AG111" s="6">
        <v>0</v>
      </c>
      <c r="AI111" s="6">
        <v>0</v>
      </c>
      <c r="AJ111" s="11" t="s">
        <v>652</v>
      </c>
      <c r="AK111" s="11"/>
      <c r="AL111" s="11" t="s">
        <v>32</v>
      </c>
      <c r="AN111" s="6">
        <v>5301033</v>
      </c>
      <c r="AP111" s="6">
        <v>3527</v>
      </c>
      <c r="AT111" s="6">
        <v>0</v>
      </c>
      <c r="AV111" s="6">
        <v>0</v>
      </c>
      <c r="AX111" s="6">
        <v>0</v>
      </c>
      <c r="AZ111" s="6">
        <f t="shared" si="30"/>
        <v>312482428</v>
      </c>
      <c r="BB111" s="6">
        <v>134096710</v>
      </c>
      <c r="BD111" s="6">
        <v>0</v>
      </c>
      <c r="BF111" s="6">
        <v>0</v>
      </c>
      <c r="BH111" s="6">
        <v>0</v>
      </c>
      <c r="BJ111" s="6">
        <f t="shared" si="26"/>
        <v>446579138</v>
      </c>
      <c r="BL111" s="6">
        <f>+'Gen Fd Rev'!AK111-'Gen Fd Exp'!BJ111</f>
        <v>-9221096</v>
      </c>
      <c r="BN111" s="6">
        <v>148031151</v>
      </c>
      <c r="BP111" s="6">
        <v>0</v>
      </c>
      <c r="BR111" s="6">
        <v>0</v>
      </c>
      <c r="BT111" s="6">
        <f t="shared" si="31"/>
        <v>138810055</v>
      </c>
      <c r="BV111" s="7">
        <f>+BT111-'Gen Fd BS'!AC111+BR111</f>
        <v>0</v>
      </c>
    </row>
    <row r="112" spans="1:74">
      <c r="A112" s="11" t="s">
        <v>452</v>
      </c>
      <c r="B112" s="11"/>
      <c r="C112" s="11" t="s">
        <v>54</v>
      </c>
      <c r="E112" s="6">
        <v>10426688</v>
      </c>
      <c r="G112" s="6">
        <v>1968921</v>
      </c>
      <c r="I112" s="6">
        <v>101856</v>
      </c>
      <c r="K112" s="6">
        <v>0</v>
      </c>
      <c r="M112" s="6">
        <v>1759</v>
      </c>
      <c r="O112" s="6">
        <v>1131497</v>
      </c>
      <c r="Q112" s="6">
        <v>1621550</v>
      </c>
      <c r="S112" s="6">
        <v>110203</v>
      </c>
      <c r="U112" s="6">
        <v>1885262</v>
      </c>
      <c r="W112" s="6">
        <v>568380</v>
      </c>
      <c r="Y112" s="6">
        <v>0</v>
      </c>
      <c r="AA112" s="6">
        <v>1762676</v>
      </c>
      <c r="AC112" s="6">
        <v>856484</v>
      </c>
      <c r="AE112" s="6">
        <v>18372</v>
      </c>
      <c r="AG112" s="6">
        <v>0</v>
      </c>
      <c r="AI112" s="6">
        <v>31911</v>
      </c>
      <c r="AJ112" s="11" t="s">
        <v>452</v>
      </c>
      <c r="AK112" s="11"/>
      <c r="AL112" s="11" t="s">
        <v>54</v>
      </c>
      <c r="AN112" s="6">
        <v>343510</v>
      </c>
      <c r="AP112" s="6">
        <v>5935</v>
      </c>
      <c r="AT112" s="6">
        <v>20000</v>
      </c>
      <c r="AV112" s="6">
        <v>11898</v>
      </c>
      <c r="AX112" s="6">
        <v>0</v>
      </c>
      <c r="AZ112" s="6">
        <f t="shared" si="30"/>
        <v>20866902</v>
      </c>
      <c r="BB112" s="6">
        <v>100145</v>
      </c>
      <c r="BD112" s="6">
        <v>0</v>
      </c>
      <c r="BF112" s="6">
        <v>0</v>
      </c>
      <c r="BH112" s="6">
        <v>0</v>
      </c>
      <c r="BJ112" s="6">
        <f t="shared" si="26"/>
        <v>20967047</v>
      </c>
      <c r="BL112" s="6">
        <f>+'Gen Fd Rev'!AK112-'Gen Fd Exp'!BJ112</f>
        <v>-1300401</v>
      </c>
      <c r="BN112" s="6">
        <v>15511085</v>
      </c>
      <c r="BP112" s="6">
        <v>-27759</v>
      </c>
      <c r="BR112" s="6">
        <v>0</v>
      </c>
      <c r="BT112" s="6">
        <f t="shared" si="31"/>
        <v>14238443</v>
      </c>
      <c r="BV112" s="7">
        <f>+BT112-'Gen Fd BS'!AC112+BR112</f>
        <v>0</v>
      </c>
    </row>
    <row r="113" spans="1:74">
      <c r="A113" s="11" t="s">
        <v>231</v>
      </c>
      <c r="B113" s="11"/>
      <c r="C113" s="11" t="s">
        <v>17</v>
      </c>
      <c r="E113" s="6">
        <v>8925985</v>
      </c>
      <c r="G113" s="6">
        <v>1537673</v>
      </c>
      <c r="I113" s="6">
        <v>207754</v>
      </c>
      <c r="K113" s="6">
        <v>11236</v>
      </c>
      <c r="M113" s="6">
        <v>342409</v>
      </c>
      <c r="O113" s="6">
        <v>724295</v>
      </c>
      <c r="Q113" s="6">
        <v>563070</v>
      </c>
      <c r="S113" s="6">
        <v>103948</v>
      </c>
      <c r="U113" s="6">
        <v>1628510</v>
      </c>
      <c r="W113" s="6">
        <v>427600</v>
      </c>
      <c r="Y113" s="6">
        <v>8615</v>
      </c>
      <c r="AA113" s="6">
        <v>1365695</v>
      </c>
      <c r="AC113" s="6">
        <v>1052821</v>
      </c>
      <c r="AE113" s="6">
        <v>22609</v>
      </c>
      <c r="AG113" s="6">
        <v>0</v>
      </c>
      <c r="AI113" s="6">
        <v>53406</v>
      </c>
      <c r="AJ113" s="11" t="s">
        <v>231</v>
      </c>
      <c r="AK113" s="11"/>
      <c r="AL113" s="11" t="s">
        <v>17</v>
      </c>
      <c r="AN113" s="6">
        <v>717409</v>
      </c>
      <c r="AP113" s="6">
        <v>0</v>
      </c>
      <c r="AT113" s="6">
        <v>3286</v>
      </c>
      <c r="AV113" s="6">
        <v>119</v>
      </c>
      <c r="AX113" s="6">
        <v>0</v>
      </c>
      <c r="AZ113" s="6">
        <f t="shared" si="30"/>
        <v>17696440</v>
      </c>
      <c r="BB113" s="6">
        <v>0</v>
      </c>
      <c r="BD113" s="6">
        <v>0</v>
      </c>
      <c r="BF113" s="6">
        <v>0</v>
      </c>
      <c r="BH113" s="6">
        <v>0</v>
      </c>
      <c r="BJ113" s="6">
        <f t="shared" si="26"/>
        <v>17696440</v>
      </c>
      <c r="BL113" s="6">
        <f>+'Gen Fd Rev'!AK113-'Gen Fd Exp'!BJ113</f>
        <v>-925132</v>
      </c>
      <c r="BN113" s="6">
        <v>1910100</v>
      </c>
      <c r="BP113" s="6">
        <v>0</v>
      </c>
      <c r="BR113" s="6">
        <v>0</v>
      </c>
      <c r="BT113" s="6">
        <f t="shared" si="31"/>
        <v>984968</v>
      </c>
      <c r="BV113" s="7">
        <f>+BT113-'Gen Fd BS'!AC113+BR113</f>
        <v>0</v>
      </c>
    </row>
    <row r="114" spans="1:74">
      <c r="A114" s="11" t="s">
        <v>480</v>
      </c>
      <c r="B114" s="11"/>
      <c r="C114" s="11" t="s">
        <v>59</v>
      </c>
      <c r="E114" s="6">
        <v>2834225</v>
      </c>
      <c r="G114" s="6">
        <v>328276</v>
      </c>
      <c r="I114" s="6">
        <v>464</v>
      </c>
      <c r="K114" s="6">
        <v>0</v>
      </c>
      <c r="M114" s="6">
        <v>81134</v>
      </c>
      <c r="O114" s="6">
        <v>327888</v>
      </c>
      <c r="Q114" s="6">
        <v>272540</v>
      </c>
      <c r="S114" s="6">
        <v>39316</v>
      </c>
      <c r="U114" s="6">
        <v>535228</v>
      </c>
      <c r="W114" s="6">
        <v>128973</v>
      </c>
      <c r="Y114" s="6">
        <v>0</v>
      </c>
      <c r="AA114" s="6">
        <v>646282</v>
      </c>
      <c r="AC114" s="6">
        <v>260536</v>
      </c>
      <c r="AE114" s="6">
        <v>15432</v>
      </c>
      <c r="AG114" s="6">
        <v>0</v>
      </c>
      <c r="AI114" s="6">
        <v>0</v>
      </c>
      <c r="AJ114" s="11" t="s">
        <v>480</v>
      </c>
      <c r="AK114" s="11"/>
      <c r="AL114" s="11" t="s">
        <v>59</v>
      </c>
      <c r="AN114" s="6">
        <v>78497</v>
      </c>
      <c r="AP114" s="6">
        <v>0</v>
      </c>
      <c r="AT114" s="6">
        <v>81683</v>
      </c>
      <c r="AV114" s="6">
        <v>0</v>
      </c>
      <c r="AX114" s="6">
        <v>0</v>
      </c>
      <c r="AZ114" s="6">
        <f t="shared" si="30"/>
        <v>5630474</v>
      </c>
      <c r="BB114" s="6">
        <v>43940</v>
      </c>
      <c r="BD114" s="6">
        <v>0</v>
      </c>
      <c r="BF114" s="6">
        <v>0</v>
      </c>
      <c r="BH114" s="6">
        <v>0</v>
      </c>
      <c r="BJ114" s="6">
        <f t="shared" si="26"/>
        <v>5674414</v>
      </c>
      <c r="BL114" s="6">
        <f>+'Gen Fd Rev'!AK114-'Gen Fd Exp'!BJ114</f>
        <v>-322377</v>
      </c>
      <c r="BN114" s="6">
        <v>229242</v>
      </c>
      <c r="BP114" s="6">
        <v>0</v>
      </c>
      <c r="BR114" s="6">
        <v>0</v>
      </c>
      <c r="BT114" s="6">
        <f t="shared" si="31"/>
        <v>-93135</v>
      </c>
      <c r="BV114" s="7">
        <f>+BT114-'Gen Fd BS'!AC114+BR114</f>
        <v>0</v>
      </c>
    </row>
    <row r="115" spans="1:74">
      <c r="A115" s="11" t="s">
        <v>533</v>
      </c>
      <c r="B115" s="11"/>
      <c r="C115" s="11" t="s">
        <v>65</v>
      </c>
      <c r="E115" s="6">
        <v>8129458</v>
      </c>
      <c r="G115" s="6">
        <v>1790584</v>
      </c>
      <c r="I115" s="6">
        <v>76890</v>
      </c>
      <c r="K115" s="6">
        <v>0</v>
      </c>
      <c r="M115" s="6">
        <v>30611</v>
      </c>
      <c r="O115" s="6">
        <v>855304</v>
      </c>
      <c r="Q115" s="6">
        <v>1370540</v>
      </c>
      <c r="S115" s="6">
        <v>22178</v>
      </c>
      <c r="U115" s="6">
        <v>1342415</v>
      </c>
      <c r="W115" s="6">
        <v>366684</v>
      </c>
      <c r="Y115" s="6">
        <v>58348</v>
      </c>
      <c r="AA115" s="6">
        <v>1996597</v>
      </c>
      <c r="AC115" s="6">
        <v>714912</v>
      </c>
      <c r="AE115" s="6">
        <v>35200</v>
      </c>
      <c r="AG115" s="6">
        <v>0</v>
      </c>
      <c r="AI115" s="6">
        <v>0</v>
      </c>
      <c r="AJ115" s="11" t="s">
        <v>533</v>
      </c>
      <c r="AK115" s="11"/>
      <c r="AL115" s="11" t="s">
        <v>65</v>
      </c>
      <c r="AN115" s="6">
        <v>456830</v>
      </c>
      <c r="AP115" s="6">
        <v>0</v>
      </c>
      <c r="AT115" s="6">
        <v>26947</v>
      </c>
      <c r="AV115" s="6">
        <v>10485</v>
      </c>
      <c r="AX115" s="6">
        <v>0</v>
      </c>
      <c r="AZ115" s="6">
        <f t="shared" si="30"/>
        <v>17283983</v>
      </c>
      <c r="BB115" s="6">
        <v>0</v>
      </c>
      <c r="BD115" s="6">
        <v>0</v>
      </c>
      <c r="BF115" s="6">
        <v>0</v>
      </c>
      <c r="BH115" s="6">
        <v>0</v>
      </c>
      <c r="BJ115" s="6">
        <f t="shared" si="26"/>
        <v>17283983</v>
      </c>
      <c r="BL115" s="6">
        <f>+'Gen Fd Rev'!AK115-'Gen Fd Exp'!BJ115</f>
        <v>400851</v>
      </c>
      <c r="BN115" s="6">
        <v>1432795</v>
      </c>
      <c r="BP115" s="6">
        <v>0</v>
      </c>
      <c r="BR115" s="6">
        <v>0</v>
      </c>
      <c r="BT115" s="6">
        <f t="shared" si="31"/>
        <v>1833646</v>
      </c>
      <c r="BV115" s="7">
        <f>+BT115-'Gen Fd BS'!AC115+BR115</f>
        <v>0</v>
      </c>
    </row>
    <row r="116" spans="1:74">
      <c r="A116" s="11" t="s">
        <v>468</v>
      </c>
      <c r="B116" s="11"/>
      <c r="C116" s="11" t="s">
        <v>110</v>
      </c>
      <c r="E116" s="6">
        <v>6137228</v>
      </c>
      <c r="G116" s="6">
        <v>1399759</v>
      </c>
      <c r="I116" s="6">
        <v>181355</v>
      </c>
      <c r="K116" s="6">
        <v>0</v>
      </c>
      <c r="M116" s="6">
        <v>540722</v>
      </c>
      <c r="O116" s="6">
        <v>550242</v>
      </c>
      <c r="Q116" s="6">
        <v>717135</v>
      </c>
      <c r="S116" s="6">
        <v>51484</v>
      </c>
      <c r="U116" s="6">
        <v>986596</v>
      </c>
      <c r="W116" s="6">
        <v>335044</v>
      </c>
      <c r="Y116" s="6">
        <v>0</v>
      </c>
      <c r="AA116" s="6">
        <v>1430596</v>
      </c>
      <c r="AC116" s="6">
        <v>1303319</v>
      </c>
      <c r="AE116" s="6">
        <v>14913</v>
      </c>
      <c r="AG116" s="6">
        <v>0</v>
      </c>
      <c r="AI116" s="6">
        <v>0</v>
      </c>
      <c r="AJ116" s="11" t="s">
        <v>468</v>
      </c>
      <c r="AK116" s="11"/>
      <c r="AL116" s="11" t="s">
        <v>110</v>
      </c>
      <c r="AN116" s="6">
        <v>62045</v>
      </c>
      <c r="AP116" s="6">
        <v>0</v>
      </c>
      <c r="AT116" s="6">
        <v>0</v>
      </c>
      <c r="AV116" s="6">
        <v>0</v>
      </c>
      <c r="AX116" s="6">
        <v>0</v>
      </c>
      <c r="AZ116" s="6">
        <f t="shared" si="30"/>
        <v>13710438</v>
      </c>
      <c r="BB116" s="6">
        <v>275847</v>
      </c>
      <c r="BD116" s="6">
        <v>0</v>
      </c>
      <c r="BF116" s="6">
        <v>0</v>
      </c>
      <c r="BH116" s="6">
        <v>0</v>
      </c>
      <c r="BJ116" s="6">
        <f t="shared" si="26"/>
        <v>13986285</v>
      </c>
      <c r="BL116" s="6">
        <f>+'Gen Fd Rev'!AK116-'Gen Fd Exp'!BJ116</f>
        <v>-441941</v>
      </c>
      <c r="BN116" s="6">
        <v>6641137</v>
      </c>
      <c r="BP116" s="6">
        <v>-10436</v>
      </c>
      <c r="BR116" s="6">
        <v>0</v>
      </c>
      <c r="BT116" s="6">
        <f t="shared" si="31"/>
        <v>6209632</v>
      </c>
      <c r="BV116" s="7">
        <f>+BT116-'Gen Fd BS'!AC116+BR116</f>
        <v>0</v>
      </c>
    </row>
    <row r="117" spans="1:74">
      <c r="A117" s="11" t="s">
        <v>382</v>
      </c>
      <c r="B117" s="11"/>
      <c r="C117" s="11" t="s">
        <v>44</v>
      </c>
      <c r="E117" s="6">
        <v>6964523</v>
      </c>
      <c r="G117" s="6">
        <v>810545</v>
      </c>
      <c r="I117" s="6">
        <v>183278</v>
      </c>
      <c r="K117" s="6">
        <v>0</v>
      </c>
      <c r="M117" s="6">
        <v>0</v>
      </c>
      <c r="O117" s="6">
        <v>978051</v>
      </c>
      <c r="Q117" s="6">
        <v>498909</v>
      </c>
      <c r="S117" s="6">
        <v>56980</v>
      </c>
      <c r="U117" s="6">
        <v>1103019</v>
      </c>
      <c r="W117" s="6">
        <v>370772</v>
      </c>
      <c r="Y117" s="6">
        <v>309145</v>
      </c>
      <c r="AA117" s="6">
        <v>1547860</v>
      </c>
      <c r="AC117" s="6">
        <v>430384</v>
      </c>
      <c r="AE117" s="6">
        <v>182605</v>
      </c>
      <c r="AG117" s="6">
        <v>0</v>
      </c>
      <c r="AI117" s="6">
        <v>62427</v>
      </c>
      <c r="AJ117" s="11" t="s">
        <v>382</v>
      </c>
      <c r="AK117" s="11"/>
      <c r="AL117" s="11" t="s">
        <v>44</v>
      </c>
      <c r="AN117" s="6">
        <v>296485</v>
      </c>
      <c r="AP117" s="6">
        <v>0</v>
      </c>
      <c r="AT117" s="6">
        <v>35832</v>
      </c>
      <c r="AV117" s="6">
        <v>1143</v>
      </c>
      <c r="AX117" s="6">
        <v>0</v>
      </c>
      <c r="AZ117" s="6">
        <f t="shared" si="30"/>
        <v>13831958</v>
      </c>
      <c r="BB117" s="6">
        <v>62000</v>
      </c>
      <c r="BD117" s="6">
        <v>0</v>
      </c>
      <c r="BF117" s="6">
        <v>0</v>
      </c>
      <c r="BH117" s="6">
        <v>0</v>
      </c>
      <c r="BJ117" s="6">
        <f t="shared" si="26"/>
        <v>13893958</v>
      </c>
      <c r="BL117" s="6">
        <f>+'Gen Fd Rev'!AK117-'Gen Fd Exp'!BJ117</f>
        <v>-969684</v>
      </c>
      <c r="BN117" s="6">
        <v>-424168</v>
      </c>
      <c r="BP117" s="6">
        <v>0</v>
      </c>
      <c r="BR117" s="6">
        <v>0</v>
      </c>
      <c r="BT117" s="6">
        <f t="shared" si="31"/>
        <v>-1393852</v>
      </c>
      <c r="BV117" s="7">
        <f>+BT117-'Gen Fd BS'!AC117+BR117</f>
        <v>0</v>
      </c>
    </row>
    <row r="118" spans="1:74">
      <c r="A118" s="11" t="s">
        <v>653</v>
      </c>
      <c r="B118" s="11"/>
      <c r="C118" s="11" t="s">
        <v>113</v>
      </c>
      <c r="E118" s="6">
        <v>7092422</v>
      </c>
      <c r="G118" s="6">
        <v>1303756</v>
      </c>
      <c r="I118" s="6">
        <v>0</v>
      </c>
      <c r="K118" s="6">
        <v>0</v>
      </c>
      <c r="M118" s="6">
        <v>347182</v>
      </c>
      <c r="O118" s="6">
        <v>807016</v>
      </c>
      <c r="Q118" s="6">
        <v>646708</v>
      </c>
      <c r="S118" s="6">
        <v>39502</v>
      </c>
      <c r="U118" s="6">
        <v>1263970</v>
      </c>
      <c r="W118" s="6">
        <v>486428</v>
      </c>
      <c r="Y118" s="6">
        <v>65722</v>
      </c>
      <c r="AA118" s="6">
        <v>967932</v>
      </c>
      <c r="AC118" s="6">
        <v>1800681</v>
      </c>
      <c r="AE118" s="6">
        <v>201930</v>
      </c>
      <c r="AG118" s="6">
        <v>0</v>
      </c>
      <c r="AI118" s="6">
        <v>900</v>
      </c>
      <c r="AJ118" s="11" t="s">
        <v>653</v>
      </c>
      <c r="AK118" s="11"/>
      <c r="AL118" s="11" t="s">
        <v>113</v>
      </c>
      <c r="AN118" s="6">
        <v>30701</v>
      </c>
      <c r="AP118" s="6">
        <v>0</v>
      </c>
      <c r="AT118" s="6">
        <v>0</v>
      </c>
      <c r="AV118" s="6">
        <v>0</v>
      </c>
      <c r="AX118" s="6">
        <v>0</v>
      </c>
      <c r="AZ118" s="6">
        <f t="shared" si="30"/>
        <v>15054850</v>
      </c>
      <c r="BB118" s="6">
        <v>299200</v>
      </c>
      <c r="BD118" s="6">
        <v>0</v>
      </c>
      <c r="BF118" s="6">
        <v>0</v>
      </c>
      <c r="BH118" s="6">
        <v>0</v>
      </c>
      <c r="BJ118" s="6">
        <f t="shared" si="26"/>
        <v>15354050</v>
      </c>
      <c r="BL118" s="6">
        <f>+'Gen Fd Rev'!AK118-'Gen Fd Exp'!BJ118</f>
        <v>-490108</v>
      </c>
      <c r="BN118" s="6">
        <v>1463626</v>
      </c>
      <c r="BP118" s="6">
        <v>0</v>
      </c>
      <c r="BR118" s="6">
        <v>0</v>
      </c>
      <c r="BT118" s="6">
        <f t="shared" si="31"/>
        <v>973518</v>
      </c>
      <c r="BV118" s="7">
        <f>+BT118-'Gen Fd BS'!AC118+BR118</f>
        <v>0</v>
      </c>
    </row>
    <row r="119" spans="1:74">
      <c r="A119" s="11" t="s">
        <v>651</v>
      </c>
      <c r="B119" s="11"/>
      <c r="C119" s="11" t="s">
        <v>20</v>
      </c>
      <c r="E119" s="6">
        <v>41233462</v>
      </c>
      <c r="G119" s="6">
        <v>10630721</v>
      </c>
      <c r="I119" s="6">
        <v>2097969</v>
      </c>
      <c r="K119" s="6">
        <v>8029</v>
      </c>
      <c r="M119" s="6">
        <v>7131642</v>
      </c>
      <c r="O119" s="6">
        <v>9071955</v>
      </c>
      <c r="Q119" s="6">
        <v>3690883</v>
      </c>
      <c r="S119" s="6">
        <v>586707</v>
      </c>
      <c r="U119" s="6">
        <v>5530257</v>
      </c>
      <c r="W119" s="6">
        <v>2560529</v>
      </c>
      <c r="Y119" s="6">
        <v>1420398</v>
      </c>
      <c r="AA119" s="6">
        <v>10748414</v>
      </c>
      <c r="AC119" s="6">
        <v>4875167</v>
      </c>
      <c r="AE119" s="6">
        <v>5340841</v>
      </c>
      <c r="AG119" s="6">
        <v>3067</v>
      </c>
      <c r="AI119" s="6">
        <f>14552+120037</f>
        <v>134589</v>
      </c>
      <c r="AJ119" s="11" t="s">
        <v>651</v>
      </c>
      <c r="AK119" s="11"/>
      <c r="AL119" s="11" t="s">
        <v>20</v>
      </c>
      <c r="AN119" s="6">
        <v>1365815</v>
      </c>
      <c r="AP119" s="6">
        <v>0</v>
      </c>
      <c r="AT119" s="6">
        <v>786314</v>
      </c>
      <c r="AV119" s="6">
        <v>52135</v>
      </c>
      <c r="AX119" s="6">
        <v>0</v>
      </c>
      <c r="AZ119" s="6">
        <f t="shared" si="30"/>
        <v>107268894</v>
      </c>
      <c r="BB119" s="6">
        <v>240000</v>
      </c>
      <c r="BD119" s="6">
        <v>0</v>
      </c>
      <c r="BF119" s="6">
        <v>0</v>
      </c>
      <c r="BH119" s="6">
        <v>0</v>
      </c>
      <c r="BJ119" s="6">
        <f t="shared" si="26"/>
        <v>107508894</v>
      </c>
      <c r="BL119" s="6">
        <f>+'Gen Fd Rev'!AK119-'Gen Fd Exp'!BJ119</f>
        <v>-8505167</v>
      </c>
      <c r="BN119" s="6">
        <v>53610841</v>
      </c>
      <c r="BP119" s="6">
        <v>0</v>
      </c>
      <c r="BR119" s="6">
        <v>0</v>
      </c>
      <c r="BT119" s="6">
        <f t="shared" si="31"/>
        <v>45105674</v>
      </c>
      <c r="BV119" s="7">
        <f>+BT119-'Gen Fd BS'!AC119+BR119</f>
        <v>0</v>
      </c>
    </row>
    <row r="120" spans="1:74">
      <c r="A120" s="11" t="s">
        <v>265</v>
      </c>
      <c r="B120" s="11"/>
      <c r="C120" s="11" t="s">
        <v>20</v>
      </c>
      <c r="E120" s="6">
        <v>295559717</v>
      </c>
      <c r="G120" s="6">
        <v>129573586</v>
      </c>
      <c r="I120" s="6">
        <v>9622054</v>
      </c>
      <c r="K120" s="6">
        <v>0</v>
      </c>
      <c r="M120" s="6">
        <v>4454898</v>
      </c>
      <c r="O120" s="6">
        <v>29977159</v>
      </c>
      <c r="Q120" s="6">
        <v>21958877</v>
      </c>
      <c r="S120" s="6">
        <v>274705</v>
      </c>
      <c r="U120" s="6">
        <v>30075309</v>
      </c>
      <c r="W120" s="6">
        <v>10656098</v>
      </c>
      <c r="Y120" s="6">
        <v>1689243</v>
      </c>
      <c r="AA120" s="6">
        <v>52449279</v>
      </c>
      <c r="AC120" s="6">
        <v>27071645</v>
      </c>
      <c r="AE120" s="6">
        <v>11825950</v>
      </c>
      <c r="AG120" s="6">
        <v>0</v>
      </c>
      <c r="AI120" s="6">
        <v>2479567</v>
      </c>
      <c r="AJ120" s="11" t="s">
        <v>265</v>
      </c>
      <c r="AK120" s="11"/>
      <c r="AL120" s="11" t="s">
        <v>20</v>
      </c>
      <c r="AN120" s="6">
        <v>5295479</v>
      </c>
      <c r="AP120" s="6">
        <v>5109</v>
      </c>
      <c r="AT120" s="6">
        <v>870082</v>
      </c>
      <c r="AV120" s="6">
        <v>366919</v>
      </c>
      <c r="AX120" s="6">
        <v>0</v>
      </c>
      <c r="AZ120" s="6">
        <f t="shared" si="30"/>
        <v>634205676</v>
      </c>
      <c r="BB120" s="6">
        <v>4238000</v>
      </c>
      <c r="BD120" s="6">
        <v>0</v>
      </c>
      <c r="BF120" s="6">
        <v>0</v>
      </c>
      <c r="BH120" s="6">
        <v>0</v>
      </c>
      <c r="BJ120" s="6">
        <f t="shared" si="26"/>
        <v>638443676</v>
      </c>
      <c r="BL120" s="6">
        <f>+'Gen Fd Rev'!AK120-'Gen Fd Exp'!BJ120</f>
        <v>-6353276</v>
      </c>
      <c r="BN120" s="6">
        <v>21532470</v>
      </c>
      <c r="BP120" s="6">
        <v>0</v>
      </c>
      <c r="BR120" s="6">
        <v>0</v>
      </c>
      <c r="BT120" s="6">
        <f t="shared" si="31"/>
        <v>15179194</v>
      </c>
      <c r="BV120" s="7">
        <f>+BT120-'Gen Fd BS'!AC120+BR120</f>
        <v>0</v>
      </c>
    </row>
    <row r="121" spans="1:74">
      <c r="A121" s="11" t="s">
        <v>243</v>
      </c>
      <c r="B121" s="11"/>
      <c r="C121" s="11" t="s">
        <v>18</v>
      </c>
      <c r="D121" s="9"/>
      <c r="E121" s="6">
        <v>7239182</v>
      </c>
      <c r="G121" s="6">
        <v>818052</v>
      </c>
      <c r="I121" s="6">
        <v>0</v>
      </c>
      <c r="K121" s="6">
        <v>0</v>
      </c>
      <c r="M121" s="6">
        <v>997191</v>
      </c>
      <c r="O121" s="6">
        <v>973218</v>
      </c>
      <c r="Q121" s="6">
        <v>892037</v>
      </c>
      <c r="S121" s="6">
        <v>37537</v>
      </c>
      <c r="U121" s="6">
        <v>1113732</v>
      </c>
      <c r="W121" s="6">
        <v>393796</v>
      </c>
      <c r="Y121" s="6">
        <v>0</v>
      </c>
      <c r="AA121" s="6">
        <v>1437015</v>
      </c>
      <c r="AC121" s="6">
        <v>992553</v>
      </c>
      <c r="AE121" s="6">
        <v>87</v>
      </c>
      <c r="AG121" s="6">
        <v>0</v>
      </c>
      <c r="AI121" s="6">
        <v>0</v>
      </c>
      <c r="AJ121" s="11" t="s">
        <v>243</v>
      </c>
      <c r="AK121" s="11"/>
      <c r="AL121" s="11" t="s">
        <v>18</v>
      </c>
      <c r="AN121" s="6">
        <v>395711</v>
      </c>
      <c r="AP121" s="6">
        <v>0</v>
      </c>
      <c r="AT121" s="6">
        <v>262498</v>
      </c>
      <c r="AV121" s="6">
        <v>13474</v>
      </c>
      <c r="AX121" s="6">
        <v>0</v>
      </c>
      <c r="AZ121" s="6">
        <f t="shared" si="30"/>
        <v>15566083</v>
      </c>
      <c r="BB121" s="6">
        <v>51286</v>
      </c>
      <c r="BD121" s="6">
        <v>0</v>
      </c>
      <c r="BF121" s="6">
        <v>0</v>
      </c>
      <c r="BH121" s="6">
        <v>0</v>
      </c>
      <c r="BJ121" s="6">
        <f t="shared" si="26"/>
        <v>15617369</v>
      </c>
      <c r="BL121" s="6">
        <f>+'Gen Fd Rev'!AK121-'Gen Fd Exp'!BJ121</f>
        <v>213375</v>
      </c>
      <c r="BN121" s="6">
        <v>2176205</v>
      </c>
      <c r="BP121" s="6">
        <v>0</v>
      </c>
      <c r="BR121" s="6">
        <v>0</v>
      </c>
      <c r="BT121" s="6">
        <f t="shared" si="31"/>
        <v>2389580</v>
      </c>
      <c r="BV121" s="7">
        <f>+BT121-'Gen Fd BS'!AC121+BR121</f>
        <v>0</v>
      </c>
    </row>
    <row r="122" spans="1:74">
      <c r="A122" s="11" t="s">
        <v>416</v>
      </c>
      <c r="B122" s="11"/>
      <c r="C122" s="11" t="s">
        <v>47</v>
      </c>
      <c r="E122" s="6">
        <v>11776091</v>
      </c>
      <c r="G122" s="6">
        <v>1814658</v>
      </c>
      <c r="I122" s="6">
        <v>80322</v>
      </c>
      <c r="K122" s="6">
        <v>0</v>
      </c>
      <c r="M122" s="6">
        <v>2022101</v>
      </c>
      <c r="O122" s="6">
        <v>1274856</v>
      </c>
      <c r="Q122" s="6">
        <v>1684819</v>
      </c>
      <c r="S122" s="6">
        <v>26315</v>
      </c>
      <c r="U122" s="6">
        <v>1538285</v>
      </c>
      <c r="W122" s="6">
        <v>571342</v>
      </c>
      <c r="Y122" s="6">
        <v>285492</v>
      </c>
      <c r="AA122" s="6">
        <v>1910493</v>
      </c>
      <c r="AC122" s="6">
        <v>2144177</v>
      </c>
      <c r="AE122" s="6">
        <v>305390</v>
      </c>
      <c r="AG122" s="6">
        <v>0</v>
      </c>
      <c r="AI122" s="6">
        <v>372523</v>
      </c>
      <c r="AJ122" s="11" t="s">
        <v>416</v>
      </c>
      <c r="AK122" s="11"/>
      <c r="AL122" s="11" t="s">
        <v>47</v>
      </c>
      <c r="AN122" s="6">
        <v>532863</v>
      </c>
      <c r="AP122" s="6">
        <v>0</v>
      </c>
      <c r="AT122" s="6">
        <v>0</v>
      </c>
      <c r="AV122" s="6">
        <v>2720</v>
      </c>
      <c r="AX122" s="6">
        <v>0</v>
      </c>
      <c r="AZ122" s="6">
        <f t="shared" si="30"/>
        <v>26342447</v>
      </c>
      <c r="BB122" s="6">
        <v>85175</v>
      </c>
      <c r="BD122" s="6">
        <v>0</v>
      </c>
      <c r="BF122" s="6">
        <v>0</v>
      </c>
      <c r="BH122" s="6">
        <v>0</v>
      </c>
      <c r="BJ122" s="6">
        <f t="shared" ref="BJ122:BJ153" si="32">+AZ122+BB122+BD122+BH122</f>
        <v>26427622</v>
      </c>
      <c r="BL122" s="6">
        <f>+'Gen Fd Rev'!AK122-'Gen Fd Exp'!BJ122</f>
        <v>104130</v>
      </c>
      <c r="BN122" s="6">
        <v>-213868</v>
      </c>
      <c r="BP122" s="6">
        <v>0</v>
      </c>
      <c r="BR122" s="6">
        <v>0</v>
      </c>
      <c r="BT122" s="6">
        <f t="shared" si="31"/>
        <v>-109738</v>
      </c>
      <c r="BV122" s="7">
        <f>+BT122-'Gen Fd BS'!AC122+BR122</f>
        <v>0</v>
      </c>
    </row>
    <row r="123" spans="1:74">
      <c r="A123" s="11" t="s">
        <v>756</v>
      </c>
      <c r="B123" s="11"/>
      <c r="C123" s="11" t="s">
        <v>79</v>
      </c>
      <c r="E123" s="6">
        <v>8655067</v>
      </c>
      <c r="G123" s="6">
        <v>1597342</v>
      </c>
      <c r="I123" s="6">
        <v>1471</v>
      </c>
      <c r="K123" s="6">
        <v>0</v>
      </c>
      <c r="M123" s="6">
        <v>716140</v>
      </c>
      <c r="O123" s="6">
        <v>1217417</v>
      </c>
      <c r="Q123" s="6">
        <v>577160</v>
      </c>
      <c r="S123" s="6">
        <v>20870</v>
      </c>
      <c r="U123" s="6">
        <v>1506385</v>
      </c>
      <c r="W123" s="6">
        <v>472719</v>
      </c>
      <c r="Y123" s="6">
        <v>8650</v>
      </c>
      <c r="AA123" s="6">
        <v>1667331</v>
      </c>
      <c r="AC123" s="6">
        <v>928749</v>
      </c>
      <c r="AE123" s="6">
        <v>43762</v>
      </c>
      <c r="AG123" s="6">
        <v>0</v>
      </c>
      <c r="AI123" s="6">
        <v>0</v>
      </c>
      <c r="AJ123" s="11" t="s">
        <v>756</v>
      </c>
      <c r="AK123" s="11"/>
      <c r="AL123" s="11" t="s">
        <v>79</v>
      </c>
      <c r="AN123" s="6">
        <v>404548</v>
      </c>
      <c r="AP123" s="6">
        <v>0</v>
      </c>
      <c r="AT123" s="6">
        <v>0</v>
      </c>
      <c r="AV123" s="6">
        <v>0</v>
      </c>
      <c r="AX123" s="6">
        <v>0</v>
      </c>
      <c r="AZ123" s="6">
        <f t="shared" si="30"/>
        <v>17817611</v>
      </c>
      <c r="BB123" s="6">
        <v>1804717</v>
      </c>
      <c r="BD123" s="6">
        <v>0</v>
      </c>
      <c r="BF123" s="6">
        <v>0</v>
      </c>
      <c r="BH123" s="6">
        <v>0</v>
      </c>
      <c r="BJ123" s="6">
        <f t="shared" si="32"/>
        <v>19622328</v>
      </c>
      <c r="BL123" s="6">
        <f>+'Gen Fd Rev'!AK123-'Gen Fd Exp'!BJ123</f>
        <v>-15512</v>
      </c>
      <c r="BN123" s="6">
        <v>2324280</v>
      </c>
      <c r="BP123" s="6">
        <v>-3634</v>
      </c>
      <c r="BR123" s="6">
        <v>0</v>
      </c>
      <c r="BT123" s="6">
        <f t="shared" si="31"/>
        <v>2312402</v>
      </c>
      <c r="BV123" s="7">
        <f>+BT123-'Gen Fd BS'!AC123+BR123</f>
        <v>0</v>
      </c>
    </row>
    <row r="124" spans="1:74" hidden="1">
      <c r="A124" s="11" t="s">
        <v>654</v>
      </c>
      <c r="B124" s="11"/>
      <c r="C124" s="11" t="s">
        <v>422</v>
      </c>
      <c r="AJ124" s="11" t="s">
        <v>654</v>
      </c>
      <c r="AK124" s="11"/>
      <c r="AL124" s="11" t="s">
        <v>422</v>
      </c>
      <c r="AZ124" s="6">
        <f t="shared" si="30"/>
        <v>0</v>
      </c>
      <c r="BD124" s="6">
        <v>0</v>
      </c>
      <c r="BF124" s="6">
        <v>0</v>
      </c>
      <c r="BJ124" s="6">
        <f t="shared" si="32"/>
        <v>0</v>
      </c>
      <c r="BL124" s="6">
        <f>+'Gen Fd Rev'!AK124-'Gen Fd Exp'!BJ124</f>
        <v>0</v>
      </c>
      <c r="BR124" s="6">
        <v>0</v>
      </c>
      <c r="BT124" s="6">
        <f t="shared" si="31"/>
        <v>0</v>
      </c>
      <c r="BV124" s="7">
        <f>+BT124-'Gen Fd BS'!AC124+BR124</f>
        <v>0</v>
      </c>
    </row>
    <row r="125" spans="1:74" hidden="1">
      <c r="A125" s="11" t="s">
        <v>610</v>
      </c>
      <c r="B125" s="11"/>
      <c r="C125" s="11" t="s">
        <v>57</v>
      </c>
      <c r="AJ125" s="11" t="s">
        <v>610</v>
      </c>
      <c r="AK125" s="11"/>
      <c r="AL125" s="11" t="s">
        <v>57</v>
      </c>
      <c r="AZ125" s="6">
        <f t="shared" si="30"/>
        <v>0</v>
      </c>
      <c r="BD125" s="6">
        <v>0</v>
      </c>
      <c r="BF125" s="6">
        <v>0</v>
      </c>
      <c r="BJ125" s="6">
        <f t="shared" si="32"/>
        <v>0</v>
      </c>
      <c r="BL125" s="6">
        <f>+'Gen Fd Rev'!AK125-'Gen Fd Exp'!BJ125</f>
        <v>0</v>
      </c>
      <c r="BR125" s="6">
        <v>0</v>
      </c>
      <c r="BT125" s="6">
        <f t="shared" si="31"/>
        <v>0</v>
      </c>
      <c r="BV125" s="7">
        <f>+BT125-'Gen Fd BS'!AC125+BR125</f>
        <v>0</v>
      </c>
    </row>
    <row r="126" spans="1:74">
      <c r="A126" s="11" t="s">
        <v>258</v>
      </c>
      <c r="B126" s="11"/>
      <c r="C126" s="11" t="s">
        <v>111</v>
      </c>
      <c r="E126" s="6">
        <v>3996643</v>
      </c>
      <c r="G126" s="6">
        <v>941498</v>
      </c>
      <c r="I126" s="6">
        <v>20460</v>
      </c>
      <c r="K126" s="6">
        <v>0</v>
      </c>
      <c r="M126" s="6">
        <v>1175</v>
      </c>
      <c r="O126" s="6">
        <v>552872</v>
      </c>
      <c r="Q126" s="6">
        <v>214414</v>
      </c>
      <c r="S126" s="6">
        <v>23027</v>
      </c>
      <c r="U126" s="6">
        <v>633917</v>
      </c>
      <c r="W126" s="6">
        <v>316116</v>
      </c>
      <c r="Y126" s="6">
        <v>2461</v>
      </c>
      <c r="AA126" s="6">
        <v>906007</v>
      </c>
      <c r="AC126" s="6">
        <v>591297</v>
      </c>
      <c r="AE126" s="6">
        <v>53545</v>
      </c>
      <c r="AG126" s="6">
        <v>0</v>
      </c>
      <c r="AI126" s="6">
        <v>50888</v>
      </c>
      <c r="AJ126" s="11" t="s">
        <v>258</v>
      </c>
      <c r="AK126" s="11"/>
      <c r="AL126" s="11" t="s">
        <v>111</v>
      </c>
      <c r="AN126" s="6">
        <v>300836</v>
      </c>
      <c r="AP126" s="6">
        <v>44086</v>
      </c>
      <c r="AT126" s="6">
        <v>11350</v>
      </c>
      <c r="AV126" s="6">
        <v>5419</v>
      </c>
      <c r="AX126" s="6">
        <v>0</v>
      </c>
      <c r="AZ126" s="6">
        <f t="shared" si="30"/>
        <v>8666011</v>
      </c>
      <c r="BB126" s="6">
        <v>0</v>
      </c>
      <c r="BD126" s="6">
        <v>0</v>
      </c>
      <c r="BF126" s="6">
        <v>0</v>
      </c>
      <c r="BH126" s="6">
        <v>0</v>
      </c>
      <c r="BJ126" s="6">
        <f t="shared" si="32"/>
        <v>8666011</v>
      </c>
      <c r="BL126" s="6">
        <f>+'Gen Fd Rev'!AK126-'Gen Fd Exp'!BJ126</f>
        <v>194509</v>
      </c>
      <c r="BN126" s="6">
        <v>1861553</v>
      </c>
      <c r="BP126" s="6">
        <v>0</v>
      </c>
      <c r="BR126" s="6">
        <v>0</v>
      </c>
      <c r="BT126" s="6">
        <f t="shared" si="31"/>
        <v>2056062</v>
      </c>
      <c r="BV126" s="7">
        <f>+BT126-'Gen Fd BS'!AC126+BR126</f>
        <v>0</v>
      </c>
    </row>
    <row r="127" spans="1:74">
      <c r="A127" s="11" t="s">
        <v>383</v>
      </c>
      <c r="B127" s="11"/>
      <c r="C127" s="11" t="s">
        <v>44</v>
      </c>
      <c r="E127" s="6">
        <v>4338048</v>
      </c>
      <c r="G127" s="6">
        <v>1039720</v>
      </c>
      <c r="I127" s="6">
        <v>167763</v>
      </c>
      <c r="K127" s="6">
        <v>0</v>
      </c>
      <c r="M127" s="6">
        <v>389210</v>
      </c>
      <c r="O127" s="6">
        <v>555078</v>
      </c>
      <c r="Q127" s="6">
        <v>415775</v>
      </c>
      <c r="S127" s="6">
        <v>34816</v>
      </c>
      <c r="U127" s="6">
        <v>1016486</v>
      </c>
      <c r="W127" s="6">
        <v>365664</v>
      </c>
      <c r="Y127" s="6">
        <v>0</v>
      </c>
      <c r="AA127" s="6">
        <v>985472</v>
      </c>
      <c r="AC127" s="6">
        <v>646750</v>
      </c>
      <c r="AE127" s="6">
        <v>115012</v>
      </c>
      <c r="AG127" s="6">
        <v>0</v>
      </c>
      <c r="AI127" s="6">
        <v>0</v>
      </c>
      <c r="AJ127" s="11" t="s">
        <v>383</v>
      </c>
      <c r="AK127" s="11"/>
      <c r="AL127" s="11" t="s">
        <v>44</v>
      </c>
      <c r="AN127" s="6">
        <v>335035</v>
      </c>
      <c r="AP127" s="6">
        <v>30003</v>
      </c>
      <c r="AT127" s="6">
        <v>24928</v>
      </c>
      <c r="AV127" s="6">
        <v>4411</v>
      </c>
      <c r="AX127" s="6">
        <v>0</v>
      </c>
      <c r="AZ127" s="6">
        <f t="shared" si="30"/>
        <v>10464171</v>
      </c>
      <c r="BB127" s="6">
        <v>66000</v>
      </c>
      <c r="BD127" s="6">
        <v>0</v>
      </c>
      <c r="BF127" s="6">
        <v>0</v>
      </c>
      <c r="BH127" s="6">
        <v>0</v>
      </c>
      <c r="BJ127" s="6">
        <f t="shared" si="32"/>
        <v>10530171</v>
      </c>
      <c r="BL127" s="6">
        <f>+'Gen Fd Rev'!AK127-'Gen Fd Exp'!BJ127</f>
        <v>-1013436</v>
      </c>
      <c r="BN127" s="6">
        <v>620583</v>
      </c>
      <c r="BP127" s="6">
        <v>0</v>
      </c>
      <c r="BR127" s="6">
        <v>0</v>
      </c>
      <c r="BT127" s="6">
        <f t="shared" si="31"/>
        <v>-392853</v>
      </c>
      <c r="BV127" s="7">
        <f>+BT127-'Gen Fd BS'!AC127+BR127</f>
        <v>0</v>
      </c>
    </row>
    <row r="128" spans="1:74">
      <c r="A128" s="11" t="s">
        <v>757</v>
      </c>
      <c r="B128" s="11"/>
      <c r="C128" s="11" t="s">
        <v>112</v>
      </c>
      <c r="D128" s="9"/>
      <c r="E128" s="6">
        <v>4737266</v>
      </c>
      <c r="G128" s="6">
        <v>870666</v>
      </c>
      <c r="I128" s="6">
        <v>0</v>
      </c>
      <c r="K128" s="6">
        <v>0</v>
      </c>
      <c r="M128" s="6">
        <v>0</v>
      </c>
      <c r="O128" s="6">
        <v>386628</v>
      </c>
      <c r="Q128" s="6">
        <v>302490</v>
      </c>
      <c r="S128" s="6">
        <v>25785</v>
      </c>
      <c r="U128" s="6">
        <v>782201</v>
      </c>
      <c r="W128" s="6">
        <v>331253</v>
      </c>
      <c r="Y128" s="6">
        <v>0</v>
      </c>
      <c r="AA128" s="6">
        <v>612047</v>
      </c>
      <c r="AC128" s="6">
        <v>303646</v>
      </c>
      <c r="AE128" s="6">
        <v>25646</v>
      </c>
      <c r="AG128" s="6">
        <v>0</v>
      </c>
      <c r="AI128" s="6">
        <v>0</v>
      </c>
      <c r="AJ128" s="11" t="s">
        <v>757</v>
      </c>
      <c r="AK128" s="11"/>
      <c r="AL128" s="11" t="s">
        <v>112</v>
      </c>
      <c r="AN128" s="6">
        <v>198989</v>
      </c>
      <c r="AP128" s="6">
        <v>9671</v>
      </c>
      <c r="AT128" s="6">
        <v>64333</v>
      </c>
      <c r="AV128" s="6">
        <v>60313</v>
      </c>
      <c r="AX128" s="6">
        <v>0</v>
      </c>
      <c r="AZ128" s="6">
        <f t="shared" si="30"/>
        <v>8710934</v>
      </c>
      <c r="BB128" s="6">
        <v>0</v>
      </c>
      <c r="BD128" s="6">
        <v>0</v>
      </c>
      <c r="BF128" s="6">
        <v>0</v>
      </c>
      <c r="BH128" s="6">
        <v>0</v>
      </c>
      <c r="BJ128" s="6">
        <f t="shared" si="32"/>
        <v>8710934</v>
      </c>
      <c r="BL128" s="6">
        <f>+'Gen Fd Rev'!AK128-'Gen Fd Exp'!BJ128</f>
        <v>587442</v>
      </c>
      <c r="BN128" s="6">
        <v>1725295</v>
      </c>
      <c r="BP128" s="6">
        <v>0</v>
      </c>
      <c r="BR128" s="6">
        <v>0</v>
      </c>
      <c r="BT128" s="6">
        <f t="shared" si="31"/>
        <v>2312737</v>
      </c>
      <c r="BV128" s="7">
        <f>+BT128-'Gen Fd BS'!AC128+BR128</f>
        <v>0</v>
      </c>
    </row>
    <row r="129" spans="1:74">
      <c r="A129" s="11" t="s">
        <v>301</v>
      </c>
      <c r="B129" s="11"/>
      <c r="C129" s="11" t="s">
        <v>27</v>
      </c>
      <c r="E129" s="6">
        <v>348632773</v>
      </c>
      <c r="G129" s="6">
        <v>76778291</v>
      </c>
      <c r="I129" s="6">
        <v>6889584</v>
      </c>
      <c r="K129" s="6">
        <v>0</v>
      </c>
      <c r="M129" s="6">
        <v>1923756</v>
      </c>
      <c r="O129" s="6">
        <v>43144312</v>
      </c>
      <c r="Q129" s="6">
        <v>37279286</v>
      </c>
      <c r="S129" s="6">
        <v>165212</v>
      </c>
      <c r="U129" s="6">
        <v>60478718</v>
      </c>
      <c r="W129" s="6">
        <v>9304057</v>
      </c>
      <c r="Y129" s="6">
        <v>3786887</v>
      </c>
      <c r="AA129" s="6">
        <v>59974901</v>
      </c>
      <c r="AC129" s="6">
        <v>55108822</v>
      </c>
      <c r="AE129" s="6">
        <v>5352619</v>
      </c>
      <c r="AG129" s="6">
        <v>0</v>
      </c>
      <c r="AI129" s="6">
        <v>6000</v>
      </c>
      <c r="AJ129" s="11" t="s">
        <v>301</v>
      </c>
      <c r="AK129" s="11"/>
      <c r="AL129" s="11" t="s">
        <v>27</v>
      </c>
      <c r="AN129" s="6">
        <v>6318034</v>
      </c>
      <c r="AP129" s="6">
        <v>4818</v>
      </c>
      <c r="AT129" s="6">
        <v>0</v>
      </c>
      <c r="AV129" s="6">
        <v>0</v>
      </c>
      <c r="AX129" s="6">
        <v>0</v>
      </c>
      <c r="AZ129" s="6">
        <f t="shared" si="30"/>
        <v>715148070</v>
      </c>
      <c r="BB129" s="6">
        <v>4068912</v>
      </c>
      <c r="BD129" s="6">
        <v>0</v>
      </c>
      <c r="BF129" s="6">
        <v>0</v>
      </c>
      <c r="BH129" s="6">
        <v>0</v>
      </c>
      <c r="BJ129" s="6">
        <f t="shared" si="32"/>
        <v>719216982</v>
      </c>
      <c r="BL129" s="6">
        <f>+'Gen Fd Rev'!AK129-'Gen Fd Exp'!BJ129</f>
        <v>-3535198</v>
      </c>
      <c r="BN129" s="6">
        <v>246776024</v>
      </c>
      <c r="BP129" s="6">
        <v>0</v>
      </c>
      <c r="BR129" s="6">
        <v>0</v>
      </c>
      <c r="BT129" s="6">
        <f t="shared" si="31"/>
        <v>243240826</v>
      </c>
      <c r="BV129" s="7">
        <f>+BT129-'Gen Fd BS'!AC129+BR129</f>
        <v>0</v>
      </c>
    </row>
    <row r="130" spans="1:74" hidden="1">
      <c r="A130" s="11" t="s">
        <v>611</v>
      </c>
      <c r="B130" s="11"/>
      <c r="C130" s="11" t="s">
        <v>467</v>
      </c>
      <c r="AJ130" s="11" t="s">
        <v>611</v>
      </c>
      <c r="AK130" s="11"/>
      <c r="AL130" s="11" t="s">
        <v>467</v>
      </c>
      <c r="AZ130" s="6">
        <f t="shared" si="30"/>
        <v>0</v>
      </c>
      <c r="BD130" s="6">
        <v>0</v>
      </c>
      <c r="BF130" s="6">
        <v>0</v>
      </c>
      <c r="BJ130" s="6">
        <f t="shared" si="32"/>
        <v>0</v>
      </c>
      <c r="BL130" s="6">
        <f>+'Gen Fd Rev'!AK130-'Gen Fd Exp'!BJ130</f>
        <v>0</v>
      </c>
      <c r="BR130" s="6">
        <v>0</v>
      </c>
      <c r="BT130" s="6">
        <f t="shared" si="31"/>
        <v>0</v>
      </c>
      <c r="BV130" s="7">
        <f>+BT130-'Gen Fd BS'!AC130+BR130</f>
        <v>0</v>
      </c>
    </row>
    <row r="131" spans="1:74">
      <c r="A131" s="11" t="s">
        <v>207</v>
      </c>
      <c r="B131" s="11"/>
      <c r="C131" s="11" t="s">
        <v>12</v>
      </c>
      <c r="D131" s="9"/>
      <c r="E131" s="6">
        <v>6579289</v>
      </c>
      <c r="G131" s="6">
        <v>1583568</v>
      </c>
      <c r="I131" s="6">
        <v>144096</v>
      </c>
      <c r="K131" s="6">
        <v>0</v>
      </c>
      <c r="M131" s="6">
        <v>1451992</v>
      </c>
      <c r="O131" s="6">
        <v>985378</v>
      </c>
      <c r="Q131" s="6">
        <v>770897</v>
      </c>
      <c r="S131" s="6">
        <v>26070</v>
      </c>
      <c r="U131" s="6">
        <v>1543608</v>
      </c>
      <c r="W131" s="6">
        <v>407457</v>
      </c>
      <c r="Y131" s="6">
        <v>172</v>
      </c>
      <c r="AA131" s="6">
        <v>1708043</v>
      </c>
      <c r="AC131" s="6">
        <v>604967</v>
      </c>
      <c r="AE131" s="6">
        <v>44500</v>
      </c>
      <c r="AG131" s="6">
        <v>0</v>
      </c>
      <c r="AI131" s="6">
        <v>0</v>
      </c>
      <c r="AJ131" s="11" t="s">
        <v>207</v>
      </c>
      <c r="AK131" s="11"/>
      <c r="AL131" s="11" t="s">
        <v>12</v>
      </c>
      <c r="AN131" s="6">
        <v>217666</v>
      </c>
      <c r="AP131" s="6">
        <v>0</v>
      </c>
      <c r="AT131" s="6">
        <v>112161</v>
      </c>
      <c r="AV131" s="6">
        <v>4637</v>
      </c>
      <c r="AX131" s="6">
        <v>0</v>
      </c>
      <c r="AZ131" s="6">
        <f t="shared" si="30"/>
        <v>16184501</v>
      </c>
      <c r="BB131" s="6">
        <v>0</v>
      </c>
      <c r="BD131" s="6">
        <v>0</v>
      </c>
      <c r="BF131" s="6">
        <v>0</v>
      </c>
      <c r="BH131" s="6">
        <v>0</v>
      </c>
      <c r="BJ131" s="6">
        <f t="shared" si="32"/>
        <v>16184501</v>
      </c>
      <c r="BL131" s="6">
        <f>+'Gen Fd Rev'!AK131-'Gen Fd Exp'!BJ131</f>
        <v>-4332</v>
      </c>
      <c r="BN131" s="6">
        <v>4025017</v>
      </c>
      <c r="BP131" s="6">
        <v>0</v>
      </c>
      <c r="BR131" s="6">
        <v>0</v>
      </c>
      <c r="BT131" s="6">
        <f t="shared" si="31"/>
        <v>4020685</v>
      </c>
      <c r="BV131" s="7">
        <f>+BT131-'Gen Fd BS'!AC131+BR131</f>
        <v>0</v>
      </c>
    </row>
    <row r="132" spans="1:74">
      <c r="A132" s="11" t="s">
        <v>342</v>
      </c>
      <c r="B132" s="11"/>
      <c r="C132" s="11" t="s">
        <v>343</v>
      </c>
      <c r="E132" s="6">
        <v>2705618</v>
      </c>
      <c r="G132" s="6">
        <v>342855</v>
      </c>
      <c r="I132" s="6">
        <v>71448</v>
      </c>
      <c r="K132" s="6">
        <v>0</v>
      </c>
      <c r="M132" s="6">
        <v>8936</v>
      </c>
      <c r="O132" s="6">
        <v>197448</v>
      </c>
      <c r="Q132" s="6">
        <v>176978</v>
      </c>
      <c r="S132" s="6">
        <v>13664</v>
      </c>
      <c r="U132" s="6">
        <v>491165</v>
      </c>
      <c r="W132" s="6">
        <v>232970</v>
      </c>
      <c r="Y132" s="6">
        <v>0</v>
      </c>
      <c r="AA132" s="6">
        <v>452659</v>
      </c>
      <c r="AC132" s="6">
        <v>412038</v>
      </c>
      <c r="AE132" s="6">
        <v>8978</v>
      </c>
      <c r="AG132" s="6">
        <v>0</v>
      </c>
      <c r="AI132" s="6">
        <v>0</v>
      </c>
      <c r="AJ132" s="11" t="s">
        <v>342</v>
      </c>
      <c r="AK132" s="11"/>
      <c r="AL132" s="11" t="s">
        <v>343</v>
      </c>
      <c r="AN132" s="6">
        <v>87240</v>
      </c>
      <c r="AP132" s="6">
        <v>28051</v>
      </c>
      <c r="AT132" s="6">
        <v>13731</v>
      </c>
      <c r="AV132" s="6">
        <v>979</v>
      </c>
      <c r="AX132" s="6">
        <v>0</v>
      </c>
      <c r="AZ132" s="6">
        <f t="shared" si="30"/>
        <v>5244758</v>
      </c>
      <c r="BB132" s="6">
        <v>25000</v>
      </c>
      <c r="BD132" s="6">
        <v>0</v>
      </c>
      <c r="BF132" s="6">
        <v>0</v>
      </c>
      <c r="BH132" s="6">
        <v>0</v>
      </c>
      <c r="BJ132" s="6">
        <f t="shared" si="32"/>
        <v>5269758</v>
      </c>
      <c r="BL132" s="6">
        <f>+'Gen Fd Rev'!AK132-'Gen Fd Exp'!BJ132</f>
        <v>-433926</v>
      </c>
      <c r="BN132" s="6">
        <v>750897</v>
      </c>
      <c r="BP132" s="6">
        <v>0</v>
      </c>
      <c r="BR132" s="6">
        <v>0</v>
      </c>
      <c r="BT132" s="6">
        <f t="shared" si="31"/>
        <v>316971</v>
      </c>
      <c r="BV132" s="7">
        <f>+BT132-'Gen Fd BS'!AC132+BR132</f>
        <v>0</v>
      </c>
    </row>
    <row r="133" spans="1:74" hidden="1">
      <c r="A133" s="11" t="s">
        <v>676</v>
      </c>
      <c r="B133" s="11"/>
      <c r="C133" s="11" t="s">
        <v>467</v>
      </c>
      <c r="AJ133" s="11" t="s">
        <v>676</v>
      </c>
      <c r="AK133" s="11"/>
      <c r="AL133" s="11" t="s">
        <v>467</v>
      </c>
      <c r="AZ133" s="6">
        <f t="shared" si="30"/>
        <v>0</v>
      </c>
      <c r="BD133" s="6">
        <v>0</v>
      </c>
      <c r="BF133" s="6">
        <v>0</v>
      </c>
      <c r="BJ133" s="6">
        <f t="shared" si="32"/>
        <v>0</v>
      </c>
      <c r="BL133" s="6">
        <f>+'Gen Fd Rev'!AK133-'Gen Fd Exp'!BJ133</f>
        <v>0</v>
      </c>
      <c r="BR133" s="6">
        <v>0</v>
      </c>
      <c r="BT133" s="6">
        <f t="shared" si="31"/>
        <v>0</v>
      </c>
      <c r="BV133" s="7">
        <f>+BT133-'Gen Fd BS'!AC133+BR133</f>
        <v>0</v>
      </c>
    </row>
    <row r="134" spans="1:74">
      <c r="A134" s="11" t="s">
        <v>508</v>
      </c>
      <c r="B134" s="11"/>
      <c r="C134" s="11" t="s">
        <v>63</v>
      </c>
      <c r="E134" s="6">
        <v>16491051</v>
      </c>
      <c r="G134" s="6">
        <v>2406671</v>
      </c>
      <c r="I134" s="6">
        <v>588230</v>
      </c>
      <c r="K134" s="6">
        <v>0</v>
      </c>
      <c r="M134" s="6">
        <v>0</v>
      </c>
      <c r="O134" s="6">
        <v>1790722</v>
      </c>
      <c r="Q134" s="6">
        <v>1664622</v>
      </c>
      <c r="S134" s="6">
        <v>97180</v>
      </c>
      <c r="U134" s="6">
        <v>1877274</v>
      </c>
      <c r="W134" s="6">
        <v>1005056</v>
      </c>
      <c r="Y134" s="6">
        <v>123654</v>
      </c>
      <c r="AA134" s="6">
        <v>2965436</v>
      </c>
      <c r="AC134" s="6">
        <v>1565619</v>
      </c>
      <c r="AE134" s="6">
        <v>214786</v>
      </c>
      <c r="AG134" s="6">
        <v>0</v>
      </c>
      <c r="AI134" s="6">
        <v>77001</v>
      </c>
      <c r="AJ134" s="11" t="s">
        <v>508</v>
      </c>
      <c r="AK134" s="11"/>
      <c r="AL134" s="11" t="s">
        <v>63</v>
      </c>
      <c r="AN134" s="6">
        <v>690993</v>
      </c>
      <c r="AP134" s="6">
        <v>218390</v>
      </c>
      <c r="AT134" s="6">
        <v>19853</v>
      </c>
      <c r="AV134" s="6">
        <v>5747</v>
      </c>
      <c r="AX134" s="6">
        <v>0</v>
      </c>
      <c r="AZ134" s="6">
        <f t="shared" si="30"/>
        <v>31802285</v>
      </c>
      <c r="BB134" s="6">
        <v>30000</v>
      </c>
      <c r="BD134" s="6">
        <v>0</v>
      </c>
      <c r="BF134" s="6">
        <v>0</v>
      </c>
      <c r="BH134" s="6">
        <v>0</v>
      </c>
      <c r="BJ134" s="6">
        <f t="shared" si="32"/>
        <v>31832285</v>
      </c>
      <c r="BL134" s="6">
        <f>+'Gen Fd Rev'!AK134-'Gen Fd Exp'!BJ134</f>
        <v>1709320</v>
      </c>
      <c r="BN134" s="6">
        <v>8016387</v>
      </c>
      <c r="BP134" s="6">
        <v>0</v>
      </c>
      <c r="BR134" s="6">
        <v>0</v>
      </c>
      <c r="BT134" s="6">
        <f t="shared" si="31"/>
        <v>9725707</v>
      </c>
      <c r="BV134" s="7">
        <f>+BT134-'Gen Fd BS'!AC134+BR134</f>
        <v>0</v>
      </c>
    </row>
    <row r="135" spans="1:74">
      <c r="A135" s="11" t="s">
        <v>336</v>
      </c>
      <c r="B135" s="11"/>
      <c r="C135" s="11" t="s">
        <v>33</v>
      </c>
      <c r="E135" s="6">
        <v>2933175</v>
      </c>
      <c r="G135" s="6">
        <v>398279</v>
      </c>
      <c r="I135" s="6">
        <v>242182</v>
      </c>
      <c r="K135" s="6">
        <v>0</v>
      </c>
      <c r="M135" s="6">
        <v>0</v>
      </c>
      <c r="O135" s="6">
        <v>273365</v>
      </c>
      <c r="Q135" s="6">
        <v>314434</v>
      </c>
      <c r="S135" s="6">
        <v>34949</v>
      </c>
      <c r="U135" s="6">
        <v>865770</v>
      </c>
      <c r="W135" s="6">
        <v>228959</v>
      </c>
      <c r="Y135" s="6">
        <v>0</v>
      </c>
      <c r="AA135" s="6">
        <v>602880</v>
      </c>
      <c r="AC135" s="6">
        <v>505332</v>
      </c>
      <c r="AE135" s="6">
        <v>4029</v>
      </c>
      <c r="AG135" s="6">
        <v>0</v>
      </c>
      <c r="AI135" s="6">
        <v>0</v>
      </c>
      <c r="AJ135" s="11" t="s">
        <v>336</v>
      </c>
      <c r="AK135" s="11"/>
      <c r="AL135" s="11" t="s">
        <v>33</v>
      </c>
      <c r="AN135" s="6">
        <v>168159</v>
      </c>
      <c r="AP135" s="6">
        <v>0</v>
      </c>
      <c r="AT135" s="6">
        <v>0</v>
      </c>
      <c r="AV135" s="6">
        <v>0</v>
      </c>
      <c r="AX135" s="6">
        <v>0</v>
      </c>
      <c r="AZ135" s="6">
        <f t="shared" si="30"/>
        <v>6571513</v>
      </c>
      <c r="BB135" s="6">
        <v>18136</v>
      </c>
      <c r="BD135" s="6">
        <v>0</v>
      </c>
      <c r="BF135" s="6">
        <v>0</v>
      </c>
      <c r="BH135" s="6">
        <v>0</v>
      </c>
      <c r="BJ135" s="6">
        <f t="shared" si="32"/>
        <v>6589649</v>
      </c>
      <c r="BL135" s="6">
        <f>+'Gen Fd Rev'!AK135-'Gen Fd Exp'!BJ135</f>
        <v>319924</v>
      </c>
      <c r="BN135" s="6">
        <v>87267</v>
      </c>
      <c r="BP135" s="6">
        <v>0</v>
      </c>
      <c r="BR135" s="6">
        <v>0</v>
      </c>
      <c r="BT135" s="6">
        <f t="shared" si="31"/>
        <v>407191</v>
      </c>
      <c r="BV135" s="7">
        <f>+BT135-'Gen Fd BS'!AC135+BR135</f>
        <v>0</v>
      </c>
    </row>
    <row r="136" spans="1:74">
      <c r="A136" s="11" t="s">
        <v>253</v>
      </c>
      <c r="B136" s="11"/>
      <c r="C136" s="11" t="s">
        <v>19</v>
      </c>
      <c r="D136" s="9"/>
      <c r="E136" s="6">
        <v>10123742</v>
      </c>
      <c r="G136" s="6">
        <v>0</v>
      </c>
      <c r="I136" s="6">
        <v>0</v>
      </c>
      <c r="K136" s="6">
        <v>0</v>
      </c>
      <c r="M136" s="6">
        <v>0</v>
      </c>
      <c r="O136" s="6">
        <v>733173</v>
      </c>
      <c r="Q136" s="6">
        <v>481849</v>
      </c>
      <c r="S136" s="6">
        <v>25740</v>
      </c>
      <c r="U136" s="6">
        <v>1336561</v>
      </c>
      <c r="W136" s="6">
        <v>472139</v>
      </c>
      <c r="Y136" s="6">
        <v>299176</v>
      </c>
      <c r="AA136" s="6">
        <v>1485372</v>
      </c>
      <c r="AC136" s="6">
        <v>286929</v>
      </c>
      <c r="AE136" s="6">
        <v>32103</v>
      </c>
      <c r="AG136" s="6">
        <v>0</v>
      </c>
      <c r="AI136" s="6">
        <v>1515</v>
      </c>
      <c r="AJ136" s="11" t="s">
        <v>253</v>
      </c>
      <c r="AK136" s="11"/>
      <c r="AL136" s="11" t="s">
        <v>19</v>
      </c>
      <c r="AN136" s="6">
        <v>196743</v>
      </c>
      <c r="AP136" s="6">
        <v>0</v>
      </c>
      <c r="AT136" s="6">
        <v>0</v>
      </c>
      <c r="AV136" s="6">
        <v>0</v>
      </c>
      <c r="AX136" s="6">
        <v>0</v>
      </c>
      <c r="AZ136" s="6">
        <f t="shared" si="30"/>
        <v>15475042</v>
      </c>
      <c r="BB136" s="6">
        <v>22337</v>
      </c>
      <c r="BD136" s="6">
        <v>0</v>
      </c>
      <c r="BF136" s="6">
        <v>0</v>
      </c>
      <c r="BH136" s="6">
        <v>0</v>
      </c>
      <c r="BJ136" s="6">
        <f t="shared" si="32"/>
        <v>15497379</v>
      </c>
      <c r="BL136" s="6">
        <f>+'Gen Fd Rev'!AK136-'Gen Fd Exp'!BJ136</f>
        <v>906460</v>
      </c>
      <c r="BN136" s="6">
        <v>811732</v>
      </c>
      <c r="BP136" s="6">
        <v>0</v>
      </c>
      <c r="BR136" s="6">
        <v>0</v>
      </c>
      <c r="BT136" s="6">
        <f>+BN136+BL136-BP136</f>
        <v>1718192</v>
      </c>
      <c r="BV136" s="7">
        <f>+BT136-'Gen Fd BS'!AC136+BR136</f>
        <v>0</v>
      </c>
    </row>
    <row r="137" spans="1:74">
      <c r="A137" s="11" t="s">
        <v>604</v>
      </c>
      <c r="B137" s="11"/>
      <c r="C137" s="11" t="s">
        <v>63</v>
      </c>
      <c r="D137" s="9"/>
      <c r="E137" s="6">
        <v>9627941</v>
      </c>
      <c r="G137" s="6">
        <v>1959252</v>
      </c>
      <c r="I137" s="6">
        <v>85375</v>
      </c>
      <c r="K137" s="6">
        <v>0</v>
      </c>
      <c r="M137" s="6">
        <v>822468</v>
      </c>
      <c r="O137" s="6">
        <v>1058448</v>
      </c>
      <c r="Q137" s="6">
        <v>1052110</v>
      </c>
      <c r="S137" s="6">
        <v>53233</v>
      </c>
      <c r="U137" s="6">
        <v>1524153</v>
      </c>
      <c r="W137" s="6">
        <v>435686</v>
      </c>
      <c r="Y137" s="6">
        <v>47539</v>
      </c>
      <c r="AA137" s="6">
        <v>2262215</v>
      </c>
      <c r="AC137" s="6">
        <v>1265612</v>
      </c>
      <c r="AE137" s="6">
        <v>219882</v>
      </c>
      <c r="AG137" s="6">
        <v>0</v>
      </c>
      <c r="AI137" s="6">
        <v>53162</v>
      </c>
      <c r="AJ137" s="11" t="s">
        <v>604</v>
      </c>
      <c r="AK137" s="11"/>
      <c r="AL137" s="11" t="s">
        <v>63</v>
      </c>
      <c r="AN137" s="6">
        <v>349621</v>
      </c>
      <c r="AP137" s="6">
        <v>63207</v>
      </c>
      <c r="AT137" s="6">
        <v>300779</v>
      </c>
      <c r="AV137" s="6">
        <v>176931</v>
      </c>
      <c r="AX137" s="6">
        <v>0</v>
      </c>
      <c r="AZ137" s="6">
        <f t="shared" ref="AZ137:AZ159" si="33">SUM(E137:AX137)</f>
        <v>21357614</v>
      </c>
      <c r="BB137" s="6">
        <v>0</v>
      </c>
      <c r="BD137" s="6">
        <v>0</v>
      </c>
      <c r="BF137" s="6">
        <v>0</v>
      </c>
      <c r="BH137" s="6">
        <v>0</v>
      </c>
      <c r="BJ137" s="6">
        <f t="shared" si="32"/>
        <v>21357614</v>
      </c>
      <c r="BL137" s="6">
        <f>+'Gen Fd Rev'!AK137-'Gen Fd Exp'!BJ137</f>
        <v>743508</v>
      </c>
      <c r="BN137" s="6">
        <v>-3253101</v>
      </c>
      <c r="BP137" s="6">
        <v>0</v>
      </c>
      <c r="BR137" s="6">
        <v>0</v>
      </c>
      <c r="BT137" s="6">
        <f t="shared" si="31"/>
        <v>-2509593</v>
      </c>
      <c r="BV137" s="7">
        <f>+BT137-'Gen Fd BS'!AC137+BR137</f>
        <v>0</v>
      </c>
    </row>
    <row r="138" spans="1:74">
      <c r="A138" s="11" t="s">
        <v>758</v>
      </c>
      <c r="B138" s="11"/>
      <c r="C138" s="11" t="s">
        <v>48</v>
      </c>
      <c r="E138" s="6">
        <v>3418008</v>
      </c>
      <c r="G138" s="6">
        <v>796125</v>
      </c>
      <c r="I138" s="6">
        <v>0</v>
      </c>
      <c r="K138" s="6">
        <v>0</v>
      </c>
      <c r="M138" s="6">
        <v>4949</v>
      </c>
      <c r="O138" s="6">
        <v>342548</v>
      </c>
      <c r="Q138" s="6">
        <v>242907</v>
      </c>
      <c r="S138" s="6">
        <v>10297</v>
      </c>
      <c r="U138" s="6">
        <v>757303</v>
      </c>
      <c r="W138" s="6">
        <v>255230</v>
      </c>
      <c r="Y138" s="6">
        <v>0</v>
      </c>
      <c r="AA138" s="6">
        <v>584421</v>
      </c>
      <c r="AC138" s="6">
        <v>413802</v>
      </c>
      <c r="AE138" s="6">
        <v>135758</v>
      </c>
      <c r="AG138" s="6">
        <v>0</v>
      </c>
      <c r="AI138" s="6">
        <v>62144</v>
      </c>
      <c r="AJ138" s="11" t="s">
        <v>758</v>
      </c>
      <c r="AK138" s="11"/>
      <c r="AL138" s="11" t="s">
        <v>48</v>
      </c>
      <c r="AN138" s="6">
        <v>251562</v>
      </c>
      <c r="AP138" s="6">
        <f>300+46290</f>
        <v>46590</v>
      </c>
      <c r="AT138" s="6">
        <v>91240</v>
      </c>
      <c r="AV138" s="6">
        <v>8613</v>
      </c>
      <c r="AX138" s="6">
        <v>0</v>
      </c>
      <c r="AZ138" s="6">
        <f t="shared" si="33"/>
        <v>7421497</v>
      </c>
      <c r="BB138" s="6">
        <v>0</v>
      </c>
      <c r="BD138" s="6">
        <v>0</v>
      </c>
      <c r="BF138" s="6">
        <v>0</v>
      </c>
      <c r="BH138" s="6">
        <v>0</v>
      </c>
      <c r="BJ138" s="6">
        <f t="shared" si="32"/>
        <v>7421497</v>
      </c>
      <c r="BL138" s="6">
        <f>+'Gen Fd Rev'!AK138-'Gen Fd Exp'!BJ138</f>
        <v>15191</v>
      </c>
      <c r="BN138" s="6">
        <v>1356296</v>
      </c>
      <c r="BP138" s="6">
        <v>0</v>
      </c>
      <c r="BR138" s="6">
        <v>0</v>
      </c>
      <c r="BT138" s="6">
        <f t="shared" si="31"/>
        <v>1371487</v>
      </c>
      <c r="BV138" s="7">
        <f>+BT138-'Gen Fd BS'!AC138+BR138</f>
        <v>0</v>
      </c>
    </row>
    <row r="139" spans="1:74" hidden="1">
      <c r="A139" s="11" t="s">
        <v>831</v>
      </c>
      <c r="B139" s="11"/>
      <c r="C139" s="11" t="s">
        <v>111</v>
      </c>
      <c r="AJ139" s="11" t="s">
        <v>831</v>
      </c>
      <c r="AK139" s="11"/>
      <c r="AL139" s="11" t="s">
        <v>111</v>
      </c>
      <c r="AZ139" s="6">
        <f t="shared" si="33"/>
        <v>0</v>
      </c>
      <c r="BD139" s="6">
        <v>0</v>
      </c>
      <c r="BF139" s="6">
        <v>0</v>
      </c>
      <c r="BJ139" s="6">
        <f t="shared" si="32"/>
        <v>0</v>
      </c>
      <c r="BL139" s="6">
        <f>+'Gen Fd Rev'!AK139-'Gen Fd Exp'!BJ139</f>
        <v>0</v>
      </c>
      <c r="BR139" s="6">
        <v>0</v>
      </c>
      <c r="BT139" s="6">
        <f t="shared" si="31"/>
        <v>0</v>
      </c>
      <c r="BV139" s="7">
        <f>+BT139-'Gen Fd BS'!AC139+BR139</f>
        <v>0</v>
      </c>
    </row>
    <row r="140" spans="1:74">
      <c r="A140" s="11" t="s">
        <v>247</v>
      </c>
      <c r="B140" s="11"/>
      <c r="C140" s="11" t="s">
        <v>112</v>
      </c>
      <c r="D140" s="9"/>
      <c r="E140" s="6">
        <v>5319513</v>
      </c>
      <c r="G140" s="6">
        <v>892301</v>
      </c>
      <c r="I140" s="6">
        <v>85539</v>
      </c>
      <c r="K140" s="6">
        <v>0</v>
      </c>
      <c r="M140" s="6">
        <v>65088</v>
      </c>
      <c r="O140" s="6">
        <v>547235</v>
      </c>
      <c r="Q140" s="6">
        <v>384903</v>
      </c>
      <c r="S140" s="6">
        <v>22588</v>
      </c>
      <c r="U140" s="6">
        <v>925285</v>
      </c>
      <c r="W140" s="6">
        <v>332753</v>
      </c>
      <c r="Y140" s="6">
        <v>0</v>
      </c>
      <c r="AA140" s="6">
        <v>1070897</v>
      </c>
      <c r="AC140" s="6">
        <v>665219</v>
      </c>
      <c r="AE140" s="6">
        <v>25703</v>
      </c>
      <c r="AG140" s="6">
        <v>0</v>
      </c>
      <c r="AI140" s="6">
        <v>0</v>
      </c>
      <c r="AJ140" s="11" t="s">
        <v>247</v>
      </c>
      <c r="AK140" s="11"/>
      <c r="AL140" s="11" t="s">
        <v>112</v>
      </c>
      <c r="AN140" s="6">
        <v>192641</v>
      </c>
      <c r="AP140" s="6">
        <v>270240</v>
      </c>
      <c r="AT140" s="6">
        <v>19720</v>
      </c>
      <c r="AV140" s="6">
        <v>8030</v>
      </c>
      <c r="AX140" s="6">
        <v>0</v>
      </c>
      <c r="AZ140" s="6">
        <f t="shared" si="33"/>
        <v>10827655</v>
      </c>
      <c r="BB140" s="6">
        <v>15000</v>
      </c>
      <c r="BD140" s="6">
        <v>0</v>
      </c>
      <c r="BF140" s="6">
        <v>0</v>
      </c>
      <c r="BH140" s="6">
        <v>0</v>
      </c>
      <c r="BJ140" s="6">
        <f t="shared" si="32"/>
        <v>10842655</v>
      </c>
      <c r="BL140" s="6">
        <f>+'Gen Fd Rev'!AK140-'Gen Fd Exp'!BJ140</f>
        <v>52964</v>
      </c>
      <c r="BN140" s="6">
        <v>843730</v>
      </c>
      <c r="BP140" s="6">
        <v>0</v>
      </c>
      <c r="BR140" s="6">
        <v>0</v>
      </c>
      <c r="BT140" s="6">
        <f t="shared" si="31"/>
        <v>896694</v>
      </c>
      <c r="BV140" s="7">
        <f>+BT140-'Gen Fd BS'!AC140+BR140</f>
        <v>0</v>
      </c>
    </row>
    <row r="141" spans="1:74">
      <c r="A141" s="11" t="s">
        <v>247</v>
      </c>
      <c r="B141" s="11"/>
      <c r="C141" s="11" t="s">
        <v>110</v>
      </c>
      <c r="E141" s="6">
        <v>4880589</v>
      </c>
      <c r="G141" s="6">
        <v>561735</v>
      </c>
      <c r="I141" s="6">
        <v>0</v>
      </c>
      <c r="K141" s="6">
        <v>0</v>
      </c>
      <c r="M141" s="6">
        <v>249756</v>
      </c>
      <c r="O141" s="6">
        <v>524158</v>
      </c>
      <c r="Q141" s="6">
        <v>425604</v>
      </c>
      <c r="S141" s="6">
        <v>94246</v>
      </c>
      <c r="U141" s="6">
        <v>752207</v>
      </c>
      <c r="W141" s="6">
        <v>264687</v>
      </c>
      <c r="Y141" s="6">
        <v>720</v>
      </c>
      <c r="AA141" s="6">
        <v>987501</v>
      </c>
      <c r="AC141" s="6">
        <v>766475</v>
      </c>
      <c r="AE141" s="6">
        <v>16124</v>
      </c>
      <c r="AG141" s="6">
        <v>0</v>
      </c>
      <c r="AI141" s="6">
        <v>0</v>
      </c>
      <c r="AJ141" s="11" t="s">
        <v>247</v>
      </c>
      <c r="AK141" s="11"/>
      <c r="AL141" s="11" t="s">
        <v>110</v>
      </c>
      <c r="AN141" s="6">
        <v>288444</v>
      </c>
      <c r="AP141" s="6">
        <v>1576</v>
      </c>
      <c r="AT141" s="6">
        <v>0</v>
      </c>
      <c r="AV141" s="6">
        <v>32480</v>
      </c>
      <c r="AX141" s="6">
        <v>0</v>
      </c>
      <c r="AZ141" s="6">
        <f t="shared" si="33"/>
        <v>9846302</v>
      </c>
      <c r="BB141" s="6">
        <v>465000</v>
      </c>
      <c r="BD141" s="6">
        <v>0</v>
      </c>
      <c r="BF141" s="6">
        <v>0</v>
      </c>
      <c r="BH141" s="6">
        <v>0</v>
      </c>
      <c r="BJ141" s="6">
        <f t="shared" si="32"/>
        <v>10311302</v>
      </c>
      <c r="BL141" s="6">
        <f>+'Gen Fd Rev'!AK141-'Gen Fd Exp'!BJ141</f>
        <v>-452825</v>
      </c>
      <c r="BN141" s="6">
        <v>5990368</v>
      </c>
      <c r="BP141" s="6">
        <v>0</v>
      </c>
      <c r="BR141" s="6">
        <v>0</v>
      </c>
      <c r="BT141" s="6">
        <f t="shared" si="31"/>
        <v>5537543</v>
      </c>
      <c r="BV141" s="7">
        <f>+BT141-'Gen Fd BS'!AC141+BR141</f>
        <v>0</v>
      </c>
    </row>
    <row r="142" spans="1:74" hidden="1">
      <c r="A142" s="11" t="s">
        <v>655</v>
      </c>
      <c r="B142" s="11"/>
      <c r="C142" s="11" t="s">
        <v>67</v>
      </c>
      <c r="AJ142" s="11" t="s">
        <v>655</v>
      </c>
      <c r="AK142" s="11"/>
      <c r="AL142" s="11" t="s">
        <v>67</v>
      </c>
      <c r="AZ142" s="6">
        <f t="shared" si="33"/>
        <v>0</v>
      </c>
      <c r="BD142" s="6">
        <v>0</v>
      </c>
      <c r="BF142" s="6">
        <v>0</v>
      </c>
      <c r="BJ142" s="6">
        <f t="shared" si="32"/>
        <v>0</v>
      </c>
      <c r="BL142" s="6">
        <f>+'Gen Fd Rev'!AK142-'Gen Fd Exp'!BJ142</f>
        <v>0</v>
      </c>
      <c r="BR142" s="6">
        <v>0</v>
      </c>
      <c r="BT142" s="6">
        <f t="shared" si="31"/>
        <v>0</v>
      </c>
      <c r="BV142" s="7">
        <f>+BT142-'Gen Fd BS'!AC142+BR142</f>
        <v>0</v>
      </c>
    </row>
    <row r="143" spans="1:74">
      <c r="A143" s="11" t="s">
        <v>718</v>
      </c>
      <c r="B143" s="11"/>
      <c r="C143" s="11" t="s">
        <v>56</v>
      </c>
      <c r="E143" s="6">
        <v>8936961</v>
      </c>
      <c r="G143" s="6">
        <v>1621498</v>
      </c>
      <c r="I143" s="6">
        <v>108114</v>
      </c>
      <c r="K143" s="6">
        <v>64</v>
      </c>
      <c r="M143" s="6">
        <f>66400+1154201</f>
        <v>1220601</v>
      </c>
      <c r="O143" s="6">
        <v>764381</v>
      </c>
      <c r="Q143" s="6">
        <v>916054</v>
      </c>
      <c r="S143" s="6">
        <v>20410</v>
      </c>
      <c r="U143" s="6">
        <v>2206042</v>
      </c>
      <c r="W143" s="6">
        <v>507776</v>
      </c>
      <c r="Y143" s="6">
        <v>21731</v>
      </c>
      <c r="AA143" s="6">
        <v>2004315</v>
      </c>
      <c r="AC143" s="6">
        <v>1371652</v>
      </c>
      <c r="AE143" s="6">
        <v>365706</v>
      </c>
      <c r="AG143" s="6">
        <v>0</v>
      </c>
      <c r="AI143" s="6">
        <v>0</v>
      </c>
      <c r="AJ143" s="11" t="s">
        <v>718</v>
      </c>
      <c r="AK143" s="11"/>
      <c r="AL143" s="11" t="s">
        <v>56</v>
      </c>
      <c r="AN143" s="6">
        <v>500609</v>
      </c>
      <c r="AP143" s="6">
        <v>1425</v>
      </c>
      <c r="AT143" s="6">
        <v>0</v>
      </c>
      <c r="AV143" s="6">
        <v>0</v>
      </c>
      <c r="AX143" s="6">
        <v>0</v>
      </c>
      <c r="AZ143" s="6">
        <f t="shared" si="33"/>
        <v>20567339</v>
      </c>
      <c r="BB143" s="6">
        <v>6902</v>
      </c>
      <c r="BD143" s="6">
        <v>0</v>
      </c>
      <c r="BF143" s="6">
        <v>0</v>
      </c>
      <c r="BH143" s="6">
        <v>0</v>
      </c>
      <c r="BJ143" s="6">
        <f t="shared" si="32"/>
        <v>20574241</v>
      </c>
      <c r="BL143" s="6">
        <f>+'Gen Fd Rev'!AK143-'Gen Fd Exp'!BJ143</f>
        <v>-1478726</v>
      </c>
      <c r="BN143" s="6">
        <v>2335070</v>
      </c>
      <c r="BP143" s="6">
        <v>0</v>
      </c>
      <c r="BR143" s="6">
        <v>0</v>
      </c>
      <c r="BT143" s="6">
        <f t="shared" si="31"/>
        <v>856344</v>
      </c>
      <c r="BV143" s="7">
        <f>+BT143-'Gen Fd BS'!AC143+BR143</f>
        <v>0</v>
      </c>
    </row>
    <row r="144" spans="1:74">
      <c r="A144" s="11" t="s">
        <v>759</v>
      </c>
      <c r="B144" s="11"/>
      <c r="C144" s="11" t="s">
        <v>451</v>
      </c>
      <c r="E144" s="6">
        <v>5887353</v>
      </c>
      <c r="G144" s="6">
        <v>0</v>
      </c>
      <c r="I144" s="6">
        <v>0</v>
      </c>
      <c r="K144" s="6">
        <v>0</v>
      </c>
      <c r="M144" s="6">
        <v>0</v>
      </c>
      <c r="O144" s="6">
        <v>461038</v>
      </c>
      <c r="Q144" s="6">
        <v>221979</v>
      </c>
      <c r="S144" s="6">
        <v>47184</v>
      </c>
      <c r="U144" s="6">
        <v>955830</v>
      </c>
      <c r="W144" s="6">
        <v>280236</v>
      </c>
      <c r="Y144" s="6">
        <v>0</v>
      </c>
      <c r="AA144" s="6">
        <v>927434</v>
      </c>
      <c r="AC144" s="6">
        <v>613425</v>
      </c>
      <c r="AE144" s="6">
        <v>0</v>
      </c>
      <c r="AG144" s="6">
        <v>0</v>
      </c>
      <c r="AI144" s="6">
        <v>0</v>
      </c>
      <c r="AJ144" s="11" t="s">
        <v>759</v>
      </c>
      <c r="AK144" s="11"/>
      <c r="AL144" s="11" t="s">
        <v>451</v>
      </c>
      <c r="AN144" s="6">
        <v>157380</v>
      </c>
      <c r="AP144" s="6">
        <v>477739</v>
      </c>
      <c r="AT144" s="6">
        <v>64063</v>
      </c>
      <c r="AV144" s="6">
        <v>37276</v>
      </c>
      <c r="AX144" s="6">
        <v>0</v>
      </c>
      <c r="AZ144" s="6">
        <f t="shared" si="33"/>
        <v>10130937</v>
      </c>
      <c r="BB144" s="6">
        <v>4092</v>
      </c>
      <c r="BD144" s="6">
        <v>0</v>
      </c>
      <c r="BF144" s="6">
        <v>0</v>
      </c>
      <c r="BH144" s="6">
        <v>18800</v>
      </c>
      <c r="BJ144" s="6">
        <f t="shared" si="32"/>
        <v>10153829</v>
      </c>
      <c r="BL144" s="6">
        <f>+'Gen Fd Rev'!AK144-'Gen Fd Exp'!BJ144</f>
        <v>-177728</v>
      </c>
      <c r="BN144" s="6">
        <v>141364</v>
      </c>
      <c r="BP144" s="6">
        <v>0</v>
      </c>
      <c r="BR144" s="6">
        <v>0</v>
      </c>
      <c r="BT144" s="6">
        <f t="shared" si="31"/>
        <v>-36364</v>
      </c>
      <c r="BV144" s="7">
        <f>+BT144-'Gen Fd BS'!AC144+BR144</f>
        <v>0</v>
      </c>
    </row>
    <row r="145" spans="1:74">
      <c r="A145" s="11" t="s">
        <v>656</v>
      </c>
      <c r="B145" s="11"/>
      <c r="C145" s="11" t="s">
        <v>63</v>
      </c>
      <c r="E145" s="6">
        <v>20133686</v>
      </c>
      <c r="G145" s="6">
        <v>4083177</v>
      </c>
      <c r="I145" s="6">
        <v>1008497</v>
      </c>
      <c r="K145" s="6">
        <v>0</v>
      </c>
      <c r="M145" s="6">
        <v>5167683</v>
      </c>
      <c r="O145" s="6">
        <v>2715806</v>
      </c>
      <c r="Q145" s="6">
        <v>1568513</v>
      </c>
      <c r="S145" s="6">
        <v>65051</v>
      </c>
      <c r="U145" s="6">
        <v>2635882</v>
      </c>
      <c r="W145" s="6">
        <v>958042</v>
      </c>
      <c r="Y145" s="6">
        <v>389038</v>
      </c>
      <c r="AA145" s="6">
        <v>4199614</v>
      </c>
      <c r="AC145" s="6">
        <v>1269306</v>
      </c>
      <c r="AE145" s="6">
        <v>409950</v>
      </c>
      <c r="AG145" s="6">
        <v>0</v>
      </c>
      <c r="AI145" s="6">
        <v>182053</v>
      </c>
      <c r="AJ145" s="11" t="s">
        <v>656</v>
      </c>
      <c r="AK145" s="11"/>
      <c r="AL145" s="11" t="s">
        <v>63</v>
      </c>
      <c r="AN145" s="6">
        <v>855422</v>
      </c>
      <c r="AP145" s="6">
        <v>0</v>
      </c>
      <c r="AT145" s="6">
        <v>106223</v>
      </c>
      <c r="AV145" s="6">
        <v>3893</v>
      </c>
      <c r="AX145" s="6">
        <v>0</v>
      </c>
      <c r="AZ145" s="6">
        <f t="shared" si="33"/>
        <v>45751836</v>
      </c>
      <c r="BB145" s="6">
        <v>26364</v>
      </c>
      <c r="BD145" s="6">
        <v>0</v>
      </c>
      <c r="BF145" s="6">
        <v>0</v>
      </c>
      <c r="BH145" s="6">
        <v>0</v>
      </c>
      <c r="BJ145" s="6">
        <f t="shared" si="32"/>
        <v>45778200</v>
      </c>
      <c r="BL145" s="6">
        <f>+'Gen Fd Rev'!AK145-'Gen Fd Exp'!BJ145</f>
        <v>-658813</v>
      </c>
      <c r="BN145" s="6">
        <v>3110926</v>
      </c>
      <c r="BP145" s="6">
        <v>0</v>
      </c>
      <c r="BR145" s="6">
        <v>0</v>
      </c>
      <c r="BT145" s="6">
        <f t="shared" si="31"/>
        <v>2452113</v>
      </c>
      <c r="BV145" s="7">
        <f>+BT145-'Gen Fd BS'!AC145+BR145</f>
        <v>0</v>
      </c>
    </row>
    <row r="146" spans="1:74">
      <c r="A146" s="11" t="s">
        <v>719</v>
      </c>
      <c r="B146" s="11"/>
      <c r="C146" s="11" t="s">
        <v>20</v>
      </c>
      <c r="E146" s="6">
        <v>6228928</v>
      </c>
      <c r="G146" s="6">
        <v>1312373</v>
      </c>
      <c r="I146" s="6">
        <v>0</v>
      </c>
      <c r="K146" s="6">
        <v>0</v>
      </c>
      <c r="M146" s="6">
        <v>6980</v>
      </c>
      <c r="O146" s="6">
        <v>785809</v>
      </c>
      <c r="Q146" s="6">
        <v>544267</v>
      </c>
      <c r="S146" s="6">
        <v>55651</v>
      </c>
      <c r="U146" s="6">
        <v>1340763</v>
      </c>
      <c r="W146" s="6">
        <v>605320</v>
      </c>
      <c r="Y146" s="6">
        <v>102043</v>
      </c>
      <c r="AA146" s="6">
        <v>1349957</v>
      </c>
      <c r="AC146" s="6">
        <v>759808</v>
      </c>
      <c r="AE146" s="6">
        <v>207738</v>
      </c>
      <c r="AG146" s="6">
        <v>0</v>
      </c>
      <c r="AI146" s="6">
        <v>90649</v>
      </c>
      <c r="AJ146" s="11" t="s">
        <v>719</v>
      </c>
      <c r="AK146" s="11"/>
      <c r="AL146" s="11" t="s">
        <v>20</v>
      </c>
      <c r="AN146" s="6">
        <v>689445</v>
      </c>
      <c r="AP146" s="6">
        <v>0</v>
      </c>
      <c r="AT146" s="6">
        <v>15480</v>
      </c>
      <c r="AV146" s="6">
        <v>1850</v>
      </c>
      <c r="AX146" s="6">
        <v>0</v>
      </c>
      <c r="AZ146" s="6">
        <f t="shared" si="33"/>
        <v>14097061</v>
      </c>
      <c r="BB146" s="6">
        <v>127000</v>
      </c>
      <c r="BD146" s="6">
        <v>0</v>
      </c>
      <c r="BF146" s="6">
        <v>0</v>
      </c>
      <c r="BH146" s="6">
        <v>0</v>
      </c>
      <c r="BJ146" s="6">
        <f t="shared" si="32"/>
        <v>14224061</v>
      </c>
      <c r="BL146" s="6">
        <f>+'Gen Fd Rev'!AK146-'Gen Fd Exp'!BJ146</f>
        <v>-761930</v>
      </c>
      <c r="BN146" s="6">
        <v>1392526</v>
      </c>
      <c r="BP146" s="6">
        <v>0</v>
      </c>
      <c r="BR146" s="6">
        <v>0</v>
      </c>
      <c r="BT146" s="6">
        <f t="shared" si="31"/>
        <v>630596</v>
      </c>
      <c r="BV146" s="7">
        <f>+BT146-'Gen Fd BS'!AC146+BR146</f>
        <v>0</v>
      </c>
    </row>
    <row r="147" spans="1:74">
      <c r="A147" s="11" t="s">
        <v>609</v>
      </c>
      <c r="B147" s="11"/>
      <c r="C147" s="11" t="s">
        <v>71</v>
      </c>
      <c r="E147" s="6">
        <v>3031649</v>
      </c>
      <c r="G147" s="6">
        <v>479371</v>
      </c>
      <c r="I147" s="6">
        <v>223514</v>
      </c>
      <c r="K147" s="6">
        <v>0</v>
      </c>
      <c r="M147" s="6">
        <v>331263</v>
      </c>
      <c r="O147" s="6">
        <v>406695</v>
      </c>
      <c r="Q147" s="6">
        <v>521785</v>
      </c>
      <c r="S147" s="6">
        <v>25159</v>
      </c>
      <c r="U147" s="6">
        <v>639593</v>
      </c>
      <c r="W147" s="6">
        <v>295882</v>
      </c>
      <c r="Y147" s="6">
        <v>0</v>
      </c>
      <c r="AA147" s="6">
        <v>695407</v>
      </c>
      <c r="AC147" s="6">
        <v>443422</v>
      </c>
      <c r="AE147" s="6">
        <v>25677</v>
      </c>
      <c r="AG147" s="6">
        <v>0</v>
      </c>
      <c r="AI147" s="6">
        <v>0</v>
      </c>
      <c r="AJ147" s="11" t="s">
        <v>609</v>
      </c>
      <c r="AK147" s="11"/>
      <c r="AL147" s="11" t="s">
        <v>71</v>
      </c>
      <c r="AN147" s="6">
        <v>267545</v>
      </c>
      <c r="AP147" s="6">
        <v>8321</v>
      </c>
      <c r="AT147" s="6">
        <v>18555</v>
      </c>
      <c r="AV147" s="6">
        <v>1204</v>
      </c>
      <c r="AX147" s="6">
        <v>0</v>
      </c>
      <c r="AZ147" s="6">
        <f>SUM(E147:AX147)</f>
        <v>7415042</v>
      </c>
      <c r="BB147" s="6">
        <v>12854</v>
      </c>
      <c r="BD147" s="6">
        <v>0</v>
      </c>
      <c r="BF147" s="6">
        <v>0</v>
      </c>
      <c r="BH147" s="6">
        <v>0</v>
      </c>
      <c r="BJ147" s="6">
        <f>+AZ147+BB147+BD147+BH147</f>
        <v>7427896</v>
      </c>
      <c r="BL147" s="6">
        <f>+'Gen Fd Rev'!AK147-'Gen Fd Exp'!BJ147</f>
        <v>299383</v>
      </c>
      <c r="BN147" s="6">
        <v>347386</v>
      </c>
      <c r="BP147" s="6">
        <v>0</v>
      </c>
      <c r="BR147" s="6">
        <v>0</v>
      </c>
      <c r="BT147" s="6">
        <f t="shared" si="31"/>
        <v>646769</v>
      </c>
      <c r="BV147" s="7">
        <f>+BT147-'Gen Fd BS'!AC147+BR147</f>
        <v>0</v>
      </c>
    </row>
    <row r="148" spans="1:74" hidden="1">
      <c r="A148" s="11" t="s">
        <v>741</v>
      </c>
      <c r="B148" s="11"/>
      <c r="C148" s="11" t="s">
        <v>53</v>
      </c>
      <c r="AJ148" s="11" t="s">
        <v>741</v>
      </c>
      <c r="AK148" s="11"/>
      <c r="AL148" s="11" t="s">
        <v>53</v>
      </c>
      <c r="AZ148" s="6">
        <f t="shared" si="33"/>
        <v>0</v>
      </c>
      <c r="BJ148" s="6">
        <f>+AZ148+BB148+BD148+BH148</f>
        <v>0</v>
      </c>
      <c r="BL148" s="6">
        <f>+'Gen Fd Rev'!AK148-'Gen Fd Exp'!BJ148</f>
        <v>0</v>
      </c>
      <c r="BR148" s="6">
        <v>0</v>
      </c>
      <c r="BT148" s="6">
        <f t="shared" si="31"/>
        <v>0</v>
      </c>
      <c r="BV148" s="7">
        <f>+BT148-'Gen Fd BS'!AC148+BR148</f>
        <v>0</v>
      </c>
    </row>
    <row r="149" spans="1:74" hidden="1">
      <c r="A149" s="11" t="s">
        <v>657</v>
      </c>
      <c r="B149" s="11"/>
      <c r="C149" s="11" t="s">
        <v>40</v>
      </c>
      <c r="AJ149" s="11" t="s">
        <v>657</v>
      </c>
      <c r="AK149" s="11"/>
      <c r="AL149" s="11" t="s">
        <v>40</v>
      </c>
      <c r="AZ149" s="6">
        <f t="shared" si="33"/>
        <v>0</v>
      </c>
      <c r="BJ149" s="6">
        <f t="shared" si="32"/>
        <v>0</v>
      </c>
      <c r="BL149" s="6">
        <f>+'Gen Fd Rev'!AK149-'Gen Fd Exp'!BJ149</f>
        <v>0</v>
      </c>
      <c r="BR149" s="6">
        <v>0</v>
      </c>
      <c r="BT149" s="6">
        <f t="shared" si="31"/>
        <v>0</v>
      </c>
      <c r="BV149" s="7">
        <f>+BT149-'Gen Fd BS'!AC149+BR149</f>
        <v>0</v>
      </c>
    </row>
    <row r="150" spans="1:74">
      <c r="A150" s="11" t="s">
        <v>367</v>
      </c>
      <c r="B150" s="11"/>
      <c r="C150" s="11" t="s">
        <v>366</v>
      </c>
      <c r="E150" s="6">
        <v>5341651</v>
      </c>
      <c r="G150" s="6">
        <v>217202</v>
      </c>
      <c r="I150" s="6">
        <v>207852</v>
      </c>
      <c r="K150" s="6">
        <v>0</v>
      </c>
      <c r="M150" s="6">
        <v>0</v>
      </c>
      <c r="O150" s="6">
        <v>591715</v>
      </c>
      <c r="Q150" s="6">
        <v>254393</v>
      </c>
      <c r="S150" s="6">
        <v>31733</v>
      </c>
      <c r="U150" s="6">
        <v>786292</v>
      </c>
      <c r="W150" s="6">
        <v>526765</v>
      </c>
      <c r="Y150" s="6">
        <v>56363</v>
      </c>
      <c r="AA150" s="6">
        <v>1054151</v>
      </c>
      <c r="AC150" s="6">
        <v>657191</v>
      </c>
      <c r="AE150" s="6">
        <v>240112</v>
      </c>
      <c r="AG150" s="6">
        <v>0</v>
      </c>
      <c r="AI150" s="6">
        <v>13379</v>
      </c>
      <c r="AJ150" s="11" t="s">
        <v>367</v>
      </c>
      <c r="AK150" s="11"/>
      <c r="AL150" s="11" t="s">
        <v>366</v>
      </c>
      <c r="AN150" s="6">
        <v>280826</v>
      </c>
      <c r="AP150" s="6">
        <v>0</v>
      </c>
      <c r="AT150" s="6">
        <v>0</v>
      </c>
      <c r="AV150" s="6">
        <v>0</v>
      </c>
      <c r="AX150" s="6">
        <v>0</v>
      </c>
      <c r="AZ150" s="6">
        <f t="shared" si="33"/>
        <v>10259625</v>
      </c>
      <c r="BB150" s="6">
        <v>652764</v>
      </c>
      <c r="BD150" s="6">
        <v>0</v>
      </c>
      <c r="BF150" s="6">
        <v>0</v>
      </c>
      <c r="BH150" s="6">
        <v>0</v>
      </c>
      <c r="BJ150" s="6">
        <f t="shared" si="32"/>
        <v>10912389</v>
      </c>
      <c r="BL150" s="6">
        <f>+'Gen Fd Rev'!AK150-'Gen Fd Exp'!BJ150</f>
        <v>378038</v>
      </c>
      <c r="BN150" s="6">
        <v>2739438</v>
      </c>
      <c r="BP150" s="6">
        <v>0</v>
      </c>
      <c r="BR150" s="6">
        <v>0</v>
      </c>
      <c r="BT150" s="6">
        <f t="shared" si="31"/>
        <v>3117476</v>
      </c>
      <c r="BV150" s="7">
        <f>+BT150-'Gen Fd BS'!AC150+BR150</f>
        <v>0</v>
      </c>
    </row>
    <row r="151" spans="1:74">
      <c r="A151" s="11" t="s">
        <v>429</v>
      </c>
      <c r="B151" s="11"/>
      <c r="C151" s="11" t="s">
        <v>50</v>
      </c>
      <c r="E151" s="6">
        <v>50153402</v>
      </c>
      <c r="G151" s="6">
        <v>18350677</v>
      </c>
      <c r="I151" s="6">
        <v>2557950</v>
      </c>
      <c r="K151" s="6">
        <v>20221</v>
      </c>
      <c r="M151" s="6">
        <v>791151</v>
      </c>
      <c r="O151" s="6">
        <v>8175421</v>
      </c>
      <c r="Q151" s="6">
        <v>6760576</v>
      </c>
      <c r="S151" s="6">
        <v>629222</v>
      </c>
      <c r="U151" s="6">
        <v>11048088</v>
      </c>
      <c r="W151" s="6">
        <v>2714443</v>
      </c>
      <c r="Y151" s="6">
        <v>2554132</v>
      </c>
      <c r="AA151" s="6">
        <v>19782843</v>
      </c>
      <c r="AC151" s="6">
        <v>15234159</v>
      </c>
      <c r="AE151" s="6">
        <v>6367775</v>
      </c>
      <c r="AG151" s="6">
        <v>0</v>
      </c>
      <c r="AI151" s="6">
        <v>59129324</v>
      </c>
      <c r="AJ151" s="11" t="s">
        <v>429</v>
      </c>
      <c r="AK151" s="11"/>
      <c r="AL151" s="11" t="s">
        <v>50</v>
      </c>
      <c r="AN151" s="6">
        <v>1085812</v>
      </c>
      <c r="AP151" s="6">
        <v>0</v>
      </c>
      <c r="AT151" s="6">
        <v>753277</v>
      </c>
      <c r="AV151" s="6">
        <f>451687+232600</f>
        <v>684287</v>
      </c>
      <c r="AX151" s="6">
        <v>0</v>
      </c>
      <c r="AZ151" s="6">
        <f t="shared" si="33"/>
        <v>206792760</v>
      </c>
      <c r="BB151" s="6">
        <v>2151634</v>
      </c>
      <c r="BD151" s="6">
        <v>0</v>
      </c>
      <c r="BF151" s="6">
        <v>0</v>
      </c>
      <c r="BH151" s="6">
        <v>15130769</v>
      </c>
      <c r="BJ151" s="6">
        <f t="shared" si="32"/>
        <v>224075163</v>
      </c>
      <c r="BL151" s="6">
        <f>+'Gen Fd Rev'!AK151-'Gen Fd Exp'!BJ151</f>
        <v>7926218</v>
      </c>
      <c r="BN151" s="6">
        <v>10009599</v>
      </c>
      <c r="BP151" s="6">
        <v>0</v>
      </c>
      <c r="BR151" s="6">
        <v>0</v>
      </c>
      <c r="BT151" s="6">
        <f t="shared" si="31"/>
        <v>17935817</v>
      </c>
      <c r="BV151" s="7">
        <f>+BT151-'Gen Fd BS'!AC151+BR151</f>
        <v>0</v>
      </c>
    </row>
    <row r="152" spans="1:74">
      <c r="A152" s="11" t="s">
        <v>889</v>
      </c>
      <c r="B152" s="11"/>
      <c r="C152" s="11" t="s">
        <v>32</v>
      </c>
      <c r="E152" s="6">
        <v>4798255</v>
      </c>
      <c r="G152" s="6">
        <v>1556205</v>
      </c>
      <c r="I152" s="6">
        <v>191581</v>
      </c>
      <c r="K152" s="6">
        <v>0</v>
      </c>
      <c r="M152" s="6">
        <v>0</v>
      </c>
      <c r="O152" s="6">
        <v>783668</v>
      </c>
      <c r="Q152" s="6">
        <v>380708</v>
      </c>
      <c r="S152" s="6">
        <v>83330</v>
      </c>
      <c r="U152" s="6">
        <v>1100676</v>
      </c>
      <c r="W152" s="6">
        <v>599988</v>
      </c>
      <c r="Y152" s="6">
        <v>125134</v>
      </c>
      <c r="AA152" s="6">
        <v>1313282</v>
      </c>
      <c r="AC152" s="6">
        <v>314391</v>
      </c>
      <c r="AE152" s="6">
        <v>153461</v>
      </c>
      <c r="AG152" s="6">
        <v>0</v>
      </c>
      <c r="AI152" s="6">
        <v>40827</v>
      </c>
      <c r="AJ152" s="11" t="s">
        <v>889</v>
      </c>
      <c r="AK152" s="11"/>
      <c r="AL152" s="11" t="s">
        <v>32</v>
      </c>
      <c r="AN152" s="6">
        <v>389602</v>
      </c>
      <c r="AP152" s="6">
        <v>0</v>
      </c>
      <c r="AT152" s="6">
        <v>132212</v>
      </c>
      <c r="AV152" s="6">
        <v>16002</v>
      </c>
      <c r="AX152" s="6">
        <v>0</v>
      </c>
      <c r="AZ152" s="6">
        <f t="shared" si="33"/>
        <v>11979322</v>
      </c>
      <c r="BB152" s="6">
        <v>1041000</v>
      </c>
      <c r="BD152" s="6">
        <v>0</v>
      </c>
      <c r="BF152" s="6">
        <v>0</v>
      </c>
      <c r="BH152" s="6">
        <v>0</v>
      </c>
      <c r="BJ152" s="6">
        <f t="shared" si="32"/>
        <v>13020322</v>
      </c>
      <c r="BL152" s="6">
        <f>+'Gen Fd Rev'!AK152-'Gen Fd Exp'!BJ152</f>
        <v>149087</v>
      </c>
      <c r="BN152" s="6">
        <v>7273247</v>
      </c>
      <c r="BP152" s="6">
        <v>0</v>
      </c>
      <c r="BR152" s="6">
        <v>0</v>
      </c>
      <c r="BT152" s="6">
        <f t="shared" si="31"/>
        <v>7422334</v>
      </c>
      <c r="BV152" s="7">
        <f>+BT152-'Gen Fd BS'!AC152+BR152</f>
        <v>0</v>
      </c>
    </row>
    <row r="153" spans="1:74" hidden="1">
      <c r="A153" s="11" t="s">
        <v>658</v>
      </c>
      <c r="B153" s="11"/>
      <c r="C153" s="11" t="s">
        <v>22</v>
      </c>
      <c r="AJ153" s="11" t="s">
        <v>658</v>
      </c>
      <c r="AK153" s="11"/>
      <c r="AL153" s="11" t="s">
        <v>22</v>
      </c>
      <c r="AZ153" s="6">
        <f t="shared" si="33"/>
        <v>0</v>
      </c>
      <c r="BJ153" s="6">
        <f t="shared" si="32"/>
        <v>0</v>
      </c>
      <c r="BL153" s="6">
        <f>+'Gen Fd Rev'!AK153-'Gen Fd Exp'!BJ153</f>
        <v>0</v>
      </c>
      <c r="BR153" s="6">
        <v>0</v>
      </c>
      <c r="BT153" s="6">
        <f t="shared" si="31"/>
        <v>0</v>
      </c>
      <c r="BV153" s="7">
        <f>+BT153-'Gen Fd BS'!AC153+BR153</f>
        <v>0</v>
      </c>
    </row>
    <row r="154" spans="1:74">
      <c r="A154" s="11" t="s">
        <v>742</v>
      </c>
      <c r="B154" s="11"/>
      <c r="C154" s="11" t="s">
        <v>23</v>
      </c>
      <c r="E154" s="6">
        <v>20738564</v>
      </c>
      <c r="G154" s="6">
        <v>4483605</v>
      </c>
      <c r="I154" s="6">
        <v>216310</v>
      </c>
      <c r="K154" s="6">
        <v>0</v>
      </c>
      <c r="M154" s="6">
        <f>87694+2235095</f>
        <v>2322789</v>
      </c>
      <c r="O154" s="6">
        <v>2483267</v>
      </c>
      <c r="Q154" s="6">
        <v>2169954</v>
      </c>
      <c r="S154" s="6">
        <v>173989</v>
      </c>
      <c r="U154" s="6">
        <v>2273896</v>
      </c>
      <c r="W154" s="6">
        <v>961115</v>
      </c>
      <c r="Y154" s="6">
        <v>287868</v>
      </c>
      <c r="AA154" s="6">
        <v>3908315</v>
      </c>
      <c r="AC154" s="6">
        <v>2543796</v>
      </c>
      <c r="AE154" s="6">
        <v>264800</v>
      </c>
      <c r="AG154" s="6">
        <v>0</v>
      </c>
      <c r="AI154" s="6">
        <v>19399</v>
      </c>
      <c r="AJ154" s="11" t="s">
        <v>742</v>
      </c>
      <c r="AK154" s="11"/>
      <c r="AL154" s="11" t="s">
        <v>23</v>
      </c>
      <c r="AN154" s="6">
        <v>812386</v>
      </c>
      <c r="AP154" s="6">
        <v>0</v>
      </c>
      <c r="AT154" s="6">
        <v>0</v>
      </c>
      <c r="AV154" s="6">
        <v>31902</v>
      </c>
      <c r="AX154" s="6">
        <v>0</v>
      </c>
      <c r="AZ154" s="6">
        <f t="shared" si="33"/>
        <v>43691955</v>
      </c>
      <c r="BB154" s="6">
        <v>0</v>
      </c>
      <c r="BD154" s="6">
        <v>0</v>
      </c>
      <c r="BF154" s="6">
        <v>0</v>
      </c>
      <c r="BH154" s="6">
        <v>0</v>
      </c>
      <c r="BJ154" s="6">
        <f t="shared" ref="BJ154:BJ159" si="34">+AZ154+BB154+BD154+BH154</f>
        <v>43691955</v>
      </c>
      <c r="BL154" s="6">
        <f>+'Gen Fd Rev'!AK154-'Gen Fd Exp'!BJ154</f>
        <v>2476682</v>
      </c>
      <c r="BN154" s="6">
        <v>2927614</v>
      </c>
      <c r="BP154" s="6">
        <v>0</v>
      </c>
      <c r="BR154" s="6">
        <v>0</v>
      </c>
      <c r="BT154" s="6">
        <f t="shared" si="31"/>
        <v>5404296</v>
      </c>
      <c r="BV154" s="7">
        <f>+BT154-'Gen Fd BS'!AC154+BR154</f>
        <v>0</v>
      </c>
    </row>
    <row r="155" spans="1:74">
      <c r="A155" s="11" t="s">
        <v>201</v>
      </c>
      <c r="B155" s="11"/>
      <c r="C155" s="11" t="s">
        <v>10</v>
      </c>
      <c r="D155" s="9"/>
      <c r="E155" s="6">
        <v>4248446</v>
      </c>
      <c r="G155" s="6">
        <v>737456</v>
      </c>
      <c r="I155" s="6">
        <v>390129</v>
      </c>
      <c r="K155" s="6">
        <v>0</v>
      </c>
      <c r="M155" s="6">
        <v>0</v>
      </c>
      <c r="O155" s="6">
        <v>533825</v>
      </c>
      <c r="Q155" s="6">
        <v>240485</v>
      </c>
      <c r="S155" s="6">
        <v>26199</v>
      </c>
      <c r="U155" s="6">
        <v>870145</v>
      </c>
      <c r="W155" s="6">
        <v>300390</v>
      </c>
      <c r="Y155" s="6">
        <v>0</v>
      </c>
      <c r="AA155" s="6">
        <v>509141</v>
      </c>
      <c r="AC155" s="6">
        <v>438021</v>
      </c>
      <c r="AE155" s="6">
        <v>171</v>
      </c>
      <c r="AG155" s="6">
        <v>0</v>
      </c>
      <c r="AI155" s="6">
        <v>0</v>
      </c>
      <c r="AJ155" s="11" t="s">
        <v>201</v>
      </c>
      <c r="AK155" s="11"/>
      <c r="AL155" s="11" t="s">
        <v>10</v>
      </c>
      <c r="AN155" s="6">
        <v>181942</v>
      </c>
      <c r="AP155" s="6">
        <v>0</v>
      </c>
      <c r="AT155" s="6">
        <v>0</v>
      </c>
      <c r="AV155" s="6">
        <v>0</v>
      </c>
      <c r="AX155" s="6">
        <v>0</v>
      </c>
      <c r="AZ155" s="6">
        <f t="shared" si="33"/>
        <v>8476350</v>
      </c>
      <c r="BB155" s="6">
        <v>0</v>
      </c>
      <c r="BD155" s="6">
        <v>0</v>
      </c>
      <c r="BF155" s="6">
        <v>0</v>
      </c>
      <c r="BH155" s="6">
        <v>0</v>
      </c>
      <c r="BJ155" s="6">
        <f t="shared" si="34"/>
        <v>8476350</v>
      </c>
      <c r="BL155" s="6">
        <f>+'Gen Fd Rev'!AK155-'Gen Fd Exp'!BJ155</f>
        <v>265136</v>
      </c>
      <c r="BN155" s="6">
        <v>-401291</v>
      </c>
      <c r="BP155" s="6">
        <v>0</v>
      </c>
      <c r="BR155" s="6">
        <v>0</v>
      </c>
      <c r="BT155" s="6">
        <f t="shared" si="31"/>
        <v>-136155</v>
      </c>
      <c r="BV155" s="7">
        <f>+BT155-'Gen Fd BS'!AC155+BR155</f>
        <v>0</v>
      </c>
    </row>
    <row r="156" spans="1:74">
      <c r="A156" s="11" t="s">
        <v>534</v>
      </c>
      <c r="B156" s="11"/>
      <c r="C156" s="11" t="s">
        <v>65</v>
      </c>
      <c r="E156" s="6">
        <v>10207766</v>
      </c>
      <c r="G156" s="6">
        <v>1928274</v>
      </c>
      <c r="I156" s="6">
        <v>23924</v>
      </c>
      <c r="K156" s="6">
        <v>0</v>
      </c>
      <c r="M156" s="6">
        <f>84924+215698</f>
        <v>300622</v>
      </c>
      <c r="O156" s="6">
        <v>1132631</v>
      </c>
      <c r="Q156" s="6">
        <v>879815</v>
      </c>
      <c r="S156" s="6">
        <v>52392</v>
      </c>
      <c r="U156" s="6">
        <v>1909187</v>
      </c>
      <c r="W156" s="6">
        <v>690330</v>
      </c>
      <c r="Y156" s="6">
        <v>0</v>
      </c>
      <c r="AA156" s="6">
        <v>1771659</v>
      </c>
      <c r="AC156" s="6">
        <v>884347</v>
      </c>
      <c r="AE156" s="6">
        <v>0</v>
      </c>
      <c r="AG156" s="6">
        <v>0</v>
      </c>
      <c r="AI156" s="6">
        <v>0</v>
      </c>
      <c r="AJ156" s="11" t="s">
        <v>534</v>
      </c>
      <c r="AK156" s="11"/>
      <c r="AL156" s="11" t="s">
        <v>65</v>
      </c>
      <c r="AN156" s="6">
        <v>615363</v>
      </c>
      <c r="AP156" s="6">
        <v>0</v>
      </c>
      <c r="AT156" s="6">
        <v>67799</v>
      </c>
      <c r="AV156" s="6">
        <v>2430</v>
      </c>
      <c r="AX156" s="6">
        <v>0</v>
      </c>
      <c r="AZ156" s="6">
        <f t="shared" si="33"/>
        <v>20466539</v>
      </c>
      <c r="BB156" s="6">
        <v>0</v>
      </c>
      <c r="BD156" s="6">
        <v>0</v>
      </c>
      <c r="BF156" s="6">
        <v>0</v>
      </c>
      <c r="BH156" s="6">
        <v>0</v>
      </c>
      <c r="BJ156" s="6">
        <f t="shared" si="34"/>
        <v>20466539</v>
      </c>
      <c r="BL156" s="6">
        <f>+'Gen Fd Rev'!AK156-'Gen Fd Exp'!BJ156</f>
        <v>674963</v>
      </c>
      <c r="BN156" s="6">
        <v>6874593</v>
      </c>
      <c r="BP156" s="6">
        <v>0</v>
      </c>
      <c r="BR156" s="6">
        <v>0</v>
      </c>
      <c r="BT156" s="6">
        <f t="shared" ref="BT156:BT203" si="35">+BN156+BL156-BP156</f>
        <v>7549556</v>
      </c>
      <c r="BV156" s="7">
        <f>+BT156-'Gen Fd BS'!AC156+BR156</f>
        <v>0</v>
      </c>
    </row>
    <row r="157" spans="1:74">
      <c r="A157" s="11" t="s">
        <v>302</v>
      </c>
      <c r="B157" s="11"/>
      <c r="C157" s="11" t="s">
        <v>27</v>
      </c>
      <c r="E157" s="6">
        <v>78187771</v>
      </c>
      <c r="G157" s="6">
        <v>19728135</v>
      </c>
      <c r="I157" s="6">
        <v>227169</v>
      </c>
      <c r="K157" s="6">
        <v>0</v>
      </c>
      <c r="M157" s="6">
        <v>0</v>
      </c>
      <c r="O157" s="6">
        <v>10075137</v>
      </c>
      <c r="Q157" s="6">
        <v>14093396</v>
      </c>
      <c r="S157" s="6">
        <v>190947</v>
      </c>
      <c r="U157" s="6">
        <v>10896260</v>
      </c>
      <c r="W157" s="6">
        <v>3058460</v>
      </c>
      <c r="Y157" s="6">
        <v>948865</v>
      </c>
      <c r="AA157" s="6">
        <v>12266367</v>
      </c>
      <c r="AC157" s="6">
        <v>8353357</v>
      </c>
      <c r="AE157" s="6">
        <v>475383</v>
      </c>
      <c r="AG157" s="6">
        <v>0</v>
      </c>
      <c r="AI157" s="6">
        <v>32515</v>
      </c>
      <c r="AJ157" s="11" t="s">
        <v>302</v>
      </c>
      <c r="AK157" s="11"/>
      <c r="AL157" s="11" t="s">
        <v>27</v>
      </c>
      <c r="AN157" s="6">
        <v>3973443</v>
      </c>
      <c r="AP157" s="6">
        <v>183634</v>
      </c>
      <c r="AT157" s="6">
        <v>23698</v>
      </c>
      <c r="AV157" s="6">
        <v>544</v>
      </c>
      <c r="AX157" s="6">
        <v>8670</v>
      </c>
      <c r="AZ157" s="6">
        <f t="shared" si="33"/>
        <v>162723751</v>
      </c>
      <c r="BB157" s="6">
        <v>492407</v>
      </c>
      <c r="BD157" s="6">
        <v>0</v>
      </c>
      <c r="BF157" s="6">
        <v>0</v>
      </c>
      <c r="BH157" s="6">
        <v>0</v>
      </c>
      <c r="BJ157" s="6">
        <f t="shared" si="34"/>
        <v>163216158</v>
      </c>
      <c r="BL157" s="6">
        <f>+'Gen Fd Rev'!AK157-'Gen Fd Exp'!BJ157</f>
        <v>-2015471</v>
      </c>
      <c r="BN157" s="6">
        <v>66499523</v>
      </c>
      <c r="BP157" s="6">
        <v>66973</v>
      </c>
      <c r="BR157" s="6">
        <v>0</v>
      </c>
      <c r="BT157" s="6">
        <f t="shared" si="35"/>
        <v>64417079</v>
      </c>
      <c r="BV157" s="7">
        <f>+BT157-'Gen Fd BS'!AC157+BR157</f>
        <v>0</v>
      </c>
    </row>
    <row r="158" spans="1:74">
      <c r="A158" s="11" t="s">
        <v>266</v>
      </c>
      <c r="B158" s="11"/>
      <c r="C158" s="11" t="s">
        <v>20</v>
      </c>
      <c r="E158" s="6">
        <v>16762700</v>
      </c>
      <c r="G158" s="6">
        <v>9661334</v>
      </c>
      <c r="I158" s="6">
        <v>1688938</v>
      </c>
      <c r="K158" s="6">
        <v>62383</v>
      </c>
      <c r="M158" s="6">
        <v>5967960</v>
      </c>
      <c r="O158" s="6">
        <v>2453200</v>
      </c>
      <c r="Q158" s="6">
        <v>1300179</v>
      </c>
      <c r="S158" s="6">
        <v>53429</v>
      </c>
      <c r="U158" s="6">
        <v>3243547</v>
      </c>
      <c r="W158" s="6">
        <v>2186215</v>
      </c>
      <c r="Y158" s="6">
        <v>293718</v>
      </c>
      <c r="AA158" s="6">
        <v>4976595</v>
      </c>
      <c r="AC158" s="6">
        <v>1113365</v>
      </c>
      <c r="AE158" s="6">
        <v>2543172</v>
      </c>
      <c r="AG158" s="6">
        <v>0</v>
      </c>
      <c r="AI158" s="6">
        <v>69071</v>
      </c>
      <c r="AJ158" s="11" t="s">
        <v>266</v>
      </c>
      <c r="AK158" s="11"/>
      <c r="AL158" s="11" t="s">
        <v>20</v>
      </c>
      <c r="AN158" s="6">
        <v>302271</v>
      </c>
      <c r="AP158" s="6">
        <v>25000</v>
      </c>
      <c r="AT158" s="6">
        <v>0</v>
      </c>
      <c r="AV158" s="6">
        <v>0</v>
      </c>
      <c r="AX158" s="6">
        <v>0</v>
      </c>
      <c r="AZ158" s="6">
        <f t="shared" si="33"/>
        <v>52703077</v>
      </c>
      <c r="BB158" s="6">
        <v>181960</v>
      </c>
      <c r="BD158" s="6">
        <v>0</v>
      </c>
      <c r="BF158" s="6">
        <v>0</v>
      </c>
      <c r="BH158" s="6">
        <v>0</v>
      </c>
      <c r="BJ158" s="6">
        <f t="shared" si="34"/>
        <v>52885037</v>
      </c>
      <c r="BL158" s="6">
        <f>+'Gen Fd Rev'!AK158-'Gen Fd Exp'!BJ158</f>
        <v>-4459484</v>
      </c>
      <c r="BN158" s="6">
        <v>32692073</v>
      </c>
      <c r="BP158" s="6">
        <v>0</v>
      </c>
      <c r="BR158" s="6">
        <v>0</v>
      </c>
      <c r="BT158" s="6">
        <f t="shared" si="35"/>
        <v>28232589</v>
      </c>
      <c r="BV158" s="7">
        <f>+BT158-'Gen Fd BS'!AC158+BR158</f>
        <v>0</v>
      </c>
    </row>
    <row r="159" spans="1:74">
      <c r="A159" s="11" t="s">
        <v>244</v>
      </c>
      <c r="B159" s="11"/>
      <c r="C159" s="11" t="s">
        <v>18</v>
      </c>
      <c r="D159" s="9"/>
      <c r="E159" s="6">
        <v>5121820</v>
      </c>
      <c r="G159" s="6">
        <v>940030</v>
      </c>
      <c r="I159" s="6">
        <v>70215</v>
      </c>
      <c r="K159" s="6">
        <v>0</v>
      </c>
      <c r="M159" s="6">
        <v>413</v>
      </c>
      <c r="O159" s="6">
        <v>422639</v>
      </c>
      <c r="Q159" s="6">
        <v>948129</v>
      </c>
      <c r="S159" s="6">
        <v>53651</v>
      </c>
      <c r="U159" s="6">
        <v>906537</v>
      </c>
      <c r="W159" s="6">
        <v>293401</v>
      </c>
      <c r="Y159" s="6">
        <v>4418</v>
      </c>
      <c r="AA159" s="6">
        <v>1057333</v>
      </c>
      <c r="AC159" s="6">
        <v>781322</v>
      </c>
      <c r="AE159" s="6">
        <v>84344</v>
      </c>
      <c r="AG159" s="6">
        <v>0</v>
      </c>
      <c r="AI159" s="6">
        <v>16667</v>
      </c>
      <c r="AJ159" s="11" t="s">
        <v>244</v>
      </c>
      <c r="AK159" s="11"/>
      <c r="AL159" s="11" t="s">
        <v>18</v>
      </c>
      <c r="AN159" s="6">
        <v>224756</v>
      </c>
      <c r="AP159" s="6">
        <v>0</v>
      </c>
      <c r="AT159" s="6">
        <v>35000</v>
      </c>
      <c r="AV159" s="6">
        <v>6988</v>
      </c>
      <c r="AX159" s="6">
        <v>0</v>
      </c>
      <c r="AZ159" s="6">
        <f t="shared" si="33"/>
        <v>10967663</v>
      </c>
      <c r="BB159" s="6">
        <v>0</v>
      </c>
      <c r="BD159" s="6">
        <v>0</v>
      </c>
      <c r="BF159" s="6">
        <v>0</v>
      </c>
      <c r="BH159" s="6">
        <v>0</v>
      </c>
      <c r="BJ159" s="6">
        <f t="shared" si="34"/>
        <v>10967663</v>
      </c>
      <c r="BL159" s="6">
        <f>+'Gen Fd Rev'!AK159-'Gen Fd Exp'!BJ159</f>
        <v>834054</v>
      </c>
      <c r="BN159" s="6">
        <v>1088210</v>
      </c>
      <c r="BP159" s="6">
        <v>0</v>
      </c>
      <c r="BR159" s="6">
        <v>0</v>
      </c>
      <c r="BT159" s="6">
        <f t="shared" si="35"/>
        <v>1922264</v>
      </c>
      <c r="BV159" s="7">
        <f>+BT159-'Gen Fd BS'!AC159+BR159</f>
        <v>0</v>
      </c>
    </row>
    <row r="160" spans="1:74">
      <c r="A160" s="11" t="s">
        <v>320</v>
      </c>
      <c r="B160" s="11"/>
      <c r="C160" s="11" t="s">
        <v>31</v>
      </c>
      <c r="E160" s="6">
        <v>3876391</v>
      </c>
      <c r="G160" s="6">
        <v>643888</v>
      </c>
      <c r="I160" s="6">
        <v>264090</v>
      </c>
      <c r="K160" s="6">
        <v>6668</v>
      </c>
      <c r="M160" s="6">
        <v>10846</v>
      </c>
      <c r="O160" s="6">
        <v>607177</v>
      </c>
      <c r="Q160" s="6">
        <v>281751</v>
      </c>
      <c r="S160" s="6">
        <v>31935</v>
      </c>
      <c r="U160" s="6">
        <v>767680</v>
      </c>
      <c r="W160" s="6">
        <v>323823</v>
      </c>
      <c r="Y160" s="6">
        <v>0</v>
      </c>
      <c r="AA160" s="6">
        <v>1032027</v>
      </c>
      <c r="AC160" s="6">
        <v>941437</v>
      </c>
      <c r="AE160" s="6">
        <v>42444</v>
      </c>
      <c r="AG160" s="6">
        <v>0</v>
      </c>
      <c r="AI160" s="6">
        <v>0</v>
      </c>
      <c r="AJ160" s="11" t="s">
        <v>320</v>
      </c>
      <c r="AK160" s="11"/>
      <c r="AL160" s="11" t="s">
        <v>31</v>
      </c>
      <c r="AN160" s="6">
        <v>186806</v>
      </c>
      <c r="AP160" s="6">
        <v>0</v>
      </c>
      <c r="AT160" s="6">
        <v>37144</v>
      </c>
      <c r="AV160" s="6">
        <v>19781</v>
      </c>
      <c r="AX160" s="6">
        <v>0</v>
      </c>
      <c r="AZ160" s="6">
        <f t="shared" ref="AZ160:AZ206" si="36">SUM(E160:AX160)</f>
        <v>9073888</v>
      </c>
      <c r="BB160" s="6">
        <v>312000</v>
      </c>
      <c r="BD160" s="6">
        <v>0</v>
      </c>
      <c r="BF160" s="6">
        <v>0</v>
      </c>
      <c r="BH160" s="6">
        <v>0</v>
      </c>
      <c r="BJ160" s="6">
        <f t="shared" ref="BJ160:BJ206" si="37">+AZ160+BB160+BD160+BH160</f>
        <v>9385888</v>
      </c>
      <c r="BL160" s="6">
        <f>+'Gen Fd Rev'!AK160-'Gen Fd Exp'!BJ160</f>
        <v>1120557</v>
      </c>
      <c r="BN160" s="6">
        <v>2295083</v>
      </c>
      <c r="BP160" s="6">
        <v>0</v>
      </c>
      <c r="BR160" s="6">
        <v>0</v>
      </c>
      <c r="BT160" s="6">
        <f t="shared" si="35"/>
        <v>3415640</v>
      </c>
      <c r="BV160" s="7">
        <f>+BT160-'Gen Fd BS'!AC160+BR160</f>
        <v>0</v>
      </c>
    </row>
    <row r="161" spans="1:74">
      <c r="A161" s="11" t="s">
        <v>353</v>
      </c>
      <c r="B161" s="11"/>
      <c r="C161" s="11" t="s">
        <v>36</v>
      </c>
      <c r="E161" s="6">
        <v>7399188</v>
      </c>
      <c r="G161" s="6">
        <v>1030208</v>
      </c>
      <c r="I161" s="6">
        <v>383235</v>
      </c>
      <c r="K161" s="6">
        <v>0</v>
      </c>
      <c r="M161" s="6">
        <v>0</v>
      </c>
      <c r="O161" s="6">
        <v>774764</v>
      </c>
      <c r="Q161" s="6">
        <v>585877</v>
      </c>
      <c r="S161" s="6">
        <v>26850</v>
      </c>
      <c r="U161" s="6">
        <v>1454029</v>
      </c>
      <c r="W161" s="6">
        <v>483528</v>
      </c>
      <c r="Y161" s="6">
        <v>0</v>
      </c>
      <c r="AA161" s="6">
        <v>1426922</v>
      </c>
      <c r="AC161" s="6">
        <v>1184444</v>
      </c>
      <c r="AE161" s="6">
        <v>124259</v>
      </c>
      <c r="AG161" s="6">
        <v>0</v>
      </c>
      <c r="AI161" s="6">
        <v>0</v>
      </c>
      <c r="AJ161" s="11" t="s">
        <v>353</v>
      </c>
      <c r="AK161" s="11"/>
      <c r="AL161" s="11" t="s">
        <v>36</v>
      </c>
      <c r="AN161" s="6">
        <v>252413</v>
      </c>
      <c r="AP161" s="6">
        <v>2956</v>
      </c>
      <c r="AT161" s="6">
        <v>0</v>
      </c>
      <c r="AV161" s="6">
        <v>0</v>
      </c>
      <c r="AX161" s="6">
        <v>0</v>
      </c>
      <c r="AZ161" s="6">
        <f t="shared" si="36"/>
        <v>15128673</v>
      </c>
      <c r="BB161" s="6">
        <v>200000</v>
      </c>
      <c r="BD161" s="6">
        <v>0</v>
      </c>
      <c r="BF161" s="6">
        <v>0</v>
      </c>
      <c r="BH161" s="6">
        <v>0</v>
      </c>
      <c r="BJ161" s="6">
        <f t="shared" si="37"/>
        <v>15328673</v>
      </c>
      <c r="BL161" s="6">
        <f>+'Gen Fd Rev'!AK161-'Gen Fd Exp'!BJ161</f>
        <v>-607818</v>
      </c>
      <c r="BN161" s="6">
        <v>3850601</v>
      </c>
      <c r="BP161" s="6">
        <v>0</v>
      </c>
      <c r="BR161" s="6">
        <v>0</v>
      </c>
      <c r="BT161" s="6">
        <f t="shared" si="35"/>
        <v>3242783</v>
      </c>
      <c r="BV161" s="7">
        <f>+BT161-'Gen Fd BS'!AC161+BR161</f>
        <v>0</v>
      </c>
    </row>
    <row r="162" spans="1:74" hidden="1">
      <c r="A162" s="11" t="s">
        <v>659</v>
      </c>
      <c r="B162" s="11"/>
      <c r="C162" s="11" t="s">
        <v>40</v>
      </c>
      <c r="AJ162" s="11" t="s">
        <v>659</v>
      </c>
      <c r="AK162" s="11"/>
      <c r="AL162" s="11" t="s">
        <v>40</v>
      </c>
      <c r="AZ162" s="6">
        <f t="shared" si="36"/>
        <v>0</v>
      </c>
      <c r="BJ162" s="6">
        <f t="shared" si="37"/>
        <v>0</v>
      </c>
      <c r="BL162" s="6">
        <f>+'Gen Fd Rev'!AK162-'Gen Fd Exp'!BJ162</f>
        <v>0</v>
      </c>
      <c r="BR162" s="6">
        <v>0</v>
      </c>
      <c r="BT162" s="6">
        <f t="shared" si="35"/>
        <v>0</v>
      </c>
      <c r="BV162" s="7">
        <f>+BT162-'Gen Fd BS'!AC162+BR162</f>
        <v>0</v>
      </c>
    </row>
    <row r="163" spans="1:74">
      <c r="A163" s="11" t="s">
        <v>248</v>
      </c>
      <c r="B163" s="11"/>
      <c r="C163" s="11" t="s">
        <v>112</v>
      </c>
      <c r="D163" s="9"/>
      <c r="E163" s="6">
        <v>9514373</v>
      </c>
      <c r="G163" s="6">
        <v>2941216</v>
      </c>
      <c r="I163" s="6">
        <v>953624</v>
      </c>
      <c r="K163" s="6">
        <v>0</v>
      </c>
      <c r="M163" s="6">
        <f>10481+1753739</f>
        <v>1764220</v>
      </c>
      <c r="O163" s="6">
        <v>859120</v>
      </c>
      <c r="Q163" s="6">
        <v>638633</v>
      </c>
      <c r="S163" s="6">
        <v>184742</v>
      </c>
      <c r="U163" s="6">
        <v>1388604</v>
      </c>
      <c r="W163" s="6">
        <v>520273</v>
      </c>
      <c r="Y163" s="6">
        <v>9574</v>
      </c>
      <c r="AA163" s="6">
        <v>2787415</v>
      </c>
      <c r="AC163" s="6">
        <v>1118222</v>
      </c>
      <c r="AE163" s="6">
        <v>2565</v>
      </c>
      <c r="AG163" s="6">
        <v>0</v>
      </c>
      <c r="AI163" s="6">
        <v>2877</v>
      </c>
      <c r="AJ163" s="11" t="s">
        <v>248</v>
      </c>
      <c r="AK163" s="11"/>
      <c r="AL163" s="11" t="s">
        <v>112</v>
      </c>
      <c r="AN163" s="6">
        <v>285865</v>
      </c>
      <c r="AP163" s="6">
        <v>147346</v>
      </c>
      <c r="AT163" s="6">
        <v>292148</v>
      </c>
      <c r="AV163" s="6">
        <v>80644</v>
      </c>
      <c r="AX163" s="6">
        <v>0</v>
      </c>
      <c r="AZ163" s="6">
        <f t="shared" si="36"/>
        <v>23491461</v>
      </c>
      <c r="BB163" s="6">
        <v>0</v>
      </c>
      <c r="BD163" s="6">
        <v>0</v>
      </c>
      <c r="BF163" s="6">
        <v>0</v>
      </c>
      <c r="BH163" s="6">
        <v>0</v>
      </c>
      <c r="BJ163" s="6">
        <f t="shared" si="37"/>
        <v>23491461</v>
      </c>
      <c r="BL163" s="6">
        <f>+'Gen Fd Rev'!AK163-'Gen Fd Exp'!BJ163</f>
        <v>-374328</v>
      </c>
      <c r="BN163" s="6">
        <v>4012490</v>
      </c>
      <c r="BP163" s="6">
        <v>0</v>
      </c>
      <c r="BR163" s="6">
        <v>0</v>
      </c>
      <c r="BT163" s="6">
        <f t="shared" si="35"/>
        <v>3638162</v>
      </c>
      <c r="BV163" s="7">
        <f>+BT163-'Gen Fd BS'!AC163+BR163</f>
        <v>0</v>
      </c>
    </row>
    <row r="164" spans="1:74">
      <c r="A164" s="11" t="s">
        <v>443</v>
      </c>
      <c r="B164" s="11"/>
      <c r="C164" s="11" t="s">
        <v>51</v>
      </c>
      <c r="E164" s="6">
        <v>7915362</v>
      </c>
      <c r="G164" s="6">
        <v>1895271</v>
      </c>
      <c r="I164" s="6">
        <v>181578</v>
      </c>
      <c r="K164" s="6">
        <v>0</v>
      </c>
      <c r="M164" s="6">
        <v>409912</v>
      </c>
      <c r="O164" s="6">
        <v>411335</v>
      </c>
      <c r="Q164" s="6">
        <v>427095</v>
      </c>
      <c r="S164" s="6">
        <v>66704</v>
      </c>
      <c r="U164" s="6">
        <v>1741342</v>
      </c>
      <c r="W164" s="6">
        <v>410247</v>
      </c>
      <c r="Y164" s="6">
        <v>0</v>
      </c>
      <c r="AA164" s="6">
        <v>1489134</v>
      </c>
      <c r="AC164" s="6">
        <v>1198405</v>
      </c>
      <c r="AE164" s="6">
        <v>126762</v>
      </c>
      <c r="AG164" s="6">
        <v>0</v>
      </c>
      <c r="AI164" s="6">
        <v>0</v>
      </c>
      <c r="AJ164" s="11" t="s">
        <v>443</v>
      </c>
      <c r="AK164" s="11"/>
      <c r="AL164" s="11" t="s">
        <v>51</v>
      </c>
      <c r="AN164" s="6">
        <v>303286</v>
      </c>
      <c r="AP164" s="6">
        <v>0</v>
      </c>
      <c r="AT164" s="6">
        <v>14746</v>
      </c>
      <c r="AV164" s="6">
        <v>6170</v>
      </c>
      <c r="AX164" s="6">
        <v>0</v>
      </c>
      <c r="AZ164" s="6">
        <f t="shared" si="36"/>
        <v>16597349</v>
      </c>
      <c r="BB164" s="6">
        <v>0</v>
      </c>
      <c r="BD164" s="6">
        <v>0</v>
      </c>
      <c r="BF164" s="6">
        <v>0</v>
      </c>
      <c r="BH164" s="6">
        <v>0</v>
      </c>
      <c r="BJ164" s="6">
        <f t="shared" si="37"/>
        <v>16597349</v>
      </c>
      <c r="BL164" s="6">
        <f>+'Gen Fd Rev'!AK164-'Gen Fd Exp'!BJ164</f>
        <v>2144084</v>
      </c>
      <c r="BN164" s="6">
        <v>3182272</v>
      </c>
      <c r="BP164" s="6">
        <v>0</v>
      </c>
      <c r="BR164" s="6">
        <v>0</v>
      </c>
      <c r="BT164" s="6">
        <f t="shared" si="35"/>
        <v>5326356</v>
      </c>
      <c r="BV164" s="7">
        <f>+BT164-'Gen Fd BS'!AC164+BR164</f>
        <v>0</v>
      </c>
    </row>
    <row r="165" spans="1:74">
      <c r="A165" s="11" t="s">
        <v>249</v>
      </c>
      <c r="B165" s="11"/>
      <c r="C165" s="11" t="s">
        <v>112</v>
      </c>
      <c r="D165" s="9"/>
      <c r="E165" s="6">
        <v>3795915</v>
      </c>
      <c r="G165" s="6">
        <v>1553048</v>
      </c>
      <c r="I165" s="6">
        <v>36692</v>
      </c>
      <c r="K165" s="6">
        <v>0</v>
      </c>
      <c r="M165" s="6">
        <v>0</v>
      </c>
      <c r="O165" s="6">
        <v>600747</v>
      </c>
      <c r="Q165" s="6">
        <v>245986</v>
      </c>
      <c r="S165" s="6">
        <v>25960</v>
      </c>
      <c r="U165" s="6">
        <v>625311</v>
      </c>
      <c r="W165" s="6">
        <v>245165</v>
      </c>
      <c r="Y165" s="6">
        <v>726905</v>
      </c>
      <c r="AA165" s="6">
        <v>961678</v>
      </c>
      <c r="AC165" s="6">
        <v>616062</v>
      </c>
      <c r="AE165" s="6">
        <v>0</v>
      </c>
      <c r="AG165" s="6">
        <v>0</v>
      </c>
      <c r="AI165" s="6">
        <v>1500</v>
      </c>
      <c r="AJ165" s="11" t="s">
        <v>249</v>
      </c>
      <c r="AK165" s="11"/>
      <c r="AL165" s="11" t="s">
        <v>112</v>
      </c>
      <c r="AN165" s="6">
        <v>216245</v>
      </c>
      <c r="AP165" s="6">
        <v>0</v>
      </c>
      <c r="AT165" s="6">
        <v>0</v>
      </c>
      <c r="AV165" s="6">
        <v>0</v>
      </c>
      <c r="AX165" s="6">
        <v>0</v>
      </c>
      <c r="AZ165" s="6">
        <f t="shared" si="36"/>
        <v>9651214</v>
      </c>
      <c r="BB165" s="6">
        <v>52847</v>
      </c>
      <c r="BD165" s="6">
        <v>0</v>
      </c>
      <c r="BF165" s="6">
        <v>0</v>
      </c>
      <c r="BH165" s="6">
        <v>0</v>
      </c>
      <c r="BJ165" s="6">
        <f t="shared" si="37"/>
        <v>9704061</v>
      </c>
      <c r="BL165" s="6">
        <f>+'Gen Fd Rev'!AK165-'Gen Fd Exp'!BJ165</f>
        <v>221342</v>
      </c>
      <c r="BN165" s="6">
        <v>126087</v>
      </c>
      <c r="BP165" s="6">
        <v>0</v>
      </c>
      <c r="BR165" s="6">
        <v>0</v>
      </c>
      <c r="BT165" s="6">
        <f t="shared" si="35"/>
        <v>347429</v>
      </c>
      <c r="BV165" s="7">
        <f>+BT165-'Gen Fd BS'!AC165+BR165</f>
        <v>0</v>
      </c>
    </row>
    <row r="166" spans="1:74">
      <c r="A166" s="11" t="s">
        <v>218</v>
      </c>
      <c r="B166" s="11"/>
      <c r="C166" s="11" t="s">
        <v>77</v>
      </c>
      <c r="D166" s="9"/>
      <c r="E166" s="6">
        <v>4171685</v>
      </c>
      <c r="G166" s="6">
        <v>916562</v>
      </c>
      <c r="I166" s="6">
        <v>106275</v>
      </c>
      <c r="K166" s="6">
        <v>0</v>
      </c>
      <c r="M166" s="6">
        <v>1101949</v>
      </c>
      <c r="O166" s="6">
        <v>381466</v>
      </c>
      <c r="Q166" s="6">
        <v>836766</v>
      </c>
      <c r="S166" s="6">
        <v>20535</v>
      </c>
      <c r="U166" s="6">
        <v>1006515</v>
      </c>
      <c r="W166" s="6">
        <v>398520</v>
      </c>
      <c r="Y166" s="6">
        <v>0</v>
      </c>
      <c r="AA166" s="6">
        <v>838172</v>
      </c>
      <c r="AC166" s="6">
        <v>1016607</v>
      </c>
      <c r="AE166" s="6">
        <v>36540</v>
      </c>
      <c r="AG166" s="6">
        <v>0</v>
      </c>
      <c r="AI166" s="6">
        <v>1443</v>
      </c>
      <c r="AJ166" s="11" t="s">
        <v>218</v>
      </c>
      <c r="AK166" s="11"/>
      <c r="AL166" s="11" t="s">
        <v>77</v>
      </c>
      <c r="AN166" s="6">
        <v>128952</v>
      </c>
      <c r="AP166" s="6">
        <v>310</v>
      </c>
      <c r="AT166" s="6">
        <v>0</v>
      </c>
      <c r="AV166" s="6">
        <v>0</v>
      </c>
      <c r="AX166" s="6">
        <v>0</v>
      </c>
      <c r="AZ166" s="6">
        <f t="shared" si="36"/>
        <v>10962297</v>
      </c>
      <c r="BB166" s="6">
        <v>0</v>
      </c>
      <c r="BD166" s="6">
        <v>0</v>
      </c>
      <c r="BF166" s="6">
        <v>0</v>
      </c>
      <c r="BH166" s="6">
        <v>0</v>
      </c>
      <c r="BJ166" s="6">
        <f t="shared" si="37"/>
        <v>10962297</v>
      </c>
      <c r="BL166" s="6">
        <f>+'Gen Fd Rev'!AK166-'Gen Fd Exp'!BJ166</f>
        <v>312952</v>
      </c>
      <c r="BN166" s="6">
        <v>946987</v>
      </c>
      <c r="BP166" s="6">
        <v>0</v>
      </c>
      <c r="BR166" s="6">
        <v>0</v>
      </c>
      <c r="BT166" s="6">
        <f t="shared" si="35"/>
        <v>1259939</v>
      </c>
      <c r="BV166" s="7">
        <f>+BT166-'Gen Fd BS'!AC166+BR166</f>
        <v>0</v>
      </c>
    </row>
    <row r="167" spans="1:74">
      <c r="A167" s="11" t="s">
        <v>218</v>
      </c>
      <c r="B167" s="11"/>
      <c r="C167" s="11" t="s">
        <v>420</v>
      </c>
      <c r="D167" s="9"/>
      <c r="E167" s="6">
        <v>3504367</v>
      </c>
      <c r="G167" s="6">
        <v>538485</v>
      </c>
      <c r="I167" s="6">
        <v>0</v>
      </c>
      <c r="K167" s="6">
        <v>0</v>
      </c>
      <c r="M167" s="6">
        <v>70</v>
      </c>
      <c r="O167" s="6">
        <v>418787</v>
      </c>
      <c r="Q167" s="6">
        <v>102271</v>
      </c>
      <c r="S167" s="6">
        <v>39465</v>
      </c>
      <c r="U167" s="6">
        <v>475468</v>
      </c>
      <c r="W167" s="6">
        <v>237558</v>
      </c>
      <c r="Y167" s="6">
        <v>0</v>
      </c>
      <c r="AA167" s="6">
        <v>737332</v>
      </c>
      <c r="AC167" s="6">
        <v>632522</v>
      </c>
      <c r="AE167" s="6">
        <v>95368</v>
      </c>
      <c r="AG167" s="6">
        <v>0</v>
      </c>
      <c r="AI167" s="6">
        <v>1064</v>
      </c>
      <c r="AJ167" s="11" t="s">
        <v>218</v>
      </c>
      <c r="AK167" s="11"/>
      <c r="AL167" s="11" t="s">
        <v>420</v>
      </c>
      <c r="AN167" s="6">
        <v>139670</v>
      </c>
      <c r="AP167" s="6">
        <v>60853</v>
      </c>
      <c r="AT167" s="6">
        <v>0</v>
      </c>
      <c r="AV167" s="6">
        <v>0</v>
      </c>
      <c r="AX167" s="6">
        <v>0</v>
      </c>
      <c r="AZ167" s="6">
        <f t="shared" si="36"/>
        <v>6983280</v>
      </c>
      <c r="BB167" s="6">
        <v>100000</v>
      </c>
      <c r="BD167" s="6">
        <v>0</v>
      </c>
      <c r="BF167" s="6">
        <v>0</v>
      </c>
      <c r="BH167" s="6">
        <v>0</v>
      </c>
      <c r="BJ167" s="6">
        <f t="shared" si="37"/>
        <v>7083280</v>
      </c>
      <c r="BL167" s="6">
        <f>+'Gen Fd Rev'!AK167-'Gen Fd Exp'!BJ167</f>
        <v>561827</v>
      </c>
      <c r="BN167" s="6">
        <v>419919</v>
      </c>
      <c r="BP167" s="6">
        <v>0</v>
      </c>
      <c r="BR167" s="6">
        <v>0</v>
      </c>
      <c r="BT167" s="6">
        <f t="shared" si="35"/>
        <v>981746</v>
      </c>
      <c r="BV167" s="7">
        <f>+BT167-'Gen Fd BS'!AC167+BR167</f>
        <v>0</v>
      </c>
    </row>
    <row r="168" spans="1:74" hidden="1">
      <c r="A168" s="11" t="s">
        <v>660</v>
      </c>
      <c r="B168" s="11"/>
      <c r="C168" s="11" t="s">
        <v>55</v>
      </c>
      <c r="AJ168" s="11" t="s">
        <v>660</v>
      </c>
      <c r="AK168" s="11"/>
      <c r="AL168" s="11" t="s">
        <v>55</v>
      </c>
      <c r="AZ168" s="6">
        <f t="shared" si="36"/>
        <v>0</v>
      </c>
      <c r="BJ168" s="6">
        <f t="shared" si="37"/>
        <v>0</v>
      </c>
      <c r="BL168" s="6">
        <f>+'Gen Fd Rev'!AK168-'Gen Fd Exp'!BJ168</f>
        <v>0</v>
      </c>
      <c r="BR168" s="6">
        <v>0</v>
      </c>
      <c r="BT168" s="6">
        <f t="shared" si="35"/>
        <v>0</v>
      </c>
      <c r="BV168" s="7">
        <f>+BT168-'Gen Fd BS'!AC168+BR168</f>
        <v>0</v>
      </c>
    </row>
    <row r="169" spans="1:74">
      <c r="A169" s="11" t="s">
        <v>555</v>
      </c>
      <c r="B169" s="11"/>
      <c r="C169" s="11" t="s">
        <v>72</v>
      </c>
      <c r="E169" s="6">
        <v>7180490</v>
      </c>
      <c r="G169" s="6">
        <v>1009276</v>
      </c>
      <c r="I169" s="6">
        <v>100588</v>
      </c>
      <c r="K169" s="6">
        <v>0</v>
      </c>
      <c r="M169" s="6">
        <v>0</v>
      </c>
      <c r="O169" s="6">
        <v>380040</v>
      </c>
      <c r="Q169" s="6">
        <v>443262</v>
      </c>
      <c r="S169" s="6">
        <v>71408</v>
      </c>
      <c r="U169" s="6">
        <v>1162027</v>
      </c>
      <c r="W169" s="6">
        <v>506682</v>
      </c>
      <c r="Y169" s="6">
        <v>0</v>
      </c>
      <c r="AA169" s="6">
        <v>1215641</v>
      </c>
      <c r="AC169" s="6">
        <v>1013844</v>
      </c>
      <c r="AE169" s="6">
        <v>0</v>
      </c>
      <c r="AG169" s="6">
        <v>0</v>
      </c>
      <c r="AI169" s="6">
        <v>0</v>
      </c>
      <c r="AJ169" s="11" t="s">
        <v>555</v>
      </c>
      <c r="AK169" s="11"/>
      <c r="AL169" s="11" t="s">
        <v>72</v>
      </c>
      <c r="AN169" s="6">
        <v>408025</v>
      </c>
      <c r="AP169" s="6">
        <v>0</v>
      </c>
      <c r="AT169" s="6">
        <v>16186</v>
      </c>
      <c r="AV169" s="6">
        <v>452</v>
      </c>
      <c r="AX169" s="6">
        <v>0</v>
      </c>
      <c r="AZ169" s="6">
        <f t="shared" si="36"/>
        <v>13507921</v>
      </c>
      <c r="BB169" s="6">
        <v>18240</v>
      </c>
      <c r="BD169" s="6">
        <v>0</v>
      </c>
      <c r="BF169" s="6">
        <v>0</v>
      </c>
      <c r="BH169" s="6">
        <v>0</v>
      </c>
      <c r="BJ169" s="6">
        <f t="shared" si="37"/>
        <v>13526161</v>
      </c>
      <c r="BL169" s="6">
        <f>+'Gen Fd Rev'!AK169-'Gen Fd Exp'!BJ169</f>
        <v>1402966</v>
      </c>
      <c r="BN169" s="6">
        <v>5979816</v>
      </c>
      <c r="BP169" s="6">
        <v>0</v>
      </c>
      <c r="BR169" s="6">
        <v>0</v>
      </c>
      <c r="BT169" s="6">
        <f t="shared" si="35"/>
        <v>7382782</v>
      </c>
      <c r="BV169" s="7">
        <f>+BT169-'Gen Fd BS'!AC169+BR169</f>
        <v>0</v>
      </c>
    </row>
    <row r="170" spans="1:74" hidden="1">
      <c r="A170" s="10" t="s">
        <v>870</v>
      </c>
      <c r="B170" s="11"/>
      <c r="C170" s="11" t="s">
        <v>57</v>
      </c>
      <c r="E170" s="6">
        <v>0</v>
      </c>
      <c r="G170" s="6">
        <v>0</v>
      </c>
      <c r="I170" s="6">
        <v>0</v>
      </c>
      <c r="K170" s="6">
        <v>0</v>
      </c>
      <c r="M170" s="6">
        <v>0</v>
      </c>
      <c r="O170" s="6">
        <v>0</v>
      </c>
      <c r="Q170" s="6">
        <v>0</v>
      </c>
      <c r="S170" s="6">
        <v>0</v>
      </c>
      <c r="U170" s="6">
        <v>0</v>
      </c>
      <c r="W170" s="6">
        <v>0</v>
      </c>
      <c r="Y170" s="6">
        <v>0</v>
      </c>
      <c r="AA170" s="6">
        <v>0</v>
      </c>
      <c r="AC170" s="6">
        <v>0</v>
      </c>
      <c r="AE170" s="6">
        <v>0</v>
      </c>
      <c r="AG170" s="6">
        <v>0</v>
      </c>
      <c r="AI170" s="6">
        <v>0</v>
      </c>
      <c r="AJ170" s="10" t="s">
        <v>870</v>
      </c>
      <c r="AK170" s="11"/>
      <c r="AL170" s="11" t="s">
        <v>57</v>
      </c>
      <c r="AN170" s="6">
        <v>0</v>
      </c>
      <c r="AP170" s="6">
        <v>0</v>
      </c>
      <c r="AT170" s="6">
        <v>0</v>
      </c>
      <c r="AV170" s="6">
        <v>0</v>
      </c>
      <c r="AX170" s="6">
        <v>0</v>
      </c>
      <c r="AZ170" s="6">
        <f t="shared" si="36"/>
        <v>0</v>
      </c>
      <c r="BB170" s="6">
        <v>0</v>
      </c>
      <c r="BD170" s="6">
        <v>0</v>
      </c>
      <c r="BF170" s="6">
        <v>0</v>
      </c>
      <c r="BH170" s="6">
        <v>0</v>
      </c>
      <c r="BJ170" s="6">
        <f t="shared" si="37"/>
        <v>0</v>
      </c>
      <c r="BL170" s="6">
        <f>+'Gen Fd Rev'!AK170-'Gen Fd Exp'!BJ170</f>
        <v>0</v>
      </c>
      <c r="BP170" s="6">
        <v>0</v>
      </c>
      <c r="BR170" s="6">
        <v>0</v>
      </c>
      <c r="BT170" s="6">
        <f t="shared" si="35"/>
        <v>0</v>
      </c>
      <c r="BV170" s="7">
        <f>+BT170-'Gen Fd BS'!AC170+BR170</f>
        <v>0</v>
      </c>
    </row>
    <row r="171" spans="1:74" hidden="1">
      <c r="A171" s="11" t="s">
        <v>661</v>
      </c>
      <c r="B171" s="11"/>
      <c r="C171" s="11" t="s">
        <v>552</v>
      </c>
      <c r="AJ171" s="11" t="s">
        <v>661</v>
      </c>
      <c r="AK171" s="11"/>
      <c r="AL171" s="11" t="s">
        <v>552</v>
      </c>
      <c r="AZ171" s="6">
        <f t="shared" si="36"/>
        <v>0</v>
      </c>
      <c r="BJ171" s="6">
        <f t="shared" si="37"/>
        <v>0</v>
      </c>
      <c r="BL171" s="6">
        <f>+'Gen Fd Rev'!AK171-'Gen Fd Exp'!BJ171</f>
        <v>0</v>
      </c>
      <c r="BR171" s="6">
        <v>0</v>
      </c>
      <c r="BT171" s="6">
        <f t="shared" si="35"/>
        <v>0</v>
      </c>
      <c r="BV171" s="7">
        <f>+BT171-'Gen Fd BS'!AC171+BR171</f>
        <v>0</v>
      </c>
    </row>
    <row r="172" spans="1:74">
      <c r="A172" s="11" t="s">
        <v>662</v>
      </c>
      <c r="B172" s="11"/>
      <c r="C172" s="11" t="s">
        <v>221</v>
      </c>
      <c r="D172" s="9"/>
      <c r="E172" s="6">
        <v>13674378</v>
      </c>
      <c r="G172" s="6">
        <v>3115047</v>
      </c>
      <c r="I172" s="6">
        <v>0</v>
      </c>
      <c r="K172" s="6">
        <v>0</v>
      </c>
      <c r="M172" s="6">
        <v>53587</v>
      </c>
      <c r="O172" s="6">
        <v>2041565</v>
      </c>
      <c r="Q172" s="6">
        <v>2864985</v>
      </c>
      <c r="S172" s="6">
        <v>142585</v>
      </c>
      <c r="U172" s="6">
        <v>1445735</v>
      </c>
      <c r="W172" s="6">
        <v>675466</v>
      </c>
      <c r="Y172" s="6">
        <v>33263</v>
      </c>
      <c r="AA172" s="6">
        <v>2434582</v>
      </c>
      <c r="AC172" s="6">
        <v>1207113</v>
      </c>
      <c r="AE172" s="6">
        <v>223915</v>
      </c>
      <c r="AG172" s="6">
        <v>0</v>
      </c>
      <c r="AI172" s="6">
        <v>14737</v>
      </c>
      <c r="AJ172" s="11" t="s">
        <v>662</v>
      </c>
      <c r="AK172" s="11"/>
      <c r="AL172" s="11" t="s">
        <v>221</v>
      </c>
      <c r="AN172" s="6">
        <v>365346</v>
      </c>
      <c r="AP172" s="6">
        <v>0</v>
      </c>
      <c r="AT172" s="6">
        <v>88242</v>
      </c>
      <c r="AV172" s="6">
        <v>23364</v>
      </c>
      <c r="AX172" s="6">
        <v>0</v>
      </c>
      <c r="AZ172" s="6">
        <f t="shared" si="36"/>
        <v>28403910</v>
      </c>
      <c r="BB172" s="6">
        <v>0</v>
      </c>
      <c r="BD172" s="6">
        <v>0</v>
      </c>
      <c r="BF172" s="6">
        <v>0</v>
      </c>
      <c r="BH172" s="6">
        <v>0</v>
      </c>
      <c r="BJ172" s="6">
        <f t="shared" si="37"/>
        <v>28403910</v>
      </c>
      <c r="BL172" s="6">
        <f>+'Gen Fd Rev'!AK172-'Gen Fd Exp'!BJ172</f>
        <v>34274</v>
      </c>
      <c r="BN172" s="6">
        <v>425018</v>
      </c>
      <c r="BP172" s="6">
        <v>0</v>
      </c>
      <c r="BR172" s="6">
        <v>0</v>
      </c>
      <c r="BT172" s="6">
        <f t="shared" si="35"/>
        <v>459292</v>
      </c>
      <c r="BV172" s="7">
        <f>+BT172-'Gen Fd BS'!AC172+BR172</f>
        <v>0</v>
      </c>
    </row>
    <row r="173" spans="1:74">
      <c r="A173" s="11" t="s">
        <v>362</v>
      </c>
      <c r="B173" s="11"/>
      <c r="C173" s="11" t="s">
        <v>24</v>
      </c>
      <c r="E173" s="6">
        <v>6683166</v>
      </c>
      <c r="G173" s="6">
        <v>2015024</v>
      </c>
      <c r="I173" s="6">
        <v>83155</v>
      </c>
      <c r="K173" s="6">
        <v>0</v>
      </c>
      <c r="M173" s="6">
        <v>880435</v>
      </c>
      <c r="O173" s="6">
        <v>393948</v>
      </c>
      <c r="Q173" s="6">
        <v>508713</v>
      </c>
      <c r="S173" s="6">
        <v>45734</v>
      </c>
      <c r="U173" s="6">
        <v>1130124</v>
      </c>
      <c r="W173" s="6">
        <v>346708</v>
      </c>
      <c r="Y173" s="6">
        <v>0</v>
      </c>
      <c r="AA173" s="6">
        <v>1041790</v>
      </c>
      <c r="AC173" s="6">
        <v>870096</v>
      </c>
      <c r="AE173" s="6">
        <v>164404</v>
      </c>
      <c r="AG173" s="6">
        <v>0</v>
      </c>
      <c r="AI173" s="6">
        <v>3090</v>
      </c>
      <c r="AJ173" s="11" t="s">
        <v>362</v>
      </c>
      <c r="AK173" s="11"/>
      <c r="AL173" s="11" t="s">
        <v>24</v>
      </c>
      <c r="AN173" s="6">
        <v>440185</v>
      </c>
      <c r="AP173" s="6">
        <v>0</v>
      </c>
      <c r="AT173" s="6">
        <v>29031</v>
      </c>
      <c r="AV173" s="6">
        <v>5468</v>
      </c>
      <c r="AX173" s="6">
        <v>0</v>
      </c>
      <c r="AZ173" s="6">
        <f t="shared" ref="AZ173" si="38">SUM(E173:AX173)</f>
        <v>14641071</v>
      </c>
      <c r="BB173" s="6">
        <v>0</v>
      </c>
      <c r="BD173" s="6">
        <v>0</v>
      </c>
      <c r="BF173" s="6">
        <v>0</v>
      </c>
      <c r="BH173" s="6">
        <v>0</v>
      </c>
      <c r="BJ173" s="6">
        <f t="shared" ref="BJ173" si="39">+AZ173+BB173+BD173+BH173</f>
        <v>14641071</v>
      </c>
      <c r="BL173" s="6">
        <f>+'Gen Fd Rev'!AK173-'Gen Fd Exp'!BJ173</f>
        <v>-1088660</v>
      </c>
      <c r="BN173" s="6">
        <v>3725425</v>
      </c>
      <c r="BP173" s="6">
        <v>-564</v>
      </c>
      <c r="BR173" s="6">
        <v>0</v>
      </c>
      <c r="BT173" s="6">
        <f t="shared" ref="BT173" si="40">+BN173+BL173-BP173</f>
        <v>2637329</v>
      </c>
      <c r="BV173" s="7">
        <f>+BT173-'Gen Fd BS'!AC173+BR173</f>
        <v>0</v>
      </c>
    </row>
    <row r="174" spans="1:74">
      <c r="A174" s="11" t="s">
        <v>362</v>
      </c>
      <c r="B174" s="11"/>
      <c r="C174" s="11" t="s">
        <v>39</v>
      </c>
      <c r="E174" s="6">
        <v>7224148</v>
      </c>
      <c r="G174" s="6">
        <v>1500726</v>
      </c>
      <c r="I174" s="6">
        <v>115360</v>
      </c>
      <c r="K174" s="6">
        <v>0</v>
      </c>
      <c r="M174" s="6">
        <v>2653627</v>
      </c>
      <c r="O174" s="6">
        <v>708865</v>
      </c>
      <c r="Q174" s="6">
        <v>348973</v>
      </c>
      <c r="S174" s="6">
        <v>155426</v>
      </c>
      <c r="U174" s="6">
        <v>1558034</v>
      </c>
      <c r="W174" s="6">
        <v>503047</v>
      </c>
      <c r="Y174" s="6">
        <v>96419</v>
      </c>
      <c r="AA174" s="6">
        <v>1542205</v>
      </c>
      <c r="AC174" s="6">
        <v>1683236</v>
      </c>
      <c r="AE174" s="6">
        <v>230052</v>
      </c>
      <c r="AG174" s="6">
        <v>0</v>
      </c>
      <c r="AI174" s="6">
        <v>165</v>
      </c>
      <c r="AJ174" s="11" t="s">
        <v>362</v>
      </c>
      <c r="AK174" s="11"/>
      <c r="AL174" s="11" t="s">
        <v>39</v>
      </c>
      <c r="AN174" s="6">
        <v>233725</v>
      </c>
      <c r="AP174" s="6">
        <v>0</v>
      </c>
      <c r="AT174" s="6">
        <v>40843</v>
      </c>
      <c r="AV174" s="6">
        <v>13313</v>
      </c>
      <c r="AX174" s="6">
        <v>0</v>
      </c>
      <c r="AZ174" s="6">
        <f t="shared" si="36"/>
        <v>18608164</v>
      </c>
      <c r="BB174" s="6">
        <v>9578</v>
      </c>
      <c r="BD174" s="6">
        <v>0</v>
      </c>
      <c r="BF174" s="6">
        <v>0</v>
      </c>
      <c r="BH174" s="6">
        <v>0</v>
      </c>
      <c r="BJ174" s="6">
        <f t="shared" si="37"/>
        <v>18617742</v>
      </c>
      <c r="BL174" s="6">
        <f>+'Gen Fd Rev'!AK174-'Gen Fd Exp'!BJ174</f>
        <v>-859531</v>
      </c>
      <c r="BN174" s="6">
        <v>119185</v>
      </c>
      <c r="BP174" s="6">
        <v>0</v>
      </c>
      <c r="BR174" s="6">
        <v>0</v>
      </c>
      <c r="BT174" s="6">
        <f t="shared" si="35"/>
        <v>-740346</v>
      </c>
      <c r="BV174" s="7">
        <f>+BT174-'Gen Fd BS'!AC174+BR174</f>
        <v>0</v>
      </c>
    </row>
    <row r="175" spans="1:74" hidden="1">
      <c r="A175" s="11" t="s">
        <v>871</v>
      </c>
      <c r="B175" s="11"/>
      <c r="C175" s="11" t="s">
        <v>552</v>
      </c>
      <c r="AJ175" s="11" t="s">
        <v>871</v>
      </c>
      <c r="AK175" s="11"/>
      <c r="AL175" s="11" t="s">
        <v>552</v>
      </c>
      <c r="AZ175" s="6">
        <f t="shared" si="36"/>
        <v>0</v>
      </c>
      <c r="BJ175" s="6">
        <f t="shared" si="37"/>
        <v>0</v>
      </c>
      <c r="BL175" s="6">
        <f>+'Gen Fd Rev'!AK175-'Gen Fd Exp'!BJ175</f>
        <v>0</v>
      </c>
      <c r="BR175" s="6">
        <v>0</v>
      </c>
      <c r="BT175" s="6">
        <f t="shared" si="35"/>
        <v>0</v>
      </c>
      <c r="BV175" s="7">
        <f>+BT175-'Gen Fd BS'!AC175+BR175</f>
        <v>0</v>
      </c>
    </row>
    <row r="176" spans="1:74">
      <c r="A176" s="11" t="s">
        <v>677</v>
      </c>
      <c r="B176" s="11"/>
      <c r="C176" s="11" t="s">
        <v>46</v>
      </c>
      <c r="E176" s="6">
        <v>5858953</v>
      </c>
      <c r="G176" s="6">
        <v>1238966</v>
      </c>
      <c r="I176" s="6">
        <v>102387</v>
      </c>
      <c r="K176" s="6">
        <v>0</v>
      </c>
      <c r="M176" s="6">
        <v>0</v>
      </c>
      <c r="O176" s="6">
        <v>537859</v>
      </c>
      <c r="Q176" s="6">
        <v>173326</v>
      </c>
      <c r="S176" s="6">
        <v>46425</v>
      </c>
      <c r="U176" s="6">
        <v>973327</v>
      </c>
      <c r="W176" s="6">
        <v>407393</v>
      </c>
      <c r="Y176" s="6">
        <v>0</v>
      </c>
      <c r="AA176" s="6">
        <v>1013702</v>
      </c>
      <c r="AC176" s="6">
        <v>739701</v>
      </c>
      <c r="AE176" s="6">
        <v>8080</v>
      </c>
      <c r="AG176" s="6">
        <v>0</v>
      </c>
      <c r="AI176" s="6">
        <v>0</v>
      </c>
      <c r="AJ176" s="11" t="s">
        <v>677</v>
      </c>
      <c r="AK176" s="11"/>
      <c r="AL176" s="11" t="s">
        <v>46</v>
      </c>
      <c r="AN176" s="6">
        <v>257805</v>
      </c>
      <c r="AP176" s="6">
        <v>9600</v>
      </c>
      <c r="AT176" s="6">
        <v>0</v>
      </c>
      <c r="AV176" s="6">
        <v>0</v>
      </c>
      <c r="AX176" s="6">
        <v>0</v>
      </c>
      <c r="AZ176" s="6">
        <f t="shared" si="36"/>
        <v>11367524</v>
      </c>
      <c r="BB176" s="6">
        <v>2000</v>
      </c>
      <c r="BD176" s="6">
        <v>0</v>
      </c>
      <c r="BF176" s="6">
        <v>0</v>
      </c>
      <c r="BH176" s="6">
        <v>0</v>
      </c>
      <c r="BJ176" s="6">
        <f t="shared" si="37"/>
        <v>11369524</v>
      </c>
      <c r="BL176" s="6">
        <f>+'Gen Fd Rev'!AK176-'Gen Fd Exp'!BJ176</f>
        <v>1177548</v>
      </c>
      <c r="BN176" s="6">
        <v>3472487</v>
      </c>
      <c r="BP176" s="6">
        <v>0</v>
      </c>
      <c r="BR176" s="6">
        <v>0</v>
      </c>
      <c r="BT176" s="6">
        <f t="shared" si="35"/>
        <v>4650035</v>
      </c>
      <c r="BV176" s="7">
        <f>+BT176-'Gen Fd BS'!AC176+BR176</f>
        <v>0</v>
      </c>
    </row>
    <row r="177" spans="1:74" hidden="1">
      <c r="A177" s="11" t="s">
        <v>663</v>
      </c>
      <c r="B177" s="11"/>
      <c r="C177" s="11" t="s">
        <v>10</v>
      </c>
      <c r="AJ177" s="11" t="s">
        <v>663</v>
      </c>
      <c r="AK177" s="11"/>
      <c r="AL177" s="11" t="s">
        <v>10</v>
      </c>
      <c r="AZ177" s="6">
        <f t="shared" si="36"/>
        <v>0</v>
      </c>
      <c r="BJ177" s="6">
        <f t="shared" si="37"/>
        <v>0</v>
      </c>
      <c r="BL177" s="6">
        <f>+'Gen Fd Rev'!AK177-'Gen Fd Exp'!BJ177</f>
        <v>0</v>
      </c>
      <c r="BR177" s="6">
        <v>0</v>
      </c>
      <c r="BT177" s="6">
        <f t="shared" si="35"/>
        <v>0</v>
      </c>
      <c r="BV177" s="7">
        <f>+BT177-'Gen Fd BS'!AC177+BR177</f>
        <v>0</v>
      </c>
    </row>
    <row r="178" spans="1:74" hidden="1">
      <c r="A178" s="11" t="s">
        <v>692</v>
      </c>
      <c r="B178" s="11"/>
      <c r="C178" s="11" t="s">
        <v>72</v>
      </c>
      <c r="AJ178" s="11" t="s">
        <v>692</v>
      </c>
      <c r="AK178" s="11"/>
      <c r="AL178" s="11" t="s">
        <v>72</v>
      </c>
      <c r="AZ178" s="6">
        <f t="shared" ref="AZ178" si="41">SUM(E178:AX178)</f>
        <v>0</v>
      </c>
      <c r="BJ178" s="6">
        <f t="shared" ref="BJ178" si="42">+AZ178+BB178+BD178+BH178</f>
        <v>0</v>
      </c>
      <c r="BL178" s="6">
        <f>+'Gen Fd Rev'!AK178-'Gen Fd Exp'!BJ178</f>
        <v>0</v>
      </c>
      <c r="BR178" s="6">
        <v>0</v>
      </c>
      <c r="BT178" s="6">
        <f t="shared" ref="BT178" si="43">+BN178+BL178-BP178</f>
        <v>0</v>
      </c>
      <c r="BV178" s="7">
        <f>+BT178-'Gen Fd BS'!AC178+BR178</f>
        <v>0</v>
      </c>
    </row>
    <row r="179" spans="1:74">
      <c r="A179" s="11" t="s">
        <v>384</v>
      </c>
      <c r="B179" s="11"/>
      <c r="C179" s="11" t="s">
        <v>44</v>
      </c>
      <c r="E179" s="6">
        <v>29954518</v>
      </c>
      <c r="G179" s="6">
        <v>7974277</v>
      </c>
      <c r="I179" s="6">
        <v>261761</v>
      </c>
      <c r="K179" s="6">
        <v>0</v>
      </c>
      <c r="M179" s="6">
        <f>268584+9273803</f>
        <v>9542387</v>
      </c>
      <c r="O179" s="6">
        <v>3271978</v>
      </c>
      <c r="Q179" s="6">
        <v>2387926</v>
      </c>
      <c r="S179" s="6">
        <v>38553</v>
      </c>
      <c r="U179" s="6">
        <v>4358068</v>
      </c>
      <c r="W179" s="6">
        <v>1723423</v>
      </c>
      <c r="Y179" s="6">
        <v>621288</v>
      </c>
      <c r="AA179" s="6">
        <v>5502160</v>
      </c>
      <c r="AC179" s="6">
        <v>3684490</v>
      </c>
      <c r="AE179" s="6">
        <v>1476148</v>
      </c>
      <c r="AG179" s="6">
        <v>0</v>
      </c>
      <c r="AI179" s="6">
        <v>573668</v>
      </c>
      <c r="AJ179" s="11" t="s">
        <v>384</v>
      </c>
      <c r="AK179" s="11"/>
      <c r="AL179" s="11" t="s">
        <v>44</v>
      </c>
      <c r="AN179" s="6">
        <v>1184939</v>
      </c>
      <c r="AP179" s="6">
        <v>18335</v>
      </c>
      <c r="AT179" s="6">
        <v>459276</v>
      </c>
      <c r="AV179" s="6">
        <v>172109</v>
      </c>
      <c r="AX179" s="6">
        <v>0</v>
      </c>
      <c r="AZ179" s="6">
        <f t="shared" si="36"/>
        <v>73205304</v>
      </c>
      <c r="BB179" s="6">
        <v>1740505</v>
      </c>
      <c r="BD179" s="6">
        <v>0</v>
      </c>
      <c r="BF179" s="6">
        <v>0</v>
      </c>
      <c r="BH179" s="6">
        <v>0</v>
      </c>
      <c r="BJ179" s="6">
        <f t="shared" si="37"/>
        <v>74945809</v>
      </c>
      <c r="BL179" s="6">
        <f>+'Gen Fd Rev'!AK179-'Gen Fd Exp'!BJ179</f>
        <v>407675</v>
      </c>
      <c r="BN179" s="6">
        <v>3657315</v>
      </c>
      <c r="BP179" s="6">
        <v>0</v>
      </c>
      <c r="BR179" s="6">
        <v>0</v>
      </c>
      <c r="BT179" s="6">
        <f t="shared" si="35"/>
        <v>4064990</v>
      </c>
      <c r="BV179" s="7">
        <f>+BT179-'Gen Fd BS'!AC179+BR179</f>
        <v>0</v>
      </c>
    </row>
    <row r="180" spans="1:74">
      <c r="A180" s="11" t="s">
        <v>267</v>
      </c>
      <c r="B180" s="11"/>
      <c r="C180" s="11" t="s">
        <v>20</v>
      </c>
      <c r="E180" s="6">
        <v>25427211</v>
      </c>
      <c r="G180" s="6">
        <v>13493642</v>
      </c>
      <c r="I180" s="6">
        <v>1306183</v>
      </c>
      <c r="K180" s="6">
        <v>0</v>
      </c>
      <c r="M180" s="6">
        <v>21130</v>
      </c>
      <c r="O180" s="6">
        <v>4325453</v>
      </c>
      <c r="Q180" s="6">
        <v>3844093</v>
      </c>
      <c r="S180" s="6">
        <v>206835</v>
      </c>
      <c r="U180" s="6">
        <v>4944090</v>
      </c>
      <c r="W180" s="6">
        <v>1902126</v>
      </c>
      <c r="Y180" s="6">
        <v>582858</v>
      </c>
      <c r="AA180" s="6">
        <v>7030549</v>
      </c>
      <c r="AC180" s="6">
        <v>4656818</v>
      </c>
      <c r="AE180" s="6">
        <v>1383543</v>
      </c>
      <c r="AG180" s="6">
        <v>0</v>
      </c>
      <c r="AI180" s="6">
        <v>0</v>
      </c>
      <c r="AJ180" s="11" t="s">
        <v>267</v>
      </c>
      <c r="AK180" s="11"/>
      <c r="AL180" s="11" t="s">
        <v>20</v>
      </c>
      <c r="AN180" s="6">
        <v>866561</v>
      </c>
      <c r="AP180" s="6">
        <v>0</v>
      </c>
      <c r="AT180" s="6">
        <v>0</v>
      </c>
      <c r="AV180" s="6">
        <v>0</v>
      </c>
      <c r="AX180" s="6">
        <v>0</v>
      </c>
      <c r="AZ180" s="6">
        <f t="shared" si="36"/>
        <v>69991092</v>
      </c>
      <c r="BB180" s="6">
        <v>421689</v>
      </c>
      <c r="BD180" s="6">
        <v>0</v>
      </c>
      <c r="BF180" s="6">
        <v>0</v>
      </c>
      <c r="BH180" s="6">
        <v>0</v>
      </c>
      <c r="BJ180" s="6">
        <f t="shared" si="37"/>
        <v>70412781</v>
      </c>
      <c r="BL180" s="6">
        <f>+'Gen Fd Rev'!AK180-'Gen Fd Exp'!BJ180</f>
        <v>-3110132</v>
      </c>
      <c r="BN180" s="6">
        <v>4112889</v>
      </c>
      <c r="BP180" s="6">
        <v>0</v>
      </c>
      <c r="BR180" s="6">
        <v>0</v>
      </c>
      <c r="BT180" s="6">
        <f t="shared" si="35"/>
        <v>1002757</v>
      </c>
      <c r="BV180" s="7">
        <f>+BT180-'Gen Fd BS'!AC180+BR180</f>
        <v>0</v>
      </c>
    </row>
    <row r="181" spans="1:74" hidden="1">
      <c r="A181" s="11" t="s">
        <v>619</v>
      </c>
      <c r="B181" s="11"/>
      <c r="C181" s="11" t="s">
        <v>28</v>
      </c>
      <c r="AJ181" s="11" t="s">
        <v>619</v>
      </c>
      <c r="AK181" s="11"/>
      <c r="AL181" s="11" t="s">
        <v>28</v>
      </c>
      <c r="AZ181" s="6">
        <f t="shared" si="36"/>
        <v>0</v>
      </c>
      <c r="BJ181" s="6">
        <f t="shared" si="37"/>
        <v>0</v>
      </c>
      <c r="BL181" s="6">
        <f>+'Gen Fd Rev'!AK181-'Gen Fd Exp'!BJ181</f>
        <v>0</v>
      </c>
      <c r="BR181" s="6">
        <v>0</v>
      </c>
      <c r="BT181" s="6">
        <f t="shared" si="35"/>
        <v>0</v>
      </c>
      <c r="BV181" s="7">
        <f>+BT181-'Gen Fd BS'!AC181+BR181</f>
        <v>0</v>
      </c>
    </row>
    <row r="182" spans="1:74">
      <c r="A182" s="11" t="s">
        <v>539</v>
      </c>
      <c r="B182" s="11"/>
      <c r="C182" s="11" t="s">
        <v>66</v>
      </c>
      <c r="E182" s="6">
        <v>4498055</v>
      </c>
      <c r="G182" s="6">
        <v>802294</v>
      </c>
      <c r="I182" s="6">
        <v>11693</v>
      </c>
      <c r="K182" s="6">
        <v>0</v>
      </c>
      <c r="M182" s="6">
        <v>80740</v>
      </c>
      <c r="O182" s="6">
        <v>591262</v>
      </c>
      <c r="Q182" s="6">
        <v>283497</v>
      </c>
      <c r="S182" s="6">
        <v>57045</v>
      </c>
      <c r="U182" s="6">
        <v>764780</v>
      </c>
      <c r="W182" s="6">
        <v>413765</v>
      </c>
      <c r="Y182" s="6">
        <v>0</v>
      </c>
      <c r="AA182" s="6">
        <v>935288</v>
      </c>
      <c r="AC182" s="6">
        <v>629292</v>
      </c>
      <c r="AE182" s="6">
        <v>0</v>
      </c>
      <c r="AG182" s="6">
        <v>0</v>
      </c>
      <c r="AI182" s="6">
        <v>0</v>
      </c>
      <c r="AJ182" s="11" t="s">
        <v>539</v>
      </c>
      <c r="AK182" s="11"/>
      <c r="AL182" s="11" t="s">
        <v>66</v>
      </c>
      <c r="AN182" s="6">
        <v>193159</v>
      </c>
      <c r="AP182" s="6">
        <v>0</v>
      </c>
      <c r="AT182" s="6">
        <v>6849</v>
      </c>
      <c r="AV182" s="6">
        <v>92</v>
      </c>
      <c r="AX182" s="6">
        <v>0</v>
      </c>
      <c r="AZ182" s="6">
        <f t="shared" si="36"/>
        <v>9267811</v>
      </c>
      <c r="BB182" s="6">
        <v>50158</v>
      </c>
      <c r="BD182" s="6">
        <v>0</v>
      </c>
      <c r="BF182" s="6">
        <v>0</v>
      </c>
      <c r="BH182" s="6">
        <v>0</v>
      </c>
      <c r="BJ182" s="6">
        <f t="shared" si="37"/>
        <v>9317969</v>
      </c>
      <c r="BL182" s="6">
        <f>+'Gen Fd Rev'!AK182-'Gen Fd Exp'!BJ182</f>
        <v>741916</v>
      </c>
      <c r="BN182" s="6">
        <v>1914128</v>
      </c>
      <c r="BP182" s="6">
        <v>0</v>
      </c>
      <c r="BR182" s="6">
        <v>0</v>
      </c>
      <c r="BT182" s="6">
        <f t="shared" si="35"/>
        <v>2656044</v>
      </c>
      <c r="BV182" s="7">
        <f>+BT182-'Gen Fd BS'!AC182+BR182</f>
        <v>0</v>
      </c>
    </row>
    <row r="183" spans="1:74">
      <c r="A183" s="11" t="s">
        <v>626</v>
      </c>
      <c r="B183" s="11"/>
      <c r="C183" s="11" t="s">
        <v>114</v>
      </c>
      <c r="D183" s="9"/>
      <c r="E183" s="6">
        <v>16538204</v>
      </c>
      <c r="G183" s="6">
        <v>5611515</v>
      </c>
      <c r="I183" s="6">
        <v>0</v>
      </c>
      <c r="K183" s="6">
        <v>0</v>
      </c>
      <c r="M183" s="6">
        <v>2776683</v>
      </c>
      <c r="O183" s="6">
        <v>2618487</v>
      </c>
      <c r="Q183" s="6">
        <v>1373020</v>
      </c>
      <c r="S183" s="6">
        <v>50486</v>
      </c>
      <c r="U183" s="6">
        <v>3001459</v>
      </c>
      <c r="W183" s="6">
        <v>817843</v>
      </c>
      <c r="Y183" s="6">
        <v>248336</v>
      </c>
      <c r="AA183" s="6">
        <v>3801303</v>
      </c>
      <c r="AC183" s="6">
        <v>2685669</v>
      </c>
      <c r="AE183" s="6">
        <v>414931</v>
      </c>
      <c r="AG183" s="6">
        <v>0</v>
      </c>
      <c r="AI183" s="6">
        <v>0</v>
      </c>
      <c r="AJ183" s="11" t="s">
        <v>626</v>
      </c>
      <c r="AK183" s="11"/>
      <c r="AL183" s="11" t="s">
        <v>114</v>
      </c>
      <c r="AN183" s="6">
        <v>605716</v>
      </c>
      <c r="AP183" s="6">
        <v>0</v>
      </c>
      <c r="AT183" s="6">
        <v>0</v>
      </c>
      <c r="AV183" s="6">
        <v>0</v>
      </c>
      <c r="AX183" s="6">
        <v>0</v>
      </c>
      <c r="AZ183" s="6">
        <f>SUM(E183:AX183)</f>
        <v>40543652</v>
      </c>
      <c r="BB183" s="6">
        <v>196573</v>
      </c>
      <c r="BD183" s="6">
        <v>0</v>
      </c>
      <c r="BF183" s="6">
        <v>0</v>
      </c>
      <c r="BH183" s="6">
        <v>0</v>
      </c>
      <c r="BJ183" s="6">
        <f>+AZ183+BB183+BD183+BH183</f>
        <v>40740225</v>
      </c>
      <c r="BL183" s="6">
        <f>+'Gen Fd Rev'!AK183-'Gen Fd Exp'!BJ183</f>
        <v>1177169</v>
      </c>
      <c r="BN183" s="6">
        <v>2601242</v>
      </c>
      <c r="BP183" s="6">
        <v>0</v>
      </c>
      <c r="BR183" s="6">
        <v>0</v>
      </c>
      <c r="BT183" s="6">
        <f>+BN183+BL183-BP183</f>
        <v>3778411</v>
      </c>
      <c r="BV183" s="7">
        <f>+BT183-'Gen Fd BS'!AC183+BR183</f>
        <v>0</v>
      </c>
    </row>
    <row r="184" spans="1:74">
      <c r="A184" s="11" t="s">
        <v>222</v>
      </c>
      <c r="B184" s="11"/>
      <c r="C184" s="11" t="s">
        <v>221</v>
      </c>
      <c r="D184" s="9"/>
      <c r="E184" s="6">
        <v>32462534</v>
      </c>
      <c r="G184" s="6">
        <v>7921749</v>
      </c>
      <c r="I184" s="6">
        <v>0</v>
      </c>
      <c r="K184" s="6">
        <v>0</v>
      </c>
      <c r="M184" s="6">
        <v>2618443</v>
      </c>
      <c r="O184" s="6">
        <v>3574228</v>
      </c>
      <c r="Q184" s="6">
        <v>4824884</v>
      </c>
      <c r="S184" s="6">
        <v>17982</v>
      </c>
      <c r="U184" s="6">
        <v>6017962</v>
      </c>
      <c r="W184" s="6">
        <v>1235235</v>
      </c>
      <c r="Y184" s="6">
        <v>248015</v>
      </c>
      <c r="AA184" s="6">
        <v>5099105</v>
      </c>
      <c r="AC184" s="6">
        <v>5570381</v>
      </c>
      <c r="AE184" s="6">
        <v>127305</v>
      </c>
      <c r="AG184" s="6">
        <v>0</v>
      </c>
      <c r="AI184" s="6">
        <v>579729</v>
      </c>
      <c r="AJ184" s="11" t="s">
        <v>222</v>
      </c>
      <c r="AK184" s="11"/>
      <c r="AL184" s="11" t="s">
        <v>221</v>
      </c>
      <c r="AN184" s="6">
        <v>1212679</v>
      </c>
      <c r="AP184" s="6">
        <v>0</v>
      </c>
      <c r="AT184" s="6">
        <v>80904</v>
      </c>
      <c r="AV184" s="6">
        <v>0</v>
      </c>
      <c r="AX184" s="6">
        <v>0</v>
      </c>
      <c r="AZ184" s="6">
        <f t="shared" si="36"/>
        <v>71591135</v>
      </c>
      <c r="BB184" s="6">
        <v>108955</v>
      </c>
      <c r="BD184" s="6">
        <v>0</v>
      </c>
      <c r="BF184" s="6">
        <v>0</v>
      </c>
      <c r="BH184" s="6">
        <v>0</v>
      </c>
      <c r="BJ184" s="6">
        <f t="shared" si="37"/>
        <v>71700090</v>
      </c>
      <c r="BL184" s="6">
        <f>+'Gen Fd Rev'!AK184-'Gen Fd Exp'!BJ184</f>
        <v>4729022</v>
      </c>
      <c r="BN184" s="6">
        <v>3161683</v>
      </c>
      <c r="BP184" s="6">
        <v>0</v>
      </c>
      <c r="BR184" s="6">
        <v>0</v>
      </c>
      <c r="BT184" s="6">
        <f t="shared" si="35"/>
        <v>7890705</v>
      </c>
      <c r="BV184" s="7">
        <f>+BT184-'Gen Fd BS'!AC184+BR184</f>
        <v>0</v>
      </c>
    </row>
    <row r="185" spans="1:74">
      <c r="A185" s="11" t="s">
        <v>349</v>
      </c>
      <c r="B185" s="11"/>
      <c r="C185" s="11" t="s">
        <v>348</v>
      </c>
      <c r="E185" s="6">
        <v>3610921</v>
      </c>
      <c r="G185" s="6">
        <v>458095</v>
      </c>
      <c r="I185" s="6">
        <v>177980</v>
      </c>
      <c r="K185" s="6">
        <v>0</v>
      </c>
      <c r="M185" s="6">
        <v>5636</v>
      </c>
      <c r="O185" s="6">
        <v>206316</v>
      </c>
      <c r="Q185" s="6">
        <v>316282</v>
      </c>
      <c r="S185" s="6">
        <v>36605</v>
      </c>
      <c r="U185" s="6">
        <v>456433</v>
      </c>
      <c r="W185" s="6">
        <v>304248</v>
      </c>
      <c r="Y185" s="6">
        <v>43517</v>
      </c>
      <c r="AA185" s="6">
        <v>541954</v>
      </c>
      <c r="AC185" s="6">
        <v>415304</v>
      </c>
      <c r="AE185" s="6">
        <v>137034</v>
      </c>
      <c r="AG185" s="6">
        <v>0</v>
      </c>
      <c r="AI185" s="6">
        <v>3907</v>
      </c>
      <c r="AJ185" s="11" t="s">
        <v>349</v>
      </c>
      <c r="AK185" s="11"/>
      <c r="AL185" s="11" t="s">
        <v>348</v>
      </c>
      <c r="AN185" s="6">
        <v>99648</v>
      </c>
      <c r="AP185" s="6">
        <v>0</v>
      </c>
      <c r="AT185" s="6">
        <v>0</v>
      </c>
      <c r="AV185" s="6">
        <v>0</v>
      </c>
      <c r="AX185" s="6">
        <v>0</v>
      </c>
      <c r="AZ185" s="6">
        <f t="shared" si="36"/>
        <v>6813880</v>
      </c>
      <c r="BB185" s="6">
        <v>0</v>
      </c>
      <c r="BD185" s="6">
        <v>0</v>
      </c>
      <c r="BF185" s="6">
        <v>0</v>
      </c>
      <c r="BH185" s="6">
        <v>0</v>
      </c>
      <c r="BJ185" s="6">
        <f t="shared" si="37"/>
        <v>6813880</v>
      </c>
      <c r="BL185" s="6">
        <f>+'Gen Fd Rev'!AK185-'Gen Fd Exp'!BJ185</f>
        <v>263862</v>
      </c>
      <c r="BN185" s="6">
        <v>1226210</v>
      </c>
      <c r="BP185" s="6">
        <v>0</v>
      </c>
      <c r="BR185" s="6">
        <v>0</v>
      </c>
      <c r="BT185" s="6">
        <f t="shared" si="35"/>
        <v>1490072</v>
      </c>
      <c r="BV185" s="7">
        <f>+BT185-'Gen Fd BS'!AC185+BR185</f>
        <v>0</v>
      </c>
    </row>
    <row r="186" spans="1:74">
      <c r="A186" s="11" t="s">
        <v>294</v>
      </c>
      <c r="B186" s="11"/>
      <c r="C186" s="11" t="s">
        <v>25</v>
      </c>
      <c r="E186" s="6">
        <v>7458853</v>
      </c>
      <c r="G186" s="6">
        <v>1856233</v>
      </c>
      <c r="I186" s="6">
        <v>386440</v>
      </c>
      <c r="K186" s="6">
        <v>0</v>
      </c>
      <c r="M186" s="6">
        <v>202705</v>
      </c>
      <c r="O186" s="6">
        <v>905593</v>
      </c>
      <c r="Q186" s="6">
        <v>741539</v>
      </c>
      <c r="S186" s="6">
        <v>34532</v>
      </c>
      <c r="U186" s="6">
        <v>1347962</v>
      </c>
      <c r="W186" s="6">
        <v>575056</v>
      </c>
      <c r="Y186" s="6">
        <v>0</v>
      </c>
      <c r="AA186" s="6">
        <v>1421692</v>
      </c>
      <c r="AC186" s="6">
        <v>1350797</v>
      </c>
      <c r="AE186" s="6">
        <v>84740</v>
      </c>
      <c r="AG186" s="6">
        <v>0</v>
      </c>
      <c r="AI186" s="6">
        <v>0</v>
      </c>
      <c r="AJ186" s="11" t="s">
        <v>294</v>
      </c>
      <c r="AK186" s="11"/>
      <c r="AL186" s="11" t="s">
        <v>25</v>
      </c>
      <c r="AN186" s="6">
        <v>418878</v>
      </c>
      <c r="AP186" s="6">
        <v>18617</v>
      </c>
      <c r="AT186" s="6">
        <v>74264</v>
      </c>
      <c r="AV186" s="6">
        <v>13597</v>
      </c>
      <c r="AX186" s="6">
        <v>0</v>
      </c>
      <c r="AZ186" s="6">
        <f t="shared" si="36"/>
        <v>16891498</v>
      </c>
      <c r="BB186" s="6">
        <v>1708750</v>
      </c>
      <c r="BD186" s="6">
        <v>0</v>
      </c>
      <c r="BF186" s="6">
        <v>0</v>
      </c>
      <c r="BH186" s="6">
        <v>0</v>
      </c>
      <c r="BJ186" s="6">
        <f t="shared" si="37"/>
        <v>18600248</v>
      </c>
      <c r="BL186" s="6">
        <f>+'Gen Fd Rev'!AK186-'Gen Fd Exp'!BJ186</f>
        <v>905672</v>
      </c>
      <c r="BN186" s="6">
        <v>4645578</v>
      </c>
      <c r="BP186" s="6">
        <v>0</v>
      </c>
      <c r="BR186" s="6">
        <v>0</v>
      </c>
      <c r="BT186" s="6">
        <f t="shared" si="35"/>
        <v>5551250</v>
      </c>
      <c r="BV186" s="7">
        <f>+BT186-'Gen Fd BS'!AC186+BR186</f>
        <v>0</v>
      </c>
    </row>
    <row r="187" spans="1:74">
      <c r="A187" s="11" t="s">
        <v>368</v>
      </c>
      <c r="B187" s="11"/>
      <c r="C187" s="11" t="s">
        <v>366</v>
      </c>
      <c r="E187" s="6">
        <v>5734427</v>
      </c>
      <c r="G187" s="6">
        <v>1374066</v>
      </c>
      <c r="I187" s="6">
        <v>75160</v>
      </c>
      <c r="K187" s="6">
        <v>0</v>
      </c>
      <c r="M187" s="6">
        <f>6167+61552</f>
        <v>67719</v>
      </c>
      <c r="O187" s="6">
        <v>364757</v>
      </c>
      <c r="Q187" s="6">
        <v>609122</v>
      </c>
      <c r="S187" s="6">
        <v>102826</v>
      </c>
      <c r="U187" s="6">
        <v>1202021</v>
      </c>
      <c r="W187" s="6">
        <v>412624</v>
      </c>
      <c r="Y187" s="6">
        <v>42936</v>
      </c>
      <c r="AA187" s="6">
        <v>2072835</v>
      </c>
      <c r="AC187" s="6">
        <v>730344</v>
      </c>
      <c r="AE187" s="6">
        <v>5478</v>
      </c>
      <c r="AG187" s="6">
        <v>0</v>
      </c>
      <c r="AI187" s="6">
        <v>13273</v>
      </c>
      <c r="AJ187" s="11" t="s">
        <v>368</v>
      </c>
      <c r="AK187" s="11"/>
      <c r="AL187" s="11" t="s">
        <v>366</v>
      </c>
      <c r="AN187" s="6">
        <v>194086</v>
      </c>
      <c r="AP187" s="6">
        <v>0</v>
      </c>
      <c r="AT187" s="6">
        <v>0</v>
      </c>
      <c r="AV187" s="6">
        <v>0</v>
      </c>
      <c r="AX187" s="6">
        <v>0</v>
      </c>
      <c r="AZ187" s="6">
        <f t="shared" si="36"/>
        <v>13001674</v>
      </c>
      <c r="BB187" s="6">
        <v>0</v>
      </c>
      <c r="BD187" s="6">
        <v>0</v>
      </c>
      <c r="BF187" s="6">
        <v>0</v>
      </c>
      <c r="BH187" s="6">
        <v>0</v>
      </c>
      <c r="BJ187" s="6">
        <f t="shared" si="37"/>
        <v>13001674</v>
      </c>
      <c r="BL187" s="6">
        <f>+'Gen Fd Rev'!AK187-'Gen Fd Exp'!BJ187</f>
        <v>750384</v>
      </c>
      <c r="BN187" s="6">
        <v>3658467</v>
      </c>
      <c r="BP187" s="6">
        <v>0</v>
      </c>
      <c r="BR187" s="6">
        <v>0</v>
      </c>
      <c r="BT187" s="6">
        <f t="shared" si="35"/>
        <v>4408851</v>
      </c>
      <c r="BV187" s="7">
        <f>+BT187-'Gen Fd BS'!AC187+BR187</f>
        <v>0</v>
      </c>
    </row>
    <row r="188" spans="1:74" hidden="1">
      <c r="A188" s="11" t="s">
        <v>620</v>
      </c>
      <c r="B188" s="11"/>
      <c r="C188" s="11" t="s">
        <v>61</v>
      </c>
      <c r="AJ188" s="11" t="s">
        <v>620</v>
      </c>
      <c r="AK188" s="11"/>
      <c r="AL188" s="11" t="s">
        <v>61</v>
      </c>
      <c r="AZ188" s="6">
        <f t="shared" si="36"/>
        <v>0</v>
      </c>
      <c r="BJ188" s="6">
        <f t="shared" si="37"/>
        <v>0</v>
      </c>
      <c r="BL188" s="6">
        <f>+'Gen Fd Rev'!AK188-'Gen Fd Exp'!BJ188</f>
        <v>0</v>
      </c>
      <c r="BR188" s="6">
        <v>0</v>
      </c>
      <c r="BT188" s="6">
        <f t="shared" si="35"/>
        <v>0</v>
      </c>
      <c r="BV188" s="7">
        <f>+BT188-'Gen Fd BS'!AC188+BR188</f>
        <v>0</v>
      </c>
    </row>
    <row r="189" spans="1:74">
      <c r="A189" s="11" t="s">
        <v>496</v>
      </c>
      <c r="B189" s="11"/>
      <c r="C189" s="11" t="s">
        <v>62</v>
      </c>
      <c r="E189" s="6">
        <v>6638491</v>
      </c>
      <c r="G189" s="6">
        <v>1811270</v>
      </c>
      <c r="I189" s="6">
        <v>219936</v>
      </c>
      <c r="K189" s="6">
        <v>0</v>
      </c>
      <c r="M189" s="6">
        <v>297321</v>
      </c>
      <c r="O189" s="6">
        <v>993922</v>
      </c>
      <c r="Q189" s="6">
        <v>342578</v>
      </c>
      <c r="S189" s="6">
        <v>17699</v>
      </c>
      <c r="U189" s="6">
        <v>1130936</v>
      </c>
      <c r="W189" s="6">
        <v>487268</v>
      </c>
      <c r="Y189" s="6">
        <v>0</v>
      </c>
      <c r="AA189" s="6">
        <v>1340312</v>
      </c>
      <c r="AC189" s="6">
        <v>1026760</v>
      </c>
      <c r="AE189" s="6">
        <v>20355</v>
      </c>
      <c r="AG189" s="6">
        <v>0</v>
      </c>
      <c r="AI189" s="6">
        <v>30178</v>
      </c>
      <c r="AJ189" s="11" t="s">
        <v>496</v>
      </c>
      <c r="AK189" s="11"/>
      <c r="AL189" s="11" t="s">
        <v>62</v>
      </c>
      <c r="AN189" s="6">
        <v>396956</v>
      </c>
      <c r="AP189" s="6">
        <v>0</v>
      </c>
      <c r="AT189" s="6">
        <v>0</v>
      </c>
      <c r="AV189" s="6">
        <v>0</v>
      </c>
      <c r="AX189" s="6">
        <v>0</v>
      </c>
      <c r="AZ189" s="6">
        <f t="shared" si="36"/>
        <v>14753982</v>
      </c>
      <c r="BB189" s="6">
        <v>0</v>
      </c>
      <c r="BD189" s="6">
        <v>0</v>
      </c>
      <c r="BF189" s="6">
        <v>0</v>
      </c>
      <c r="BH189" s="6">
        <v>0</v>
      </c>
      <c r="BJ189" s="6">
        <f t="shared" si="37"/>
        <v>14753982</v>
      </c>
      <c r="BL189" s="6">
        <f>+'Gen Fd Rev'!AK189-'Gen Fd Exp'!BJ189</f>
        <v>-296733</v>
      </c>
      <c r="BN189" s="6">
        <v>2807517</v>
      </c>
      <c r="BP189" s="6">
        <v>0</v>
      </c>
      <c r="BR189" s="6">
        <v>0</v>
      </c>
      <c r="BT189" s="6">
        <f t="shared" si="35"/>
        <v>2510784</v>
      </c>
      <c r="BV189" s="7">
        <f>+BT189-'Gen Fd BS'!AC189+BR189</f>
        <v>0</v>
      </c>
    </row>
    <row r="190" spans="1:74" hidden="1">
      <c r="A190" s="10" t="s">
        <v>890</v>
      </c>
      <c r="B190" s="11"/>
      <c r="C190" s="11" t="s">
        <v>41</v>
      </c>
      <c r="AJ190" s="10" t="s">
        <v>890</v>
      </c>
      <c r="AK190" s="11"/>
      <c r="AL190" s="11" t="s">
        <v>41</v>
      </c>
      <c r="AZ190" s="6">
        <f t="shared" si="36"/>
        <v>0</v>
      </c>
      <c r="BJ190" s="6">
        <f t="shared" si="37"/>
        <v>0</v>
      </c>
      <c r="BL190" s="6">
        <f>+'Gen Fd Rev'!AK190-'Gen Fd Exp'!BJ190</f>
        <v>0</v>
      </c>
      <c r="BR190" s="6">
        <v>0</v>
      </c>
      <c r="BT190" s="6">
        <f t="shared" si="35"/>
        <v>0</v>
      </c>
      <c r="BV190" s="7">
        <f>+BT190-'Gen Fd BS'!AC190+BR190</f>
        <v>0</v>
      </c>
    </row>
    <row r="191" spans="1:74" s="28" customFormat="1">
      <c r="A191" s="27" t="s">
        <v>268</v>
      </c>
      <c r="B191" s="27"/>
      <c r="C191" s="27" t="s">
        <v>20</v>
      </c>
      <c r="E191" s="28">
        <v>9011295</v>
      </c>
      <c r="G191" s="28">
        <v>1658311</v>
      </c>
      <c r="I191" s="28">
        <v>100246</v>
      </c>
      <c r="K191" s="28">
        <v>0</v>
      </c>
      <c r="M191" s="28">
        <v>15008</v>
      </c>
      <c r="O191" s="28">
        <v>1271159</v>
      </c>
      <c r="Q191" s="28">
        <v>1182896</v>
      </c>
      <c r="S191" s="28">
        <v>24499</v>
      </c>
      <c r="U191" s="28">
        <v>1521883</v>
      </c>
      <c r="W191" s="28">
        <v>771126</v>
      </c>
      <c r="Y191" s="28">
        <v>15108</v>
      </c>
      <c r="AA191" s="28">
        <v>1679807</v>
      </c>
      <c r="AC191" s="28">
        <v>544048</v>
      </c>
      <c r="AE191" s="28">
        <v>577417</v>
      </c>
      <c r="AG191" s="28">
        <v>0</v>
      </c>
      <c r="AI191" s="28">
        <v>172</v>
      </c>
      <c r="AJ191" s="27" t="s">
        <v>268</v>
      </c>
      <c r="AK191" s="27"/>
      <c r="AL191" s="27" t="s">
        <v>20</v>
      </c>
      <c r="AN191" s="28">
        <v>437487</v>
      </c>
      <c r="AP191" s="28">
        <v>0</v>
      </c>
      <c r="AT191" s="28">
        <v>0</v>
      </c>
      <c r="AV191" s="28">
        <v>0</v>
      </c>
      <c r="AX191" s="28">
        <v>0</v>
      </c>
      <c r="AZ191" s="28">
        <f t="shared" si="36"/>
        <v>18810462</v>
      </c>
      <c r="BB191" s="28">
        <v>452500</v>
      </c>
      <c r="BD191" s="28">
        <v>0</v>
      </c>
      <c r="BF191" s="28">
        <v>0</v>
      </c>
      <c r="BH191" s="28">
        <v>0</v>
      </c>
      <c r="BJ191" s="28">
        <f t="shared" si="37"/>
        <v>19262962</v>
      </c>
      <c r="BL191" s="28">
        <f>+'Gen Fd Rev'!AK191-'Gen Fd Exp'!BJ191</f>
        <v>1027669</v>
      </c>
      <c r="BN191" s="28">
        <v>13017602</v>
      </c>
      <c r="BP191" s="28">
        <v>0</v>
      </c>
      <c r="BR191" s="28">
        <v>0</v>
      </c>
      <c r="BT191" s="28">
        <f t="shared" si="35"/>
        <v>14045271</v>
      </c>
      <c r="BV191" s="32">
        <f>+BT191-'Gen Fd BS'!AC191+BR191</f>
        <v>0</v>
      </c>
    </row>
    <row r="192" spans="1:74" hidden="1">
      <c r="A192" s="11" t="s">
        <v>745</v>
      </c>
      <c r="B192" s="11"/>
      <c r="C192" s="11" t="s">
        <v>28</v>
      </c>
      <c r="AJ192" s="11" t="s">
        <v>745</v>
      </c>
      <c r="AK192" s="11"/>
      <c r="AL192" s="11" t="s">
        <v>28</v>
      </c>
      <c r="AZ192" s="6">
        <f t="shared" si="36"/>
        <v>0</v>
      </c>
      <c r="BJ192" s="6">
        <f t="shared" si="37"/>
        <v>0</v>
      </c>
      <c r="BL192" s="6">
        <f>+'Gen Fd Rev'!AK192-'Gen Fd Exp'!BJ192</f>
        <v>0</v>
      </c>
      <c r="BR192" s="6">
        <v>0</v>
      </c>
      <c r="BT192" s="6">
        <f t="shared" si="35"/>
        <v>0</v>
      </c>
      <c r="BV192" s="7">
        <f>+BT192-'Gen Fd BS'!AC192+BR192</f>
        <v>0</v>
      </c>
    </row>
    <row r="193" spans="1:74">
      <c r="A193" s="11" t="s">
        <v>219</v>
      </c>
      <c r="B193" s="11"/>
      <c r="C193" s="11" t="s">
        <v>77</v>
      </c>
      <c r="D193" s="9"/>
      <c r="E193" s="6">
        <v>3050821</v>
      </c>
      <c r="G193" s="6">
        <v>634005</v>
      </c>
      <c r="I193" s="6">
        <v>194839</v>
      </c>
      <c r="K193" s="6">
        <v>0</v>
      </c>
      <c r="M193" s="6">
        <v>1669</v>
      </c>
      <c r="O193" s="6">
        <v>264650</v>
      </c>
      <c r="Q193" s="6">
        <v>609411</v>
      </c>
      <c r="S193" s="6">
        <v>60541</v>
      </c>
      <c r="U193" s="6">
        <v>645931</v>
      </c>
      <c r="W193" s="6">
        <v>282932</v>
      </c>
      <c r="Y193" s="6">
        <v>0</v>
      </c>
      <c r="AA193" s="6">
        <v>775278</v>
      </c>
      <c r="AC193" s="6">
        <v>499792</v>
      </c>
      <c r="AE193" s="6">
        <v>3086</v>
      </c>
      <c r="AG193" s="6">
        <v>0</v>
      </c>
      <c r="AI193" s="6">
        <v>82348</v>
      </c>
      <c r="AJ193" s="11" t="s">
        <v>219</v>
      </c>
      <c r="AK193" s="11"/>
      <c r="AL193" s="11" t="s">
        <v>77</v>
      </c>
      <c r="AN193" s="6">
        <v>100786</v>
      </c>
      <c r="AP193" s="6">
        <v>0</v>
      </c>
      <c r="AT193" s="6">
        <v>0</v>
      </c>
      <c r="AV193" s="6">
        <v>0</v>
      </c>
      <c r="AX193" s="6">
        <v>0</v>
      </c>
      <c r="AZ193" s="6">
        <f t="shared" si="36"/>
        <v>7206089</v>
      </c>
      <c r="BB193" s="6">
        <v>0</v>
      </c>
      <c r="BD193" s="6">
        <v>0</v>
      </c>
      <c r="BF193" s="6">
        <v>0</v>
      </c>
      <c r="BH193" s="6">
        <v>0</v>
      </c>
      <c r="BJ193" s="6">
        <f t="shared" si="37"/>
        <v>7206089</v>
      </c>
      <c r="BL193" s="6">
        <f>+'Gen Fd Rev'!AK193-'Gen Fd Exp'!BJ193</f>
        <v>383676</v>
      </c>
      <c r="BN193" s="6">
        <v>835537</v>
      </c>
      <c r="BP193" s="6">
        <v>0</v>
      </c>
      <c r="BR193" s="6">
        <v>0</v>
      </c>
      <c r="BT193" s="6">
        <f t="shared" si="35"/>
        <v>1219213</v>
      </c>
      <c r="BV193" s="7">
        <f>+BT193-'Gen Fd BS'!AC193+BR193</f>
        <v>0</v>
      </c>
    </row>
    <row r="194" spans="1:74">
      <c r="A194" s="11" t="s">
        <v>743</v>
      </c>
      <c r="B194" s="11"/>
      <c r="C194" s="11" t="s">
        <v>13</v>
      </c>
      <c r="D194" s="9"/>
      <c r="E194" s="6">
        <v>5524265</v>
      </c>
      <c r="G194" s="6">
        <v>1138652</v>
      </c>
      <c r="I194" s="6">
        <v>205880</v>
      </c>
      <c r="K194" s="6">
        <v>0</v>
      </c>
      <c r="M194" s="6">
        <v>0</v>
      </c>
      <c r="O194" s="6">
        <v>235138</v>
      </c>
      <c r="Q194" s="6">
        <v>343036</v>
      </c>
      <c r="S194" s="6">
        <v>33504</v>
      </c>
      <c r="U194" s="6">
        <v>795471</v>
      </c>
      <c r="W194" s="6">
        <v>329303</v>
      </c>
      <c r="Y194" s="6">
        <v>0</v>
      </c>
      <c r="AA194" s="6">
        <v>753189</v>
      </c>
      <c r="AC194" s="6">
        <v>1045869</v>
      </c>
      <c r="AE194" s="6">
        <v>63038</v>
      </c>
      <c r="AG194" s="6">
        <v>0</v>
      </c>
      <c r="AI194" s="6">
        <v>906</v>
      </c>
      <c r="AJ194" s="11" t="s">
        <v>743</v>
      </c>
      <c r="AK194" s="11"/>
      <c r="AL194" s="11" t="s">
        <v>13</v>
      </c>
      <c r="AN194" s="6">
        <v>73461</v>
      </c>
      <c r="AP194" s="6">
        <v>0</v>
      </c>
      <c r="AT194" s="6">
        <v>0</v>
      </c>
      <c r="AV194" s="6">
        <v>0</v>
      </c>
      <c r="AX194" s="6">
        <v>0</v>
      </c>
      <c r="AZ194" s="6">
        <f t="shared" si="36"/>
        <v>10541712</v>
      </c>
      <c r="BB194" s="6">
        <v>0</v>
      </c>
      <c r="BD194" s="6">
        <v>0</v>
      </c>
      <c r="BF194" s="6">
        <v>0</v>
      </c>
      <c r="BH194" s="6">
        <v>0</v>
      </c>
      <c r="BJ194" s="6">
        <f t="shared" si="37"/>
        <v>10541712</v>
      </c>
      <c r="BL194" s="6">
        <f>+'Gen Fd Rev'!AK194-'Gen Fd Exp'!BJ194</f>
        <v>398587</v>
      </c>
      <c r="BN194" s="6">
        <v>1997266</v>
      </c>
      <c r="BP194" s="6">
        <v>0</v>
      </c>
      <c r="BR194" s="6">
        <v>0</v>
      </c>
      <c r="BT194" s="6">
        <f t="shared" si="35"/>
        <v>2395853</v>
      </c>
      <c r="BV194" s="7">
        <f>+BT194-'Gen Fd BS'!AC194+BR194</f>
        <v>0</v>
      </c>
    </row>
    <row r="195" spans="1:74">
      <c r="A195" s="11" t="s">
        <v>239</v>
      </c>
      <c r="B195" s="11"/>
      <c r="C195" s="11" t="s">
        <v>113</v>
      </c>
      <c r="D195" s="9"/>
      <c r="E195" s="6">
        <v>3752243</v>
      </c>
      <c r="G195" s="6">
        <v>1736372</v>
      </c>
      <c r="I195" s="6">
        <v>0</v>
      </c>
      <c r="K195" s="6">
        <v>0</v>
      </c>
      <c r="M195" s="6">
        <v>109739</v>
      </c>
      <c r="O195" s="6">
        <v>272169</v>
      </c>
      <c r="Q195" s="6">
        <v>284001</v>
      </c>
      <c r="S195" s="6">
        <v>15061</v>
      </c>
      <c r="U195" s="6">
        <v>640126</v>
      </c>
      <c r="W195" s="6">
        <v>336484</v>
      </c>
      <c r="Y195" s="6">
        <v>0</v>
      </c>
      <c r="AA195" s="6">
        <v>800217</v>
      </c>
      <c r="AC195" s="6">
        <v>571258</v>
      </c>
      <c r="AE195" s="6">
        <v>47462</v>
      </c>
      <c r="AG195" s="6">
        <v>0</v>
      </c>
      <c r="AI195" s="6">
        <v>0</v>
      </c>
      <c r="AJ195" s="11" t="s">
        <v>239</v>
      </c>
      <c r="AK195" s="11"/>
      <c r="AL195" s="11" t="s">
        <v>113</v>
      </c>
      <c r="AN195" s="6">
        <v>53601</v>
      </c>
      <c r="AP195" s="6">
        <v>0</v>
      </c>
      <c r="AT195" s="6">
        <v>20469</v>
      </c>
      <c r="AV195" s="6">
        <v>20013</v>
      </c>
      <c r="AX195" s="6">
        <v>0</v>
      </c>
      <c r="AZ195" s="6">
        <f t="shared" si="36"/>
        <v>8659215</v>
      </c>
      <c r="BB195" s="6">
        <v>0</v>
      </c>
      <c r="BD195" s="6">
        <v>0</v>
      </c>
      <c r="BF195" s="6">
        <v>0</v>
      </c>
      <c r="BH195" s="6">
        <v>0</v>
      </c>
      <c r="BJ195" s="6">
        <f t="shared" si="37"/>
        <v>8659215</v>
      </c>
      <c r="BL195" s="6">
        <f>+'Gen Fd Rev'!AK195-'Gen Fd Exp'!BJ195</f>
        <v>491855</v>
      </c>
      <c r="BN195" s="6">
        <v>812613</v>
      </c>
      <c r="BP195" s="6">
        <v>0</v>
      </c>
      <c r="BR195" s="6">
        <v>0</v>
      </c>
      <c r="BT195" s="6">
        <f t="shared" si="35"/>
        <v>1304468</v>
      </c>
      <c r="BV195" s="7">
        <f>+BT195-'Gen Fd BS'!AC195+BR195</f>
        <v>0</v>
      </c>
    </row>
    <row r="196" spans="1:74">
      <c r="A196" s="11" t="s">
        <v>720</v>
      </c>
      <c r="B196" s="11"/>
      <c r="C196" s="11" t="s">
        <v>56</v>
      </c>
      <c r="E196" s="6">
        <v>10639889</v>
      </c>
      <c r="G196" s="6">
        <v>1251007</v>
      </c>
      <c r="I196" s="6">
        <v>143496</v>
      </c>
      <c r="K196" s="6">
        <v>2891</v>
      </c>
      <c r="M196" s="6">
        <v>8599</v>
      </c>
      <c r="O196" s="6">
        <v>951674</v>
      </c>
      <c r="Q196" s="6">
        <v>523053</v>
      </c>
      <c r="S196" s="6">
        <v>26424</v>
      </c>
      <c r="U196" s="6">
        <v>2262492</v>
      </c>
      <c r="W196" s="6">
        <v>461059</v>
      </c>
      <c r="Y196" s="6">
        <v>204</v>
      </c>
      <c r="AA196" s="6">
        <v>1684036</v>
      </c>
      <c r="AC196" s="6">
        <v>1210075</v>
      </c>
      <c r="AE196" s="6">
        <v>102754</v>
      </c>
      <c r="AG196" s="6">
        <v>0</v>
      </c>
      <c r="AI196" s="6">
        <v>31220</v>
      </c>
      <c r="AJ196" s="11" t="s">
        <v>720</v>
      </c>
      <c r="AK196" s="11"/>
      <c r="AL196" s="11" t="s">
        <v>56</v>
      </c>
      <c r="AN196" s="6">
        <v>347718</v>
      </c>
      <c r="AP196" s="6">
        <v>34846</v>
      </c>
      <c r="AT196" s="6">
        <v>71988</v>
      </c>
      <c r="AV196" s="6">
        <v>7683</v>
      </c>
      <c r="AX196" s="6">
        <v>0</v>
      </c>
      <c r="AZ196" s="6">
        <f t="shared" si="36"/>
        <v>19761108</v>
      </c>
      <c r="BB196" s="6">
        <v>0</v>
      </c>
      <c r="BD196" s="6">
        <v>0</v>
      </c>
      <c r="BF196" s="6">
        <v>0</v>
      </c>
      <c r="BH196" s="6">
        <v>0</v>
      </c>
      <c r="BJ196" s="6">
        <f t="shared" si="37"/>
        <v>19761108</v>
      </c>
      <c r="BL196" s="6">
        <f>+'Gen Fd Rev'!AK196-'Gen Fd Exp'!BJ196</f>
        <v>-1018124</v>
      </c>
      <c r="BN196" s="6">
        <v>1215108</v>
      </c>
      <c r="BP196" s="6">
        <v>0</v>
      </c>
      <c r="BR196" s="6">
        <v>0</v>
      </c>
      <c r="BT196" s="6">
        <f t="shared" si="35"/>
        <v>196984</v>
      </c>
      <c r="BV196" s="7">
        <f>+BT196-'Gen Fd BS'!AC196+BR196</f>
        <v>0</v>
      </c>
    </row>
    <row r="197" spans="1:74">
      <c r="A197" s="11" t="s">
        <v>337</v>
      </c>
      <c r="B197" s="11"/>
      <c r="C197" s="11" t="s">
        <v>33</v>
      </c>
      <c r="E197" s="6">
        <v>21914447</v>
      </c>
      <c r="G197" s="6">
        <v>5249633</v>
      </c>
      <c r="I197" s="6">
        <v>2469961</v>
      </c>
      <c r="K197" s="6">
        <v>92651</v>
      </c>
      <c r="M197" s="6">
        <v>5000310</v>
      </c>
      <c r="O197" s="6">
        <v>2322939</v>
      </c>
      <c r="Q197" s="6">
        <v>3559465</v>
      </c>
      <c r="S197" s="6">
        <v>133509</v>
      </c>
      <c r="U197" s="6">
        <v>3770049</v>
      </c>
      <c r="W197" s="6">
        <v>1457419</v>
      </c>
      <c r="Y197" s="6">
        <v>0</v>
      </c>
      <c r="AA197" s="6">
        <v>4831790</v>
      </c>
      <c r="AC197" s="6">
        <v>2045018</v>
      </c>
      <c r="AE197" s="6">
        <v>161638</v>
      </c>
      <c r="AG197" s="6">
        <v>0</v>
      </c>
      <c r="AI197" s="6">
        <v>141526</v>
      </c>
      <c r="AJ197" s="11" t="s">
        <v>337</v>
      </c>
      <c r="AK197" s="11"/>
      <c r="AL197" s="11" t="s">
        <v>33</v>
      </c>
      <c r="AN197" s="6">
        <v>836344</v>
      </c>
      <c r="AP197" s="6">
        <v>0</v>
      </c>
      <c r="AT197" s="6">
        <v>323109</v>
      </c>
      <c r="AV197" s="6">
        <v>45198</v>
      </c>
      <c r="AX197" s="6">
        <v>0</v>
      </c>
      <c r="AZ197" s="6">
        <f t="shared" si="36"/>
        <v>54355006</v>
      </c>
      <c r="BB197" s="6">
        <v>0</v>
      </c>
      <c r="BD197" s="6">
        <v>0</v>
      </c>
      <c r="BF197" s="6">
        <v>0</v>
      </c>
      <c r="BH197" s="6">
        <v>0</v>
      </c>
      <c r="BJ197" s="6">
        <f t="shared" si="37"/>
        <v>54355006</v>
      </c>
      <c r="BL197" s="6">
        <f>+'Gen Fd Rev'!AK197-'Gen Fd Exp'!BJ197</f>
        <v>2780465</v>
      </c>
      <c r="BN197" s="6">
        <v>7240780</v>
      </c>
      <c r="BP197" s="6">
        <v>5080</v>
      </c>
      <c r="BR197" s="6">
        <v>0</v>
      </c>
      <c r="BT197" s="6">
        <f t="shared" si="35"/>
        <v>10016165</v>
      </c>
      <c r="BV197" s="7">
        <f>+BT197-'Gen Fd BS'!AC197+BR197</f>
        <v>0</v>
      </c>
    </row>
    <row r="198" spans="1:74">
      <c r="A198" s="11" t="s">
        <v>322</v>
      </c>
      <c r="B198" s="11"/>
      <c r="C198" s="11" t="s">
        <v>32</v>
      </c>
      <c r="E198" s="6">
        <v>6803425</v>
      </c>
      <c r="G198" s="6">
        <v>2093491</v>
      </c>
      <c r="I198" s="6">
        <v>118140</v>
      </c>
      <c r="K198" s="6">
        <v>0</v>
      </c>
      <c r="M198" s="6">
        <v>904165</v>
      </c>
      <c r="O198" s="6">
        <v>942470</v>
      </c>
      <c r="Q198" s="6">
        <v>1263901</v>
      </c>
      <c r="S198" s="6">
        <v>25405</v>
      </c>
      <c r="U198" s="6">
        <v>1149678</v>
      </c>
      <c r="W198" s="6">
        <v>484481</v>
      </c>
      <c r="Y198" s="6">
        <v>395093</v>
      </c>
      <c r="AA198" s="6">
        <v>1593544</v>
      </c>
      <c r="AC198" s="6">
        <v>913799</v>
      </c>
      <c r="AE198" s="6">
        <v>227586</v>
      </c>
      <c r="AG198" s="6">
        <v>0</v>
      </c>
      <c r="AI198" s="6">
        <v>114507</v>
      </c>
      <c r="AJ198" s="11" t="s">
        <v>322</v>
      </c>
      <c r="AK198" s="11"/>
      <c r="AL198" s="11" t="s">
        <v>32</v>
      </c>
      <c r="AN198" s="6">
        <v>366809</v>
      </c>
      <c r="AP198" s="6">
        <v>12850</v>
      </c>
      <c r="AT198" s="6">
        <v>0</v>
      </c>
      <c r="AV198" s="6">
        <v>0</v>
      </c>
      <c r="AX198" s="6">
        <v>0</v>
      </c>
      <c r="AZ198" s="6">
        <f t="shared" si="36"/>
        <v>17409344</v>
      </c>
      <c r="BB198" s="6">
        <v>2000</v>
      </c>
      <c r="BD198" s="6">
        <v>0</v>
      </c>
      <c r="BF198" s="6">
        <v>0</v>
      </c>
      <c r="BH198" s="6">
        <v>0</v>
      </c>
      <c r="BJ198" s="6">
        <f t="shared" si="37"/>
        <v>17411344</v>
      </c>
      <c r="BL198" s="6">
        <f>+'Gen Fd Rev'!AK198-'Gen Fd Exp'!BJ198</f>
        <v>572795</v>
      </c>
      <c r="BN198" s="6">
        <v>3239503</v>
      </c>
      <c r="BP198" s="6">
        <v>0</v>
      </c>
      <c r="BR198" s="6">
        <v>0</v>
      </c>
      <c r="BT198" s="6">
        <f t="shared" si="35"/>
        <v>3812298</v>
      </c>
      <c r="BV198" s="7">
        <f>+BT198-'Gen Fd BS'!AC198+BR198</f>
        <v>0</v>
      </c>
    </row>
    <row r="199" spans="1:74">
      <c r="A199" s="11" t="s">
        <v>385</v>
      </c>
      <c r="B199" s="11"/>
      <c r="C199" s="11" t="s">
        <v>44</v>
      </c>
      <c r="E199" s="6">
        <v>7136245</v>
      </c>
      <c r="G199" s="6">
        <v>1324773</v>
      </c>
      <c r="I199" s="6">
        <v>280314</v>
      </c>
      <c r="K199" s="6">
        <v>0</v>
      </c>
      <c r="M199" s="6">
        <v>1576285</v>
      </c>
      <c r="O199" s="6">
        <v>769701</v>
      </c>
      <c r="Q199" s="6">
        <v>484184</v>
      </c>
      <c r="S199" s="6">
        <v>26757</v>
      </c>
      <c r="U199" s="6">
        <v>1427837</v>
      </c>
      <c r="W199" s="6">
        <v>408822</v>
      </c>
      <c r="Y199" s="6">
        <v>0</v>
      </c>
      <c r="AA199" s="6">
        <v>1025023</v>
      </c>
      <c r="AC199" s="6">
        <v>1165318</v>
      </c>
      <c r="AE199" s="6">
        <v>259031</v>
      </c>
      <c r="AG199" s="6">
        <v>0</v>
      </c>
      <c r="AI199" s="6">
        <v>0</v>
      </c>
      <c r="AJ199" s="11" t="s">
        <v>385</v>
      </c>
      <c r="AK199" s="11"/>
      <c r="AL199" s="11" t="s">
        <v>44</v>
      </c>
      <c r="AN199" s="6">
        <v>387686</v>
      </c>
      <c r="AP199" s="6">
        <v>250</v>
      </c>
      <c r="AT199" s="6">
        <v>65000</v>
      </c>
      <c r="AV199" s="6">
        <v>51740</v>
      </c>
      <c r="AX199" s="6">
        <v>0</v>
      </c>
      <c r="AZ199" s="6">
        <f t="shared" si="36"/>
        <v>16388966</v>
      </c>
      <c r="BB199" s="6">
        <v>0</v>
      </c>
      <c r="BD199" s="6">
        <v>0</v>
      </c>
      <c r="BF199" s="6">
        <v>0</v>
      </c>
      <c r="BH199" s="6">
        <v>0</v>
      </c>
      <c r="BJ199" s="6">
        <f t="shared" si="37"/>
        <v>16388966</v>
      </c>
      <c r="BL199" s="6">
        <f>+'Gen Fd Rev'!AK199-'Gen Fd Exp'!BJ199</f>
        <v>846100</v>
      </c>
      <c r="BN199" s="6">
        <v>547017</v>
      </c>
      <c r="BP199" s="6">
        <v>0</v>
      </c>
      <c r="BR199" s="6">
        <v>0</v>
      </c>
      <c r="BT199" s="6">
        <f t="shared" si="35"/>
        <v>1393117</v>
      </c>
      <c r="BV199" s="7">
        <f>+BT199-'Gen Fd BS'!AC199+BR199</f>
        <v>0</v>
      </c>
    </row>
    <row r="200" spans="1:74">
      <c r="A200" s="11" t="s">
        <v>323</v>
      </c>
      <c r="B200" s="11"/>
      <c r="C200" s="11" t="s">
        <v>32</v>
      </c>
      <c r="E200" s="6">
        <v>33429852</v>
      </c>
      <c r="G200" s="6">
        <v>7058541</v>
      </c>
      <c r="I200" s="6">
        <v>0</v>
      </c>
      <c r="K200" s="6">
        <v>0</v>
      </c>
      <c r="M200" s="6">
        <v>1466310</v>
      </c>
      <c r="O200" s="6">
        <v>5149933</v>
      </c>
      <c r="Q200" s="6">
        <v>5485598</v>
      </c>
      <c r="S200" s="6">
        <v>31242</v>
      </c>
      <c r="U200" s="6">
        <v>4715632</v>
      </c>
      <c r="W200" s="6">
        <v>1252003</v>
      </c>
      <c r="Y200" s="6">
        <v>209712</v>
      </c>
      <c r="AA200" s="6">
        <v>5184409</v>
      </c>
      <c r="AC200" s="6">
        <v>3818931</v>
      </c>
      <c r="AE200" s="6">
        <v>461613</v>
      </c>
      <c r="AG200" s="6">
        <v>0</v>
      </c>
      <c r="AI200" s="6">
        <v>70603</v>
      </c>
      <c r="AJ200" s="11" t="s">
        <v>323</v>
      </c>
      <c r="AK200" s="11"/>
      <c r="AL200" s="11" t="s">
        <v>32</v>
      </c>
      <c r="AN200" s="6">
        <v>1540615</v>
      </c>
      <c r="AP200" s="6">
        <v>0</v>
      </c>
      <c r="AT200" s="6">
        <v>0</v>
      </c>
      <c r="AV200" s="6">
        <v>0</v>
      </c>
      <c r="AX200" s="6">
        <v>0</v>
      </c>
      <c r="AZ200" s="6">
        <f t="shared" si="36"/>
        <v>69874994</v>
      </c>
      <c r="BB200" s="6">
        <v>560746</v>
      </c>
      <c r="BD200" s="6">
        <v>0</v>
      </c>
      <c r="BF200" s="6">
        <v>0</v>
      </c>
      <c r="BH200" s="6">
        <v>0</v>
      </c>
      <c r="BJ200" s="6">
        <f t="shared" si="37"/>
        <v>70435740</v>
      </c>
      <c r="BL200" s="6">
        <f>+'Gen Fd Rev'!AK200-'Gen Fd Exp'!BJ200</f>
        <v>-831596</v>
      </c>
      <c r="BN200" s="6">
        <v>18623268</v>
      </c>
      <c r="BP200" s="6">
        <v>0</v>
      </c>
      <c r="BR200" s="6">
        <v>0</v>
      </c>
      <c r="BT200" s="6">
        <f t="shared" si="35"/>
        <v>17791672</v>
      </c>
      <c r="BV200" s="7">
        <f>+BT200-'Gen Fd BS'!AC200+BR200</f>
        <v>0</v>
      </c>
    </row>
    <row r="201" spans="1:74" hidden="1">
      <c r="A201" s="11" t="s">
        <v>616</v>
      </c>
      <c r="B201" s="11"/>
      <c r="C201" s="11" t="s">
        <v>70</v>
      </c>
      <c r="AJ201" s="11" t="s">
        <v>616</v>
      </c>
      <c r="AK201" s="11"/>
      <c r="AL201" s="11" t="s">
        <v>70</v>
      </c>
      <c r="AZ201" s="6">
        <f t="shared" si="36"/>
        <v>0</v>
      </c>
      <c r="BJ201" s="6">
        <f t="shared" si="37"/>
        <v>0</v>
      </c>
      <c r="BL201" s="6">
        <f>+'Gen Fd Rev'!AK201-'Gen Fd Exp'!BJ201</f>
        <v>0</v>
      </c>
      <c r="BR201" s="6">
        <v>0</v>
      </c>
      <c r="BT201" s="6">
        <f t="shared" si="35"/>
        <v>0</v>
      </c>
      <c r="BV201" s="7">
        <f>+BT201-'Gen Fd BS'!AC201+BR201</f>
        <v>0</v>
      </c>
    </row>
    <row r="202" spans="1:74">
      <c r="A202" s="11" t="s">
        <v>490</v>
      </c>
      <c r="B202" s="11"/>
      <c r="C202" s="11" t="s">
        <v>61</v>
      </c>
      <c r="E202" s="6">
        <v>3207606</v>
      </c>
      <c r="G202" s="6">
        <v>440346</v>
      </c>
      <c r="I202" s="6">
        <v>0</v>
      </c>
      <c r="K202" s="6">
        <v>0</v>
      </c>
      <c r="M202" s="6">
        <v>0</v>
      </c>
      <c r="O202" s="6">
        <v>456793</v>
      </c>
      <c r="Q202" s="6">
        <v>359632</v>
      </c>
      <c r="S202" s="6">
        <v>15617</v>
      </c>
      <c r="U202" s="6">
        <v>519326</v>
      </c>
      <c r="W202" s="6">
        <v>225670</v>
      </c>
      <c r="Y202" s="6">
        <v>730</v>
      </c>
      <c r="AA202" s="6">
        <v>615039</v>
      </c>
      <c r="AC202" s="6">
        <v>251404</v>
      </c>
      <c r="AE202" s="6">
        <v>60346</v>
      </c>
      <c r="AG202" s="6">
        <v>0</v>
      </c>
      <c r="AI202" s="6">
        <v>0</v>
      </c>
      <c r="AJ202" s="11" t="s">
        <v>490</v>
      </c>
      <c r="AK202" s="11"/>
      <c r="AL202" s="11" t="s">
        <v>61</v>
      </c>
      <c r="AN202" s="6">
        <v>280068</v>
      </c>
      <c r="AP202" s="6">
        <v>0</v>
      </c>
      <c r="AT202" s="6">
        <v>0</v>
      </c>
      <c r="AV202" s="6">
        <v>0</v>
      </c>
      <c r="AX202" s="6">
        <v>0</v>
      </c>
      <c r="AZ202" s="6">
        <f t="shared" si="36"/>
        <v>6432577</v>
      </c>
      <c r="BB202" s="6">
        <v>26493</v>
      </c>
      <c r="BD202" s="6">
        <v>0</v>
      </c>
      <c r="BF202" s="6">
        <v>0</v>
      </c>
      <c r="BH202" s="6">
        <v>0</v>
      </c>
      <c r="BJ202" s="6">
        <f t="shared" si="37"/>
        <v>6459070</v>
      </c>
      <c r="BL202" s="6">
        <f>+'Gen Fd Rev'!AK202-'Gen Fd Exp'!BJ202</f>
        <v>616965</v>
      </c>
      <c r="BN202" s="6">
        <v>2588325</v>
      </c>
      <c r="BP202" s="6">
        <v>0</v>
      </c>
      <c r="BR202" s="6">
        <v>0</v>
      </c>
      <c r="BT202" s="6">
        <f t="shared" si="35"/>
        <v>3205290</v>
      </c>
      <c r="BV202" s="7">
        <f>+BT202-'Gen Fd BS'!AC202+BR202</f>
        <v>0</v>
      </c>
    </row>
    <row r="203" spans="1:74" hidden="1">
      <c r="A203" s="11" t="s">
        <v>764</v>
      </c>
      <c r="B203" s="11"/>
      <c r="C203" s="11" t="s">
        <v>422</v>
      </c>
      <c r="AJ203" s="11" t="s">
        <v>764</v>
      </c>
      <c r="AK203" s="11"/>
      <c r="AL203" s="11" t="s">
        <v>422</v>
      </c>
      <c r="AZ203" s="6">
        <f t="shared" si="36"/>
        <v>0</v>
      </c>
      <c r="BJ203" s="6">
        <f t="shared" si="37"/>
        <v>0</v>
      </c>
      <c r="BL203" s="6">
        <f>+'Gen Fd Rev'!AK203-'Gen Fd Exp'!BJ203</f>
        <v>0</v>
      </c>
      <c r="BR203" s="6">
        <v>0</v>
      </c>
      <c r="BT203" s="6">
        <f t="shared" si="35"/>
        <v>0</v>
      </c>
      <c r="BV203" s="7">
        <f>+BT203-'Gen Fd BS'!AC203+BR203</f>
        <v>0</v>
      </c>
    </row>
    <row r="204" spans="1:74" hidden="1">
      <c r="A204" s="11" t="s">
        <v>747</v>
      </c>
      <c r="B204" s="11"/>
      <c r="C204" s="11" t="s">
        <v>60</v>
      </c>
      <c r="AJ204" s="11" t="s">
        <v>747</v>
      </c>
      <c r="AK204" s="11"/>
      <c r="AL204" s="11" t="s">
        <v>60</v>
      </c>
      <c r="AZ204" s="6">
        <f t="shared" si="36"/>
        <v>0</v>
      </c>
      <c r="BJ204" s="6">
        <f t="shared" si="37"/>
        <v>0</v>
      </c>
      <c r="BL204" s="6">
        <f>+'Gen Fd Rev'!AK204-'Gen Fd Exp'!BJ204</f>
        <v>0</v>
      </c>
      <c r="BR204" s="6">
        <v>0</v>
      </c>
      <c r="BT204" s="6">
        <f t="shared" ref="BT204:BT225" si="44">+BN204+BL204-BP204</f>
        <v>0</v>
      </c>
      <c r="BV204" s="7">
        <f>+BT204-'Gen Fd BS'!AC204+BR204</f>
        <v>0</v>
      </c>
    </row>
    <row r="205" spans="1:74">
      <c r="A205" s="11" t="s">
        <v>544</v>
      </c>
      <c r="B205" s="11"/>
      <c r="C205" s="11" t="s">
        <v>69</v>
      </c>
      <c r="E205" s="6">
        <v>13532997</v>
      </c>
      <c r="G205" s="6">
        <v>3023905</v>
      </c>
      <c r="I205" s="6">
        <v>355021</v>
      </c>
      <c r="K205" s="6">
        <v>1346</v>
      </c>
      <c r="M205" s="6">
        <f>345+70117</f>
        <v>70462</v>
      </c>
      <c r="O205" s="6">
        <v>1155374</v>
      </c>
      <c r="Q205" s="6">
        <v>1428140</v>
      </c>
      <c r="S205" s="6">
        <v>29937</v>
      </c>
      <c r="U205" s="6">
        <v>1986688</v>
      </c>
      <c r="W205" s="6">
        <v>551153</v>
      </c>
      <c r="Y205" s="6">
        <v>178090</v>
      </c>
      <c r="AA205" s="6">
        <v>2170871</v>
      </c>
      <c r="AC205" s="6">
        <v>1156621</v>
      </c>
      <c r="AE205" s="6">
        <v>388910</v>
      </c>
      <c r="AG205" s="6">
        <v>0</v>
      </c>
      <c r="AI205" s="6">
        <v>6885</v>
      </c>
      <c r="AJ205" s="11" t="s">
        <v>544</v>
      </c>
      <c r="AK205" s="11"/>
      <c r="AL205" s="11" t="s">
        <v>69</v>
      </c>
      <c r="AN205" s="6">
        <v>648515</v>
      </c>
      <c r="AP205" s="6">
        <v>0</v>
      </c>
      <c r="AT205" s="6">
        <v>63933</v>
      </c>
      <c r="AV205" s="6">
        <v>2206</v>
      </c>
      <c r="AX205" s="6">
        <v>0</v>
      </c>
      <c r="AZ205" s="6">
        <f t="shared" si="36"/>
        <v>26751054</v>
      </c>
      <c r="BB205" s="6">
        <v>0</v>
      </c>
      <c r="BD205" s="6">
        <v>0</v>
      </c>
      <c r="BF205" s="6">
        <v>0</v>
      </c>
      <c r="BH205" s="6">
        <v>0</v>
      </c>
      <c r="BJ205" s="6">
        <f t="shared" si="37"/>
        <v>26751054</v>
      </c>
      <c r="BL205" s="6">
        <f>+'Gen Fd Rev'!AK205-'Gen Fd Exp'!BJ205</f>
        <v>-763519</v>
      </c>
      <c r="BN205" s="6">
        <v>3448826</v>
      </c>
      <c r="BP205" s="6">
        <v>0</v>
      </c>
      <c r="BR205" s="6">
        <v>0</v>
      </c>
      <c r="BT205" s="6">
        <f t="shared" si="44"/>
        <v>2685307</v>
      </c>
      <c r="BV205" s="7">
        <f>+BT205-'Gen Fd BS'!AC205+BR205</f>
        <v>0</v>
      </c>
    </row>
    <row r="206" spans="1:74">
      <c r="A206" s="11" t="s">
        <v>444</v>
      </c>
      <c r="B206" s="11"/>
      <c r="C206" s="11" t="s">
        <v>51</v>
      </c>
      <c r="E206" s="6">
        <v>9770016</v>
      </c>
      <c r="G206" s="6">
        <v>1220256</v>
      </c>
      <c r="I206" s="6">
        <v>113262</v>
      </c>
      <c r="K206" s="6">
        <v>0</v>
      </c>
      <c r="M206" s="6">
        <v>204009</v>
      </c>
      <c r="O206" s="6">
        <v>901942</v>
      </c>
      <c r="Q206" s="6">
        <v>872589</v>
      </c>
      <c r="S206" s="6">
        <v>89444</v>
      </c>
      <c r="U206" s="6">
        <v>1450957</v>
      </c>
      <c r="W206" s="6">
        <v>465390</v>
      </c>
      <c r="Y206" s="6">
        <v>0</v>
      </c>
      <c r="AA206" s="6">
        <v>2025420</v>
      </c>
      <c r="AC206" s="6">
        <v>1463797</v>
      </c>
      <c r="AE206" s="6">
        <v>202533</v>
      </c>
      <c r="AG206" s="6">
        <v>1967</v>
      </c>
      <c r="AI206" s="6">
        <v>0</v>
      </c>
      <c r="AJ206" s="11" t="s">
        <v>444</v>
      </c>
      <c r="AK206" s="11"/>
      <c r="AL206" s="11" t="s">
        <v>51</v>
      </c>
      <c r="AN206" s="6">
        <v>337672</v>
      </c>
      <c r="AP206" s="6">
        <v>9000</v>
      </c>
      <c r="AT206" s="6">
        <v>83440</v>
      </c>
      <c r="AV206" s="6">
        <v>9163</v>
      </c>
      <c r="AX206" s="6">
        <v>0</v>
      </c>
      <c r="AZ206" s="6">
        <f t="shared" si="36"/>
        <v>19220857</v>
      </c>
      <c r="BB206" s="6">
        <v>625000</v>
      </c>
      <c r="BD206" s="6">
        <v>0</v>
      </c>
      <c r="BF206" s="6">
        <v>0</v>
      </c>
      <c r="BH206" s="6">
        <v>0</v>
      </c>
      <c r="BJ206" s="6">
        <f t="shared" si="37"/>
        <v>19845857</v>
      </c>
      <c r="BL206" s="6">
        <f>+'Gen Fd Rev'!AK206-'Gen Fd Exp'!BJ206</f>
        <v>4110448</v>
      </c>
      <c r="BN206" s="6">
        <v>3449066</v>
      </c>
      <c r="BP206" s="6">
        <v>0</v>
      </c>
      <c r="BR206" s="6">
        <v>0</v>
      </c>
      <c r="BT206" s="6">
        <f t="shared" si="44"/>
        <v>7559514</v>
      </c>
      <c r="BV206" s="7">
        <f>+BT206-'Gen Fd BS'!AC206+BR206</f>
        <v>0</v>
      </c>
    </row>
    <row r="207" spans="1:74" hidden="1">
      <c r="A207" s="11" t="s">
        <v>615</v>
      </c>
      <c r="B207" s="11"/>
      <c r="C207" s="11" t="s">
        <v>21</v>
      </c>
      <c r="AJ207" s="11" t="s">
        <v>615</v>
      </c>
      <c r="AK207" s="11"/>
      <c r="AL207" s="11" t="s">
        <v>21</v>
      </c>
      <c r="AZ207" s="6">
        <f t="shared" ref="AZ207:AZ210" si="45">SUM(E207:AX207)</f>
        <v>0</v>
      </c>
      <c r="BJ207" s="6">
        <f t="shared" ref="BJ207:BJ225" si="46">+AZ207+BB207+BD207+BH207</f>
        <v>0</v>
      </c>
      <c r="BL207" s="6">
        <f>+'Gen Fd Rev'!AK207-'Gen Fd Exp'!BJ207</f>
        <v>0</v>
      </c>
      <c r="BR207" s="6">
        <v>0</v>
      </c>
      <c r="BT207" s="6">
        <f t="shared" si="44"/>
        <v>0</v>
      </c>
      <c r="BV207" s="7">
        <f>+BT207-'Gen Fd BS'!AC207+BR207</f>
        <v>0</v>
      </c>
    </row>
    <row r="208" spans="1:74" hidden="1">
      <c r="A208" s="11" t="s">
        <v>664</v>
      </c>
      <c r="B208" s="11"/>
      <c r="C208" s="11" t="s">
        <v>40</v>
      </c>
      <c r="AJ208" s="11" t="s">
        <v>664</v>
      </c>
      <c r="AK208" s="11"/>
      <c r="AL208" s="11" t="s">
        <v>40</v>
      </c>
      <c r="AZ208" s="6">
        <f t="shared" si="45"/>
        <v>0</v>
      </c>
      <c r="BJ208" s="6">
        <f t="shared" si="46"/>
        <v>0</v>
      </c>
      <c r="BL208" s="6">
        <f>+'Gen Fd Rev'!AK208-'Gen Fd Exp'!BJ208</f>
        <v>0</v>
      </c>
      <c r="BR208" s="6">
        <v>0</v>
      </c>
      <c r="BT208" s="6">
        <f t="shared" si="44"/>
        <v>0</v>
      </c>
      <c r="BV208" s="7">
        <f>+BT208-'Gen Fd BS'!AC208+BR208</f>
        <v>0</v>
      </c>
    </row>
    <row r="209" spans="1:74">
      <c r="A209" s="11" t="s">
        <v>644</v>
      </c>
      <c r="B209" s="11"/>
      <c r="C209" s="11" t="s">
        <v>79</v>
      </c>
      <c r="E209" s="6">
        <v>16929432</v>
      </c>
      <c r="G209" s="6">
        <v>4416553</v>
      </c>
      <c r="I209" s="6">
        <v>66862</v>
      </c>
      <c r="K209" s="6">
        <v>0</v>
      </c>
      <c r="M209" s="6">
        <v>323658</v>
      </c>
      <c r="O209" s="6">
        <v>2448509</v>
      </c>
      <c r="Q209" s="6">
        <v>1353204</v>
      </c>
      <c r="S209" s="6">
        <v>73267</v>
      </c>
      <c r="U209" s="6">
        <v>2898601</v>
      </c>
      <c r="W209" s="6">
        <v>679834</v>
      </c>
      <c r="Y209" s="6">
        <v>140618</v>
      </c>
      <c r="AA209" s="6">
        <v>2311217</v>
      </c>
      <c r="AC209" s="6">
        <v>1153044</v>
      </c>
      <c r="AE209" s="6">
        <v>86867</v>
      </c>
      <c r="AG209" s="6">
        <v>0</v>
      </c>
      <c r="AI209" s="6">
        <v>29968</v>
      </c>
      <c r="AJ209" s="11" t="s">
        <v>644</v>
      </c>
      <c r="AK209" s="11"/>
      <c r="AL209" s="11" t="s">
        <v>79</v>
      </c>
      <c r="AN209" s="6">
        <v>610768</v>
      </c>
      <c r="AP209" s="6">
        <v>5699</v>
      </c>
      <c r="AT209" s="6">
        <v>5155</v>
      </c>
      <c r="AV209" s="6">
        <v>1159</v>
      </c>
      <c r="AX209" s="6">
        <v>0</v>
      </c>
      <c r="AZ209" s="6">
        <f t="shared" si="45"/>
        <v>33534415</v>
      </c>
      <c r="BB209" s="6">
        <v>4431</v>
      </c>
      <c r="BD209" s="6">
        <v>0</v>
      </c>
      <c r="BF209" s="6">
        <v>0</v>
      </c>
      <c r="BH209" s="6">
        <v>0</v>
      </c>
      <c r="BJ209" s="6">
        <f t="shared" si="46"/>
        <v>33538846</v>
      </c>
      <c r="BL209" s="6">
        <f>+'Gen Fd Rev'!AK209-'Gen Fd Exp'!BJ209</f>
        <v>2237387</v>
      </c>
      <c r="BN209" s="6">
        <v>10927552</v>
      </c>
      <c r="BP209" s="6">
        <v>0</v>
      </c>
      <c r="BR209" s="6">
        <v>0</v>
      </c>
      <c r="BT209" s="6">
        <f t="shared" si="44"/>
        <v>13164939</v>
      </c>
      <c r="BV209" s="7">
        <f>+BT209-'Gen Fd BS'!AC209+BR209</f>
        <v>0</v>
      </c>
    </row>
    <row r="210" spans="1:74">
      <c r="A210" s="11" t="s">
        <v>548</v>
      </c>
      <c r="B210" s="11"/>
      <c r="C210" s="11" t="s">
        <v>70</v>
      </c>
      <c r="E210" s="6">
        <v>2739662</v>
      </c>
      <c r="G210" s="6">
        <v>710200</v>
      </c>
      <c r="I210" s="6">
        <v>246487</v>
      </c>
      <c r="K210" s="6">
        <v>0</v>
      </c>
      <c r="M210" s="6">
        <v>0</v>
      </c>
      <c r="O210" s="6">
        <v>257438</v>
      </c>
      <c r="Q210" s="6">
        <v>128151</v>
      </c>
      <c r="S210" s="6">
        <v>22380</v>
      </c>
      <c r="U210" s="6">
        <v>878981</v>
      </c>
      <c r="W210" s="6">
        <v>274191</v>
      </c>
      <c r="Y210" s="6">
        <v>16</v>
      </c>
      <c r="AA210" s="6">
        <v>969315</v>
      </c>
      <c r="AC210" s="6">
        <v>798284</v>
      </c>
      <c r="AE210" s="6">
        <v>11880</v>
      </c>
      <c r="AG210" s="6">
        <v>0</v>
      </c>
      <c r="AI210" s="6">
        <v>0</v>
      </c>
      <c r="AJ210" s="11" t="s">
        <v>548</v>
      </c>
      <c r="AK210" s="11"/>
      <c r="AL210" s="11" t="s">
        <v>70</v>
      </c>
      <c r="AN210" s="6">
        <v>76214</v>
      </c>
      <c r="AP210" s="6">
        <v>1392</v>
      </c>
      <c r="AT210" s="6">
        <v>20594</v>
      </c>
      <c r="AV210" s="6">
        <v>1166</v>
      </c>
      <c r="AX210" s="6">
        <v>0</v>
      </c>
      <c r="AZ210" s="6">
        <f t="shared" si="45"/>
        <v>7136351</v>
      </c>
      <c r="BB210" s="6">
        <v>47249</v>
      </c>
      <c r="BD210" s="6">
        <v>0</v>
      </c>
      <c r="BF210" s="6">
        <v>0</v>
      </c>
      <c r="BH210" s="6">
        <v>0</v>
      </c>
      <c r="BJ210" s="6">
        <f t="shared" si="46"/>
        <v>7183600</v>
      </c>
      <c r="BL210" s="6">
        <f>+'Gen Fd Rev'!AK210-'Gen Fd Exp'!BJ210</f>
        <v>-303198</v>
      </c>
      <c r="BN210" s="6">
        <v>1171514</v>
      </c>
      <c r="BP210" s="6">
        <v>0</v>
      </c>
      <c r="BR210" s="6">
        <v>0</v>
      </c>
      <c r="BT210" s="6">
        <f t="shared" si="44"/>
        <v>868316</v>
      </c>
      <c r="BV210" s="7">
        <f>+BT210-'Gen Fd BS'!AC210+BR210</f>
        <v>0</v>
      </c>
    </row>
    <row r="211" spans="1:74">
      <c r="A211" s="11" t="s">
        <v>641</v>
      </c>
      <c r="B211" s="11"/>
      <c r="C211" s="11" t="s">
        <v>27</v>
      </c>
      <c r="E211" s="6">
        <v>39000838</v>
      </c>
      <c r="G211" s="6">
        <v>10032885</v>
      </c>
      <c r="I211" s="6">
        <v>906551</v>
      </c>
      <c r="K211" s="6">
        <v>0</v>
      </c>
      <c r="M211" s="6">
        <v>0</v>
      </c>
      <c r="O211" s="6">
        <v>3478023</v>
      </c>
      <c r="Q211" s="6">
        <v>2190267</v>
      </c>
      <c r="S211" s="6">
        <v>250484</v>
      </c>
      <c r="U211" s="6">
        <v>6705294</v>
      </c>
      <c r="W211" s="6">
        <v>1520984</v>
      </c>
      <c r="Y211" s="6">
        <v>0</v>
      </c>
      <c r="AA211" s="6">
        <v>6171392</v>
      </c>
      <c r="AC211" s="6">
        <v>2638381</v>
      </c>
      <c r="AE211" s="6">
        <v>449368</v>
      </c>
      <c r="AG211" s="6">
        <v>0</v>
      </c>
      <c r="AI211" s="6">
        <v>3239</v>
      </c>
      <c r="AJ211" s="11" t="s">
        <v>641</v>
      </c>
      <c r="AK211" s="11"/>
      <c r="AL211" s="11" t="s">
        <v>27</v>
      </c>
      <c r="AN211" s="6">
        <v>922666</v>
      </c>
      <c r="AP211" s="6">
        <v>0</v>
      </c>
      <c r="AT211" s="6">
        <v>512707</v>
      </c>
      <c r="AV211" s="6">
        <v>65957</v>
      </c>
      <c r="AX211" s="6">
        <v>0</v>
      </c>
      <c r="AZ211" s="6">
        <f t="shared" ref="AZ211:AZ225" si="47">SUM(E211:AX211)</f>
        <v>74849036</v>
      </c>
      <c r="BB211" s="6">
        <v>1811918</v>
      </c>
      <c r="BD211" s="6">
        <v>0</v>
      </c>
      <c r="BF211" s="6">
        <v>0</v>
      </c>
      <c r="BH211" s="6">
        <v>0</v>
      </c>
      <c r="BJ211" s="6">
        <f t="shared" si="46"/>
        <v>76660954</v>
      </c>
      <c r="BL211" s="6">
        <f>+'Gen Fd Rev'!AK211-'Gen Fd Exp'!BJ211</f>
        <v>2187021</v>
      </c>
      <c r="BN211" s="6">
        <v>19336163</v>
      </c>
      <c r="BP211" s="6">
        <v>0</v>
      </c>
      <c r="BR211" s="6">
        <v>0</v>
      </c>
      <c r="BT211" s="6">
        <f t="shared" si="44"/>
        <v>21523184</v>
      </c>
      <c r="BV211" s="7">
        <f>+BT211-'Gen Fd BS'!AC211+BR211</f>
        <v>0</v>
      </c>
    </row>
    <row r="212" spans="1:74">
      <c r="A212" s="11" t="s">
        <v>259</v>
      </c>
      <c r="B212" s="11"/>
      <c r="C212" s="11" t="s">
        <v>111</v>
      </c>
      <c r="E212" s="6">
        <v>8168097</v>
      </c>
      <c r="G212" s="6">
        <v>1907939</v>
      </c>
      <c r="I212" s="6">
        <v>95188</v>
      </c>
      <c r="K212" s="6">
        <v>0</v>
      </c>
      <c r="M212" s="6">
        <v>0</v>
      </c>
      <c r="O212" s="6">
        <v>799980</v>
      </c>
      <c r="Q212" s="6">
        <v>699142</v>
      </c>
      <c r="S212" s="6">
        <v>61077</v>
      </c>
      <c r="U212" s="6">
        <v>1296846</v>
      </c>
      <c r="W212" s="6">
        <v>398304</v>
      </c>
      <c r="Y212" s="6">
        <v>0</v>
      </c>
      <c r="AA212" s="6">
        <v>1383729</v>
      </c>
      <c r="AC212" s="6">
        <v>671029</v>
      </c>
      <c r="AE212" s="6">
        <v>181162</v>
      </c>
      <c r="AG212" s="6">
        <v>0</v>
      </c>
      <c r="AI212" s="6">
        <v>4692</v>
      </c>
      <c r="AJ212" s="11" t="s">
        <v>259</v>
      </c>
      <c r="AK212" s="11"/>
      <c r="AL212" s="11" t="s">
        <v>111</v>
      </c>
      <c r="AN212" s="6">
        <v>455354</v>
      </c>
      <c r="AP212" s="6">
        <v>0</v>
      </c>
      <c r="AT212" s="6">
        <v>38158</v>
      </c>
      <c r="AV212" s="6">
        <v>1471</v>
      </c>
      <c r="AX212" s="6">
        <v>0</v>
      </c>
      <c r="AZ212" s="6">
        <f t="shared" si="47"/>
        <v>16162168</v>
      </c>
      <c r="BB212" s="6">
        <v>36044</v>
      </c>
      <c r="BD212" s="6">
        <v>0</v>
      </c>
      <c r="BF212" s="6">
        <v>0</v>
      </c>
      <c r="BH212" s="6">
        <v>0</v>
      </c>
      <c r="BJ212" s="6">
        <f t="shared" si="46"/>
        <v>16198212</v>
      </c>
      <c r="BL212" s="6">
        <f>+'Gen Fd Rev'!AK212-'Gen Fd Exp'!BJ212</f>
        <v>-398774</v>
      </c>
      <c r="BN212" s="6">
        <v>1503729</v>
      </c>
      <c r="BP212" s="6">
        <v>0</v>
      </c>
      <c r="BR212" s="6">
        <v>0</v>
      </c>
      <c r="BT212" s="6">
        <f t="shared" si="44"/>
        <v>1104955</v>
      </c>
      <c r="BV212" s="7">
        <f>+BT212-'Gen Fd BS'!AC212+BR212</f>
        <v>0</v>
      </c>
    </row>
    <row r="213" spans="1:74">
      <c r="A213" s="11" t="s">
        <v>642</v>
      </c>
      <c r="B213" s="11"/>
      <c r="C213" s="11" t="s">
        <v>29</v>
      </c>
      <c r="E213" s="6">
        <v>8543719</v>
      </c>
      <c r="G213" s="6">
        <v>1907601</v>
      </c>
      <c r="I213" s="6">
        <v>391967</v>
      </c>
      <c r="K213" s="6">
        <v>0</v>
      </c>
      <c r="M213" s="6">
        <v>1993715</v>
      </c>
      <c r="O213" s="6">
        <v>614918</v>
      </c>
      <c r="Q213" s="6">
        <v>554812</v>
      </c>
      <c r="S213" s="6">
        <v>101825</v>
      </c>
      <c r="U213" s="6">
        <v>1586754</v>
      </c>
      <c r="W213" s="6">
        <v>540700</v>
      </c>
      <c r="Y213" s="6">
        <v>32186</v>
      </c>
      <c r="AA213" s="6">
        <v>927842</v>
      </c>
      <c r="AC213" s="6">
        <v>1854682</v>
      </c>
      <c r="AE213" s="6">
        <v>239180</v>
      </c>
      <c r="AG213" s="6">
        <v>0</v>
      </c>
      <c r="AI213" s="6">
        <v>4105</v>
      </c>
      <c r="AJ213" s="11" t="s">
        <v>642</v>
      </c>
      <c r="AK213" s="11"/>
      <c r="AL213" s="11" t="s">
        <v>29</v>
      </c>
      <c r="AN213" s="6">
        <v>355623</v>
      </c>
      <c r="AP213" s="6">
        <v>713081</v>
      </c>
      <c r="AT213" s="6">
        <v>0</v>
      </c>
      <c r="AV213" s="6">
        <v>0</v>
      </c>
      <c r="AX213" s="6">
        <v>0</v>
      </c>
      <c r="AZ213" s="6">
        <f t="shared" si="47"/>
        <v>20362710</v>
      </c>
      <c r="BB213" s="6">
        <v>0</v>
      </c>
      <c r="BD213" s="6">
        <v>0</v>
      </c>
      <c r="BF213" s="6">
        <v>0</v>
      </c>
      <c r="BH213" s="6">
        <v>0</v>
      </c>
      <c r="BJ213" s="6">
        <f t="shared" ref="BJ213" si="48">+AZ213+BB213+BD213+BH213</f>
        <v>20362710</v>
      </c>
      <c r="BL213" s="6">
        <f>+'Gen Fd Rev'!AK213-'Gen Fd Exp'!BJ213</f>
        <v>1600396</v>
      </c>
      <c r="BN213" s="6">
        <v>2709173</v>
      </c>
      <c r="BP213" s="6">
        <v>0</v>
      </c>
      <c r="BR213" s="6">
        <v>0</v>
      </c>
      <c r="BT213" s="6">
        <f t="shared" si="44"/>
        <v>4309569</v>
      </c>
      <c r="BV213" s="7">
        <f>+BT213-'Gen Fd BS'!AC213+BR213</f>
        <v>0</v>
      </c>
    </row>
    <row r="214" spans="1:74">
      <c r="A214" s="11" t="s">
        <v>313</v>
      </c>
      <c r="B214" s="11"/>
      <c r="C214" s="11" t="s">
        <v>29</v>
      </c>
      <c r="E214" s="6">
        <v>8216562</v>
      </c>
      <c r="G214" s="6">
        <v>2199957</v>
      </c>
      <c r="I214" s="6">
        <v>87443</v>
      </c>
      <c r="K214" s="6">
        <v>0</v>
      </c>
      <c r="M214" s="6">
        <v>240346</v>
      </c>
      <c r="O214" s="6">
        <v>1082378</v>
      </c>
      <c r="Q214" s="6">
        <v>520292</v>
      </c>
      <c r="S214" s="6">
        <v>27594</v>
      </c>
      <c r="U214" s="6">
        <v>1768306</v>
      </c>
      <c r="W214" s="6">
        <v>339859</v>
      </c>
      <c r="Y214" s="6">
        <v>0</v>
      </c>
      <c r="AA214" s="6">
        <v>1899710</v>
      </c>
      <c r="AC214" s="6">
        <v>1476583</v>
      </c>
      <c r="AE214" s="6">
        <v>120870</v>
      </c>
      <c r="AG214" s="6">
        <v>0</v>
      </c>
      <c r="AI214" s="6">
        <v>0</v>
      </c>
      <c r="AJ214" s="11" t="s">
        <v>313</v>
      </c>
      <c r="AK214" s="11"/>
      <c r="AL214" s="11" t="s">
        <v>29</v>
      </c>
      <c r="AN214" s="6">
        <v>318325</v>
      </c>
      <c r="AP214" s="6">
        <v>0</v>
      </c>
      <c r="AT214" s="6">
        <v>0</v>
      </c>
      <c r="AV214" s="6">
        <v>0</v>
      </c>
      <c r="AX214" s="6">
        <v>0</v>
      </c>
      <c r="AZ214" s="6">
        <f t="shared" si="47"/>
        <v>18298225</v>
      </c>
      <c r="BB214" s="6">
        <v>9495</v>
      </c>
      <c r="BD214" s="6">
        <v>0</v>
      </c>
      <c r="BF214" s="6">
        <v>0</v>
      </c>
      <c r="BH214" s="6">
        <v>0</v>
      </c>
      <c r="BJ214" s="6">
        <f t="shared" si="46"/>
        <v>18307720</v>
      </c>
      <c r="BL214" s="6">
        <f>+'Gen Fd Rev'!AK214-'Gen Fd Exp'!BJ214</f>
        <v>827574</v>
      </c>
      <c r="BN214" s="6">
        <v>-428133</v>
      </c>
      <c r="BP214" s="6">
        <v>-28697</v>
      </c>
      <c r="BR214" s="6">
        <v>0</v>
      </c>
      <c r="BT214" s="6">
        <f t="shared" si="44"/>
        <v>428138</v>
      </c>
      <c r="BV214" s="7">
        <f>+BT214-'Gen Fd BS'!AC214+BR214</f>
        <v>0</v>
      </c>
    </row>
    <row r="215" spans="1:74">
      <c r="A215" s="11" t="s">
        <v>535</v>
      </c>
      <c r="B215" s="11"/>
      <c r="C215" s="11" t="s">
        <v>65</v>
      </c>
      <c r="E215" s="6">
        <v>5469234</v>
      </c>
      <c r="G215" s="6">
        <v>719400</v>
      </c>
      <c r="I215" s="6">
        <v>955</v>
      </c>
      <c r="K215" s="6">
        <v>0</v>
      </c>
      <c r="M215" s="6">
        <v>62638</v>
      </c>
      <c r="O215" s="6">
        <v>325078</v>
      </c>
      <c r="Q215" s="6">
        <v>538176</v>
      </c>
      <c r="S215" s="6">
        <v>16760</v>
      </c>
      <c r="U215" s="6">
        <v>1010869</v>
      </c>
      <c r="W215" s="6">
        <v>393025</v>
      </c>
      <c r="Y215" s="6">
        <v>0</v>
      </c>
      <c r="AA215" s="6">
        <v>894130</v>
      </c>
      <c r="AC215" s="6">
        <v>791751</v>
      </c>
      <c r="AE215" s="6">
        <v>40458</v>
      </c>
      <c r="AG215" s="6">
        <v>0</v>
      </c>
      <c r="AI215" s="6">
        <v>0</v>
      </c>
      <c r="AJ215" s="11" t="s">
        <v>535</v>
      </c>
      <c r="AK215" s="11"/>
      <c r="AL215" s="11" t="s">
        <v>65</v>
      </c>
      <c r="AN215" s="6">
        <v>207875</v>
      </c>
      <c r="AP215" s="6">
        <v>0</v>
      </c>
      <c r="AT215" s="6">
        <v>0</v>
      </c>
      <c r="AV215" s="6">
        <v>0</v>
      </c>
      <c r="AX215" s="6">
        <v>0</v>
      </c>
      <c r="AZ215" s="6">
        <f t="shared" si="47"/>
        <v>10470349</v>
      </c>
      <c r="BB215" s="6">
        <v>0</v>
      </c>
      <c r="BD215" s="6">
        <v>0</v>
      </c>
      <c r="BF215" s="6">
        <v>0</v>
      </c>
      <c r="BH215" s="6">
        <v>0</v>
      </c>
      <c r="BJ215" s="6">
        <f t="shared" si="46"/>
        <v>10470349</v>
      </c>
      <c r="BL215" s="6">
        <f>+'Gen Fd Rev'!AK215-'Gen Fd Exp'!BJ215</f>
        <v>-624474</v>
      </c>
      <c r="BN215" s="6">
        <v>2342919</v>
      </c>
      <c r="BP215" s="6">
        <v>0</v>
      </c>
      <c r="BR215" s="6">
        <v>0</v>
      </c>
      <c r="BT215" s="6">
        <f t="shared" si="44"/>
        <v>1718445</v>
      </c>
      <c r="BV215" s="7">
        <f>+BT215-'Gen Fd BS'!AC215+BR215</f>
        <v>0</v>
      </c>
    </row>
    <row r="216" spans="1:74">
      <c r="A216" s="11" t="s">
        <v>678</v>
      </c>
      <c r="B216" s="11"/>
      <c r="C216" s="11" t="s">
        <v>20</v>
      </c>
      <c r="E216" s="6">
        <v>13506034</v>
      </c>
      <c r="G216" s="6">
        <v>2437822</v>
      </c>
      <c r="I216" s="6">
        <v>228448</v>
      </c>
      <c r="K216" s="6">
        <v>0</v>
      </c>
      <c r="M216" s="6">
        <v>3145756</v>
      </c>
      <c r="O216" s="6">
        <v>1966119</v>
      </c>
      <c r="Q216" s="6">
        <v>1632908</v>
      </c>
      <c r="S216" s="6">
        <v>165334</v>
      </c>
      <c r="U216" s="6">
        <v>3569068</v>
      </c>
      <c r="W216" s="6">
        <v>1102264</v>
      </c>
      <c r="Y216" s="6">
        <v>649060</v>
      </c>
      <c r="AA216" s="6">
        <v>2939087</v>
      </c>
      <c r="AC216" s="6">
        <v>666635</v>
      </c>
      <c r="AE216" s="6">
        <v>346582</v>
      </c>
      <c r="AG216" s="6">
        <v>0</v>
      </c>
      <c r="AI216" s="6">
        <v>17</v>
      </c>
      <c r="AJ216" s="11" t="s">
        <v>678</v>
      </c>
      <c r="AK216" s="11"/>
      <c r="AL216" s="11" t="s">
        <v>20</v>
      </c>
      <c r="AN216" s="6">
        <v>339067</v>
      </c>
      <c r="AP216" s="6">
        <v>0</v>
      </c>
      <c r="AT216" s="6">
        <v>707598</v>
      </c>
      <c r="AV216" s="6">
        <v>26487</v>
      </c>
      <c r="AX216" s="6">
        <v>0</v>
      </c>
      <c r="AZ216" s="6">
        <f t="shared" si="47"/>
        <v>33428286</v>
      </c>
      <c r="BB216" s="6">
        <v>87242</v>
      </c>
      <c r="BD216" s="6">
        <v>0</v>
      </c>
      <c r="BF216" s="6">
        <v>0</v>
      </c>
      <c r="BH216" s="6">
        <v>0</v>
      </c>
      <c r="BJ216" s="6">
        <f t="shared" si="46"/>
        <v>33515528</v>
      </c>
      <c r="BL216" s="6">
        <f>+'Gen Fd Rev'!AK216-'Gen Fd Exp'!BJ216</f>
        <v>-823719</v>
      </c>
      <c r="BN216" s="6">
        <v>2384942</v>
      </c>
      <c r="BP216" s="6">
        <v>0</v>
      </c>
      <c r="BR216" s="6">
        <v>0</v>
      </c>
      <c r="BT216" s="6">
        <f t="shared" si="44"/>
        <v>1561223</v>
      </c>
      <c r="BV216" s="7">
        <f>+BT216-'Gen Fd BS'!AC216+BR216</f>
        <v>0</v>
      </c>
    </row>
    <row r="217" spans="1:74">
      <c r="A217" s="11" t="s">
        <v>643</v>
      </c>
      <c r="B217" s="11"/>
      <c r="C217" s="11" t="s">
        <v>12</v>
      </c>
      <c r="D217" s="9"/>
      <c r="E217" s="6">
        <v>8893861</v>
      </c>
      <c r="G217" s="6">
        <v>2345687</v>
      </c>
      <c r="I217" s="6">
        <v>268576</v>
      </c>
      <c r="K217" s="6">
        <v>0</v>
      </c>
      <c r="M217" s="6">
        <v>1208966</v>
      </c>
      <c r="O217" s="6">
        <v>1139002</v>
      </c>
      <c r="Q217" s="6">
        <v>438847</v>
      </c>
      <c r="S217" s="6">
        <v>17526</v>
      </c>
      <c r="U217" s="6">
        <v>1737929</v>
      </c>
      <c r="W217" s="6">
        <v>492589</v>
      </c>
      <c r="Y217" s="6">
        <v>30752</v>
      </c>
      <c r="AA217" s="6">
        <v>1811774</v>
      </c>
      <c r="AC217" s="6">
        <v>1282687</v>
      </c>
      <c r="AE217" s="6">
        <v>22349</v>
      </c>
      <c r="AG217" s="6">
        <v>0</v>
      </c>
      <c r="AI217" s="6">
        <v>2893</v>
      </c>
      <c r="AJ217" s="11" t="s">
        <v>643</v>
      </c>
      <c r="AK217" s="11"/>
      <c r="AL217" s="11" t="s">
        <v>12</v>
      </c>
      <c r="AN217" s="6">
        <v>452297</v>
      </c>
      <c r="AP217" s="6">
        <v>21190</v>
      </c>
      <c r="AT217" s="6">
        <v>0</v>
      </c>
      <c r="AV217" s="6">
        <v>0</v>
      </c>
      <c r="AX217" s="6">
        <v>0</v>
      </c>
      <c r="AZ217" s="6">
        <f t="shared" si="47"/>
        <v>20166925</v>
      </c>
      <c r="BB217" s="6">
        <v>37352</v>
      </c>
      <c r="BD217" s="6">
        <v>0</v>
      </c>
      <c r="BF217" s="6">
        <v>0</v>
      </c>
      <c r="BH217" s="6">
        <v>0</v>
      </c>
      <c r="BJ217" s="6">
        <f t="shared" si="46"/>
        <v>20204277</v>
      </c>
      <c r="BL217" s="6">
        <f>+'Gen Fd Rev'!AK217-'Gen Fd Exp'!BJ217</f>
        <v>1106737</v>
      </c>
      <c r="BN217" s="6">
        <v>1288413</v>
      </c>
      <c r="BP217" s="6">
        <v>0</v>
      </c>
      <c r="BR217" s="6">
        <v>0</v>
      </c>
      <c r="BT217" s="6">
        <f t="shared" si="44"/>
        <v>2395150</v>
      </c>
      <c r="BV217" s="7">
        <f>+BT217-'Gen Fd BS'!AC217+BR217</f>
        <v>0</v>
      </c>
    </row>
    <row r="218" spans="1:74" hidden="1">
      <c r="A218" s="11" t="s">
        <v>832</v>
      </c>
      <c r="B218" s="11"/>
      <c r="C218" s="11" t="s">
        <v>53</v>
      </c>
      <c r="AJ218" s="11" t="s">
        <v>832</v>
      </c>
      <c r="AK218" s="11"/>
      <c r="AL218" s="11" t="s">
        <v>53</v>
      </c>
      <c r="AZ218" s="6">
        <f t="shared" si="47"/>
        <v>0</v>
      </c>
      <c r="BJ218" s="6">
        <f t="shared" si="46"/>
        <v>0</v>
      </c>
      <c r="BL218" s="6">
        <f>+'Gen Fd Rev'!AK218-'Gen Fd Exp'!BJ218</f>
        <v>0</v>
      </c>
      <c r="BR218" s="6">
        <v>0</v>
      </c>
      <c r="BT218" s="6">
        <f t="shared" si="44"/>
        <v>0</v>
      </c>
      <c r="BV218" s="7">
        <f>+BT218-'Gen Fd BS'!AC218+BR218</f>
        <v>0</v>
      </c>
    </row>
    <row r="219" spans="1:74" hidden="1">
      <c r="A219" s="11" t="s">
        <v>665</v>
      </c>
      <c r="B219" s="11"/>
      <c r="C219" s="11" t="s">
        <v>77</v>
      </c>
      <c r="AJ219" s="11" t="s">
        <v>665</v>
      </c>
      <c r="AK219" s="11"/>
      <c r="AL219" s="11" t="s">
        <v>77</v>
      </c>
      <c r="AZ219" s="6">
        <f t="shared" si="47"/>
        <v>0</v>
      </c>
      <c r="BJ219" s="6">
        <f t="shared" si="46"/>
        <v>0</v>
      </c>
      <c r="BL219" s="6">
        <f>+'Gen Fd Rev'!AK219-'Gen Fd Exp'!BJ219</f>
        <v>0</v>
      </c>
      <c r="BR219" s="6">
        <v>0</v>
      </c>
      <c r="BT219" s="6">
        <f t="shared" si="44"/>
        <v>0</v>
      </c>
      <c r="BV219" s="7">
        <f>+BT219-'Gen Fd BS'!AC219+BR219</f>
        <v>0</v>
      </c>
    </row>
    <row r="220" spans="1:74">
      <c r="A220" s="11" t="s">
        <v>748</v>
      </c>
      <c r="B220" s="11"/>
      <c r="C220" s="11" t="s">
        <v>79</v>
      </c>
      <c r="E220" s="6">
        <v>4673811</v>
      </c>
      <c r="G220" s="6">
        <v>629398</v>
      </c>
      <c r="I220" s="6">
        <v>182916</v>
      </c>
      <c r="K220" s="6">
        <v>0</v>
      </c>
      <c r="M220" s="6">
        <v>0</v>
      </c>
      <c r="O220" s="6">
        <v>424517</v>
      </c>
      <c r="Q220" s="6">
        <v>88590</v>
      </c>
      <c r="S220" s="6">
        <v>67964</v>
      </c>
      <c r="U220" s="6">
        <v>840038</v>
      </c>
      <c r="W220" s="6">
        <v>397551</v>
      </c>
      <c r="Y220" s="6">
        <v>6281</v>
      </c>
      <c r="AA220" s="6">
        <v>778860</v>
      </c>
      <c r="AC220" s="6">
        <v>430311</v>
      </c>
      <c r="AE220" s="6">
        <v>2099</v>
      </c>
      <c r="AG220" s="6">
        <v>0</v>
      </c>
      <c r="AI220" s="6">
        <v>110874</v>
      </c>
      <c r="AJ220" s="11" t="s">
        <v>748</v>
      </c>
      <c r="AK220" s="11"/>
      <c r="AL220" s="11" t="s">
        <v>79</v>
      </c>
      <c r="AN220" s="6">
        <v>254057</v>
      </c>
      <c r="AP220" s="6">
        <v>0</v>
      </c>
      <c r="AT220" s="6">
        <v>9808</v>
      </c>
      <c r="AV220" s="6">
        <v>1511</v>
      </c>
      <c r="AX220" s="6">
        <v>0</v>
      </c>
      <c r="AZ220" s="6">
        <f t="shared" si="47"/>
        <v>8898586</v>
      </c>
      <c r="BB220" s="6">
        <v>0</v>
      </c>
      <c r="BD220" s="6">
        <v>0</v>
      </c>
      <c r="BF220" s="6">
        <v>0</v>
      </c>
      <c r="BH220" s="6">
        <v>0</v>
      </c>
      <c r="BJ220" s="6">
        <f t="shared" si="46"/>
        <v>8898586</v>
      </c>
      <c r="BL220" s="6">
        <f>+'Gen Fd Rev'!AK220-'Gen Fd Exp'!BJ220</f>
        <v>-857240</v>
      </c>
      <c r="BN220" s="6">
        <v>1911822</v>
      </c>
      <c r="BP220" s="6">
        <v>0</v>
      </c>
      <c r="BR220" s="6">
        <v>0</v>
      </c>
      <c r="BT220" s="6">
        <f t="shared" si="44"/>
        <v>1054582</v>
      </c>
      <c r="BV220" s="7">
        <f>+BT220-'Gen Fd BS'!AC220+BR220</f>
        <v>0</v>
      </c>
    </row>
    <row r="221" spans="1:74">
      <c r="A221" s="11" t="s">
        <v>521</v>
      </c>
      <c r="B221" s="11"/>
      <c r="C221" s="11" t="s">
        <v>64</v>
      </c>
      <c r="E221" s="6">
        <v>6079868</v>
      </c>
      <c r="G221" s="6">
        <v>1226177</v>
      </c>
      <c r="I221" s="6">
        <v>177899</v>
      </c>
      <c r="K221" s="6">
        <v>0</v>
      </c>
      <c r="M221" s="6">
        <v>810215</v>
      </c>
      <c r="O221" s="6">
        <v>616316</v>
      </c>
      <c r="Q221" s="6">
        <v>151052</v>
      </c>
      <c r="S221" s="6">
        <v>29003</v>
      </c>
      <c r="U221" s="6">
        <v>1233798</v>
      </c>
      <c r="W221" s="6">
        <v>822372</v>
      </c>
      <c r="Y221" s="6">
        <v>0</v>
      </c>
      <c r="AA221" s="6">
        <v>1416805</v>
      </c>
      <c r="AC221" s="6">
        <v>536814</v>
      </c>
      <c r="AE221" s="6">
        <v>4000</v>
      </c>
      <c r="AG221" s="6">
        <v>0</v>
      </c>
      <c r="AI221" s="6">
        <v>0</v>
      </c>
      <c r="AJ221" s="11" t="s">
        <v>521</v>
      </c>
      <c r="AK221" s="11"/>
      <c r="AL221" s="11" t="s">
        <v>64</v>
      </c>
      <c r="AN221" s="6">
        <v>348877</v>
      </c>
      <c r="AP221" s="6">
        <v>0</v>
      </c>
      <c r="AT221" s="6">
        <v>100000</v>
      </c>
      <c r="AV221" s="6">
        <v>36747</v>
      </c>
      <c r="AX221" s="6">
        <v>0</v>
      </c>
      <c r="AZ221" s="6">
        <f t="shared" si="47"/>
        <v>13589943</v>
      </c>
      <c r="BB221" s="6">
        <v>0</v>
      </c>
      <c r="BD221" s="6">
        <v>0</v>
      </c>
      <c r="BF221" s="6">
        <v>0</v>
      </c>
      <c r="BH221" s="6">
        <v>0</v>
      </c>
      <c r="BJ221" s="6">
        <f t="shared" si="46"/>
        <v>13589943</v>
      </c>
      <c r="BL221" s="6">
        <f>+'Gen Fd Rev'!AK221-'Gen Fd Exp'!BJ221</f>
        <v>-346664</v>
      </c>
      <c r="BN221" s="6">
        <v>5753916</v>
      </c>
      <c r="BP221" s="6">
        <v>0</v>
      </c>
      <c r="BR221" s="6">
        <v>0</v>
      </c>
      <c r="BT221" s="6">
        <f t="shared" si="44"/>
        <v>5407252</v>
      </c>
      <c r="BV221" s="7">
        <f>+BT221-'Gen Fd BS'!AC221+BR221</f>
        <v>0</v>
      </c>
    </row>
    <row r="222" spans="1:74" hidden="1">
      <c r="A222" s="11" t="s">
        <v>790</v>
      </c>
      <c r="B222" s="11"/>
      <c r="C222" s="11" t="s">
        <v>28</v>
      </c>
      <c r="D222" s="9"/>
      <c r="AJ222" s="11" t="s">
        <v>790</v>
      </c>
      <c r="AK222" s="11"/>
      <c r="AL222" s="11" t="s">
        <v>28</v>
      </c>
      <c r="AZ222" s="6">
        <f t="shared" si="47"/>
        <v>0</v>
      </c>
      <c r="BJ222" s="6">
        <f t="shared" si="46"/>
        <v>0</v>
      </c>
      <c r="BL222" s="6">
        <f>+'Gen Fd Rev'!AK222-'Gen Fd Exp'!BJ222</f>
        <v>0</v>
      </c>
      <c r="BR222" s="6">
        <v>0</v>
      </c>
      <c r="BT222" s="6">
        <f t="shared" si="44"/>
        <v>0</v>
      </c>
      <c r="BV222" s="7">
        <f>+BT222-'Gen Fd BS'!AC222+BR222</f>
        <v>0</v>
      </c>
    </row>
    <row r="223" spans="1:74">
      <c r="A223" s="11" t="s">
        <v>240</v>
      </c>
      <c r="B223" s="11"/>
      <c r="C223" s="11" t="s">
        <v>113</v>
      </c>
      <c r="D223" s="9"/>
      <c r="E223" s="6">
        <v>10203821</v>
      </c>
      <c r="G223" s="6">
        <v>3520890</v>
      </c>
      <c r="I223" s="6">
        <v>390874</v>
      </c>
      <c r="K223" s="6">
        <v>0</v>
      </c>
      <c r="M223" s="6">
        <v>0</v>
      </c>
      <c r="O223" s="6">
        <v>1785620</v>
      </c>
      <c r="Q223" s="6">
        <v>1270538</v>
      </c>
      <c r="S223" s="6">
        <v>37481</v>
      </c>
      <c r="U223" s="6">
        <v>1492756</v>
      </c>
      <c r="W223" s="6">
        <v>514344</v>
      </c>
      <c r="Y223" s="6">
        <v>13740</v>
      </c>
      <c r="AA223" s="6">
        <v>1267916</v>
      </c>
      <c r="AC223" s="6">
        <v>2193981</v>
      </c>
      <c r="AE223" s="6">
        <v>0</v>
      </c>
      <c r="AG223" s="6">
        <v>0</v>
      </c>
      <c r="AI223" s="6">
        <v>0</v>
      </c>
      <c r="AJ223" s="11" t="s">
        <v>240</v>
      </c>
      <c r="AK223" s="11"/>
      <c r="AL223" s="11" t="s">
        <v>113</v>
      </c>
      <c r="AN223" s="6">
        <v>280610</v>
      </c>
      <c r="AP223" s="6">
        <v>0</v>
      </c>
      <c r="AT223" s="6">
        <v>0</v>
      </c>
      <c r="AV223" s="6">
        <v>0</v>
      </c>
      <c r="AX223" s="6">
        <v>0</v>
      </c>
      <c r="AZ223" s="6">
        <f t="shared" si="47"/>
        <v>22972571</v>
      </c>
      <c r="BB223" s="6">
        <v>45948</v>
      </c>
      <c r="BD223" s="6">
        <v>0</v>
      </c>
      <c r="BF223" s="6">
        <v>0</v>
      </c>
      <c r="BH223" s="6">
        <v>0</v>
      </c>
      <c r="BJ223" s="6">
        <f t="shared" si="46"/>
        <v>23018519</v>
      </c>
      <c r="BL223" s="6">
        <f>+'Gen Fd Rev'!AK223-'Gen Fd Exp'!BJ223</f>
        <v>151954</v>
      </c>
      <c r="BN223" s="6">
        <v>2674020</v>
      </c>
      <c r="BP223" s="6">
        <v>0</v>
      </c>
      <c r="BR223" s="6">
        <v>0</v>
      </c>
      <c r="BT223" s="6">
        <f t="shared" si="44"/>
        <v>2825974</v>
      </c>
      <c r="BV223" s="7">
        <f>+BT223-'Gen Fd BS'!AC223+BR223</f>
        <v>0</v>
      </c>
    </row>
    <row r="224" spans="1:74" hidden="1">
      <c r="A224" s="11" t="s">
        <v>791</v>
      </c>
      <c r="B224" s="11"/>
      <c r="C224" s="11" t="s">
        <v>228</v>
      </c>
      <c r="D224" s="9"/>
      <c r="AJ224" s="11" t="s">
        <v>791</v>
      </c>
      <c r="AK224" s="11"/>
      <c r="AL224" s="11" t="s">
        <v>228</v>
      </c>
      <c r="AZ224" s="6">
        <f t="shared" si="47"/>
        <v>0</v>
      </c>
      <c r="BJ224" s="6">
        <f t="shared" si="46"/>
        <v>0</v>
      </c>
      <c r="BL224" s="6">
        <f>+'Gen Fd Rev'!AK224-'Gen Fd Exp'!BJ224</f>
        <v>0</v>
      </c>
      <c r="BR224" s="6">
        <v>0</v>
      </c>
      <c r="BT224" s="6">
        <f t="shared" si="44"/>
        <v>0</v>
      </c>
      <c r="BV224" s="7">
        <f>+BT224-'Gen Fd BS'!AC224+BR224</f>
        <v>0</v>
      </c>
    </row>
    <row r="225" spans="1:74">
      <c r="A225" s="11" t="s">
        <v>208</v>
      </c>
      <c r="B225" s="11"/>
      <c r="C225" s="11" t="s">
        <v>12</v>
      </c>
      <c r="E225" s="6">
        <v>5102342</v>
      </c>
      <c r="G225" s="6">
        <v>579929</v>
      </c>
      <c r="I225" s="6">
        <v>183544</v>
      </c>
      <c r="K225" s="6">
        <v>0</v>
      </c>
      <c r="M225" s="6">
        <v>0</v>
      </c>
      <c r="O225" s="6">
        <v>559120</v>
      </c>
      <c r="Q225" s="6">
        <v>226996</v>
      </c>
      <c r="S225" s="6">
        <v>17030</v>
      </c>
      <c r="U225" s="6">
        <v>1184317</v>
      </c>
      <c r="W225" s="6">
        <v>291362</v>
      </c>
      <c r="Y225" s="6">
        <v>26893</v>
      </c>
      <c r="AA225" s="6">
        <v>992154</v>
      </c>
      <c r="AC225" s="6">
        <v>993733</v>
      </c>
      <c r="AE225" s="6">
        <v>0</v>
      </c>
      <c r="AG225" s="6">
        <v>287381</v>
      </c>
      <c r="AI225" s="6">
        <v>0</v>
      </c>
      <c r="AJ225" s="11" t="s">
        <v>208</v>
      </c>
      <c r="AK225" s="11"/>
      <c r="AL225" s="11" t="s">
        <v>12</v>
      </c>
      <c r="AN225" s="6">
        <v>0</v>
      </c>
      <c r="AP225" s="6">
        <v>0</v>
      </c>
      <c r="AT225" s="6">
        <v>0</v>
      </c>
      <c r="AV225" s="6">
        <v>0</v>
      </c>
      <c r="AX225" s="6">
        <v>0</v>
      </c>
      <c r="AZ225" s="6">
        <f t="shared" si="47"/>
        <v>10444801</v>
      </c>
      <c r="BB225" s="6">
        <v>8000</v>
      </c>
      <c r="BD225" s="6">
        <v>0</v>
      </c>
      <c r="BF225" s="6">
        <v>0</v>
      </c>
      <c r="BH225" s="6">
        <v>0</v>
      </c>
      <c r="BJ225" s="6">
        <f t="shared" si="46"/>
        <v>10452801</v>
      </c>
      <c r="BL225" s="6">
        <f>+'Gen Fd Rev'!AK225-'Gen Fd Exp'!BJ225</f>
        <v>232729</v>
      </c>
      <c r="BN225" s="6">
        <v>1350270</v>
      </c>
      <c r="BP225" s="6">
        <v>0</v>
      </c>
      <c r="BR225" s="6">
        <v>0</v>
      </c>
      <c r="BT225" s="6">
        <f t="shared" si="44"/>
        <v>1582999</v>
      </c>
      <c r="BV225" s="7">
        <f>+BT225-'Gen Fd BS'!AC225+BR225</f>
        <v>0</v>
      </c>
    </row>
    <row r="226" spans="1:74">
      <c r="A226" s="11" t="s">
        <v>303</v>
      </c>
      <c r="B226" s="11"/>
      <c r="C226" s="11" t="s">
        <v>27</v>
      </c>
      <c r="E226" s="6">
        <v>7331572</v>
      </c>
      <c r="G226" s="6">
        <v>2252892</v>
      </c>
      <c r="I226" s="6">
        <v>117534</v>
      </c>
      <c r="K226" s="6">
        <v>0</v>
      </c>
      <c r="M226" s="6">
        <v>0</v>
      </c>
      <c r="O226" s="6">
        <v>1388841</v>
      </c>
      <c r="Q226" s="6">
        <v>844843</v>
      </c>
      <c r="S226" s="6">
        <v>17112</v>
      </c>
      <c r="U226" s="6">
        <v>1054801</v>
      </c>
      <c r="W226" s="6">
        <v>508635</v>
      </c>
      <c r="Y226" s="6">
        <v>70574</v>
      </c>
      <c r="AA226" s="6">
        <v>1307353</v>
      </c>
      <c r="AC226" s="6">
        <v>14281</v>
      </c>
      <c r="AE226" s="6">
        <v>60150</v>
      </c>
      <c r="AG226" s="6">
        <v>0</v>
      </c>
      <c r="AI226" s="6">
        <v>43838</v>
      </c>
      <c r="AJ226" s="11" t="s">
        <v>303</v>
      </c>
      <c r="AK226" s="11"/>
      <c r="AL226" s="11" t="s">
        <v>27</v>
      </c>
      <c r="AN226" s="6">
        <v>674187</v>
      </c>
      <c r="AP226" s="6">
        <v>110476</v>
      </c>
      <c r="AT226" s="6">
        <v>112740</v>
      </c>
      <c r="AV226" s="6">
        <v>8960</v>
      </c>
      <c r="AX226" s="6">
        <v>0</v>
      </c>
      <c r="AZ226" s="6">
        <f t="shared" ref="AZ226:AZ291" si="49">SUM(E226:AX226)</f>
        <v>15918789</v>
      </c>
      <c r="BB226" s="6">
        <v>71568</v>
      </c>
      <c r="BD226" s="6">
        <v>0</v>
      </c>
      <c r="BF226" s="6">
        <v>0</v>
      </c>
      <c r="BH226" s="6">
        <v>0</v>
      </c>
      <c r="BJ226" s="6">
        <f t="shared" ref="BJ226:BJ291" si="50">+AZ226+BB226+BD226+BH226</f>
        <v>15990357</v>
      </c>
      <c r="BL226" s="6">
        <f>+'Gen Fd Rev'!AK226-'Gen Fd Exp'!BJ226</f>
        <v>-68528</v>
      </c>
      <c r="BN226" s="6">
        <v>7762978</v>
      </c>
      <c r="BP226" s="6">
        <v>0</v>
      </c>
      <c r="BR226" s="6">
        <v>0</v>
      </c>
      <c r="BT226" s="6">
        <f t="shared" ref="BT226:BT272" si="51">+BN226+BL226-BP226</f>
        <v>7694450</v>
      </c>
      <c r="BV226" s="7">
        <f>+BT226-'Gen Fd BS'!AC226+BR226</f>
        <v>0</v>
      </c>
    </row>
    <row r="227" spans="1:74">
      <c r="A227" s="11" t="s">
        <v>666</v>
      </c>
      <c r="B227" s="11"/>
      <c r="C227" s="11" t="s">
        <v>42</v>
      </c>
      <c r="E227" s="6">
        <v>11743129</v>
      </c>
      <c r="G227" s="6">
        <v>2236179</v>
      </c>
      <c r="I227" s="6">
        <v>158234</v>
      </c>
      <c r="K227" s="6">
        <v>0</v>
      </c>
      <c r="M227" s="6">
        <v>0</v>
      </c>
      <c r="O227" s="6">
        <v>1530007</v>
      </c>
      <c r="Q227" s="6">
        <v>1335294</v>
      </c>
      <c r="S227" s="6">
        <v>85196</v>
      </c>
      <c r="U227" s="6">
        <v>1525806</v>
      </c>
      <c r="W227" s="6">
        <v>759906</v>
      </c>
      <c r="Y227" s="6">
        <v>126060</v>
      </c>
      <c r="AA227" s="6">
        <v>1861658</v>
      </c>
      <c r="AC227" s="6">
        <v>1439441</v>
      </c>
      <c r="AE227" s="6">
        <v>560579</v>
      </c>
      <c r="AG227" s="6">
        <v>0</v>
      </c>
      <c r="AI227" s="6">
        <v>52761</v>
      </c>
      <c r="AJ227" s="11" t="s">
        <v>666</v>
      </c>
      <c r="AK227" s="11"/>
      <c r="AL227" s="11" t="s">
        <v>42</v>
      </c>
      <c r="AN227" s="6">
        <v>745455</v>
      </c>
      <c r="AP227" s="6">
        <v>0</v>
      </c>
      <c r="AT227" s="6">
        <v>14250</v>
      </c>
      <c r="AV227" s="6">
        <v>285</v>
      </c>
      <c r="AX227" s="6">
        <v>0</v>
      </c>
      <c r="AZ227" s="6">
        <f t="shared" si="49"/>
        <v>24174240</v>
      </c>
      <c r="BB227" s="6">
        <v>0</v>
      </c>
      <c r="BD227" s="6">
        <v>0</v>
      </c>
      <c r="BF227" s="6">
        <v>0</v>
      </c>
      <c r="BH227" s="6">
        <v>0</v>
      </c>
      <c r="BJ227" s="6">
        <f t="shared" si="50"/>
        <v>24174240</v>
      </c>
      <c r="BL227" s="6">
        <f>+'Gen Fd Rev'!AK227-'Gen Fd Exp'!BJ227</f>
        <v>-2881917</v>
      </c>
      <c r="BN227" s="6">
        <v>2726920</v>
      </c>
      <c r="BP227" s="6">
        <v>0</v>
      </c>
      <c r="BR227" s="6">
        <v>0</v>
      </c>
      <c r="BT227" s="6">
        <f t="shared" si="51"/>
        <v>-154997</v>
      </c>
      <c r="BV227" s="7">
        <f>+BT227-'Gen Fd BS'!AC227+BR227</f>
        <v>0</v>
      </c>
    </row>
    <row r="228" spans="1:74">
      <c r="A228" s="11" t="s">
        <v>481</v>
      </c>
      <c r="B228" s="11"/>
      <c r="C228" s="11" t="s">
        <v>59</v>
      </c>
      <c r="E228" s="6">
        <v>1948351</v>
      </c>
      <c r="G228" s="6">
        <v>306290</v>
      </c>
      <c r="I228" s="6">
        <v>7721</v>
      </c>
      <c r="K228" s="6">
        <v>0</v>
      </c>
      <c r="M228" s="6">
        <v>748962</v>
      </c>
      <c r="O228" s="6">
        <v>370101</v>
      </c>
      <c r="Q228" s="6">
        <v>284576</v>
      </c>
      <c r="S228" s="6">
        <v>44658</v>
      </c>
      <c r="U228" s="6">
        <v>492663</v>
      </c>
      <c r="W228" s="6">
        <v>225903</v>
      </c>
      <c r="Y228" s="6">
        <v>0</v>
      </c>
      <c r="AA228" s="6">
        <v>477359</v>
      </c>
      <c r="AC228" s="6">
        <v>445402</v>
      </c>
      <c r="AE228" s="6">
        <v>0</v>
      </c>
      <c r="AG228" s="6">
        <v>0</v>
      </c>
      <c r="AI228" s="6">
        <v>0</v>
      </c>
      <c r="AJ228" s="11" t="s">
        <v>481</v>
      </c>
      <c r="AK228" s="11"/>
      <c r="AL228" s="11" t="s">
        <v>59</v>
      </c>
      <c r="AN228" s="6">
        <v>56591</v>
      </c>
      <c r="AP228" s="6">
        <v>131274</v>
      </c>
      <c r="AT228" s="6">
        <v>71804</v>
      </c>
      <c r="AV228" s="6">
        <v>8149</v>
      </c>
      <c r="AX228" s="6">
        <v>0</v>
      </c>
      <c r="AZ228" s="6">
        <f t="shared" si="49"/>
        <v>5619804</v>
      </c>
      <c r="BB228" s="6">
        <v>0</v>
      </c>
      <c r="BD228" s="6">
        <v>0</v>
      </c>
      <c r="BF228" s="6">
        <v>0</v>
      </c>
      <c r="BH228" s="6">
        <v>0</v>
      </c>
      <c r="BJ228" s="6">
        <f t="shared" si="50"/>
        <v>5619804</v>
      </c>
      <c r="BL228" s="6">
        <f>+'Gen Fd Rev'!AK228-'Gen Fd Exp'!BJ228</f>
        <v>335138</v>
      </c>
      <c r="BN228" s="6">
        <v>650535</v>
      </c>
      <c r="BP228" s="6">
        <v>0</v>
      </c>
      <c r="BR228" s="6">
        <v>0</v>
      </c>
      <c r="BT228" s="6">
        <f t="shared" si="51"/>
        <v>985673</v>
      </c>
      <c r="BV228" s="7">
        <f>+BT228-'Gen Fd BS'!AC228+BR228</f>
        <v>0</v>
      </c>
    </row>
    <row r="229" spans="1:74">
      <c r="A229" s="11" t="s">
        <v>481</v>
      </c>
      <c r="B229" s="11"/>
      <c r="C229" s="11" t="s">
        <v>63</v>
      </c>
      <c r="E229" s="6">
        <v>15585288</v>
      </c>
      <c r="G229" s="6">
        <v>4977047</v>
      </c>
      <c r="I229" s="6">
        <v>146038</v>
      </c>
      <c r="K229" s="6">
        <v>0</v>
      </c>
      <c r="M229" s="6">
        <f>96065+1221324</f>
        <v>1317389</v>
      </c>
      <c r="O229" s="6">
        <v>2086224</v>
      </c>
      <c r="Q229" s="6">
        <v>1383805</v>
      </c>
      <c r="S229" s="6">
        <v>18103</v>
      </c>
      <c r="U229" s="6">
        <v>2437252</v>
      </c>
      <c r="W229" s="6">
        <v>1517691</v>
      </c>
      <c r="Y229" s="6">
        <v>197273</v>
      </c>
      <c r="AA229" s="6">
        <v>2741934</v>
      </c>
      <c r="AC229" s="6">
        <v>1779944</v>
      </c>
      <c r="AE229" s="6">
        <v>0</v>
      </c>
      <c r="AG229" s="6">
        <v>0</v>
      </c>
      <c r="AI229" s="6">
        <v>4071</v>
      </c>
      <c r="AJ229" s="11" t="s">
        <v>481</v>
      </c>
      <c r="AK229" s="11"/>
      <c r="AL229" s="11" t="s">
        <v>63</v>
      </c>
      <c r="AN229" s="6">
        <v>925654</v>
      </c>
      <c r="AP229" s="6">
        <v>0</v>
      </c>
      <c r="AT229" s="6">
        <v>0</v>
      </c>
      <c r="AV229" s="6">
        <v>92178</v>
      </c>
      <c r="AX229" s="6">
        <v>0</v>
      </c>
      <c r="AZ229" s="6">
        <f t="shared" si="49"/>
        <v>35209891</v>
      </c>
      <c r="BB229" s="6">
        <v>0</v>
      </c>
      <c r="BD229" s="6">
        <v>0</v>
      </c>
      <c r="BF229" s="6">
        <v>0</v>
      </c>
      <c r="BH229" s="6">
        <v>0</v>
      </c>
      <c r="BJ229" s="6">
        <f t="shared" si="50"/>
        <v>35209891</v>
      </c>
      <c r="BL229" s="6">
        <f>+'Gen Fd Rev'!AK229-'Gen Fd Exp'!BJ229</f>
        <v>-1653693</v>
      </c>
      <c r="BN229" s="6">
        <v>-3144018</v>
      </c>
      <c r="BP229" s="6">
        <v>0</v>
      </c>
      <c r="BR229" s="6">
        <v>0</v>
      </c>
      <c r="BT229" s="6">
        <f t="shared" si="51"/>
        <v>-4797711</v>
      </c>
      <c r="BV229" s="7">
        <f>+BT229-'Gen Fd BS'!AC229+BR229</f>
        <v>0</v>
      </c>
    </row>
    <row r="230" spans="1:74" hidden="1">
      <c r="A230" s="10" t="s">
        <v>856</v>
      </c>
      <c r="B230" s="11"/>
      <c r="C230" s="11" t="s">
        <v>71</v>
      </c>
      <c r="AJ230" s="10" t="s">
        <v>856</v>
      </c>
      <c r="AK230" s="11"/>
      <c r="AL230" s="11" t="s">
        <v>71</v>
      </c>
      <c r="AZ230" s="6">
        <f t="shared" si="49"/>
        <v>0</v>
      </c>
      <c r="BJ230" s="6">
        <f t="shared" si="50"/>
        <v>0</v>
      </c>
      <c r="BL230" s="6">
        <f>+'Gen Fd Rev'!AK230-'Gen Fd Exp'!BJ230</f>
        <v>0</v>
      </c>
      <c r="BR230" s="6">
        <v>0</v>
      </c>
      <c r="BT230" s="6">
        <f t="shared" si="51"/>
        <v>0</v>
      </c>
      <c r="BV230" s="7">
        <f>+BT230-'Gen Fd BS'!AC230+BR230</f>
        <v>0</v>
      </c>
    </row>
    <row r="231" spans="1:74">
      <c r="A231" s="11" t="s">
        <v>318</v>
      </c>
      <c r="B231" s="11"/>
      <c r="C231" s="11" t="s">
        <v>114</v>
      </c>
      <c r="E231" s="6">
        <v>5131929</v>
      </c>
      <c r="G231" s="6">
        <v>1178403</v>
      </c>
      <c r="I231" s="6">
        <v>478</v>
      </c>
      <c r="K231" s="6">
        <v>0</v>
      </c>
      <c r="M231" s="6">
        <v>13739</v>
      </c>
      <c r="O231" s="6">
        <v>698986</v>
      </c>
      <c r="Q231" s="6">
        <v>572395</v>
      </c>
      <c r="S231" s="6">
        <v>77921</v>
      </c>
      <c r="U231" s="6">
        <v>1199759</v>
      </c>
      <c r="W231" s="6">
        <v>357119</v>
      </c>
      <c r="Y231" s="6">
        <v>0</v>
      </c>
      <c r="AA231" s="6">
        <v>979945</v>
      </c>
      <c r="AC231" s="6">
        <v>902967</v>
      </c>
      <c r="AE231" s="6">
        <v>0</v>
      </c>
      <c r="AG231" s="6">
        <v>0</v>
      </c>
      <c r="AI231" s="6">
        <v>4479</v>
      </c>
      <c r="AJ231" s="11" t="s">
        <v>318</v>
      </c>
      <c r="AK231" s="11"/>
      <c r="AL231" s="11" t="s">
        <v>114</v>
      </c>
      <c r="AN231" s="6">
        <v>271472</v>
      </c>
      <c r="AP231" s="6">
        <v>0</v>
      </c>
      <c r="AT231" s="6">
        <v>0</v>
      </c>
      <c r="AV231" s="6">
        <v>0</v>
      </c>
      <c r="AX231" s="6">
        <v>0</v>
      </c>
      <c r="AZ231" s="6">
        <f t="shared" si="49"/>
        <v>11389592</v>
      </c>
      <c r="BB231" s="6">
        <v>85000</v>
      </c>
      <c r="BD231" s="6">
        <v>0</v>
      </c>
      <c r="BF231" s="6">
        <v>0</v>
      </c>
      <c r="BH231" s="6">
        <v>0</v>
      </c>
      <c r="BJ231" s="6">
        <f t="shared" si="50"/>
        <v>11474592</v>
      </c>
      <c r="BL231" s="6">
        <f>+'Gen Fd Rev'!AK231-'Gen Fd Exp'!BJ231</f>
        <v>761826</v>
      </c>
      <c r="BN231" s="6">
        <v>6048145</v>
      </c>
      <c r="BP231" s="6">
        <v>0</v>
      </c>
      <c r="BR231" s="6">
        <v>0</v>
      </c>
      <c r="BT231" s="6">
        <f t="shared" si="51"/>
        <v>6809971</v>
      </c>
      <c r="BV231" s="7">
        <f>+BT231-'Gen Fd BS'!AC231+BR231</f>
        <v>0</v>
      </c>
    </row>
    <row r="232" spans="1:74">
      <c r="A232" s="11" t="s">
        <v>760</v>
      </c>
      <c r="B232" s="11"/>
      <c r="C232" s="11" t="s">
        <v>348</v>
      </c>
      <c r="D232" s="9"/>
      <c r="E232" s="6">
        <v>7407390</v>
      </c>
      <c r="G232" s="6">
        <v>1069711</v>
      </c>
      <c r="I232" s="6">
        <v>443498</v>
      </c>
      <c r="K232" s="6">
        <v>0</v>
      </c>
      <c r="M232" s="6">
        <v>1281131</v>
      </c>
      <c r="O232" s="6">
        <v>684236</v>
      </c>
      <c r="Q232" s="6">
        <v>524952</v>
      </c>
      <c r="S232" s="6">
        <v>38849</v>
      </c>
      <c r="U232" s="6">
        <v>1594501</v>
      </c>
      <c r="W232" s="6">
        <v>396109</v>
      </c>
      <c r="Y232" s="6">
        <v>0</v>
      </c>
      <c r="AA232" s="6">
        <v>1581037</v>
      </c>
      <c r="AC232" s="6">
        <v>1188267</v>
      </c>
      <c r="AE232" s="6">
        <v>64028</v>
      </c>
      <c r="AG232" s="6">
        <v>0</v>
      </c>
      <c r="AI232" s="6">
        <v>0</v>
      </c>
      <c r="AJ232" s="11" t="s">
        <v>760</v>
      </c>
      <c r="AK232" s="11"/>
      <c r="AL232" s="11" t="s">
        <v>348</v>
      </c>
      <c r="AN232" s="6">
        <v>264909</v>
      </c>
      <c r="AP232" s="6">
        <v>12308</v>
      </c>
      <c r="AT232" s="6">
        <v>27026</v>
      </c>
      <c r="AV232" s="6">
        <v>1331</v>
      </c>
      <c r="AX232" s="6">
        <v>0</v>
      </c>
      <c r="AZ232" s="6">
        <f t="shared" si="49"/>
        <v>16579283</v>
      </c>
      <c r="BB232" s="6">
        <v>255000</v>
      </c>
      <c r="BD232" s="6">
        <v>0</v>
      </c>
      <c r="BF232" s="6">
        <v>0</v>
      </c>
      <c r="BH232" s="6">
        <v>0</v>
      </c>
      <c r="BJ232" s="6">
        <f t="shared" si="50"/>
        <v>16834283</v>
      </c>
      <c r="BL232" s="6">
        <f>+'Gen Fd Rev'!AK232-'Gen Fd Exp'!BJ232</f>
        <v>1830615</v>
      </c>
      <c r="BN232" s="6">
        <v>6993188</v>
      </c>
      <c r="BP232" s="6">
        <v>0</v>
      </c>
      <c r="BR232" s="6">
        <v>0</v>
      </c>
      <c r="BT232" s="6">
        <f t="shared" si="51"/>
        <v>8823803</v>
      </c>
      <c r="BV232" s="7">
        <f>+BT232-'Gen Fd BS'!AC232+BR232</f>
        <v>0</v>
      </c>
    </row>
    <row r="233" spans="1:74">
      <c r="A233" s="11" t="s">
        <v>232</v>
      </c>
      <c r="B233" s="11"/>
      <c r="C233" s="11" t="s">
        <v>17</v>
      </c>
      <c r="E233" s="6">
        <v>7243873</v>
      </c>
      <c r="G233" s="6">
        <v>1088988</v>
      </c>
      <c r="I233" s="6">
        <v>340572</v>
      </c>
      <c r="K233" s="6">
        <v>0</v>
      </c>
      <c r="M233" s="6">
        <f>913+375447</f>
        <v>376360</v>
      </c>
      <c r="O233" s="6">
        <v>345791</v>
      </c>
      <c r="Q233" s="6">
        <v>504336</v>
      </c>
      <c r="S233" s="6">
        <v>112468</v>
      </c>
      <c r="U233" s="6">
        <v>1567976</v>
      </c>
      <c r="W233" s="6">
        <v>497015</v>
      </c>
      <c r="Y233" s="6">
        <v>101493</v>
      </c>
      <c r="AA233" s="6">
        <v>1167838</v>
      </c>
      <c r="AC233" s="6">
        <v>949770</v>
      </c>
      <c r="AE233" s="6">
        <v>83499</v>
      </c>
      <c r="AG233" s="6">
        <v>0</v>
      </c>
      <c r="AI233" s="6">
        <v>0</v>
      </c>
      <c r="AJ233" s="11" t="s">
        <v>232</v>
      </c>
      <c r="AK233" s="11"/>
      <c r="AL233" s="11" t="s">
        <v>17</v>
      </c>
      <c r="AN233" s="6">
        <v>347412</v>
      </c>
      <c r="AP233" s="6">
        <v>0</v>
      </c>
      <c r="AT233" s="6">
        <v>0</v>
      </c>
      <c r="AV233" s="6">
        <v>0</v>
      </c>
      <c r="AX233" s="6">
        <v>0</v>
      </c>
      <c r="AZ233" s="6">
        <f t="shared" si="49"/>
        <v>14727391</v>
      </c>
      <c r="BB233" s="6">
        <v>0</v>
      </c>
      <c r="BD233" s="6">
        <v>0</v>
      </c>
      <c r="BF233" s="6">
        <v>0</v>
      </c>
      <c r="BH233" s="6">
        <v>0</v>
      </c>
      <c r="BJ233" s="6">
        <f t="shared" si="50"/>
        <v>14727391</v>
      </c>
      <c r="BL233" s="6">
        <f>+'Gen Fd Rev'!AK233-'Gen Fd Exp'!BJ233</f>
        <v>-187570</v>
      </c>
      <c r="BN233" s="6">
        <v>2311277</v>
      </c>
      <c r="BP233" s="6">
        <v>0</v>
      </c>
      <c r="BR233" s="6">
        <v>0</v>
      </c>
      <c r="BT233" s="6">
        <f t="shared" si="51"/>
        <v>2123707</v>
      </c>
      <c r="BV233" s="7">
        <f>+BT233-'Gen Fd BS'!AC233+BR233</f>
        <v>0</v>
      </c>
    </row>
    <row r="234" spans="1:74">
      <c r="A234" s="11" t="s">
        <v>282</v>
      </c>
      <c r="B234" s="11"/>
      <c r="C234" s="11" t="s">
        <v>21</v>
      </c>
      <c r="E234" s="6">
        <v>12230172</v>
      </c>
      <c r="G234" s="6">
        <v>3047714</v>
      </c>
      <c r="I234" s="6">
        <v>1747555</v>
      </c>
      <c r="K234" s="6">
        <v>0</v>
      </c>
      <c r="M234" s="6">
        <v>91411</v>
      </c>
      <c r="O234" s="6">
        <v>1159269</v>
      </c>
      <c r="Q234" s="6">
        <v>822869</v>
      </c>
      <c r="S234" s="6">
        <v>89002</v>
      </c>
      <c r="U234" s="6">
        <v>2076996</v>
      </c>
      <c r="W234" s="6">
        <v>791812</v>
      </c>
      <c r="Y234" s="6">
        <v>10185</v>
      </c>
      <c r="AA234" s="6">
        <v>1766067</v>
      </c>
      <c r="AC234" s="6">
        <v>1195502</v>
      </c>
      <c r="AE234" s="6">
        <v>117700</v>
      </c>
      <c r="AG234" s="6">
        <v>0</v>
      </c>
      <c r="AI234" s="6">
        <v>2331</v>
      </c>
      <c r="AJ234" s="11" t="s">
        <v>282</v>
      </c>
      <c r="AK234" s="11"/>
      <c r="AL234" s="11" t="s">
        <v>21</v>
      </c>
      <c r="AN234" s="6">
        <f>80219+264396+155</f>
        <v>344770</v>
      </c>
      <c r="AP234" s="6">
        <v>0</v>
      </c>
      <c r="AT234" s="6">
        <v>0</v>
      </c>
      <c r="AV234" s="6">
        <v>0</v>
      </c>
      <c r="AX234" s="6">
        <v>0</v>
      </c>
      <c r="AZ234" s="6">
        <f t="shared" si="49"/>
        <v>25493355</v>
      </c>
      <c r="BB234" s="6">
        <v>218836</v>
      </c>
      <c r="BD234" s="6">
        <v>0</v>
      </c>
      <c r="BF234" s="6">
        <v>0</v>
      </c>
      <c r="BH234" s="6">
        <v>0</v>
      </c>
      <c r="BJ234" s="6">
        <f t="shared" si="50"/>
        <v>25712191</v>
      </c>
      <c r="BL234" s="6">
        <f>+'Gen Fd Rev'!AK234-'Gen Fd Exp'!BJ234</f>
        <v>-806913</v>
      </c>
      <c r="BN234" s="6">
        <v>7165917</v>
      </c>
      <c r="BP234" s="6">
        <v>0</v>
      </c>
      <c r="BR234" s="6">
        <v>0</v>
      </c>
      <c r="BT234" s="6">
        <f t="shared" si="51"/>
        <v>6359004</v>
      </c>
      <c r="BV234" s="7">
        <f>+BT234-'Gen Fd BS'!AC234+BR234</f>
        <v>0</v>
      </c>
    </row>
    <row r="235" spans="1:74">
      <c r="A235" s="11" t="s">
        <v>304</v>
      </c>
      <c r="B235" s="11"/>
      <c r="C235" s="11" t="s">
        <v>27</v>
      </c>
      <c r="E235" s="6">
        <v>31942904</v>
      </c>
      <c r="G235" s="6">
        <v>8015121</v>
      </c>
      <c r="I235" s="6">
        <v>134275</v>
      </c>
      <c r="K235" s="6">
        <v>0</v>
      </c>
      <c r="M235" s="6">
        <v>72294</v>
      </c>
      <c r="O235" s="6">
        <v>3192121</v>
      </c>
      <c r="Q235" s="6">
        <v>3534708</v>
      </c>
      <c r="S235" s="6">
        <v>1375465</v>
      </c>
      <c r="U235" s="6">
        <v>4185104</v>
      </c>
      <c r="W235" s="6">
        <v>1409235</v>
      </c>
      <c r="Y235" s="6">
        <v>107649</v>
      </c>
      <c r="AA235" s="6">
        <v>4310046</v>
      </c>
      <c r="AC235" s="6">
        <v>4766136</v>
      </c>
      <c r="AE235" s="6">
        <v>724185</v>
      </c>
      <c r="AG235" s="6">
        <v>0</v>
      </c>
      <c r="AI235" s="6">
        <v>186490</v>
      </c>
      <c r="AJ235" s="11" t="s">
        <v>304</v>
      </c>
      <c r="AK235" s="11"/>
      <c r="AL235" s="11" t="s">
        <v>27</v>
      </c>
      <c r="AN235" s="6">
        <v>631950</v>
      </c>
      <c r="AP235" s="6">
        <v>0</v>
      </c>
      <c r="AT235" s="6">
        <v>0</v>
      </c>
      <c r="AV235" s="6">
        <v>0</v>
      </c>
      <c r="AX235" s="6">
        <v>0</v>
      </c>
      <c r="AZ235" s="6">
        <f t="shared" si="49"/>
        <v>64587683</v>
      </c>
      <c r="BB235" s="6">
        <v>390018</v>
      </c>
      <c r="BD235" s="6">
        <v>0</v>
      </c>
      <c r="BF235" s="6">
        <v>0</v>
      </c>
      <c r="BH235" s="6">
        <v>0</v>
      </c>
      <c r="BJ235" s="6">
        <f t="shared" si="50"/>
        <v>64977701</v>
      </c>
      <c r="BL235" s="6">
        <f>+'Gen Fd Rev'!AK235-'Gen Fd Exp'!BJ235</f>
        <v>-4278114</v>
      </c>
      <c r="BN235" s="6">
        <v>5704494</v>
      </c>
      <c r="BP235" s="6">
        <v>0</v>
      </c>
      <c r="BR235" s="6">
        <v>0</v>
      </c>
      <c r="BT235" s="6">
        <f t="shared" si="51"/>
        <v>1426380</v>
      </c>
      <c r="BV235" s="7">
        <f>+BT235-'Gen Fd BS'!AC235+BR235</f>
        <v>0</v>
      </c>
    </row>
    <row r="236" spans="1:74" hidden="1">
      <c r="A236" s="10" t="s">
        <v>857</v>
      </c>
      <c r="B236" s="11"/>
      <c r="C236" s="11" t="s">
        <v>221</v>
      </c>
      <c r="AJ236" s="10" t="s">
        <v>857</v>
      </c>
      <c r="AK236" s="11"/>
      <c r="AL236" s="11" t="s">
        <v>221</v>
      </c>
      <c r="AZ236" s="6">
        <f t="shared" si="49"/>
        <v>0</v>
      </c>
      <c r="BJ236" s="6">
        <f t="shared" si="50"/>
        <v>0</v>
      </c>
      <c r="BL236" s="6">
        <f>+'Gen Fd Rev'!AK236-'Gen Fd Exp'!BJ236</f>
        <v>0</v>
      </c>
      <c r="BR236" s="6">
        <v>0</v>
      </c>
      <c r="BT236" s="6">
        <f t="shared" si="51"/>
        <v>0</v>
      </c>
      <c r="BV236" s="7">
        <f>+BT236-'Gen Fd BS'!AC236+BR236</f>
        <v>0</v>
      </c>
    </row>
    <row r="237" spans="1:74">
      <c r="A237" s="10" t="s">
        <v>802</v>
      </c>
      <c r="B237" s="11"/>
      <c r="C237" s="11" t="s">
        <v>27</v>
      </c>
      <c r="E237" s="6">
        <v>9394844</v>
      </c>
      <c r="G237" s="6">
        <v>1881523</v>
      </c>
      <c r="I237" s="6">
        <v>197880</v>
      </c>
      <c r="K237" s="6">
        <v>0</v>
      </c>
      <c r="M237" s="6">
        <v>1511474</v>
      </c>
      <c r="O237" s="6">
        <v>555551</v>
      </c>
      <c r="Q237" s="6">
        <v>363397</v>
      </c>
      <c r="S237" s="6">
        <v>18047</v>
      </c>
      <c r="U237" s="6">
        <v>1963592</v>
      </c>
      <c r="W237" s="6">
        <v>1376747</v>
      </c>
      <c r="Y237" s="6">
        <v>0</v>
      </c>
      <c r="AA237" s="6">
        <v>2518070</v>
      </c>
      <c r="AC237" s="6">
        <v>903413</v>
      </c>
      <c r="AE237" s="6">
        <v>83519</v>
      </c>
      <c r="AG237" s="6">
        <v>0</v>
      </c>
      <c r="AI237" s="6">
        <v>0</v>
      </c>
      <c r="AJ237" s="10" t="s">
        <v>802</v>
      </c>
      <c r="AK237" s="11"/>
      <c r="AL237" s="11" t="s">
        <v>27</v>
      </c>
      <c r="AN237" s="6">
        <v>623437</v>
      </c>
      <c r="AP237" s="6">
        <v>0</v>
      </c>
      <c r="AT237" s="6">
        <v>0</v>
      </c>
      <c r="AV237" s="6">
        <v>0</v>
      </c>
      <c r="AX237" s="6">
        <v>0</v>
      </c>
      <c r="AZ237" s="6">
        <f t="shared" si="49"/>
        <v>21391494</v>
      </c>
      <c r="BB237" s="6">
        <v>137885</v>
      </c>
      <c r="BD237" s="6">
        <v>0</v>
      </c>
      <c r="BF237" s="6">
        <v>0</v>
      </c>
      <c r="BH237" s="6">
        <v>0</v>
      </c>
      <c r="BJ237" s="6">
        <f t="shared" si="50"/>
        <v>21529379</v>
      </c>
      <c r="BL237" s="6">
        <f>+'Gen Fd Rev'!AK237-'Gen Fd Exp'!BJ237</f>
        <v>2193223</v>
      </c>
      <c r="BN237" s="6">
        <v>6813618</v>
      </c>
      <c r="BP237" s="6">
        <v>0</v>
      </c>
      <c r="BR237" s="6">
        <v>0</v>
      </c>
      <c r="BT237" s="6">
        <f t="shared" si="51"/>
        <v>9006841</v>
      </c>
      <c r="BV237" s="7">
        <f>+BT237-'Gen Fd BS'!AC237+BR237</f>
        <v>0</v>
      </c>
    </row>
    <row r="238" spans="1:74">
      <c r="A238" s="10" t="s">
        <v>340</v>
      </c>
      <c r="B238" s="11"/>
      <c r="C238" s="11" t="s">
        <v>339</v>
      </c>
      <c r="E238" s="6">
        <v>2393579</v>
      </c>
      <c r="G238" s="6">
        <v>192443</v>
      </c>
      <c r="I238" s="6">
        <v>221635</v>
      </c>
      <c r="K238" s="6">
        <v>0</v>
      </c>
      <c r="M238" s="6">
        <v>0</v>
      </c>
      <c r="O238" s="6">
        <v>160691</v>
      </c>
      <c r="Q238" s="6">
        <v>107975</v>
      </c>
      <c r="S238" s="6">
        <v>35012</v>
      </c>
      <c r="U238" s="6">
        <v>455765</v>
      </c>
      <c r="W238" s="6">
        <v>205562</v>
      </c>
      <c r="Y238" s="6">
        <v>0</v>
      </c>
      <c r="AA238" s="6">
        <v>396125</v>
      </c>
      <c r="AC238" s="6">
        <v>203212</v>
      </c>
      <c r="AE238" s="6">
        <v>503</v>
      </c>
      <c r="AG238" s="6">
        <v>0</v>
      </c>
      <c r="AI238" s="6">
        <v>0</v>
      </c>
      <c r="AJ238" s="10" t="s">
        <v>340</v>
      </c>
      <c r="AK238" s="11"/>
      <c r="AL238" s="11" t="s">
        <v>339</v>
      </c>
      <c r="AN238" s="6">
        <v>133543</v>
      </c>
      <c r="AP238" s="6">
        <v>0</v>
      </c>
      <c r="AT238" s="6">
        <v>0</v>
      </c>
      <c r="AV238" s="6">
        <v>0</v>
      </c>
      <c r="AX238" s="6">
        <v>0</v>
      </c>
      <c r="AZ238" s="6">
        <f t="shared" si="49"/>
        <v>4506045</v>
      </c>
      <c r="BB238" s="6">
        <v>0</v>
      </c>
      <c r="BC238" s="63"/>
      <c r="BD238" s="6">
        <v>0</v>
      </c>
      <c r="BF238" s="6">
        <v>0</v>
      </c>
      <c r="BH238" s="6">
        <v>0</v>
      </c>
      <c r="BJ238" s="6">
        <f t="shared" si="50"/>
        <v>4506045</v>
      </c>
      <c r="BL238" s="6">
        <f>+'Gen Fd Rev'!AK238-'Gen Fd Exp'!BJ238</f>
        <v>494213</v>
      </c>
      <c r="BN238" s="6">
        <v>2494242</v>
      </c>
      <c r="BP238" s="6">
        <v>0</v>
      </c>
      <c r="BR238" s="6">
        <v>0</v>
      </c>
      <c r="BT238" s="6">
        <f t="shared" si="51"/>
        <v>2988455</v>
      </c>
      <c r="BV238" s="7">
        <f>+BT238-'Gen Fd BS'!AC238+BR238</f>
        <v>0</v>
      </c>
    </row>
    <row r="239" spans="1:74">
      <c r="A239" s="10" t="s">
        <v>491</v>
      </c>
      <c r="B239" s="11"/>
      <c r="C239" s="11" t="s">
        <v>61</v>
      </c>
      <c r="E239" s="6">
        <v>3668863</v>
      </c>
      <c r="G239" s="6">
        <v>503389</v>
      </c>
      <c r="I239" s="6">
        <v>92728</v>
      </c>
      <c r="K239" s="6">
        <v>0</v>
      </c>
      <c r="M239" s="6">
        <f>1307+81526</f>
        <v>82833</v>
      </c>
      <c r="O239" s="6">
        <v>487234</v>
      </c>
      <c r="Q239" s="6">
        <v>312927</v>
      </c>
      <c r="S239" s="6">
        <v>9388</v>
      </c>
      <c r="U239" s="6">
        <v>556055</v>
      </c>
      <c r="W239" s="6">
        <v>238944</v>
      </c>
      <c r="Y239" s="6">
        <v>855</v>
      </c>
      <c r="AA239" s="6">
        <v>623031</v>
      </c>
      <c r="AC239" s="6">
        <v>433627</v>
      </c>
      <c r="AE239" s="6">
        <v>6682</v>
      </c>
      <c r="AG239" s="6">
        <v>0</v>
      </c>
      <c r="AI239" s="6">
        <v>0</v>
      </c>
      <c r="AJ239" s="10" t="s">
        <v>491</v>
      </c>
      <c r="AK239" s="11"/>
      <c r="AL239" s="11" t="s">
        <v>61</v>
      </c>
      <c r="AN239" s="6">
        <v>151837</v>
      </c>
      <c r="AP239" s="6">
        <v>842</v>
      </c>
      <c r="AT239" s="6">
        <v>18522</v>
      </c>
      <c r="AV239" s="6">
        <v>1848</v>
      </c>
      <c r="AX239" s="6">
        <v>0</v>
      </c>
      <c r="AZ239" s="6">
        <f t="shared" si="49"/>
        <v>7189605</v>
      </c>
      <c r="BB239" s="6">
        <v>0</v>
      </c>
      <c r="BD239" s="6">
        <v>0</v>
      </c>
      <c r="BF239" s="6">
        <v>0</v>
      </c>
      <c r="BH239" s="6">
        <v>0</v>
      </c>
      <c r="BJ239" s="6">
        <f t="shared" si="50"/>
        <v>7189605</v>
      </c>
      <c r="BL239" s="6">
        <f>+'Gen Fd Rev'!AK239-'Gen Fd Exp'!BJ239</f>
        <v>491302</v>
      </c>
      <c r="BN239" s="6">
        <v>1058404</v>
      </c>
      <c r="BP239" s="6">
        <v>0</v>
      </c>
      <c r="BR239" s="6">
        <v>0</v>
      </c>
      <c r="BT239" s="6">
        <f t="shared" si="51"/>
        <v>1549706</v>
      </c>
      <c r="BV239" s="7">
        <f>+BT239-'Gen Fd BS'!AC239+BR239</f>
        <v>0</v>
      </c>
    </row>
    <row r="240" spans="1:74" hidden="1">
      <c r="A240" s="10" t="s">
        <v>858</v>
      </c>
      <c r="B240" s="11"/>
      <c r="C240" s="11" t="s">
        <v>343</v>
      </c>
      <c r="AJ240" s="10" t="s">
        <v>858</v>
      </c>
      <c r="AK240" s="11"/>
      <c r="AL240" s="11" t="s">
        <v>343</v>
      </c>
      <c r="AZ240" s="6">
        <f t="shared" si="49"/>
        <v>0</v>
      </c>
      <c r="BJ240" s="6">
        <f t="shared" si="50"/>
        <v>0</v>
      </c>
      <c r="BL240" s="6">
        <f>+'Gen Fd Rev'!AK240-'Gen Fd Exp'!BJ240</f>
        <v>0</v>
      </c>
      <c r="BR240" s="6">
        <v>0</v>
      </c>
      <c r="BT240" s="6">
        <f t="shared" si="51"/>
        <v>0</v>
      </c>
      <c r="BV240" s="7">
        <f>+BT240-'Gen Fd BS'!AC240+BR240</f>
        <v>0</v>
      </c>
    </row>
    <row r="241" spans="1:74">
      <c r="A241" s="11" t="s">
        <v>373</v>
      </c>
      <c r="B241" s="11"/>
      <c r="C241" s="11" t="s">
        <v>42</v>
      </c>
      <c r="E241" s="6">
        <v>8974864</v>
      </c>
      <c r="G241" s="6">
        <v>0</v>
      </c>
      <c r="I241" s="6">
        <v>0</v>
      </c>
      <c r="K241" s="6">
        <v>0</v>
      </c>
      <c r="M241" s="6">
        <v>0</v>
      </c>
      <c r="O241" s="6">
        <v>809099</v>
      </c>
      <c r="Q241" s="6">
        <v>304418</v>
      </c>
      <c r="S241" s="6">
        <v>20516</v>
      </c>
      <c r="U241" s="6">
        <v>1505632</v>
      </c>
      <c r="W241" s="6">
        <v>467611</v>
      </c>
      <c r="Y241" s="6">
        <v>17713</v>
      </c>
      <c r="AA241" s="6">
        <v>1222560</v>
      </c>
      <c r="AC241" s="6">
        <v>585119</v>
      </c>
      <c r="AE241" s="6">
        <v>270097</v>
      </c>
      <c r="AG241" s="6">
        <v>24407</v>
      </c>
      <c r="AI241" s="6">
        <v>0</v>
      </c>
      <c r="AJ241" s="11" t="s">
        <v>373</v>
      </c>
      <c r="AK241" s="11"/>
      <c r="AL241" s="11" t="s">
        <v>42</v>
      </c>
      <c r="AN241" s="6">
        <v>324075</v>
      </c>
      <c r="AP241" s="6">
        <v>49770</v>
      </c>
      <c r="AT241" s="6">
        <v>51702</v>
      </c>
      <c r="AV241" s="6">
        <v>5838</v>
      </c>
      <c r="AX241" s="6">
        <v>0</v>
      </c>
      <c r="AZ241" s="6">
        <f t="shared" si="49"/>
        <v>14633421</v>
      </c>
      <c r="BB241" s="6">
        <v>0</v>
      </c>
      <c r="BD241" s="6">
        <v>0</v>
      </c>
      <c r="BF241" s="6">
        <v>0</v>
      </c>
      <c r="BH241" s="6">
        <v>0</v>
      </c>
      <c r="BJ241" s="6">
        <f t="shared" si="50"/>
        <v>14633421</v>
      </c>
      <c r="BL241" s="6">
        <f>+'Gen Fd Rev'!AK241-'Gen Fd Exp'!BJ241</f>
        <v>-1103459</v>
      </c>
      <c r="BN241" s="6">
        <v>2672384</v>
      </c>
      <c r="BP241" s="6">
        <v>0</v>
      </c>
      <c r="BR241" s="6">
        <v>0</v>
      </c>
      <c r="BT241" s="6">
        <f t="shared" si="51"/>
        <v>1568925</v>
      </c>
      <c r="BV241" s="7">
        <f>+BT241-'Gen Fd BS'!AC241+BR241</f>
        <v>0</v>
      </c>
    </row>
    <row r="242" spans="1:74" hidden="1">
      <c r="A242" s="11" t="s">
        <v>667</v>
      </c>
      <c r="B242" s="11"/>
      <c r="C242" s="11" t="s">
        <v>22</v>
      </c>
      <c r="AJ242" s="11" t="s">
        <v>667</v>
      </c>
      <c r="AK242" s="11"/>
      <c r="AL242" s="11" t="s">
        <v>22</v>
      </c>
      <c r="AZ242" s="6">
        <f t="shared" si="49"/>
        <v>0</v>
      </c>
      <c r="BJ242" s="6">
        <f t="shared" si="50"/>
        <v>0</v>
      </c>
      <c r="BL242" s="6">
        <f>+'Gen Fd Rev'!AK242-'Gen Fd Exp'!BJ242</f>
        <v>0</v>
      </c>
      <c r="BR242" s="6">
        <v>0</v>
      </c>
      <c r="BT242" s="6">
        <f t="shared" si="51"/>
        <v>0</v>
      </c>
      <c r="BV242" s="7">
        <f>+BT242-'Gen Fd BS'!AC242+BR242</f>
        <v>0</v>
      </c>
    </row>
    <row r="243" spans="1:74">
      <c r="A243" s="11" t="s">
        <v>417</v>
      </c>
      <c r="B243" s="11"/>
      <c r="C243" s="11" t="s">
        <v>47</v>
      </c>
      <c r="E243" s="6">
        <v>11762812</v>
      </c>
      <c r="G243" s="6">
        <v>2597986</v>
      </c>
      <c r="I243" s="6">
        <v>112849</v>
      </c>
      <c r="K243" s="6">
        <v>0</v>
      </c>
      <c r="M243" s="6">
        <v>123853</v>
      </c>
      <c r="O243" s="6">
        <v>1419487</v>
      </c>
      <c r="Q243" s="6">
        <v>1334216</v>
      </c>
      <c r="S243" s="6">
        <v>28395</v>
      </c>
      <c r="U243" s="6">
        <v>1976286</v>
      </c>
      <c r="W243" s="6">
        <v>775378</v>
      </c>
      <c r="Y243" s="6">
        <v>28266</v>
      </c>
      <c r="AA243" s="6">
        <v>2210093</v>
      </c>
      <c r="AC243" s="6">
        <v>1707351</v>
      </c>
      <c r="AE243" s="6">
        <v>231868</v>
      </c>
      <c r="AG243" s="6">
        <v>0</v>
      </c>
      <c r="AI243" s="6">
        <v>193316</v>
      </c>
      <c r="AJ243" s="11" t="s">
        <v>417</v>
      </c>
      <c r="AK243" s="11"/>
      <c r="AL243" s="11" t="s">
        <v>47</v>
      </c>
      <c r="AN243" s="6">
        <v>941130</v>
      </c>
      <c r="AP243" s="6">
        <v>25767</v>
      </c>
      <c r="AT243" s="6">
        <v>43269</v>
      </c>
      <c r="AV243" s="6">
        <v>1407</v>
      </c>
      <c r="AX243" s="6">
        <v>0</v>
      </c>
      <c r="AZ243" s="6">
        <f t="shared" si="49"/>
        <v>25513729</v>
      </c>
      <c r="BB243" s="6">
        <v>0</v>
      </c>
      <c r="BD243" s="6">
        <v>0</v>
      </c>
      <c r="BF243" s="6">
        <v>0</v>
      </c>
      <c r="BH243" s="6">
        <v>0</v>
      </c>
      <c r="BJ243" s="6">
        <f t="shared" si="50"/>
        <v>25513729</v>
      </c>
      <c r="BL243" s="6">
        <f>+'Gen Fd Rev'!AK243-'Gen Fd Exp'!BJ243</f>
        <v>1643741</v>
      </c>
      <c r="BN243" s="6">
        <v>4365168</v>
      </c>
      <c r="BP243" s="6">
        <v>0</v>
      </c>
      <c r="BR243" s="6">
        <v>0</v>
      </c>
      <c r="BT243" s="6">
        <f t="shared" si="51"/>
        <v>6008909</v>
      </c>
      <c r="BV243" s="7">
        <f>+BT243-'Gen Fd BS'!AC243+BR243</f>
        <v>0</v>
      </c>
    </row>
    <row r="244" spans="1:74">
      <c r="A244" s="11" t="s">
        <v>417</v>
      </c>
      <c r="B244" s="11"/>
      <c r="C244" s="11" t="s">
        <v>78</v>
      </c>
      <c r="E244" s="6">
        <v>6129397</v>
      </c>
      <c r="G244" s="6">
        <v>1851422</v>
      </c>
      <c r="I244" s="6">
        <v>110485</v>
      </c>
      <c r="K244" s="6">
        <v>0</v>
      </c>
      <c r="M244" s="6">
        <v>0</v>
      </c>
      <c r="O244" s="6">
        <v>429597</v>
      </c>
      <c r="Q244" s="6">
        <v>612847</v>
      </c>
      <c r="S244" s="6">
        <v>234264</v>
      </c>
      <c r="U244" s="6">
        <v>1087084</v>
      </c>
      <c r="W244" s="6">
        <v>423237</v>
      </c>
      <c r="Y244" s="6">
        <v>0</v>
      </c>
      <c r="AA244" s="6">
        <v>1501721</v>
      </c>
      <c r="AC244" s="6">
        <v>1278652</v>
      </c>
      <c r="AE244" s="6">
        <v>0</v>
      </c>
      <c r="AG244" s="6">
        <v>0</v>
      </c>
      <c r="AI244" s="6">
        <v>0</v>
      </c>
      <c r="AJ244" s="11" t="s">
        <v>417</v>
      </c>
      <c r="AK244" s="11"/>
      <c r="AL244" s="11" t="s">
        <v>78</v>
      </c>
      <c r="AN244" s="6">
        <v>207780</v>
      </c>
      <c r="AP244" s="6">
        <v>4046</v>
      </c>
      <c r="AT244" s="6">
        <v>16774</v>
      </c>
      <c r="AV244" s="6">
        <v>1336</v>
      </c>
      <c r="AX244" s="6">
        <v>0</v>
      </c>
      <c r="AZ244" s="6">
        <f t="shared" si="49"/>
        <v>13888642</v>
      </c>
      <c r="BB244" s="6">
        <v>0</v>
      </c>
      <c r="BD244" s="6">
        <v>0</v>
      </c>
      <c r="BF244" s="6">
        <v>0</v>
      </c>
      <c r="BH244" s="6">
        <v>0</v>
      </c>
      <c r="BJ244" s="6">
        <f t="shared" si="50"/>
        <v>13888642</v>
      </c>
      <c r="BL244" s="6">
        <f>+'Gen Fd Rev'!AK244-'Gen Fd Exp'!BJ244</f>
        <v>807124</v>
      </c>
      <c r="BN244" s="6">
        <v>2344521</v>
      </c>
      <c r="BP244" s="6">
        <v>0</v>
      </c>
      <c r="BR244" s="6">
        <v>0</v>
      </c>
      <c r="BT244" s="6">
        <f t="shared" si="51"/>
        <v>3151645</v>
      </c>
      <c r="BV244" s="7">
        <f>+BT244-'Gen Fd BS'!AC244+BR244</f>
        <v>0</v>
      </c>
    </row>
    <row r="245" spans="1:74">
      <c r="A245" s="11" t="s">
        <v>305</v>
      </c>
      <c r="B245" s="11"/>
      <c r="C245" s="11" t="s">
        <v>27</v>
      </c>
      <c r="D245" s="9"/>
      <c r="E245" s="6">
        <v>77149058</v>
      </c>
      <c r="G245" s="6">
        <v>19401676</v>
      </c>
      <c r="I245" s="6">
        <v>1140440</v>
      </c>
      <c r="K245" s="6">
        <v>0</v>
      </c>
      <c r="M245" s="6">
        <v>0</v>
      </c>
      <c r="O245" s="6">
        <v>12272084</v>
      </c>
      <c r="Q245" s="6">
        <v>8605795</v>
      </c>
      <c r="S245" s="6">
        <v>307354</v>
      </c>
      <c r="U245" s="6">
        <v>8007011</v>
      </c>
      <c r="W245" s="6">
        <v>2762913</v>
      </c>
      <c r="Y245" s="6">
        <v>755267</v>
      </c>
      <c r="AA245" s="6">
        <v>13766238</v>
      </c>
      <c r="AC245" s="6">
        <v>7415241</v>
      </c>
      <c r="AE245" s="6">
        <v>602862</v>
      </c>
      <c r="AG245" s="6">
        <v>0</v>
      </c>
      <c r="AI245" s="6">
        <v>27182</v>
      </c>
      <c r="AJ245" s="11" t="s">
        <v>305</v>
      </c>
      <c r="AK245" s="11"/>
      <c r="AL245" s="11" t="s">
        <v>27</v>
      </c>
      <c r="AN245" s="6">
        <v>3579410</v>
      </c>
      <c r="AP245" s="6">
        <v>247720</v>
      </c>
      <c r="AT245" s="6">
        <v>0</v>
      </c>
      <c r="AV245" s="6">
        <v>344076</v>
      </c>
      <c r="AX245" s="6">
        <v>0</v>
      </c>
      <c r="AZ245" s="6">
        <f t="shared" si="49"/>
        <v>156384327</v>
      </c>
      <c r="BB245" s="6">
        <v>333333</v>
      </c>
      <c r="BD245" s="6">
        <v>0</v>
      </c>
      <c r="BF245" s="6">
        <v>0</v>
      </c>
      <c r="BH245" s="6">
        <v>0</v>
      </c>
      <c r="BJ245" s="6">
        <f t="shared" si="50"/>
        <v>156717660</v>
      </c>
      <c r="BL245" s="6">
        <f>+'Gen Fd Rev'!AK245-'Gen Fd Exp'!BJ245</f>
        <v>10515767</v>
      </c>
      <c r="BN245" s="6">
        <v>35677194</v>
      </c>
      <c r="BP245" s="6">
        <v>0</v>
      </c>
      <c r="BR245" s="6">
        <v>0</v>
      </c>
      <c r="BT245" s="6">
        <f t="shared" si="51"/>
        <v>46192961</v>
      </c>
      <c r="BV245" s="7">
        <f>+BT245-'Gen Fd BS'!AC245+BR245</f>
        <v>0</v>
      </c>
    </row>
    <row r="246" spans="1:74">
      <c r="A246" s="11" t="s">
        <v>350</v>
      </c>
      <c r="B246" s="11"/>
      <c r="C246" s="11" t="s">
        <v>348</v>
      </c>
      <c r="E246" s="6">
        <v>10385228</v>
      </c>
      <c r="G246" s="6">
        <v>1480145</v>
      </c>
      <c r="I246" s="6">
        <v>638886</v>
      </c>
      <c r="K246" s="6">
        <v>0</v>
      </c>
      <c r="M246" s="6">
        <v>553</v>
      </c>
      <c r="O246" s="6">
        <v>890394</v>
      </c>
      <c r="Q246" s="6">
        <v>1445951</v>
      </c>
      <c r="S246" s="6">
        <v>26485</v>
      </c>
      <c r="U246" s="6">
        <v>1684796</v>
      </c>
      <c r="W246" s="6">
        <v>1206890</v>
      </c>
      <c r="Y246" s="6">
        <v>1382</v>
      </c>
      <c r="AA246" s="6">
        <v>1620228</v>
      </c>
      <c r="AC246" s="6">
        <v>1661065</v>
      </c>
      <c r="AE246" s="6">
        <v>109296</v>
      </c>
      <c r="AG246" s="6">
        <v>0</v>
      </c>
      <c r="AI246" s="6">
        <v>19975</v>
      </c>
      <c r="AJ246" s="11" t="s">
        <v>350</v>
      </c>
      <c r="AK246" s="11"/>
      <c r="AL246" s="11" t="s">
        <v>348</v>
      </c>
      <c r="AN246" s="6">
        <v>399969</v>
      </c>
      <c r="AP246" s="6">
        <v>0</v>
      </c>
      <c r="AT246" s="6">
        <v>0</v>
      </c>
      <c r="AV246" s="6">
        <v>0</v>
      </c>
      <c r="AX246" s="6">
        <v>0</v>
      </c>
      <c r="AZ246" s="6">
        <f t="shared" si="49"/>
        <v>21571243</v>
      </c>
      <c r="BB246" s="6">
        <v>149648</v>
      </c>
      <c r="BD246" s="6">
        <v>0</v>
      </c>
      <c r="BF246" s="6">
        <v>0</v>
      </c>
      <c r="BH246" s="6">
        <v>0</v>
      </c>
      <c r="BJ246" s="6">
        <f t="shared" si="50"/>
        <v>21720891</v>
      </c>
      <c r="BL246" s="6">
        <f>+'Gen Fd Rev'!AK246-'Gen Fd Exp'!BJ246</f>
        <v>459031</v>
      </c>
      <c r="BN246" s="6">
        <v>4121021</v>
      </c>
      <c r="BP246" s="6">
        <v>0</v>
      </c>
      <c r="BR246" s="6">
        <v>0</v>
      </c>
      <c r="BT246" s="6">
        <f t="shared" si="51"/>
        <v>4580052</v>
      </c>
      <c r="BV246" s="7">
        <f>+BT246-'Gen Fd BS'!AC246+BR246</f>
        <v>0</v>
      </c>
    </row>
    <row r="247" spans="1:74">
      <c r="A247" s="11" t="s">
        <v>204</v>
      </c>
      <c r="B247" s="11"/>
      <c r="C247" s="11" t="s">
        <v>11</v>
      </c>
      <c r="E247" s="6">
        <v>4464322</v>
      </c>
      <c r="G247" s="6">
        <v>556544</v>
      </c>
      <c r="I247" s="6">
        <v>307414</v>
      </c>
      <c r="K247" s="6">
        <v>0</v>
      </c>
      <c r="M247" s="6">
        <v>272026</v>
      </c>
      <c r="O247" s="6">
        <v>560681</v>
      </c>
      <c r="Q247" s="6">
        <v>285902</v>
      </c>
      <c r="S247" s="6">
        <v>29418</v>
      </c>
      <c r="U247" s="6">
        <v>813014</v>
      </c>
      <c r="W247" s="6">
        <v>349184</v>
      </c>
      <c r="Y247" s="6">
        <v>0</v>
      </c>
      <c r="AA247" s="6">
        <v>699593</v>
      </c>
      <c r="AC247" s="6">
        <v>842372</v>
      </c>
      <c r="AE247" s="6">
        <v>0</v>
      </c>
      <c r="AG247" s="6">
        <v>0</v>
      </c>
      <c r="AI247" s="6">
        <v>465</v>
      </c>
      <c r="AJ247" s="11" t="s">
        <v>204</v>
      </c>
      <c r="AK247" s="11"/>
      <c r="AL247" s="11" t="s">
        <v>11</v>
      </c>
      <c r="AN247" s="6">
        <v>243152</v>
      </c>
      <c r="AP247" s="6">
        <v>14365</v>
      </c>
      <c r="AT247" s="6">
        <v>0</v>
      </c>
      <c r="AV247" s="6">
        <v>0</v>
      </c>
      <c r="AX247" s="6">
        <v>0</v>
      </c>
      <c r="AZ247" s="6">
        <f t="shared" si="49"/>
        <v>9438452</v>
      </c>
      <c r="BB247" s="6">
        <v>34630</v>
      </c>
      <c r="BD247" s="6">
        <v>0</v>
      </c>
      <c r="BF247" s="6">
        <v>0</v>
      </c>
      <c r="BH247" s="6">
        <v>0</v>
      </c>
      <c r="BJ247" s="6">
        <f t="shared" si="50"/>
        <v>9473082</v>
      </c>
      <c r="BL247" s="6">
        <f>+'Gen Fd Rev'!AK247-'Gen Fd Exp'!BJ247</f>
        <v>-1087235</v>
      </c>
      <c r="BN247" s="6">
        <v>1534529</v>
      </c>
      <c r="BP247" s="6">
        <v>0</v>
      </c>
      <c r="BR247" s="6">
        <v>0</v>
      </c>
      <c r="BT247" s="6">
        <f t="shared" si="51"/>
        <v>447294</v>
      </c>
      <c r="BV247" s="7">
        <f>+BT247-'Gen Fd BS'!AC247+BR247</f>
        <v>0</v>
      </c>
    </row>
    <row r="248" spans="1:74">
      <c r="A248" s="11" t="s">
        <v>344</v>
      </c>
      <c r="B248" s="11"/>
      <c r="C248" s="11" t="s">
        <v>34</v>
      </c>
      <c r="E248" s="6">
        <v>2531643</v>
      </c>
      <c r="G248" s="6">
        <v>386558</v>
      </c>
      <c r="I248" s="6">
        <v>103792</v>
      </c>
      <c r="K248" s="6">
        <v>0</v>
      </c>
      <c r="M248" s="6">
        <v>0</v>
      </c>
      <c r="O248" s="6">
        <v>246276</v>
      </c>
      <c r="Q248" s="6">
        <v>165722</v>
      </c>
      <c r="S248" s="6">
        <v>15547</v>
      </c>
      <c r="U248" s="6">
        <v>461381</v>
      </c>
      <c r="W248" s="6">
        <v>139647</v>
      </c>
      <c r="Y248" s="6">
        <v>8113</v>
      </c>
      <c r="AA248" s="6">
        <v>335837</v>
      </c>
      <c r="AC248" s="6">
        <v>195392</v>
      </c>
      <c r="AE248" s="6">
        <v>60348</v>
      </c>
      <c r="AG248" s="6">
        <v>0</v>
      </c>
      <c r="AI248" s="6">
        <v>0</v>
      </c>
      <c r="AJ248" s="11" t="s">
        <v>344</v>
      </c>
      <c r="AK248" s="11"/>
      <c r="AL248" s="11" t="s">
        <v>34</v>
      </c>
      <c r="AN248" s="6">
        <v>140053</v>
      </c>
      <c r="AP248" s="6">
        <v>0</v>
      </c>
      <c r="AT248" s="6">
        <v>0</v>
      </c>
      <c r="AV248" s="6">
        <v>0</v>
      </c>
      <c r="AX248" s="6">
        <v>0</v>
      </c>
      <c r="AZ248" s="6">
        <f t="shared" si="49"/>
        <v>4790309</v>
      </c>
      <c r="BB248" s="6">
        <v>37305</v>
      </c>
      <c r="BD248" s="6">
        <v>0</v>
      </c>
      <c r="BF248" s="6">
        <v>0</v>
      </c>
      <c r="BH248" s="6">
        <v>0</v>
      </c>
      <c r="BJ248" s="6">
        <f t="shared" si="50"/>
        <v>4827614</v>
      </c>
      <c r="BL248" s="6">
        <f>+'Gen Fd Rev'!AK248-'Gen Fd Exp'!BJ248</f>
        <v>84159</v>
      </c>
      <c r="BN248" s="6">
        <v>1902318</v>
      </c>
      <c r="BP248" s="6">
        <v>0</v>
      </c>
      <c r="BR248" s="6">
        <v>0</v>
      </c>
      <c r="BT248" s="6">
        <f t="shared" si="51"/>
        <v>1986477</v>
      </c>
      <c r="BV248" s="7">
        <f>+BT248-'Gen Fd BS'!AC248+BR248</f>
        <v>0</v>
      </c>
    </row>
    <row r="249" spans="1:74" hidden="1">
      <c r="A249" s="10" t="s">
        <v>891</v>
      </c>
      <c r="B249" s="10"/>
      <c r="C249" s="10" t="s">
        <v>60</v>
      </c>
      <c r="AJ249" s="10" t="s">
        <v>891</v>
      </c>
      <c r="AK249" s="10"/>
      <c r="AL249" s="10" t="s">
        <v>60</v>
      </c>
      <c r="AX249" s="6">
        <v>0</v>
      </c>
      <c r="AZ249" s="6">
        <f t="shared" ref="AZ249" si="52">SUM(E249:AX249)</f>
        <v>0</v>
      </c>
      <c r="BB249" s="6">
        <v>0</v>
      </c>
      <c r="BD249" s="6">
        <v>0</v>
      </c>
      <c r="BF249" s="6">
        <v>0</v>
      </c>
      <c r="BH249" s="6">
        <v>0</v>
      </c>
      <c r="BJ249" s="6">
        <f t="shared" ref="BJ249" si="53">+AZ249+BB249+BD249+BH249</f>
        <v>0</v>
      </c>
      <c r="BL249" s="6">
        <f>+'Gen Fd Rev'!AK249-'Gen Fd Exp'!BJ249</f>
        <v>0</v>
      </c>
      <c r="BR249" s="6">
        <v>0</v>
      </c>
      <c r="BT249" s="6">
        <f t="shared" ref="BT249" si="54">+BN249+BL249-BP249</f>
        <v>0</v>
      </c>
      <c r="BV249" s="7">
        <f>+BT249-'Gen Fd BS'!AC249+BR249</f>
        <v>0</v>
      </c>
    </row>
    <row r="250" spans="1:74">
      <c r="A250" s="11" t="s">
        <v>522</v>
      </c>
      <c r="B250" s="11"/>
      <c r="C250" s="11" t="s">
        <v>64</v>
      </c>
      <c r="E250" s="6">
        <v>14435085</v>
      </c>
      <c r="G250" s="6">
        <v>2514301</v>
      </c>
      <c r="I250" s="6">
        <v>387229</v>
      </c>
      <c r="K250" s="6">
        <v>0</v>
      </c>
      <c r="M250" s="6">
        <v>0</v>
      </c>
      <c r="O250" s="6">
        <v>1646423</v>
      </c>
      <c r="Q250" s="6">
        <v>414302</v>
      </c>
      <c r="S250" s="6">
        <v>322900</v>
      </c>
      <c r="U250" s="6">
        <v>2407200</v>
      </c>
      <c r="W250" s="6">
        <v>689812</v>
      </c>
      <c r="Y250" s="6">
        <v>97528</v>
      </c>
      <c r="AA250" s="6">
        <v>2712762</v>
      </c>
      <c r="AC250" s="6">
        <v>1745717</v>
      </c>
      <c r="AE250" s="6">
        <v>4147</v>
      </c>
      <c r="AG250" s="6">
        <v>0</v>
      </c>
      <c r="AI250" s="6">
        <v>678</v>
      </c>
      <c r="AJ250" s="11" t="s">
        <v>522</v>
      </c>
      <c r="AK250" s="11"/>
      <c r="AL250" s="11" t="s">
        <v>64</v>
      </c>
      <c r="AN250" s="6">
        <v>529342</v>
      </c>
      <c r="AP250" s="6">
        <v>0</v>
      </c>
      <c r="AT250" s="6">
        <v>0</v>
      </c>
      <c r="AV250" s="6">
        <v>0</v>
      </c>
      <c r="AX250" s="6">
        <v>0</v>
      </c>
      <c r="AZ250" s="6">
        <f t="shared" si="49"/>
        <v>27907426</v>
      </c>
      <c r="BB250" s="6">
        <v>0</v>
      </c>
      <c r="BD250" s="6">
        <v>0</v>
      </c>
      <c r="BF250" s="6">
        <v>0</v>
      </c>
      <c r="BH250" s="6">
        <v>0</v>
      </c>
      <c r="BJ250" s="6">
        <f t="shared" si="50"/>
        <v>27907426</v>
      </c>
      <c r="BL250" s="6">
        <f>+'Gen Fd Rev'!AK250-'Gen Fd Exp'!BJ250</f>
        <v>31307</v>
      </c>
      <c r="BN250" s="6">
        <v>-2187042</v>
      </c>
      <c r="BP250" s="6">
        <v>0</v>
      </c>
      <c r="BR250" s="6">
        <v>0</v>
      </c>
      <c r="BT250" s="6">
        <f t="shared" si="51"/>
        <v>-2155735</v>
      </c>
      <c r="BV250" s="7">
        <f>+BT250-'Gen Fd BS'!AC250+BR250</f>
        <v>0</v>
      </c>
    </row>
    <row r="251" spans="1:74">
      <c r="A251" s="11" t="s">
        <v>761</v>
      </c>
      <c r="B251" s="11"/>
      <c r="C251" s="11" t="s">
        <v>64</v>
      </c>
      <c r="E251" s="6">
        <v>8398711</v>
      </c>
      <c r="G251" s="6">
        <v>1294193</v>
      </c>
      <c r="I251" s="6">
        <v>382201</v>
      </c>
      <c r="K251" s="6">
        <v>0</v>
      </c>
      <c r="M251" s="6">
        <v>0</v>
      </c>
      <c r="O251" s="6">
        <v>903355</v>
      </c>
      <c r="Q251" s="6">
        <v>864084</v>
      </c>
      <c r="S251" s="6">
        <v>14994</v>
      </c>
      <c r="U251" s="6">
        <v>1395545</v>
      </c>
      <c r="W251" s="6">
        <v>503057</v>
      </c>
      <c r="Y251" s="6">
        <v>29140</v>
      </c>
      <c r="AA251" s="6">
        <v>1727763</v>
      </c>
      <c r="AC251" s="6">
        <v>895773</v>
      </c>
      <c r="AE251" s="6">
        <v>298971</v>
      </c>
      <c r="AG251" s="6">
        <v>0</v>
      </c>
      <c r="AI251" s="6">
        <v>318907</v>
      </c>
      <c r="AJ251" s="11" t="s">
        <v>761</v>
      </c>
      <c r="AK251" s="11"/>
      <c r="AL251" s="11" t="s">
        <v>64</v>
      </c>
      <c r="AN251" s="6">
        <v>427221</v>
      </c>
      <c r="AP251" s="6">
        <v>0</v>
      </c>
      <c r="AT251" s="6">
        <v>0</v>
      </c>
      <c r="AV251" s="6">
        <v>0</v>
      </c>
      <c r="AX251" s="6">
        <v>0</v>
      </c>
      <c r="AZ251" s="6">
        <f t="shared" si="49"/>
        <v>17453915</v>
      </c>
      <c r="BB251" s="6">
        <v>28117</v>
      </c>
      <c r="BD251" s="6">
        <v>0</v>
      </c>
      <c r="BF251" s="6">
        <v>0</v>
      </c>
      <c r="BH251" s="6">
        <v>0</v>
      </c>
      <c r="BJ251" s="6">
        <f t="shared" si="50"/>
        <v>17482032</v>
      </c>
      <c r="BL251" s="6">
        <f>+'Gen Fd Rev'!AK251-'Gen Fd Exp'!BJ251</f>
        <v>3193</v>
      </c>
      <c r="BN251" s="6">
        <v>3002362</v>
      </c>
      <c r="BP251" s="6">
        <v>0</v>
      </c>
      <c r="BR251" s="6">
        <v>0</v>
      </c>
      <c r="BT251" s="6">
        <f t="shared" si="51"/>
        <v>3005555</v>
      </c>
      <c r="BV251" s="7">
        <f>+BT251-'Gen Fd BS'!AC251+BR251</f>
        <v>0</v>
      </c>
    </row>
    <row r="252" spans="1:74">
      <c r="A252" s="11" t="s">
        <v>430</v>
      </c>
      <c r="B252" s="11"/>
      <c r="C252" s="11" t="s">
        <v>50</v>
      </c>
      <c r="E252" s="6">
        <v>44556716</v>
      </c>
      <c r="G252" s="6">
        <v>0</v>
      </c>
      <c r="I252" s="6">
        <v>0</v>
      </c>
      <c r="K252" s="6">
        <v>0</v>
      </c>
      <c r="M252" s="6">
        <v>0</v>
      </c>
      <c r="O252" s="6">
        <v>2985530</v>
      </c>
      <c r="Q252" s="6">
        <v>3767755</v>
      </c>
      <c r="S252" s="6">
        <v>23102</v>
      </c>
      <c r="U252" s="6">
        <v>4275215</v>
      </c>
      <c r="W252" s="6">
        <v>1005200</v>
      </c>
      <c r="Y252" s="6">
        <v>452515</v>
      </c>
      <c r="AA252" s="6">
        <v>4395508</v>
      </c>
      <c r="AC252" s="6">
        <v>3357543</v>
      </c>
      <c r="AE252" s="6">
        <v>509338</v>
      </c>
      <c r="AG252" s="6">
        <v>0</v>
      </c>
      <c r="AI252" s="6">
        <v>1095</v>
      </c>
      <c r="AJ252" s="11" t="s">
        <v>430</v>
      </c>
      <c r="AK252" s="11"/>
      <c r="AL252" s="11" t="s">
        <v>50</v>
      </c>
      <c r="AN252" s="6">
        <v>618218</v>
      </c>
      <c r="AP252" s="6">
        <v>0</v>
      </c>
      <c r="AT252" s="6">
        <v>0</v>
      </c>
      <c r="AV252" s="6">
        <v>0</v>
      </c>
      <c r="AX252" s="6">
        <v>0</v>
      </c>
      <c r="AZ252" s="6">
        <f t="shared" si="49"/>
        <v>65947735</v>
      </c>
      <c r="BB252" s="6">
        <v>218705</v>
      </c>
      <c r="BD252" s="6">
        <v>0</v>
      </c>
      <c r="BF252" s="6">
        <v>0</v>
      </c>
      <c r="BH252" s="6">
        <v>0</v>
      </c>
      <c r="BJ252" s="6">
        <f t="shared" si="50"/>
        <v>66166440</v>
      </c>
      <c r="BL252" s="6">
        <f>+'Gen Fd Rev'!AK252-'Gen Fd Exp'!BJ252</f>
        <v>-6474452</v>
      </c>
      <c r="BN252" s="6">
        <v>12325365</v>
      </c>
      <c r="BP252" s="6">
        <v>105996</v>
      </c>
      <c r="BR252" s="6">
        <v>0</v>
      </c>
      <c r="BT252" s="6">
        <f t="shared" si="51"/>
        <v>5744917</v>
      </c>
      <c r="BV252" s="7">
        <f>+BT252-'Gen Fd BS'!AC252+BR252</f>
        <v>0</v>
      </c>
    </row>
    <row r="253" spans="1:74">
      <c r="A253" s="11" t="s">
        <v>509</v>
      </c>
      <c r="B253" s="11"/>
      <c r="C253" s="11" t="s">
        <v>63</v>
      </c>
      <c r="E253" s="6">
        <v>24536581</v>
      </c>
      <c r="G253" s="6">
        <v>5754182</v>
      </c>
      <c r="I253" s="6">
        <v>244846</v>
      </c>
      <c r="K253" s="6">
        <v>0</v>
      </c>
      <c r="M253" s="6">
        <v>1316722</v>
      </c>
      <c r="O253" s="6">
        <v>4195495</v>
      </c>
      <c r="Q253" s="6">
        <v>4434784</v>
      </c>
      <c r="S253" s="6">
        <v>49083</v>
      </c>
      <c r="U253" s="6">
        <v>3894202</v>
      </c>
      <c r="W253" s="6">
        <v>1377249</v>
      </c>
      <c r="Y253" s="6">
        <v>586663</v>
      </c>
      <c r="AA253" s="6">
        <v>4743066</v>
      </c>
      <c r="AC253" s="6">
        <v>3624236</v>
      </c>
      <c r="AE253" s="6">
        <v>426422</v>
      </c>
      <c r="AG253" s="6">
        <v>0</v>
      </c>
      <c r="AI253" s="6">
        <v>7770</v>
      </c>
      <c r="AJ253" s="11" t="s">
        <v>509</v>
      </c>
      <c r="AK253" s="11"/>
      <c r="AL253" s="11" t="s">
        <v>63</v>
      </c>
      <c r="AN253" s="6">
        <v>866435</v>
      </c>
      <c r="AP253" s="6">
        <v>0</v>
      </c>
      <c r="AT253" s="6">
        <v>475814</v>
      </c>
      <c r="AV253" s="6">
        <v>135672</v>
      </c>
      <c r="AX253" s="6">
        <v>0</v>
      </c>
      <c r="AZ253" s="6">
        <f t="shared" si="49"/>
        <v>56669222</v>
      </c>
      <c r="BB253" s="6">
        <v>26000</v>
      </c>
      <c r="BD253" s="6">
        <v>0</v>
      </c>
      <c r="BF253" s="6">
        <v>0</v>
      </c>
      <c r="BH253" s="6">
        <v>0</v>
      </c>
      <c r="BJ253" s="6">
        <f t="shared" si="50"/>
        <v>56695222</v>
      </c>
      <c r="BL253" s="6">
        <f>+'Gen Fd Rev'!AK253-'Gen Fd Exp'!BJ253</f>
        <v>1112666</v>
      </c>
      <c r="BN253" s="6">
        <v>7291690</v>
      </c>
      <c r="BP253" s="6">
        <v>0</v>
      </c>
      <c r="BR253" s="6">
        <v>0</v>
      </c>
      <c r="BT253" s="6">
        <f t="shared" si="51"/>
        <v>8404356</v>
      </c>
      <c r="BV253" s="7">
        <f>+BT253-'Gen Fd BS'!AC253+BR253</f>
        <v>0</v>
      </c>
    </row>
    <row r="254" spans="1:74">
      <c r="A254" s="11" t="s">
        <v>474</v>
      </c>
      <c r="B254" s="11"/>
      <c r="C254" s="11" t="s">
        <v>58</v>
      </c>
      <c r="E254" s="6">
        <v>6156566</v>
      </c>
      <c r="G254" s="6">
        <v>924768</v>
      </c>
      <c r="I254" s="6">
        <v>0</v>
      </c>
      <c r="K254" s="6">
        <v>0</v>
      </c>
      <c r="M254" s="6">
        <v>319244</v>
      </c>
      <c r="O254" s="6">
        <v>331398</v>
      </c>
      <c r="Q254" s="6">
        <v>132039</v>
      </c>
      <c r="S254" s="6">
        <v>25752</v>
      </c>
      <c r="U254" s="6">
        <v>768734</v>
      </c>
      <c r="W254" s="6">
        <v>280799</v>
      </c>
      <c r="Y254" s="6">
        <v>0</v>
      </c>
      <c r="AA254" s="6">
        <v>1013715</v>
      </c>
      <c r="AC254" s="6">
        <v>784008</v>
      </c>
      <c r="AE254" s="6">
        <v>0</v>
      </c>
      <c r="AG254" s="6">
        <v>0</v>
      </c>
      <c r="AI254" s="6">
        <v>0</v>
      </c>
      <c r="AJ254" s="11" t="s">
        <v>474</v>
      </c>
      <c r="AK254" s="11"/>
      <c r="AL254" s="11" t="s">
        <v>58</v>
      </c>
      <c r="AN254" s="6">
        <v>160524</v>
      </c>
      <c r="AP254" s="6">
        <v>0</v>
      </c>
      <c r="AT254" s="6">
        <v>43044</v>
      </c>
      <c r="AV254" s="6">
        <v>7113</v>
      </c>
      <c r="AX254" s="6">
        <v>0</v>
      </c>
      <c r="AZ254" s="7">
        <f t="shared" si="49"/>
        <v>10947704</v>
      </c>
      <c r="BB254" s="6">
        <v>0</v>
      </c>
      <c r="BD254" s="6">
        <v>0</v>
      </c>
      <c r="BF254" s="6">
        <v>0</v>
      </c>
      <c r="BH254" s="6">
        <v>0</v>
      </c>
      <c r="BJ254" s="6">
        <f t="shared" si="50"/>
        <v>10947704</v>
      </c>
      <c r="BL254" s="6">
        <f>+'Gen Fd Rev'!AK254-'Gen Fd Exp'!BJ254</f>
        <v>115608</v>
      </c>
      <c r="BN254" s="6">
        <v>3779206</v>
      </c>
      <c r="BP254" s="6">
        <v>0</v>
      </c>
      <c r="BR254" s="6">
        <v>0</v>
      </c>
      <c r="BT254" s="6">
        <f t="shared" si="51"/>
        <v>3894814</v>
      </c>
      <c r="BV254" s="7">
        <f>+BT254-'Gen Fd BS'!AC254+BR254</f>
        <v>0</v>
      </c>
    </row>
    <row r="255" spans="1:74">
      <c r="A255" s="11" t="s">
        <v>286</v>
      </c>
      <c r="B255" s="11"/>
      <c r="C255" s="11" t="s">
        <v>24</v>
      </c>
      <c r="E255" s="6">
        <v>7121290</v>
      </c>
      <c r="G255" s="6">
        <v>1806710</v>
      </c>
      <c r="I255" s="6">
        <v>0</v>
      </c>
      <c r="K255" s="6">
        <v>0</v>
      </c>
      <c r="M255" s="6">
        <v>35267</v>
      </c>
      <c r="O255" s="6">
        <v>560775</v>
      </c>
      <c r="Q255" s="6">
        <v>668467</v>
      </c>
      <c r="S255" s="6">
        <v>43398</v>
      </c>
      <c r="U255" s="6">
        <v>1593066</v>
      </c>
      <c r="W255" s="6">
        <v>537457</v>
      </c>
      <c r="Y255" s="6">
        <v>47957</v>
      </c>
      <c r="AA255" s="6">
        <v>1253320</v>
      </c>
      <c r="AC255" s="6">
        <v>856719</v>
      </c>
      <c r="AE255" s="6">
        <v>0</v>
      </c>
      <c r="AG255" s="6">
        <v>0</v>
      </c>
      <c r="AI255" s="6">
        <v>115405</v>
      </c>
      <c r="AJ255" s="11" t="s">
        <v>286</v>
      </c>
      <c r="AK255" s="11"/>
      <c r="AL255" s="11" t="s">
        <v>24</v>
      </c>
      <c r="AN255" s="6">
        <v>443324</v>
      </c>
      <c r="AP255" s="6">
        <v>105156</v>
      </c>
      <c r="AT255" s="6">
        <v>216961</v>
      </c>
      <c r="AV255" s="6">
        <v>65603</v>
      </c>
      <c r="AX255" s="6">
        <v>0</v>
      </c>
      <c r="AZ255" s="6">
        <f t="shared" si="49"/>
        <v>15470875</v>
      </c>
      <c r="BB255" s="6">
        <v>0</v>
      </c>
      <c r="BD255" s="6">
        <v>0</v>
      </c>
      <c r="BF255" s="6">
        <v>0</v>
      </c>
      <c r="BH255" s="6">
        <v>0</v>
      </c>
      <c r="BJ255" s="6">
        <f t="shared" si="50"/>
        <v>15470875</v>
      </c>
      <c r="BL255" s="6">
        <f>+'Gen Fd Rev'!AK255-'Gen Fd Exp'!BJ255</f>
        <v>-469162</v>
      </c>
      <c r="BN255" s="6">
        <v>7736857</v>
      </c>
      <c r="BP255" s="6">
        <v>0</v>
      </c>
      <c r="BR255" s="6">
        <v>0</v>
      </c>
      <c r="BT255" s="6">
        <f t="shared" si="51"/>
        <v>7267695</v>
      </c>
      <c r="BV255" s="7">
        <f>+BT255-'Gen Fd BS'!AC255+BR255</f>
        <v>0</v>
      </c>
    </row>
    <row r="256" spans="1:74">
      <c r="A256" s="11" t="s">
        <v>269</v>
      </c>
      <c r="B256" s="11"/>
      <c r="C256" s="11" t="s">
        <v>20</v>
      </c>
      <c r="E256" s="6">
        <v>7063144</v>
      </c>
      <c r="G256" s="6">
        <v>332503</v>
      </c>
      <c r="I256" s="6">
        <v>0</v>
      </c>
      <c r="K256" s="6">
        <v>0</v>
      </c>
      <c r="M256" s="6">
        <f>138905+138369</f>
        <v>277274</v>
      </c>
      <c r="O256" s="6">
        <v>920837</v>
      </c>
      <c r="Q256" s="6">
        <v>1852374</v>
      </c>
      <c r="S256" s="6">
        <v>204225</v>
      </c>
      <c r="U256" s="6">
        <v>1198589</v>
      </c>
      <c r="W256" s="6">
        <v>641747</v>
      </c>
      <c r="Y256" s="6">
        <v>192622</v>
      </c>
      <c r="AA256" s="6">
        <v>1536982</v>
      </c>
      <c r="AC256" s="6">
        <v>899771</v>
      </c>
      <c r="AE256" s="6">
        <v>0</v>
      </c>
      <c r="AG256" s="6">
        <v>200</v>
      </c>
      <c r="AI256" s="6">
        <v>0</v>
      </c>
      <c r="AJ256" s="11" t="s">
        <v>269</v>
      </c>
      <c r="AK256" s="11"/>
      <c r="AL256" s="11" t="s">
        <v>20</v>
      </c>
      <c r="AN256" s="6">
        <v>484734</v>
      </c>
      <c r="AP256" s="6">
        <v>91778</v>
      </c>
      <c r="AT256" s="6">
        <v>21300</v>
      </c>
      <c r="AV256" s="6">
        <v>3998</v>
      </c>
      <c r="AX256" s="6">
        <v>0</v>
      </c>
      <c r="AZ256" s="6">
        <f t="shared" si="49"/>
        <v>15722078</v>
      </c>
      <c r="BB256" s="6">
        <v>119970</v>
      </c>
      <c r="BD256" s="6">
        <v>0</v>
      </c>
      <c r="BF256" s="6">
        <v>0</v>
      </c>
      <c r="BH256" s="6">
        <v>0</v>
      </c>
      <c r="BJ256" s="6">
        <f t="shared" si="50"/>
        <v>15842048</v>
      </c>
      <c r="BL256" s="6">
        <f>+'Gen Fd Rev'!AK256-'Gen Fd Exp'!BJ256</f>
        <v>717547</v>
      </c>
      <c r="BN256" s="6">
        <v>2063973</v>
      </c>
      <c r="BP256" s="6">
        <v>0</v>
      </c>
      <c r="BR256" s="6">
        <v>0</v>
      </c>
      <c r="BT256" s="6">
        <f t="shared" si="51"/>
        <v>2781520</v>
      </c>
      <c r="BV256" s="7">
        <f>+BT256-'Gen Fd BS'!AC256+BR256</f>
        <v>0</v>
      </c>
    </row>
    <row r="257" spans="1:74">
      <c r="A257" s="11" t="s">
        <v>363</v>
      </c>
      <c r="B257" s="11"/>
      <c r="C257" s="11" t="s">
        <v>39</v>
      </c>
      <c r="E257" s="6">
        <v>9627349</v>
      </c>
      <c r="G257" s="6">
        <v>1599028</v>
      </c>
      <c r="I257" s="6">
        <v>228825</v>
      </c>
      <c r="K257" s="6">
        <v>1510</v>
      </c>
      <c r="M257" s="6">
        <v>222315</v>
      </c>
      <c r="O257" s="6">
        <v>742684</v>
      </c>
      <c r="Q257" s="6">
        <v>568293</v>
      </c>
      <c r="S257" s="6">
        <v>18857</v>
      </c>
      <c r="U257" s="6">
        <v>1645804</v>
      </c>
      <c r="W257" s="6">
        <v>450239</v>
      </c>
      <c r="Y257" s="6">
        <v>0</v>
      </c>
      <c r="AA257" s="6">
        <v>1908512</v>
      </c>
      <c r="AC257" s="6">
        <v>1188985</v>
      </c>
      <c r="AE257" s="6">
        <v>142444</v>
      </c>
      <c r="AG257" s="6">
        <v>0</v>
      </c>
      <c r="AI257" s="6">
        <v>18005</v>
      </c>
      <c r="AJ257" s="11" t="s">
        <v>363</v>
      </c>
      <c r="AK257" s="11"/>
      <c r="AL257" s="11" t="s">
        <v>39</v>
      </c>
      <c r="AN257" s="6">
        <v>231055</v>
      </c>
      <c r="AP257" s="6">
        <v>14679</v>
      </c>
      <c r="AT257" s="6">
        <v>105039</v>
      </c>
      <c r="AV257" s="6">
        <v>5581</v>
      </c>
      <c r="AX257" s="6">
        <v>0</v>
      </c>
      <c r="AZ257" s="6">
        <f t="shared" si="49"/>
        <v>18719204</v>
      </c>
      <c r="BB257" s="6">
        <v>0</v>
      </c>
      <c r="BD257" s="6">
        <v>0</v>
      </c>
      <c r="BF257" s="6">
        <v>0</v>
      </c>
      <c r="BH257" s="6">
        <v>0</v>
      </c>
      <c r="BJ257" s="6">
        <f t="shared" si="50"/>
        <v>18719204</v>
      </c>
      <c r="BL257" s="6">
        <f>+'Gen Fd Rev'!AK257-'Gen Fd Exp'!BJ257</f>
        <v>711290</v>
      </c>
      <c r="BN257" s="6">
        <v>-1481564</v>
      </c>
      <c r="BP257" s="6">
        <v>0</v>
      </c>
      <c r="BR257" s="6">
        <v>0</v>
      </c>
      <c r="BT257" s="6">
        <f t="shared" si="51"/>
        <v>-770274</v>
      </c>
      <c r="BV257" s="7">
        <f>+BT257-'Gen Fd BS'!AC257+BR257</f>
        <v>0</v>
      </c>
    </row>
    <row r="258" spans="1:74">
      <c r="A258" s="11" t="s">
        <v>762</v>
      </c>
      <c r="B258" s="11"/>
      <c r="C258" s="11" t="s">
        <v>32</v>
      </c>
      <c r="E258" s="6">
        <v>13155889</v>
      </c>
      <c r="G258" s="6">
        <v>2238028</v>
      </c>
      <c r="I258" s="6">
        <v>0</v>
      </c>
      <c r="K258" s="6">
        <v>0</v>
      </c>
      <c r="M258" s="6">
        <v>293050</v>
      </c>
      <c r="O258" s="6">
        <v>2154774</v>
      </c>
      <c r="Q258" s="6">
        <v>2094848</v>
      </c>
      <c r="S258" s="6">
        <v>54160</v>
      </c>
      <c r="U258" s="6">
        <v>2431239</v>
      </c>
      <c r="W258" s="6">
        <v>743982</v>
      </c>
      <c r="Y258" s="6">
        <v>34048</v>
      </c>
      <c r="AA258" s="6">
        <v>3203111</v>
      </c>
      <c r="AC258" s="6">
        <v>1683206</v>
      </c>
      <c r="AE258" s="6">
        <v>50006</v>
      </c>
      <c r="AG258" s="6">
        <v>0</v>
      </c>
      <c r="AI258" s="6">
        <v>27324</v>
      </c>
      <c r="AJ258" s="11" t="s">
        <v>762</v>
      </c>
      <c r="AK258" s="11"/>
      <c r="AL258" s="11" t="s">
        <v>32</v>
      </c>
      <c r="AN258" s="6">
        <v>634602</v>
      </c>
      <c r="AP258" s="6">
        <v>0</v>
      </c>
      <c r="AT258" s="6">
        <v>282000</v>
      </c>
      <c r="AV258" s="6">
        <v>32963</v>
      </c>
      <c r="AX258" s="6">
        <v>0</v>
      </c>
      <c r="AZ258" s="6">
        <f t="shared" si="49"/>
        <v>29113230</v>
      </c>
      <c r="BB258" s="6">
        <v>0</v>
      </c>
      <c r="BD258" s="6">
        <v>0</v>
      </c>
      <c r="BF258" s="6">
        <v>0</v>
      </c>
      <c r="BH258" s="6">
        <v>0</v>
      </c>
      <c r="BJ258" s="6">
        <f t="shared" si="50"/>
        <v>29113230</v>
      </c>
      <c r="BL258" s="6">
        <f>+'Gen Fd Rev'!AK258-'Gen Fd Exp'!BJ258</f>
        <v>2116738</v>
      </c>
      <c r="BN258" s="6">
        <v>34459367</v>
      </c>
      <c r="BP258" s="6">
        <v>0</v>
      </c>
      <c r="BR258" s="6">
        <v>0</v>
      </c>
      <c r="BT258" s="6">
        <f t="shared" si="51"/>
        <v>36576105</v>
      </c>
      <c r="BV258" s="7">
        <f>+BT258-'Gen Fd BS'!AC258+BR258</f>
        <v>0</v>
      </c>
    </row>
    <row r="259" spans="1:74" hidden="1">
      <c r="A259" s="11" t="s">
        <v>795</v>
      </c>
      <c r="B259" s="11"/>
      <c r="C259" s="11" t="s">
        <v>43</v>
      </c>
      <c r="AJ259" s="11" t="s">
        <v>795</v>
      </c>
      <c r="AK259" s="11"/>
      <c r="AL259" s="11" t="s">
        <v>43</v>
      </c>
      <c r="AX259" s="6">
        <v>0</v>
      </c>
      <c r="AZ259" s="6">
        <f t="shared" si="49"/>
        <v>0</v>
      </c>
      <c r="BB259" s="6">
        <v>0</v>
      </c>
      <c r="BD259" s="6">
        <v>0</v>
      </c>
      <c r="BF259" s="6">
        <v>0</v>
      </c>
      <c r="BH259" s="6">
        <v>0</v>
      </c>
      <c r="BJ259" s="6">
        <f t="shared" si="50"/>
        <v>0</v>
      </c>
      <c r="BL259" s="6">
        <f>+'Gen Fd Rev'!AK259-'Gen Fd Exp'!BJ259</f>
        <v>0</v>
      </c>
      <c r="BR259" s="6">
        <v>0</v>
      </c>
      <c r="BT259" s="6">
        <f t="shared" si="51"/>
        <v>0</v>
      </c>
      <c r="BV259" s="7">
        <f>+BT259-'Gen Fd BS'!AC259+BR259</f>
        <v>0</v>
      </c>
    </row>
    <row r="260" spans="1:74">
      <c r="A260" s="11" t="s">
        <v>536</v>
      </c>
      <c r="B260" s="11"/>
      <c r="C260" s="11" t="s">
        <v>65</v>
      </c>
      <c r="E260" s="6">
        <v>6120996</v>
      </c>
      <c r="G260" s="6">
        <v>706828</v>
      </c>
      <c r="I260" s="6">
        <v>193161</v>
      </c>
      <c r="K260" s="6">
        <v>0</v>
      </c>
      <c r="M260" s="6">
        <v>1673283</v>
      </c>
      <c r="O260" s="6">
        <v>557128</v>
      </c>
      <c r="Q260" s="6">
        <v>457657</v>
      </c>
      <c r="S260" s="6">
        <v>35518</v>
      </c>
      <c r="U260" s="6">
        <v>1121887</v>
      </c>
      <c r="W260" s="6">
        <v>374608</v>
      </c>
      <c r="Y260" s="6">
        <v>121630</v>
      </c>
      <c r="AA260" s="6">
        <v>1570575</v>
      </c>
      <c r="AC260" s="6">
        <v>1116022</v>
      </c>
      <c r="AE260" s="6">
        <v>4520</v>
      </c>
      <c r="AG260" s="6">
        <v>0</v>
      </c>
      <c r="AI260" s="6">
        <v>0</v>
      </c>
      <c r="AJ260" s="11" t="s">
        <v>536</v>
      </c>
      <c r="AK260" s="11"/>
      <c r="AL260" s="11" t="s">
        <v>65</v>
      </c>
      <c r="AN260" s="6">
        <v>423379</v>
      </c>
      <c r="AP260" s="6">
        <v>75385</v>
      </c>
      <c r="AT260" s="6">
        <v>57218</v>
      </c>
      <c r="AV260" s="6">
        <v>7619</v>
      </c>
      <c r="AX260" s="6">
        <v>0</v>
      </c>
      <c r="AZ260" s="6">
        <f t="shared" si="49"/>
        <v>14617414</v>
      </c>
      <c r="BB260" s="6">
        <v>0</v>
      </c>
      <c r="BD260" s="6">
        <v>0</v>
      </c>
      <c r="BF260" s="6">
        <v>0</v>
      </c>
      <c r="BH260" s="6">
        <v>0</v>
      </c>
      <c r="BJ260" s="6">
        <f t="shared" si="50"/>
        <v>14617414</v>
      </c>
      <c r="BL260" s="6">
        <f>+'Gen Fd Rev'!AK260-'Gen Fd Exp'!BJ260</f>
        <v>358447</v>
      </c>
      <c r="BN260" s="6">
        <v>1855449</v>
      </c>
      <c r="BP260" s="6">
        <v>0</v>
      </c>
      <c r="BR260" s="6">
        <v>0</v>
      </c>
      <c r="BT260" s="6">
        <f t="shared" si="51"/>
        <v>2213896</v>
      </c>
      <c r="BV260" s="7">
        <f>+BT260-'Gen Fd BS'!AC260+BR260</f>
        <v>0</v>
      </c>
    </row>
    <row r="261" spans="1:74">
      <c r="A261" s="11" t="s">
        <v>369</v>
      </c>
      <c r="B261" s="11"/>
      <c r="C261" s="11" t="s">
        <v>366</v>
      </c>
      <c r="E261" s="6">
        <v>5900603</v>
      </c>
      <c r="G261" s="6">
        <v>849388</v>
      </c>
      <c r="I261" s="6">
        <v>143251</v>
      </c>
      <c r="K261" s="6">
        <v>0</v>
      </c>
      <c r="M261" s="6">
        <v>116370</v>
      </c>
      <c r="O261" s="6">
        <v>595988</v>
      </c>
      <c r="Q261" s="6">
        <v>273849</v>
      </c>
      <c r="S261" s="6">
        <v>258676</v>
      </c>
      <c r="U261" s="6">
        <v>746387</v>
      </c>
      <c r="W261" s="6">
        <v>536352</v>
      </c>
      <c r="Y261" s="6">
        <v>0</v>
      </c>
      <c r="AA261" s="6">
        <v>1549814</v>
      </c>
      <c r="AC261" s="6">
        <v>590072</v>
      </c>
      <c r="AE261" s="6">
        <v>77890</v>
      </c>
      <c r="AG261" s="6">
        <v>0</v>
      </c>
      <c r="AI261" s="6">
        <v>0</v>
      </c>
      <c r="AJ261" s="11" t="s">
        <v>369</v>
      </c>
      <c r="AK261" s="11"/>
      <c r="AL261" s="11" t="s">
        <v>366</v>
      </c>
      <c r="AN261" s="6">
        <v>347066</v>
      </c>
      <c r="AP261" s="6">
        <v>0</v>
      </c>
      <c r="AT261" s="6">
        <v>0</v>
      </c>
      <c r="AV261" s="6">
        <v>0</v>
      </c>
      <c r="AX261" s="6">
        <v>0</v>
      </c>
      <c r="AZ261" s="6">
        <f t="shared" si="49"/>
        <v>11985706</v>
      </c>
      <c r="BB261" s="6">
        <v>0</v>
      </c>
      <c r="BD261" s="6">
        <v>0</v>
      </c>
      <c r="BF261" s="6">
        <v>0</v>
      </c>
      <c r="BH261" s="6">
        <v>0</v>
      </c>
      <c r="BJ261" s="6">
        <f t="shared" si="50"/>
        <v>11985706</v>
      </c>
      <c r="BL261" s="6">
        <f>+'Gen Fd Rev'!AK261-'Gen Fd Exp'!BJ261</f>
        <v>166646</v>
      </c>
      <c r="BN261" s="6">
        <v>1158474</v>
      </c>
      <c r="BP261" s="6">
        <v>0</v>
      </c>
      <c r="BR261" s="6">
        <v>0</v>
      </c>
      <c r="BT261" s="6">
        <f t="shared" si="51"/>
        <v>1325120</v>
      </c>
      <c r="BV261" s="7">
        <f>+BT261-'Gen Fd BS'!AC261+BR261</f>
        <v>0</v>
      </c>
    </row>
    <row r="262" spans="1:74" hidden="1">
      <c r="A262" s="11" t="s">
        <v>668</v>
      </c>
      <c r="B262" s="11"/>
      <c r="C262" s="11" t="s">
        <v>61</v>
      </c>
      <c r="AJ262" s="11" t="s">
        <v>668</v>
      </c>
      <c r="AK262" s="11"/>
      <c r="AL262" s="11" t="s">
        <v>61</v>
      </c>
      <c r="AX262" s="6">
        <v>0</v>
      </c>
      <c r="AZ262" s="6">
        <f t="shared" si="49"/>
        <v>0</v>
      </c>
      <c r="BB262" s="6">
        <v>0</v>
      </c>
      <c r="BD262" s="6">
        <v>0</v>
      </c>
      <c r="BF262" s="6">
        <v>0</v>
      </c>
      <c r="BH262" s="6">
        <v>0</v>
      </c>
      <c r="BJ262" s="6">
        <f t="shared" si="50"/>
        <v>0</v>
      </c>
      <c r="BL262" s="6">
        <f>+'Gen Fd Rev'!AK262-'Gen Fd Exp'!BJ262</f>
        <v>0</v>
      </c>
      <c r="BR262" s="6">
        <v>0</v>
      </c>
      <c r="BT262" s="6">
        <f t="shared" si="51"/>
        <v>0</v>
      </c>
      <c r="BV262" s="7">
        <f>+BT262-'Gen Fd BS'!AC262+BR262</f>
        <v>0</v>
      </c>
    </row>
    <row r="263" spans="1:74" hidden="1">
      <c r="A263" s="11" t="s">
        <v>679</v>
      </c>
      <c r="B263" s="11"/>
      <c r="C263" s="11" t="s">
        <v>38</v>
      </c>
      <c r="AJ263" s="11" t="s">
        <v>679</v>
      </c>
      <c r="AK263" s="11"/>
      <c r="AL263" s="11" t="s">
        <v>38</v>
      </c>
      <c r="AX263" s="6">
        <v>0</v>
      </c>
      <c r="AZ263" s="6">
        <f t="shared" si="49"/>
        <v>0</v>
      </c>
      <c r="BB263" s="6">
        <v>0</v>
      </c>
      <c r="BD263" s="6">
        <v>0</v>
      </c>
      <c r="BF263" s="6">
        <v>0</v>
      </c>
      <c r="BH263" s="6">
        <v>0</v>
      </c>
      <c r="BJ263" s="6">
        <f t="shared" si="50"/>
        <v>0</v>
      </c>
      <c r="BL263" s="6">
        <f>+'Gen Fd Rev'!AK263-'Gen Fd Exp'!BJ263</f>
        <v>0</v>
      </c>
      <c r="BR263" s="6">
        <v>0</v>
      </c>
      <c r="BT263" s="6">
        <f t="shared" si="51"/>
        <v>0</v>
      </c>
      <c r="BV263" s="7">
        <f>+BT263-'Gen Fd BS'!AC263+BR263</f>
        <v>0</v>
      </c>
    </row>
    <row r="264" spans="1:74">
      <c r="A264" s="11" t="s">
        <v>497</v>
      </c>
      <c r="B264" s="11"/>
      <c r="C264" s="11" t="s">
        <v>62</v>
      </c>
      <c r="E264" s="6">
        <v>21597054</v>
      </c>
      <c r="G264" s="6">
        <v>2189983</v>
      </c>
      <c r="I264" s="6">
        <v>842377</v>
      </c>
      <c r="K264" s="6">
        <v>34674</v>
      </c>
      <c r="M264" s="6">
        <v>1581497</v>
      </c>
      <c r="O264" s="6">
        <v>3317481</v>
      </c>
      <c r="Q264" s="6">
        <v>2647422</v>
      </c>
      <c r="S264" s="6">
        <v>15311</v>
      </c>
      <c r="U264" s="6">
        <v>3103336</v>
      </c>
      <c r="W264" s="6">
        <v>1078417</v>
      </c>
      <c r="Y264" s="6">
        <v>446124</v>
      </c>
      <c r="AA264" s="6">
        <v>4724067</v>
      </c>
      <c r="AC264" s="6">
        <v>2929350</v>
      </c>
      <c r="AE264" s="6">
        <v>1183785</v>
      </c>
      <c r="AG264" s="6">
        <v>0</v>
      </c>
      <c r="AI264" s="6">
        <v>7981</v>
      </c>
      <c r="AJ264" s="11" t="s">
        <v>497</v>
      </c>
      <c r="AK264" s="11"/>
      <c r="AL264" s="11" t="s">
        <v>62</v>
      </c>
      <c r="AN264" s="6">
        <v>1380509</v>
      </c>
      <c r="AP264" s="6">
        <v>1939843</v>
      </c>
      <c r="AT264" s="6">
        <v>29694</v>
      </c>
      <c r="AV264" s="6">
        <v>1302</v>
      </c>
      <c r="AX264" s="6">
        <v>0</v>
      </c>
      <c r="AZ264" s="6">
        <f t="shared" si="49"/>
        <v>49050207</v>
      </c>
      <c r="BB264" s="6">
        <v>0</v>
      </c>
      <c r="BD264" s="6">
        <v>0</v>
      </c>
      <c r="BF264" s="6">
        <v>0</v>
      </c>
      <c r="BH264" s="6">
        <v>0</v>
      </c>
      <c r="BJ264" s="6">
        <f t="shared" si="50"/>
        <v>49050207</v>
      </c>
      <c r="BL264" s="6">
        <f>+'Gen Fd Rev'!AK264-'Gen Fd Exp'!BJ264</f>
        <v>-4641</v>
      </c>
      <c r="BN264" s="6">
        <v>14115029</v>
      </c>
      <c r="BP264" s="6">
        <v>32700</v>
      </c>
      <c r="BR264" s="6">
        <v>0</v>
      </c>
      <c r="BT264" s="6">
        <f t="shared" si="51"/>
        <v>14077688</v>
      </c>
      <c r="BV264" s="7">
        <f>+BT264-'Gen Fd BS'!AC264+BR264</f>
        <v>0</v>
      </c>
    </row>
    <row r="265" spans="1:74">
      <c r="A265" s="11" t="s">
        <v>404</v>
      </c>
      <c r="B265" s="11"/>
      <c r="C265" s="11" t="s">
        <v>45</v>
      </c>
      <c r="D265" s="9"/>
      <c r="E265" s="6">
        <v>2988932</v>
      </c>
      <c r="G265" s="6">
        <v>861706</v>
      </c>
      <c r="I265" s="6">
        <v>89741</v>
      </c>
      <c r="K265" s="6">
        <v>0</v>
      </c>
      <c r="M265" s="6">
        <v>0</v>
      </c>
      <c r="O265" s="6">
        <v>521215</v>
      </c>
      <c r="Q265" s="6">
        <v>89875</v>
      </c>
      <c r="S265" s="6">
        <v>62197</v>
      </c>
      <c r="U265" s="6">
        <v>588636</v>
      </c>
      <c r="W265" s="6">
        <v>409490</v>
      </c>
      <c r="Y265" s="6">
        <v>0</v>
      </c>
      <c r="AA265" s="6">
        <v>674009</v>
      </c>
      <c r="AC265" s="6">
        <v>651098</v>
      </c>
      <c r="AE265" s="6">
        <v>0</v>
      </c>
      <c r="AG265" s="6">
        <v>0</v>
      </c>
      <c r="AI265" s="6">
        <v>1878</v>
      </c>
      <c r="AJ265" s="11" t="s">
        <v>404</v>
      </c>
      <c r="AK265" s="11"/>
      <c r="AL265" s="11" t="s">
        <v>45</v>
      </c>
      <c r="AN265" s="6">
        <v>344398</v>
      </c>
      <c r="AP265" s="6">
        <v>0</v>
      </c>
      <c r="AT265" s="6">
        <v>0</v>
      </c>
      <c r="AV265" s="6">
        <v>0</v>
      </c>
      <c r="AX265" s="6">
        <v>0</v>
      </c>
      <c r="AZ265" s="6">
        <f t="shared" si="49"/>
        <v>7283175</v>
      </c>
      <c r="BB265" s="6">
        <v>6091</v>
      </c>
      <c r="BD265" s="6">
        <v>0</v>
      </c>
      <c r="BF265" s="6">
        <v>0</v>
      </c>
      <c r="BH265" s="6">
        <v>0</v>
      </c>
      <c r="BJ265" s="6">
        <f t="shared" si="50"/>
        <v>7289266</v>
      </c>
      <c r="BL265" s="6">
        <f>+'Gen Fd Rev'!AK265-'Gen Fd Exp'!BJ265</f>
        <v>-148418</v>
      </c>
      <c r="BN265" s="6">
        <v>1842778</v>
      </c>
      <c r="BP265" s="6">
        <v>0</v>
      </c>
      <c r="BR265" s="6">
        <v>0</v>
      </c>
      <c r="BT265" s="6">
        <f t="shared" si="51"/>
        <v>1694360</v>
      </c>
      <c r="BV265" s="7">
        <f>+BT265-'Gen Fd BS'!AC265+BR265</f>
        <v>0</v>
      </c>
    </row>
    <row r="266" spans="1:74">
      <c r="A266" s="11" t="s">
        <v>460</v>
      </c>
      <c r="B266" s="11"/>
      <c r="C266" s="11" t="s">
        <v>56</v>
      </c>
      <c r="E266" s="6">
        <v>6105390</v>
      </c>
      <c r="G266" s="6">
        <v>930877</v>
      </c>
      <c r="I266" s="6">
        <v>0</v>
      </c>
      <c r="K266" s="6">
        <v>0</v>
      </c>
      <c r="M266" s="6">
        <v>3287</v>
      </c>
      <c r="O266" s="6">
        <v>661409</v>
      </c>
      <c r="Q266" s="6">
        <v>494297</v>
      </c>
      <c r="S266" s="6">
        <v>34533</v>
      </c>
      <c r="U266" s="6">
        <v>991703</v>
      </c>
      <c r="W266" s="6">
        <v>298045</v>
      </c>
      <c r="Y266" s="6">
        <v>0</v>
      </c>
      <c r="AA266" s="6">
        <v>1302084</v>
      </c>
      <c r="AC266" s="6">
        <v>820089</v>
      </c>
      <c r="AE266" s="6">
        <v>36347</v>
      </c>
      <c r="AG266" s="6">
        <v>0</v>
      </c>
      <c r="AI266" s="6">
        <v>0</v>
      </c>
      <c r="AJ266" s="11" t="s">
        <v>460</v>
      </c>
      <c r="AK266" s="11"/>
      <c r="AL266" s="11" t="s">
        <v>56</v>
      </c>
      <c r="AN266" s="6">
        <v>450268</v>
      </c>
      <c r="AP266" s="6">
        <v>175243</v>
      </c>
      <c r="AT266" s="6">
        <v>36159</v>
      </c>
      <c r="AV266" s="6">
        <v>11235</v>
      </c>
      <c r="AX266" s="6">
        <v>0</v>
      </c>
      <c r="AZ266" s="6">
        <f t="shared" si="49"/>
        <v>12350966</v>
      </c>
      <c r="BB266" s="6">
        <v>0</v>
      </c>
      <c r="BD266" s="6">
        <v>0</v>
      </c>
      <c r="BF266" s="6">
        <v>0</v>
      </c>
      <c r="BH266" s="6">
        <v>0</v>
      </c>
      <c r="BJ266" s="6">
        <f t="shared" si="50"/>
        <v>12350966</v>
      </c>
      <c r="BL266" s="6">
        <f>+'Gen Fd Rev'!AK266-'Gen Fd Exp'!BJ266</f>
        <v>-255331</v>
      </c>
      <c r="BN266" s="6">
        <v>2170365</v>
      </c>
      <c r="BP266" s="6">
        <v>0</v>
      </c>
      <c r="BR266" s="6">
        <v>0</v>
      </c>
      <c r="BT266" s="6">
        <f t="shared" si="51"/>
        <v>1915034</v>
      </c>
      <c r="BV266" s="7">
        <f>+BT266-'Gen Fd BS'!AC266+BR266</f>
        <v>0</v>
      </c>
    </row>
    <row r="267" spans="1:74">
      <c r="A267" s="11" t="s">
        <v>209</v>
      </c>
      <c r="B267" s="11"/>
      <c r="C267" s="11" t="s">
        <v>12</v>
      </c>
      <c r="E267" s="6">
        <v>7444814</v>
      </c>
      <c r="G267" s="6">
        <v>1123944</v>
      </c>
      <c r="I267" s="6">
        <v>176156</v>
      </c>
      <c r="K267" s="6">
        <v>0</v>
      </c>
      <c r="M267" s="6">
        <v>0</v>
      </c>
      <c r="O267" s="6">
        <v>1382236</v>
      </c>
      <c r="Q267" s="6">
        <v>247507</v>
      </c>
      <c r="S267" s="6">
        <v>17231</v>
      </c>
      <c r="U267" s="6">
        <v>1194068</v>
      </c>
      <c r="W267" s="6">
        <v>496581</v>
      </c>
      <c r="Y267" s="6">
        <v>11240</v>
      </c>
      <c r="AA267" s="6">
        <v>1495132</v>
      </c>
      <c r="AC267" s="6">
        <v>1246130</v>
      </c>
      <c r="AE267" s="6">
        <v>64338</v>
      </c>
      <c r="AG267" s="6">
        <v>0</v>
      </c>
      <c r="AI267" s="6">
        <v>125061</v>
      </c>
      <c r="AJ267" s="11" t="s">
        <v>209</v>
      </c>
      <c r="AK267" s="11"/>
      <c r="AL267" s="11" t="s">
        <v>12</v>
      </c>
      <c r="AN267" s="6">
        <v>398149</v>
      </c>
      <c r="AP267" s="6">
        <v>0</v>
      </c>
      <c r="AT267" s="6">
        <v>50000</v>
      </c>
      <c r="AV267" s="6">
        <v>4100</v>
      </c>
      <c r="AX267" s="6">
        <v>0</v>
      </c>
      <c r="AZ267" s="6">
        <f t="shared" si="49"/>
        <v>15476687</v>
      </c>
      <c r="BB267" s="6">
        <v>124576</v>
      </c>
      <c r="BD267" s="6">
        <v>0</v>
      </c>
      <c r="BF267" s="6">
        <v>0</v>
      </c>
      <c r="BH267" s="6">
        <v>0</v>
      </c>
      <c r="BJ267" s="6">
        <f t="shared" si="50"/>
        <v>15601263</v>
      </c>
      <c r="BL267" s="6">
        <f>+'Gen Fd Rev'!AK267-'Gen Fd Exp'!BJ267</f>
        <v>-39512</v>
      </c>
      <c r="BN267" s="6">
        <v>3072150</v>
      </c>
      <c r="BP267" s="6">
        <v>0</v>
      </c>
      <c r="BR267" s="6">
        <v>0</v>
      </c>
      <c r="BT267" s="6">
        <f t="shared" si="51"/>
        <v>3032638</v>
      </c>
      <c r="BV267" s="7">
        <f>+BT267-'Gen Fd BS'!AC267+BR267</f>
        <v>0</v>
      </c>
    </row>
    <row r="268" spans="1:74">
      <c r="A268" s="11" t="s">
        <v>397</v>
      </c>
      <c r="B268" s="11"/>
      <c r="C268" s="11" t="s">
        <v>398</v>
      </c>
      <c r="E268" s="6">
        <v>5375023</v>
      </c>
      <c r="G268" s="6">
        <v>1373231</v>
      </c>
      <c r="I268" s="6">
        <v>0</v>
      </c>
      <c r="K268" s="6">
        <v>0</v>
      </c>
      <c r="M268" s="6">
        <v>0</v>
      </c>
      <c r="O268" s="6">
        <v>238464</v>
      </c>
      <c r="Q268" s="6">
        <v>492235</v>
      </c>
      <c r="S268" s="6">
        <v>72110</v>
      </c>
      <c r="U268" s="6">
        <v>830268</v>
      </c>
      <c r="W268" s="6">
        <v>433325</v>
      </c>
      <c r="Y268" s="6">
        <v>62999</v>
      </c>
      <c r="AA268" s="6">
        <v>967830</v>
      </c>
      <c r="AC268" s="6">
        <v>603168</v>
      </c>
      <c r="AE268" s="6">
        <v>307263</v>
      </c>
      <c r="AG268" s="6">
        <v>0</v>
      </c>
      <c r="AI268" s="6">
        <v>10000</v>
      </c>
      <c r="AJ268" s="11" t="s">
        <v>397</v>
      </c>
      <c r="AK268" s="11"/>
      <c r="AL268" s="11" t="s">
        <v>398</v>
      </c>
      <c r="AN268" s="6">
        <v>375390</v>
      </c>
      <c r="AP268" s="6">
        <v>15460</v>
      </c>
      <c r="AT268" s="6">
        <v>0</v>
      </c>
      <c r="AV268" s="6">
        <v>0</v>
      </c>
      <c r="AX268" s="6">
        <v>0</v>
      </c>
      <c r="AZ268" s="6">
        <f t="shared" si="49"/>
        <v>11156766</v>
      </c>
      <c r="BB268" s="6">
        <v>124768</v>
      </c>
      <c r="BD268" s="6">
        <v>0</v>
      </c>
      <c r="BF268" s="6">
        <v>0</v>
      </c>
      <c r="BH268" s="6">
        <v>0</v>
      </c>
      <c r="BJ268" s="6">
        <f t="shared" si="50"/>
        <v>11281534</v>
      </c>
      <c r="BL268" s="6">
        <f>+'Gen Fd Rev'!AK268-'Gen Fd Exp'!BJ268</f>
        <v>-41899</v>
      </c>
      <c r="BN268" s="6">
        <v>6235759</v>
      </c>
      <c r="BP268" s="6">
        <v>0</v>
      </c>
      <c r="BR268" s="6">
        <v>0</v>
      </c>
      <c r="BT268" s="6">
        <f t="shared" si="51"/>
        <v>6193860</v>
      </c>
      <c r="BV268" s="7">
        <f>+BT268-'Gen Fd BS'!AC268+BR268</f>
        <v>0</v>
      </c>
    </row>
    <row r="269" spans="1:74">
      <c r="A269" s="11" t="s">
        <v>680</v>
      </c>
      <c r="B269" s="11"/>
      <c r="C269" s="11" t="s">
        <v>50</v>
      </c>
      <c r="E269" s="6">
        <v>1796363</v>
      </c>
      <c r="G269" s="6">
        <v>677902</v>
      </c>
      <c r="I269" s="6">
        <v>0</v>
      </c>
      <c r="K269" s="6">
        <v>0</v>
      </c>
      <c r="M269" s="6">
        <v>1431424</v>
      </c>
      <c r="O269" s="6">
        <v>158711</v>
      </c>
      <c r="Q269" s="6">
        <v>114339</v>
      </c>
      <c r="S269" s="6">
        <v>29784</v>
      </c>
      <c r="U269" s="6">
        <v>656361</v>
      </c>
      <c r="W269" s="6">
        <v>269470</v>
      </c>
      <c r="Y269" s="6">
        <v>573</v>
      </c>
      <c r="AA269" s="6">
        <v>540552</v>
      </c>
      <c r="AC269" s="6">
        <v>402123</v>
      </c>
      <c r="AE269" s="6">
        <v>51335</v>
      </c>
      <c r="AG269" s="6">
        <v>0</v>
      </c>
      <c r="AI269" s="6">
        <v>0</v>
      </c>
      <c r="AJ269" s="11" t="s">
        <v>680</v>
      </c>
      <c r="AK269" s="11"/>
      <c r="AL269" s="11" t="s">
        <v>50</v>
      </c>
      <c r="AN269" s="6">
        <v>80663</v>
      </c>
      <c r="AP269" s="6">
        <f>438256+80527</f>
        <v>518783</v>
      </c>
      <c r="AT269" s="6">
        <v>9036</v>
      </c>
      <c r="AV269" s="6">
        <v>2621</v>
      </c>
      <c r="AX269" s="6">
        <v>0</v>
      </c>
      <c r="AZ269" s="6">
        <f t="shared" si="49"/>
        <v>6740040</v>
      </c>
      <c r="BB269" s="6">
        <v>7000</v>
      </c>
      <c r="BD269" s="6">
        <v>0</v>
      </c>
      <c r="BF269" s="6">
        <v>0</v>
      </c>
      <c r="BH269" s="6">
        <v>0</v>
      </c>
      <c r="BJ269" s="6">
        <f t="shared" si="50"/>
        <v>6747040</v>
      </c>
      <c r="BL269" s="6">
        <f>+'Gen Fd Rev'!AK269-'Gen Fd Exp'!BJ269</f>
        <v>1000055</v>
      </c>
      <c r="BN269" s="6">
        <v>1726561</v>
      </c>
      <c r="BP269" s="6">
        <v>0</v>
      </c>
      <c r="BR269" s="6">
        <v>0</v>
      </c>
      <c r="BT269" s="6">
        <f t="shared" si="51"/>
        <v>2726616</v>
      </c>
      <c r="BV269" s="7">
        <f>+BT269-'Gen Fd BS'!AC269+BR269</f>
        <v>0</v>
      </c>
    </row>
    <row r="270" spans="1:74" hidden="1">
      <c r="A270" s="11" t="s">
        <v>872</v>
      </c>
      <c r="B270" s="11"/>
      <c r="C270" s="11" t="s">
        <v>467</v>
      </c>
      <c r="AJ270" s="11" t="s">
        <v>872</v>
      </c>
      <c r="AK270" s="11"/>
      <c r="AL270" s="11" t="s">
        <v>467</v>
      </c>
      <c r="AX270" s="6">
        <v>0</v>
      </c>
      <c r="AZ270" s="6">
        <f t="shared" si="49"/>
        <v>0</v>
      </c>
      <c r="BB270" s="6">
        <v>0</v>
      </c>
      <c r="BD270" s="6">
        <v>0</v>
      </c>
      <c r="BF270" s="6">
        <v>0</v>
      </c>
      <c r="BH270" s="6">
        <v>0</v>
      </c>
      <c r="BJ270" s="6">
        <f t="shared" si="50"/>
        <v>0</v>
      </c>
      <c r="BL270" s="6">
        <f>+'Gen Fd Rev'!AK270-'Gen Fd Exp'!BJ270</f>
        <v>0</v>
      </c>
      <c r="BR270" s="6">
        <v>0</v>
      </c>
      <c r="BT270" s="6">
        <f t="shared" si="51"/>
        <v>0</v>
      </c>
      <c r="BV270" s="7">
        <f>+BT270-'Gen Fd BS'!AC270+BR270</f>
        <v>0</v>
      </c>
    </row>
    <row r="271" spans="1:74">
      <c r="A271" s="11" t="s">
        <v>374</v>
      </c>
      <c r="B271" s="11"/>
      <c r="C271" s="11" t="s">
        <v>42</v>
      </c>
      <c r="E271" s="6">
        <v>6136807</v>
      </c>
      <c r="G271" s="6">
        <v>1242958</v>
      </c>
      <c r="I271" s="6">
        <v>153458</v>
      </c>
      <c r="K271" s="6">
        <v>0</v>
      </c>
      <c r="M271" s="6">
        <v>250832</v>
      </c>
      <c r="O271" s="6">
        <v>419058</v>
      </c>
      <c r="Q271" s="6">
        <v>402438</v>
      </c>
      <c r="S271" s="6">
        <v>60527</v>
      </c>
      <c r="U271" s="6">
        <v>1054607</v>
      </c>
      <c r="W271" s="6">
        <v>404974</v>
      </c>
      <c r="Y271" s="6">
        <v>825</v>
      </c>
      <c r="AA271" s="6">
        <v>1133318</v>
      </c>
      <c r="AC271" s="6">
        <v>759064</v>
      </c>
      <c r="AE271" s="6">
        <v>34320</v>
      </c>
      <c r="AG271" s="6">
        <v>0</v>
      </c>
      <c r="AI271" s="6">
        <v>7959</v>
      </c>
      <c r="AJ271" s="11" t="s">
        <v>374</v>
      </c>
      <c r="AK271" s="11"/>
      <c r="AL271" s="11" t="s">
        <v>42</v>
      </c>
      <c r="AN271" s="6">
        <v>250996</v>
      </c>
      <c r="AP271" s="6">
        <v>0</v>
      </c>
      <c r="AT271" s="6">
        <v>0</v>
      </c>
      <c r="AV271" s="6">
        <v>0</v>
      </c>
      <c r="AX271" s="6">
        <v>0</v>
      </c>
      <c r="AZ271" s="6">
        <f t="shared" si="49"/>
        <v>12312141</v>
      </c>
      <c r="BB271" s="6">
        <v>124161</v>
      </c>
      <c r="BD271" s="6">
        <v>0</v>
      </c>
      <c r="BF271" s="6">
        <v>0</v>
      </c>
      <c r="BH271" s="6">
        <v>0</v>
      </c>
      <c r="BJ271" s="6">
        <f t="shared" si="50"/>
        <v>12436302</v>
      </c>
      <c r="BL271" s="6">
        <f>+'Gen Fd Rev'!AK271-'Gen Fd Exp'!BJ271</f>
        <v>2043705</v>
      </c>
      <c r="BN271" s="6">
        <v>9359169</v>
      </c>
      <c r="BP271" s="6">
        <v>0</v>
      </c>
      <c r="BR271" s="6">
        <v>0</v>
      </c>
      <c r="BT271" s="6">
        <f t="shared" si="51"/>
        <v>11402874</v>
      </c>
      <c r="BV271" s="7">
        <f>+BT271-'Gen Fd BS'!AC271+BR271</f>
        <v>0</v>
      </c>
    </row>
    <row r="272" spans="1:74">
      <c r="A272" s="11" t="s">
        <v>399</v>
      </c>
      <c r="B272" s="11"/>
      <c r="C272" s="11" t="s">
        <v>398</v>
      </c>
      <c r="E272" s="6">
        <v>7385708</v>
      </c>
      <c r="G272" s="6">
        <v>1559705</v>
      </c>
      <c r="I272" s="6">
        <v>71667</v>
      </c>
      <c r="K272" s="6">
        <v>0</v>
      </c>
      <c r="M272" s="6">
        <v>43757</v>
      </c>
      <c r="O272" s="6">
        <v>1435051</v>
      </c>
      <c r="Q272" s="6">
        <v>502804</v>
      </c>
      <c r="S272" s="6">
        <v>130568</v>
      </c>
      <c r="U272" s="6">
        <v>1558787</v>
      </c>
      <c r="W272" s="6">
        <v>706780</v>
      </c>
      <c r="Y272" s="6">
        <v>9868</v>
      </c>
      <c r="AA272" s="6">
        <v>1582323</v>
      </c>
      <c r="AC272" s="6">
        <v>1069215</v>
      </c>
      <c r="AE272" s="6">
        <v>0</v>
      </c>
      <c r="AG272" s="6">
        <v>0</v>
      </c>
      <c r="AI272" s="6">
        <v>0</v>
      </c>
      <c r="AJ272" s="11" t="s">
        <v>399</v>
      </c>
      <c r="AK272" s="11"/>
      <c r="AL272" s="11" t="s">
        <v>398</v>
      </c>
      <c r="AN272" s="6">
        <v>263917</v>
      </c>
      <c r="AP272" s="6">
        <v>0</v>
      </c>
      <c r="AT272" s="6">
        <v>0</v>
      </c>
      <c r="AV272" s="6">
        <v>0</v>
      </c>
      <c r="AX272" s="6">
        <v>0</v>
      </c>
      <c r="AZ272" s="6">
        <f t="shared" si="49"/>
        <v>16320150</v>
      </c>
      <c r="BB272" s="6">
        <v>235</v>
      </c>
      <c r="BD272" s="6">
        <v>0</v>
      </c>
      <c r="BF272" s="6">
        <v>0</v>
      </c>
      <c r="BH272" s="6">
        <v>0</v>
      </c>
      <c r="BJ272" s="6">
        <f t="shared" si="50"/>
        <v>16320385</v>
      </c>
      <c r="BL272" s="6">
        <f>+'Gen Fd Rev'!AK272-'Gen Fd Exp'!BJ272</f>
        <v>143337</v>
      </c>
      <c r="BN272" s="6">
        <v>1563750</v>
      </c>
      <c r="BP272" s="6">
        <v>0</v>
      </c>
      <c r="BR272" s="6">
        <v>0</v>
      </c>
      <c r="BT272" s="6">
        <f t="shared" si="51"/>
        <v>1707087</v>
      </c>
      <c r="BV272" s="7">
        <f>+BT272-'Gen Fd BS'!AC272+BR272</f>
        <v>0</v>
      </c>
    </row>
    <row r="273" spans="1:74">
      <c r="A273" s="11" t="s">
        <v>523</v>
      </c>
      <c r="B273" s="11"/>
      <c r="C273" s="11" t="s">
        <v>64</v>
      </c>
      <c r="E273" s="6">
        <v>3335642</v>
      </c>
      <c r="G273" s="6">
        <v>415277</v>
      </c>
      <c r="I273" s="6">
        <v>46976</v>
      </c>
      <c r="K273" s="6">
        <v>0</v>
      </c>
      <c r="M273" s="6">
        <v>80989</v>
      </c>
      <c r="O273" s="6">
        <v>394580</v>
      </c>
      <c r="Q273" s="6">
        <v>87271</v>
      </c>
      <c r="S273" s="6">
        <v>48482</v>
      </c>
      <c r="U273" s="6">
        <v>692687</v>
      </c>
      <c r="W273" s="6">
        <v>333540</v>
      </c>
      <c r="Y273" s="6">
        <v>0</v>
      </c>
      <c r="AA273" s="6">
        <v>720892</v>
      </c>
      <c r="AC273" s="6">
        <v>763459</v>
      </c>
      <c r="AE273" s="6">
        <v>110614</v>
      </c>
      <c r="AG273" s="6">
        <v>0</v>
      </c>
      <c r="AI273" s="6">
        <v>416284</v>
      </c>
      <c r="AJ273" s="11" t="s">
        <v>523</v>
      </c>
      <c r="AK273" s="11"/>
      <c r="AL273" s="11" t="s">
        <v>64</v>
      </c>
      <c r="AN273" s="6">
        <v>172649</v>
      </c>
      <c r="AP273" s="6">
        <v>11011</v>
      </c>
      <c r="AT273" s="6">
        <v>0</v>
      </c>
      <c r="AV273" s="6">
        <v>0</v>
      </c>
      <c r="AX273" s="6">
        <v>0</v>
      </c>
      <c r="AZ273" s="6">
        <f t="shared" si="49"/>
        <v>7630353</v>
      </c>
      <c r="BB273" s="6">
        <v>4770</v>
      </c>
      <c r="BD273" s="6">
        <v>0</v>
      </c>
      <c r="BF273" s="6">
        <v>0</v>
      </c>
      <c r="BH273" s="6">
        <v>0</v>
      </c>
      <c r="BJ273" s="6">
        <f t="shared" si="50"/>
        <v>7635123</v>
      </c>
      <c r="BL273" s="6">
        <f>+'Gen Fd Rev'!AK273-'Gen Fd Exp'!BJ273</f>
        <v>34969</v>
      </c>
      <c r="BN273" s="6">
        <v>1645116</v>
      </c>
      <c r="BP273" s="6">
        <v>0</v>
      </c>
      <c r="BR273" s="6">
        <v>0</v>
      </c>
      <c r="BT273" s="6">
        <f t="shared" ref="BT273:BT300" si="55">+BN273+BL273-BP273</f>
        <v>1680085</v>
      </c>
      <c r="BV273" s="7">
        <f>+BT273-'Gen Fd BS'!AC273+BR273</f>
        <v>0</v>
      </c>
    </row>
    <row r="274" spans="1:74" hidden="1">
      <c r="A274" s="10" t="s">
        <v>873</v>
      </c>
      <c r="B274" s="10"/>
      <c r="C274" s="10" t="s">
        <v>467</v>
      </c>
      <c r="E274" s="6">
        <v>0</v>
      </c>
      <c r="G274" s="6">
        <v>0</v>
      </c>
      <c r="I274" s="6">
        <v>0</v>
      </c>
      <c r="K274" s="6">
        <v>0</v>
      </c>
      <c r="M274" s="6">
        <v>0</v>
      </c>
      <c r="O274" s="6">
        <v>0</v>
      </c>
      <c r="Q274" s="6">
        <v>0</v>
      </c>
      <c r="S274" s="6">
        <v>0</v>
      </c>
      <c r="U274" s="6">
        <v>0</v>
      </c>
      <c r="W274" s="6">
        <v>0</v>
      </c>
      <c r="Y274" s="6">
        <v>0</v>
      </c>
      <c r="AA274" s="6">
        <v>0</v>
      </c>
      <c r="AC274" s="6">
        <v>0</v>
      </c>
      <c r="AE274" s="6">
        <v>0</v>
      </c>
      <c r="AG274" s="6">
        <v>0</v>
      </c>
      <c r="AI274" s="6">
        <v>0</v>
      </c>
      <c r="AJ274" s="10" t="s">
        <v>873</v>
      </c>
      <c r="AK274" s="10"/>
      <c r="AL274" s="10" t="s">
        <v>467</v>
      </c>
      <c r="AN274" s="6">
        <v>0</v>
      </c>
      <c r="AP274" s="6">
        <v>0</v>
      </c>
      <c r="AT274" s="6">
        <v>0</v>
      </c>
      <c r="AV274" s="6">
        <v>0</v>
      </c>
      <c r="AX274" s="6">
        <v>0</v>
      </c>
      <c r="AZ274" s="6">
        <f t="shared" ref="AZ274" si="56">SUM(E274:AX274)</f>
        <v>0</v>
      </c>
      <c r="BB274" s="6">
        <v>0</v>
      </c>
      <c r="BD274" s="6">
        <v>0</v>
      </c>
      <c r="BF274" s="6">
        <v>0</v>
      </c>
      <c r="BH274" s="6">
        <v>0</v>
      </c>
      <c r="BJ274" s="6">
        <f t="shared" ref="BJ274" si="57">+AZ274+BB274+BD274+BH274</f>
        <v>0</v>
      </c>
      <c r="BL274" s="6">
        <f>+'Gen Fd Rev'!AK274-'Gen Fd Exp'!BJ274</f>
        <v>0</v>
      </c>
      <c r="BN274" s="6">
        <v>0</v>
      </c>
      <c r="BP274" s="6">
        <v>0</v>
      </c>
      <c r="BR274" s="6">
        <v>0</v>
      </c>
      <c r="BT274" s="6">
        <f t="shared" ref="BT274" si="58">+BN274+BL274-BP274</f>
        <v>0</v>
      </c>
      <c r="BV274" s="7">
        <f>+BT274-'Gen Fd BS'!AC274+BR274</f>
        <v>0</v>
      </c>
    </row>
    <row r="275" spans="1:74">
      <c r="A275" s="11" t="s">
        <v>287</v>
      </c>
      <c r="B275" s="11"/>
      <c r="C275" s="11" t="s">
        <v>24</v>
      </c>
      <c r="E275" s="6">
        <v>327603</v>
      </c>
      <c r="G275" s="6">
        <v>0</v>
      </c>
      <c r="I275" s="6">
        <v>0</v>
      </c>
      <c r="K275" s="6">
        <v>0</v>
      </c>
      <c r="M275" s="6">
        <v>0</v>
      </c>
      <c r="O275" s="6">
        <v>21563</v>
      </c>
      <c r="Q275" s="6">
        <v>49561</v>
      </c>
      <c r="S275" s="6">
        <v>21052</v>
      </c>
      <c r="U275" s="6">
        <v>97667</v>
      </c>
      <c r="W275" s="6">
        <v>43779</v>
      </c>
      <c r="Y275" s="6">
        <v>0</v>
      </c>
      <c r="AA275" s="6">
        <v>134109</v>
      </c>
      <c r="AC275" s="6">
        <v>0</v>
      </c>
      <c r="AE275" s="6">
        <v>0</v>
      </c>
      <c r="AG275" s="6">
        <v>0</v>
      </c>
      <c r="AI275" s="6">
        <v>0</v>
      </c>
      <c r="AJ275" s="11" t="s">
        <v>287</v>
      </c>
      <c r="AK275" s="11"/>
      <c r="AL275" s="11" t="s">
        <v>24</v>
      </c>
      <c r="AN275" s="6">
        <v>184</v>
      </c>
      <c r="AP275" s="6">
        <v>0</v>
      </c>
      <c r="AT275" s="6">
        <v>0</v>
      </c>
      <c r="AV275" s="6">
        <v>0</v>
      </c>
      <c r="AX275" s="6">
        <v>0</v>
      </c>
      <c r="AZ275" s="6">
        <f t="shared" si="49"/>
        <v>695518</v>
      </c>
      <c r="BB275" s="6">
        <v>0</v>
      </c>
      <c r="BD275" s="6">
        <v>0</v>
      </c>
      <c r="BF275" s="6">
        <v>0</v>
      </c>
      <c r="BH275" s="6">
        <v>0</v>
      </c>
      <c r="BJ275" s="6">
        <f t="shared" si="50"/>
        <v>695518</v>
      </c>
      <c r="BL275" s="6">
        <f>+'Gen Fd Rev'!AK275-'Gen Fd Exp'!BJ275</f>
        <v>-53544</v>
      </c>
      <c r="BN275" s="6">
        <v>950520</v>
      </c>
      <c r="BP275" s="6">
        <v>0</v>
      </c>
      <c r="BR275" s="6">
        <v>0</v>
      </c>
      <c r="BT275" s="6">
        <f t="shared" si="55"/>
        <v>896976</v>
      </c>
      <c r="BV275" s="7">
        <f>+BT275-'Gen Fd BS'!AC275+BR275</f>
        <v>0</v>
      </c>
    </row>
    <row r="276" spans="1:74">
      <c r="A276" s="11" t="s">
        <v>314</v>
      </c>
      <c r="B276" s="11"/>
      <c r="C276" s="11" t="s">
        <v>30</v>
      </c>
      <c r="E276" s="6">
        <v>14129121</v>
      </c>
      <c r="G276" s="6">
        <v>3575321</v>
      </c>
      <c r="I276" s="6">
        <v>143895</v>
      </c>
      <c r="K276" s="6">
        <v>0</v>
      </c>
      <c r="M276" s="6">
        <v>509829</v>
      </c>
      <c r="O276" s="6">
        <v>2141772</v>
      </c>
      <c r="Q276" s="6">
        <v>1158588</v>
      </c>
      <c r="S276" s="6">
        <v>77082</v>
      </c>
      <c r="U276" s="6">
        <v>2324588</v>
      </c>
      <c r="W276" s="6">
        <v>992391</v>
      </c>
      <c r="Y276" s="6">
        <v>67323</v>
      </c>
      <c r="AA276" s="6">
        <v>3413159</v>
      </c>
      <c r="AC276" s="6">
        <v>2367853</v>
      </c>
      <c r="AE276" s="6">
        <v>7152</v>
      </c>
      <c r="AG276" s="6">
        <v>979</v>
      </c>
      <c r="AI276" s="6">
        <f>114769+17699</f>
        <v>132468</v>
      </c>
      <c r="AJ276" s="11" t="s">
        <v>314</v>
      </c>
      <c r="AK276" s="11"/>
      <c r="AL276" s="11" t="s">
        <v>30</v>
      </c>
      <c r="AN276" s="6">
        <v>730150</v>
      </c>
      <c r="AP276" s="6">
        <v>278112</v>
      </c>
      <c r="AT276" s="6">
        <v>62826</v>
      </c>
      <c r="AV276" s="6">
        <v>12418</v>
      </c>
      <c r="AX276" s="6">
        <v>0</v>
      </c>
      <c r="AZ276" s="6">
        <f t="shared" si="49"/>
        <v>32125027</v>
      </c>
      <c r="BB276" s="6">
        <v>140377</v>
      </c>
      <c r="BD276" s="6">
        <v>0</v>
      </c>
      <c r="BF276" s="6">
        <v>0</v>
      </c>
      <c r="BH276" s="6">
        <v>0</v>
      </c>
      <c r="BJ276" s="6">
        <f t="shared" si="50"/>
        <v>32265404</v>
      </c>
      <c r="BL276" s="6">
        <f>+'Gen Fd Rev'!AK276-'Gen Fd Exp'!BJ276</f>
        <v>2508451</v>
      </c>
      <c r="BN276" s="6">
        <v>10171385</v>
      </c>
      <c r="BP276" s="6">
        <v>0</v>
      </c>
      <c r="BR276" s="6">
        <v>0</v>
      </c>
      <c r="BT276" s="6">
        <f t="shared" si="55"/>
        <v>12679836</v>
      </c>
      <c r="BV276" s="7">
        <f>+BT276-'Gen Fd BS'!AC276+BR276</f>
        <v>0</v>
      </c>
    </row>
    <row r="277" spans="1:74">
      <c r="A277" s="11" t="s">
        <v>461</v>
      </c>
      <c r="B277" s="11"/>
      <c r="C277" s="11" t="s">
        <v>56</v>
      </c>
      <c r="E277" s="6">
        <v>18593557</v>
      </c>
      <c r="G277" s="6">
        <v>4235189</v>
      </c>
      <c r="I277" s="6">
        <v>2067063</v>
      </c>
      <c r="K277" s="6">
        <v>35366</v>
      </c>
      <c r="M277" s="6">
        <f>490639+470468</f>
        <v>961107</v>
      </c>
      <c r="O277" s="6">
        <v>2491121</v>
      </c>
      <c r="Q277" s="6">
        <v>1894521</v>
      </c>
      <c r="S277" s="6">
        <v>178356</v>
      </c>
      <c r="U277" s="6">
        <v>3000721</v>
      </c>
      <c r="W277" s="6">
        <v>949952</v>
      </c>
      <c r="Y277" s="6">
        <v>372690</v>
      </c>
      <c r="AA277" s="6">
        <v>3143990</v>
      </c>
      <c r="AC277" s="6">
        <v>1687394</v>
      </c>
      <c r="AE277" s="6">
        <v>386413</v>
      </c>
      <c r="AG277" s="6">
        <v>0</v>
      </c>
      <c r="AI277" s="6">
        <v>135879</v>
      </c>
      <c r="AJ277" s="11" t="s">
        <v>461</v>
      </c>
      <c r="AK277" s="11"/>
      <c r="AL277" s="11" t="s">
        <v>56</v>
      </c>
      <c r="AN277" s="6">
        <v>676567</v>
      </c>
      <c r="AP277" s="6">
        <v>205510</v>
      </c>
      <c r="AT277" s="6">
        <v>142053</v>
      </c>
      <c r="AV277" s="6">
        <v>49221</v>
      </c>
      <c r="AX277" s="6">
        <v>0</v>
      </c>
      <c r="AZ277" s="6">
        <f t="shared" si="49"/>
        <v>41206670</v>
      </c>
      <c r="BB277" s="6">
        <v>480810</v>
      </c>
      <c r="BD277" s="6">
        <v>0</v>
      </c>
      <c r="BF277" s="6">
        <v>0</v>
      </c>
      <c r="BH277" s="6">
        <v>0</v>
      </c>
      <c r="BJ277" s="6">
        <f t="shared" si="50"/>
        <v>41687480</v>
      </c>
      <c r="BL277" s="6">
        <f>+'Gen Fd Rev'!AK277-'Gen Fd Exp'!BJ277</f>
        <v>-838432</v>
      </c>
      <c r="BN277" s="6">
        <v>16214865</v>
      </c>
      <c r="BP277" s="6">
        <v>0</v>
      </c>
      <c r="BR277" s="6">
        <v>0</v>
      </c>
      <c r="BT277" s="6">
        <f t="shared" si="55"/>
        <v>15376433</v>
      </c>
      <c r="BV277" s="7">
        <f>+BT277-'Gen Fd BS'!AC277+BR277</f>
        <v>0</v>
      </c>
    </row>
    <row r="278" spans="1:74">
      <c r="A278" s="11" t="s">
        <v>341</v>
      </c>
      <c r="B278" s="11"/>
      <c r="C278" s="11" t="s">
        <v>339</v>
      </c>
      <c r="E278" s="6">
        <v>8583597</v>
      </c>
      <c r="G278" s="6">
        <v>1676584</v>
      </c>
      <c r="I278" s="6">
        <v>183683</v>
      </c>
      <c r="K278" s="6">
        <v>0</v>
      </c>
      <c r="M278" s="6">
        <v>0</v>
      </c>
      <c r="O278" s="6">
        <v>496318</v>
      </c>
      <c r="Q278" s="6">
        <v>679209</v>
      </c>
      <c r="S278" s="6">
        <v>25167</v>
      </c>
      <c r="U278" s="6">
        <v>1568292</v>
      </c>
      <c r="W278" s="6">
        <v>440998</v>
      </c>
      <c r="Y278" s="6">
        <v>0</v>
      </c>
      <c r="AA278" s="6">
        <v>1524744</v>
      </c>
      <c r="AC278" s="6">
        <v>682273</v>
      </c>
      <c r="AE278" s="6">
        <v>46270</v>
      </c>
      <c r="AG278" s="6">
        <v>0</v>
      </c>
      <c r="AI278" s="6">
        <v>0</v>
      </c>
      <c r="AJ278" s="11" t="s">
        <v>341</v>
      </c>
      <c r="AK278" s="11"/>
      <c r="AL278" s="11" t="s">
        <v>339</v>
      </c>
      <c r="AN278" s="6">
        <v>31026</v>
      </c>
      <c r="AP278" s="6">
        <v>0</v>
      </c>
      <c r="AT278" s="6">
        <v>33101</v>
      </c>
      <c r="AV278" s="6">
        <v>3393</v>
      </c>
      <c r="AX278" s="6">
        <v>0</v>
      </c>
      <c r="AZ278" s="6">
        <f t="shared" si="49"/>
        <v>15974655</v>
      </c>
      <c r="BB278" s="6">
        <v>301623</v>
      </c>
      <c r="BD278" s="6">
        <v>0</v>
      </c>
      <c r="BF278" s="6">
        <v>0</v>
      </c>
      <c r="BH278" s="6">
        <v>0</v>
      </c>
      <c r="BJ278" s="6">
        <f t="shared" si="50"/>
        <v>16276278</v>
      </c>
      <c r="BL278" s="6">
        <f>+'Gen Fd Rev'!AK278-'Gen Fd Exp'!BJ278</f>
        <v>1031586</v>
      </c>
      <c r="BN278" s="6">
        <v>1773742</v>
      </c>
      <c r="BP278" s="6">
        <v>0</v>
      </c>
      <c r="BR278" s="6">
        <v>0</v>
      </c>
      <c r="BT278" s="6">
        <f t="shared" si="55"/>
        <v>2805328</v>
      </c>
      <c r="BV278" s="7">
        <f>+BT278-'Gen Fd BS'!AC278+BR278</f>
        <v>0</v>
      </c>
    </row>
    <row r="279" spans="1:74">
      <c r="A279" s="11" t="s">
        <v>431</v>
      </c>
      <c r="B279" s="11"/>
      <c r="C279" s="11" t="s">
        <v>50</v>
      </c>
      <c r="E279" s="6">
        <v>33127035</v>
      </c>
      <c r="G279" s="6">
        <v>7487759</v>
      </c>
      <c r="I279" s="6">
        <v>2539882</v>
      </c>
      <c r="K279" s="6">
        <v>0</v>
      </c>
      <c r="M279" s="6">
        <v>3457867</v>
      </c>
      <c r="O279" s="6">
        <v>6878609</v>
      </c>
      <c r="Q279" s="6">
        <v>5074323</v>
      </c>
      <c r="S279" s="6">
        <v>66561</v>
      </c>
      <c r="U279" s="6">
        <v>5304318</v>
      </c>
      <c r="W279" s="6">
        <v>1669655</v>
      </c>
      <c r="Y279" s="6">
        <v>521438</v>
      </c>
      <c r="AA279" s="6">
        <v>8031222</v>
      </c>
      <c r="AC279" s="6">
        <v>3549626</v>
      </c>
      <c r="AE279" s="6">
        <v>1787753</v>
      </c>
      <c r="AG279" s="6">
        <v>0</v>
      </c>
      <c r="AI279" s="6">
        <v>512820</v>
      </c>
      <c r="AJ279" s="11" t="s">
        <v>431</v>
      </c>
      <c r="AK279" s="11"/>
      <c r="AL279" s="11" t="s">
        <v>50</v>
      </c>
      <c r="AN279" s="6">
        <v>989044</v>
      </c>
      <c r="AP279" s="6">
        <v>29512</v>
      </c>
      <c r="AT279" s="6">
        <v>172361</v>
      </c>
      <c r="AV279" s="6">
        <v>5092</v>
      </c>
      <c r="AX279" s="6">
        <v>0</v>
      </c>
      <c r="AZ279" s="6">
        <f t="shared" si="49"/>
        <v>81204877</v>
      </c>
      <c r="BB279" s="6">
        <v>13500</v>
      </c>
      <c r="BD279" s="6">
        <v>0</v>
      </c>
      <c r="BF279" s="6">
        <v>0</v>
      </c>
      <c r="BH279" s="6">
        <v>0</v>
      </c>
      <c r="BJ279" s="6">
        <f t="shared" si="50"/>
        <v>81218377</v>
      </c>
      <c r="BL279" s="6">
        <f>+'Gen Fd Rev'!AK279-'Gen Fd Exp'!BJ279</f>
        <v>1087791</v>
      </c>
      <c r="BN279" s="6">
        <v>6156226</v>
      </c>
      <c r="BP279" s="6">
        <v>142878</v>
      </c>
      <c r="BR279" s="6">
        <v>0</v>
      </c>
      <c r="BT279" s="6">
        <f t="shared" si="55"/>
        <v>7101139</v>
      </c>
      <c r="BV279" s="7">
        <f>+BT279-'Gen Fd BS'!AC279+BR279</f>
        <v>0</v>
      </c>
    </row>
    <row r="280" spans="1:74" s="28" customFormat="1">
      <c r="A280" s="27" t="s">
        <v>637</v>
      </c>
      <c r="B280" s="27"/>
      <c r="C280" s="27" t="s">
        <v>44</v>
      </c>
      <c r="E280" s="28">
        <v>6677164</v>
      </c>
      <c r="G280" s="28">
        <v>1377025</v>
      </c>
      <c r="I280" s="28">
        <v>105314</v>
      </c>
      <c r="K280" s="28">
        <v>0</v>
      </c>
      <c r="M280" s="28">
        <v>78171</v>
      </c>
      <c r="O280" s="28">
        <v>890795</v>
      </c>
      <c r="Q280" s="28">
        <v>385347</v>
      </c>
      <c r="S280" s="28">
        <v>51535</v>
      </c>
      <c r="U280" s="28">
        <v>1146172</v>
      </c>
      <c r="W280" s="28">
        <v>452560</v>
      </c>
      <c r="Y280" s="28">
        <v>0</v>
      </c>
      <c r="AA280" s="28">
        <v>1183149</v>
      </c>
      <c r="AC280" s="28">
        <v>885125</v>
      </c>
      <c r="AE280" s="28">
        <v>401494</v>
      </c>
      <c r="AG280" s="28">
        <v>0</v>
      </c>
      <c r="AI280" s="28">
        <f>54577+5191</f>
        <v>59768</v>
      </c>
      <c r="AJ280" s="27" t="s">
        <v>637</v>
      </c>
      <c r="AK280" s="27"/>
      <c r="AL280" s="27" t="s">
        <v>44</v>
      </c>
      <c r="AN280" s="28">
        <v>303667</v>
      </c>
      <c r="AP280" s="28">
        <v>0</v>
      </c>
      <c r="AT280" s="28">
        <v>65397</v>
      </c>
      <c r="AV280" s="28">
        <v>24843</v>
      </c>
      <c r="AX280" s="28">
        <v>0</v>
      </c>
      <c r="AZ280" s="28">
        <f t="shared" si="49"/>
        <v>14087526</v>
      </c>
      <c r="BB280" s="28">
        <v>41800</v>
      </c>
      <c r="BD280" s="28">
        <v>0</v>
      </c>
      <c r="BF280" s="28">
        <v>0</v>
      </c>
      <c r="BH280" s="28">
        <v>0</v>
      </c>
      <c r="BJ280" s="28">
        <f t="shared" si="50"/>
        <v>14129326</v>
      </c>
      <c r="BL280" s="28">
        <f>+'Gen Fd Rev'!AK280-'Gen Fd Exp'!BJ280</f>
        <v>-297634</v>
      </c>
      <c r="BN280" s="28">
        <v>4446582</v>
      </c>
      <c r="BP280" s="28">
        <v>0</v>
      </c>
      <c r="BR280" s="28">
        <v>0</v>
      </c>
      <c r="BT280" s="28">
        <f t="shared" si="55"/>
        <v>4148948</v>
      </c>
      <c r="BV280" s="32">
        <f>+BT280-'Gen Fd BS'!AC280+BR280</f>
        <v>0</v>
      </c>
    </row>
    <row r="281" spans="1:74">
      <c r="A281" s="11" t="s">
        <v>721</v>
      </c>
      <c r="B281" s="11"/>
      <c r="C281" s="11" t="s">
        <v>69</v>
      </c>
      <c r="E281" s="6">
        <v>17207658</v>
      </c>
      <c r="G281" s="6">
        <v>4061338</v>
      </c>
      <c r="I281" s="6">
        <v>0</v>
      </c>
      <c r="K281" s="6">
        <v>0</v>
      </c>
      <c r="M281" s="6">
        <v>786507</v>
      </c>
      <c r="O281" s="6">
        <v>1760372</v>
      </c>
      <c r="Q281" s="6">
        <v>1273487</v>
      </c>
      <c r="S281" s="6">
        <v>100432</v>
      </c>
      <c r="U281" s="6">
        <v>3593729</v>
      </c>
      <c r="W281" s="6">
        <v>823534</v>
      </c>
      <c r="Y281" s="6">
        <v>224256</v>
      </c>
      <c r="AA281" s="6">
        <v>3687096</v>
      </c>
      <c r="AC281" s="6">
        <v>3085659</v>
      </c>
      <c r="AE281" s="6">
        <v>262560</v>
      </c>
      <c r="AG281" s="6">
        <v>0</v>
      </c>
      <c r="AI281" s="6">
        <v>0</v>
      </c>
      <c r="AJ281" s="11" t="s">
        <v>721</v>
      </c>
      <c r="AK281" s="11"/>
      <c r="AL281" s="11" t="s">
        <v>69</v>
      </c>
      <c r="AN281" s="6">
        <v>1193906</v>
      </c>
      <c r="AP281" s="6">
        <v>0</v>
      </c>
      <c r="AT281" s="6">
        <v>0</v>
      </c>
      <c r="AV281" s="6">
        <v>0</v>
      </c>
      <c r="AX281" s="6">
        <v>0</v>
      </c>
      <c r="AZ281" s="6">
        <f t="shared" si="49"/>
        <v>38060534</v>
      </c>
      <c r="BB281" s="6">
        <v>0</v>
      </c>
      <c r="BD281" s="6">
        <v>0</v>
      </c>
      <c r="BF281" s="6">
        <v>0</v>
      </c>
      <c r="BH281" s="6">
        <v>0</v>
      </c>
      <c r="BJ281" s="6">
        <f t="shared" si="50"/>
        <v>38060534</v>
      </c>
      <c r="BL281" s="6">
        <f>+'Gen Fd Rev'!AK281-'Gen Fd Exp'!BJ281</f>
        <v>1007992</v>
      </c>
      <c r="BN281" s="6">
        <v>7367115</v>
      </c>
      <c r="BP281" s="6">
        <v>0</v>
      </c>
      <c r="BR281" s="6">
        <v>0</v>
      </c>
      <c r="BT281" s="6">
        <f t="shared" si="55"/>
        <v>8375107</v>
      </c>
      <c r="BV281" s="7">
        <f>+BT281-'Gen Fd BS'!AC281+BR281</f>
        <v>0</v>
      </c>
    </row>
    <row r="282" spans="1:74" hidden="1">
      <c r="A282" s="11" t="s">
        <v>693</v>
      </c>
      <c r="B282" s="11"/>
      <c r="C282" s="11" t="s">
        <v>41</v>
      </c>
      <c r="E282" s="9"/>
      <c r="G282" s="9"/>
      <c r="I282" s="9"/>
      <c r="K282" s="9"/>
      <c r="M282" s="9"/>
      <c r="O282" s="9"/>
      <c r="Q282" s="9"/>
      <c r="S282" s="9"/>
      <c r="U282" s="9"/>
      <c r="W282" s="9"/>
      <c r="Y282" s="9"/>
      <c r="AA282" s="9"/>
      <c r="AC282" s="9"/>
      <c r="AE282" s="9"/>
      <c r="AG282" s="9"/>
      <c r="AI282" s="9"/>
      <c r="AJ282" s="11" t="s">
        <v>693</v>
      </c>
      <c r="AK282" s="11"/>
      <c r="AL282" s="11" t="s">
        <v>41</v>
      </c>
      <c r="AN282" s="9"/>
      <c r="AP282" s="9"/>
      <c r="AT282" s="9"/>
      <c r="AV282" s="9"/>
      <c r="AX282" s="6">
        <v>0</v>
      </c>
      <c r="AZ282" s="6">
        <f t="shared" si="49"/>
        <v>0</v>
      </c>
      <c r="BB282" s="6">
        <v>0</v>
      </c>
      <c r="BD282" s="6">
        <v>0</v>
      </c>
      <c r="BF282" s="6">
        <v>0</v>
      </c>
      <c r="BH282" s="6">
        <v>0</v>
      </c>
      <c r="BJ282" s="6">
        <f t="shared" si="50"/>
        <v>0</v>
      </c>
      <c r="BL282" s="6">
        <f>+'Gen Fd Rev'!AK282-'Gen Fd Exp'!BJ282</f>
        <v>0</v>
      </c>
      <c r="BR282" s="6">
        <v>0</v>
      </c>
      <c r="BT282" s="6">
        <f t="shared" si="55"/>
        <v>0</v>
      </c>
      <c r="BV282" s="7">
        <f>+BT282-'Gen Fd BS'!AC282+BR282</f>
        <v>0</v>
      </c>
    </row>
    <row r="283" spans="1:74">
      <c r="A283" s="11" t="s">
        <v>524</v>
      </c>
      <c r="B283" s="11"/>
      <c r="C283" s="11" t="s">
        <v>64</v>
      </c>
      <c r="E283" s="6">
        <v>6559637</v>
      </c>
      <c r="G283" s="6">
        <v>1147052</v>
      </c>
      <c r="I283" s="6">
        <v>80201</v>
      </c>
      <c r="K283" s="6">
        <v>0</v>
      </c>
      <c r="M283" s="6">
        <v>402456</v>
      </c>
      <c r="O283" s="6">
        <v>689987</v>
      </c>
      <c r="Q283" s="6">
        <v>149571</v>
      </c>
      <c r="S283" s="6">
        <v>38116</v>
      </c>
      <c r="U283" s="6">
        <v>1018245</v>
      </c>
      <c r="W283" s="6">
        <v>270542</v>
      </c>
      <c r="Y283" s="6">
        <v>0</v>
      </c>
      <c r="AA283" s="6">
        <v>1132374</v>
      </c>
      <c r="AC283" s="6">
        <v>637121</v>
      </c>
      <c r="AE283" s="6">
        <v>109760</v>
      </c>
      <c r="AG283" s="6">
        <v>0</v>
      </c>
      <c r="AI283" s="6">
        <v>4117</v>
      </c>
      <c r="AJ283" s="11" t="s">
        <v>524</v>
      </c>
      <c r="AK283" s="11"/>
      <c r="AL283" s="11" t="s">
        <v>64</v>
      </c>
      <c r="AN283" s="6">
        <v>280106</v>
      </c>
      <c r="AP283" s="6">
        <v>14087</v>
      </c>
      <c r="AT283" s="6">
        <v>43000</v>
      </c>
      <c r="AV283" s="6">
        <v>101063</v>
      </c>
      <c r="AX283" s="6">
        <v>0</v>
      </c>
      <c r="AZ283" s="6">
        <f t="shared" si="49"/>
        <v>12677435</v>
      </c>
      <c r="BB283" s="6">
        <v>0</v>
      </c>
      <c r="BD283" s="6">
        <v>0</v>
      </c>
      <c r="BF283" s="6">
        <v>0</v>
      </c>
      <c r="BH283" s="6">
        <v>0</v>
      </c>
      <c r="BJ283" s="6">
        <f t="shared" si="50"/>
        <v>12677435</v>
      </c>
      <c r="BL283" s="6">
        <f>+'Gen Fd Rev'!AK283-'Gen Fd Exp'!BJ283</f>
        <v>-367862</v>
      </c>
      <c r="BN283" s="6">
        <v>2239151</v>
      </c>
      <c r="BP283" s="6">
        <v>1976</v>
      </c>
      <c r="BR283" s="6">
        <v>0</v>
      </c>
      <c r="BT283" s="6">
        <f t="shared" si="55"/>
        <v>1869313</v>
      </c>
      <c r="BV283" s="7">
        <f>+BT283-'Gen Fd BS'!AC283+BR283</f>
        <v>0</v>
      </c>
    </row>
    <row r="284" spans="1:74">
      <c r="A284" s="11" t="s">
        <v>498</v>
      </c>
      <c r="B284" s="11"/>
      <c r="C284" s="11" t="s">
        <v>62</v>
      </c>
      <c r="E284" s="6">
        <v>13080840</v>
      </c>
      <c r="G284" s="6">
        <v>2157097</v>
      </c>
      <c r="I284" s="6">
        <v>457944</v>
      </c>
      <c r="K284" s="6">
        <v>0</v>
      </c>
      <c r="M284" s="6">
        <f>219032+1066917</f>
        <v>1285949</v>
      </c>
      <c r="O284" s="6">
        <v>844285</v>
      </c>
      <c r="Q284" s="6">
        <v>1410399</v>
      </c>
      <c r="S284" s="6">
        <v>39400</v>
      </c>
      <c r="U284" s="6">
        <v>3806733</v>
      </c>
      <c r="W284" s="6">
        <v>652645</v>
      </c>
      <c r="Y284" s="6">
        <v>77014</v>
      </c>
      <c r="AA284" s="6">
        <v>3213361</v>
      </c>
      <c r="AC284" s="6">
        <v>1970374</v>
      </c>
      <c r="AE284" s="6">
        <v>183124</v>
      </c>
      <c r="AG284" s="6">
        <v>0</v>
      </c>
      <c r="AI284" s="6">
        <v>42949</v>
      </c>
      <c r="AJ284" s="11" t="s">
        <v>498</v>
      </c>
      <c r="AK284" s="11"/>
      <c r="AL284" s="11" t="s">
        <v>62</v>
      </c>
      <c r="AN284" s="6">
        <v>719516</v>
      </c>
      <c r="AP284" s="6">
        <v>41674</v>
      </c>
      <c r="AT284" s="6">
        <v>0</v>
      </c>
      <c r="AV284" s="6">
        <v>0</v>
      </c>
      <c r="AX284" s="6">
        <v>0</v>
      </c>
      <c r="AZ284" s="6">
        <f t="shared" si="49"/>
        <v>29983304</v>
      </c>
      <c r="BB284" s="6">
        <v>28892</v>
      </c>
      <c r="BD284" s="6">
        <v>0</v>
      </c>
      <c r="BF284" s="6">
        <v>0</v>
      </c>
      <c r="BH284" s="6">
        <v>0</v>
      </c>
      <c r="BJ284" s="6">
        <f t="shared" si="50"/>
        <v>30012196</v>
      </c>
      <c r="BL284" s="6">
        <f>+'Gen Fd Rev'!AK284-'Gen Fd Exp'!BJ284</f>
        <v>-2210648</v>
      </c>
      <c r="BN284" s="6">
        <v>4040433</v>
      </c>
      <c r="BP284" s="6">
        <v>0</v>
      </c>
      <c r="BR284" s="6">
        <v>0</v>
      </c>
      <c r="BT284" s="6">
        <f t="shared" si="55"/>
        <v>1829785</v>
      </c>
      <c r="BV284" s="7">
        <f>+BT284-'Gen Fd BS'!AC284+BR284</f>
        <v>0</v>
      </c>
    </row>
    <row r="285" spans="1:74" hidden="1">
      <c r="A285" s="11" t="s">
        <v>796</v>
      </c>
      <c r="B285" s="11"/>
      <c r="C285" s="11" t="s">
        <v>72</v>
      </c>
      <c r="AJ285" s="11" t="s">
        <v>796</v>
      </c>
      <c r="AK285" s="11"/>
      <c r="AL285" s="11" t="s">
        <v>72</v>
      </c>
      <c r="AX285" s="6">
        <v>0</v>
      </c>
      <c r="AZ285" s="6">
        <f t="shared" si="49"/>
        <v>0</v>
      </c>
      <c r="BB285" s="6">
        <v>0</v>
      </c>
      <c r="BD285" s="6">
        <v>0</v>
      </c>
      <c r="BF285" s="6">
        <v>0</v>
      </c>
      <c r="BH285" s="6">
        <v>0</v>
      </c>
      <c r="BJ285" s="6">
        <f t="shared" si="50"/>
        <v>0</v>
      </c>
      <c r="BL285" s="6">
        <f>+'Gen Fd Rev'!AK285-'Gen Fd Exp'!BJ285</f>
        <v>0</v>
      </c>
      <c r="BR285" s="6">
        <v>0</v>
      </c>
      <c r="BT285" s="6">
        <f t="shared" si="55"/>
        <v>0</v>
      </c>
      <c r="BV285" s="7">
        <f>+BT285-'Gen Fd BS'!AC285+BR285</f>
        <v>0</v>
      </c>
    </row>
    <row r="286" spans="1:74">
      <c r="A286" s="11" t="s">
        <v>525</v>
      </c>
      <c r="B286" s="11"/>
      <c r="C286" s="11" t="s">
        <v>64</v>
      </c>
      <c r="E286" s="6">
        <v>6910788</v>
      </c>
      <c r="G286" s="6">
        <v>2401875</v>
      </c>
      <c r="I286" s="6">
        <v>0</v>
      </c>
      <c r="K286" s="6">
        <v>0</v>
      </c>
      <c r="M286" s="6">
        <v>0</v>
      </c>
      <c r="O286" s="6">
        <v>721133</v>
      </c>
      <c r="Q286" s="6">
        <v>818910</v>
      </c>
      <c r="S286" s="6">
        <v>18605</v>
      </c>
      <c r="U286" s="6">
        <v>1173249</v>
      </c>
      <c r="W286" s="6">
        <v>452100</v>
      </c>
      <c r="Y286" s="6">
        <v>0</v>
      </c>
      <c r="AA286" s="6">
        <v>1428352</v>
      </c>
      <c r="AC286" s="6">
        <v>877802</v>
      </c>
      <c r="AE286" s="6">
        <v>0</v>
      </c>
      <c r="AG286" s="6">
        <v>0</v>
      </c>
      <c r="AI286" s="6">
        <v>3462</v>
      </c>
      <c r="AJ286" s="11" t="s">
        <v>525</v>
      </c>
      <c r="AK286" s="11"/>
      <c r="AL286" s="11" t="s">
        <v>64</v>
      </c>
      <c r="AN286" s="6">
        <v>309620</v>
      </c>
      <c r="AP286" s="6">
        <v>0</v>
      </c>
      <c r="AT286" s="6">
        <v>30158</v>
      </c>
      <c r="AV286" s="6">
        <v>3088</v>
      </c>
      <c r="AX286" s="6">
        <v>0</v>
      </c>
      <c r="AZ286" s="6">
        <f t="shared" si="49"/>
        <v>15149142</v>
      </c>
      <c r="BB286" s="6">
        <v>0</v>
      </c>
      <c r="BD286" s="6">
        <v>0</v>
      </c>
      <c r="BF286" s="6">
        <v>0</v>
      </c>
      <c r="BH286" s="6">
        <v>0</v>
      </c>
      <c r="BJ286" s="6">
        <f t="shared" si="50"/>
        <v>15149142</v>
      </c>
      <c r="BL286" s="6">
        <f>+'Gen Fd Rev'!AK286-'Gen Fd Exp'!BJ286</f>
        <v>612878</v>
      </c>
      <c r="BN286" s="6">
        <v>-24180</v>
      </c>
      <c r="BP286" s="6">
        <v>0</v>
      </c>
      <c r="BR286" s="6">
        <v>0</v>
      </c>
      <c r="BT286" s="6">
        <f t="shared" si="55"/>
        <v>588698</v>
      </c>
      <c r="BV286" s="7">
        <f>+BT286-'Gen Fd BS'!AC286+BR286</f>
        <v>0</v>
      </c>
    </row>
    <row r="287" spans="1:74">
      <c r="A287" s="11" t="s">
        <v>270</v>
      </c>
      <c r="B287" s="11"/>
      <c r="C287" s="11" t="s">
        <v>20</v>
      </c>
      <c r="D287" s="9"/>
      <c r="E287" s="6">
        <v>26614856</v>
      </c>
      <c r="G287" s="6">
        <v>10259165</v>
      </c>
      <c r="I287" s="6">
        <v>2531669</v>
      </c>
      <c r="K287" s="6">
        <v>260018</v>
      </c>
      <c r="M287" s="6">
        <v>3417830</v>
      </c>
      <c r="O287" s="6">
        <v>3870689</v>
      </c>
      <c r="Q287" s="6">
        <v>3355474</v>
      </c>
      <c r="S287" s="6">
        <v>81994</v>
      </c>
      <c r="U287" s="6">
        <v>3367696</v>
      </c>
      <c r="W287" s="6">
        <v>1701743</v>
      </c>
      <c r="Y287" s="6">
        <v>857203</v>
      </c>
      <c r="AA287" s="6">
        <v>7056076</v>
      </c>
      <c r="AC287" s="6">
        <v>74006</v>
      </c>
      <c r="AE287" s="6">
        <v>433488</v>
      </c>
      <c r="AG287" s="6">
        <v>0</v>
      </c>
      <c r="AI287" s="6">
        <v>1514179</v>
      </c>
      <c r="AJ287" s="11" t="s">
        <v>270</v>
      </c>
      <c r="AK287" s="11"/>
      <c r="AL287" s="11" t="s">
        <v>20</v>
      </c>
      <c r="AN287" s="6">
        <v>790728</v>
      </c>
      <c r="AP287" s="6">
        <v>0</v>
      </c>
      <c r="AT287" s="6">
        <v>588756</v>
      </c>
      <c r="AV287" s="6">
        <v>79485</v>
      </c>
      <c r="AX287" s="6">
        <v>0</v>
      </c>
      <c r="AZ287" s="6">
        <f t="shared" si="49"/>
        <v>66855055</v>
      </c>
      <c r="BB287" s="6">
        <v>20000</v>
      </c>
      <c r="BD287" s="6">
        <v>0</v>
      </c>
      <c r="BF287" s="6">
        <v>0</v>
      </c>
      <c r="BH287" s="6">
        <v>0</v>
      </c>
      <c r="BJ287" s="6">
        <f t="shared" si="50"/>
        <v>66875055</v>
      </c>
      <c r="BL287" s="6">
        <f>+'Gen Fd Rev'!AK287-'Gen Fd Exp'!BJ287</f>
        <v>2181145</v>
      </c>
      <c r="BN287" s="6">
        <v>13757211</v>
      </c>
      <c r="BP287" s="6">
        <v>0</v>
      </c>
      <c r="BR287" s="6">
        <v>0</v>
      </c>
      <c r="BT287" s="6">
        <f t="shared" si="55"/>
        <v>15938356</v>
      </c>
      <c r="BV287" s="7">
        <f>+BT287-'Gen Fd BS'!AC287+BR287</f>
        <v>0</v>
      </c>
    </row>
    <row r="288" spans="1:74">
      <c r="A288" s="11" t="s">
        <v>630</v>
      </c>
      <c r="B288" s="11"/>
      <c r="C288" s="11" t="s">
        <v>42</v>
      </c>
      <c r="E288" s="6">
        <v>11091808</v>
      </c>
      <c r="G288" s="6">
        <v>0</v>
      </c>
      <c r="I288" s="6">
        <v>0</v>
      </c>
      <c r="K288" s="6">
        <v>0</v>
      </c>
      <c r="M288" s="6">
        <v>0</v>
      </c>
      <c r="O288" s="6">
        <v>1227284</v>
      </c>
      <c r="Q288" s="6">
        <v>226189</v>
      </c>
      <c r="S288" s="6">
        <v>70084</v>
      </c>
      <c r="U288" s="6">
        <v>1858794</v>
      </c>
      <c r="W288" s="6">
        <v>606641</v>
      </c>
      <c r="Y288" s="6">
        <v>20952</v>
      </c>
      <c r="AA288" s="6">
        <v>1587658</v>
      </c>
      <c r="AC288" s="6">
        <v>1593860</v>
      </c>
      <c r="AE288" s="6">
        <v>278717</v>
      </c>
      <c r="AG288" s="6">
        <v>0</v>
      </c>
      <c r="AI288" s="6">
        <v>24668</v>
      </c>
      <c r="AJ288" s="11" t="s">
        <v>630</v>
      </c>
      <c r="AK288" s="11"/>
      <c r="AL288" s="11" t="s">
        <v>42</v>
      </c>
      <c r="AN288" s="6">
        <v>208900</v>
      </c>
      <c r="AP288" s="6">
        <v>0</v>
      </c>
      <c r="AT288" s="6">
        <v>33690</v>
      </c>
      <c r="AV288" s="6">
        <v>5094</v>
      </c>
      <c r="AX288" s="6">
        <v>0</v>
      </c>
      <c r="AZ288" s="6">
        <f t="shared" si="49"/>
        <v>18834339</v>
      </c>
      <c r="BB288" s="6">
        <v>20000</v>
      </c>
      <c r="BD288" s="6">
        <v>0</v>
      </c>
      <c r="BF288" s="6">
        <v>0</v>
      </c>
      <c r="BH288" s="6">
        <v>0</v>
      </c>
      <c r="BJ288" s="6">
        <f t="shared" si="50"/>
        <v>18854339</v>
      </c>
      <c r="BL288" s="6">
        <f>+'Gen Fd Rev'!AK288-'Gen Fd Exp'!BJ288</f>
        <v>1515322</v>
      </c>
      <c r="BN288" s="6">
        <v>4516801</v>
      </c>
      <c r="BP288" s="6">
        <v>7993</v>
      </c>
      <c r="BR288" s="6">
        <v>0</v>
      </c>
      <c r="BT288" s="6">
        <f t="shared" si="55"/>
        <v>6024130</v>
      </c>
      <c r="BV288" s="7">
        <f>+BT288-'Gen Fd BS'!AC288+BR288</f>
        <v>0</v>
      </c>
    </row>
    <row r="289" spans="1:74">
      <c r="A289" s="11" t="s">
        <v>223</v>
      </c>
      <c r="B289" s="11"/>
      <c r="C289" s="11" t="s">
        <v>221</v>
      </c>
      <c r="E289" s="6">
        <v>72534076</v>
      </c>
      <c r="G289" s="6">
        <v>14861002</v>
      </c>
      <c r="I289" s="6">
        <v>258</v>
      </c>
      <c r="K289" s="6">
        <v>0</v>
      </c>
      <c r="M289" s="6">
        <v>4741419</v>
      </c>
      <c r="O289" s="6">
        <v>10338879</v>
      </c>
      <c r="Q289" s="6">
        <v>9416017</v>
      </c>
      <c r="S289" s="6">
        <v>93099</v>
      </c>
      <c r="U289" s="6">
        <v>12360834</v>
      </c>
      <c r="W289" s="6">
        <v>1158273</v>
      </c>
      <c r="Y289" s="6">
        <v>329850</v>
      </c>
      <c r="AA289" s="6">
        <v>12701784</v>
      </c>
      <c r="AC289" s="6">
        <v>11261154</v>
      </c>
      <c r="AE289" s="6">
        <v>3038797</v>
      </c>
      <c r="AG289" s="6">
        <v>0</v>
      </c>
      <c r="AI289" s="6">
        <v>47549</v>
      </c>
      <c r="AJ289" s="11" t="s">
        <v>223</v>
      </c>
      <c r="AK289" s="11"/>
      <c r="AL289" s="11" t="s">
        <v>221</v>
      </c>
      <c r="AN289" s="6">
        <v>236702</v>
      </c>
      <c r="AP289" s="6">
        <v>1467616</v>
      </c>
      <c r="AT289" s="6">
        <v>0</v>
      </c>
      <c r="AV289" s="6">
        <v>0</v>
      </c>
      <c r="AX289" s="6">
        <v>0</v>
      </c>
      <c r="AZ289" s="6">
        <f t="shared" si="49"/>
        <v>154587309</v>
      </c>
      <c r="BB289" s="6">
        <v>1500000</v>
      </c>
      <c r="BD289" s="6">
        <v>0</v>
      </c>
      <c r="BF289" s="6">
        <v>0</v>
      </c>
      <c r="BH289" s="6">
        <v>0</v>
      </c>
      <c r="BJ289" s="6">
        <f t="shared" si="50"/>
        <v>156087309</v>
      </c>
      <c r="BL289" s="6">
        <f>+'Gen Fd Rev'!AK289-'Gen Fd Exp'!BJ289</f>
        <v>-13463941</v>
      </c>
      <c r="BN289" s="6">
        <v>26567773</v>
      </c>
      <c r="BP289" s="6">
        <v>0</v>
      </c>
      <c r="BR289" s="6">
        <v>0</v>
      </c>
      <c r="BT289" s="6">
        <f t="shared" si="55"/>
        <v>13103832</v>
      </c>
      <c r="BV289" s="7">
        <f>+BT289-'Gen Fd BS'!AC289+BR289</f>
        <v>0</v>
      </c>
    </row>
    <row r="290" spans="1:74" hidden="1">
      <c r="A290" s="11" t="s">
        <v>797</v>
      </c>
      <c r="B290" s="11"/>
      <c r="C290" s="11" t="s">
        <v>79</v>
      </c>
      <c r="AJ290" s="11" t="s">
        <v>797</v>
      </c>
      <c r="AK290" s="11"/>
      <c r="AL290" s="11" t="s">
        <v>79</v>
      </c>
      <c r="AX290" s="6">
        <v>0</v>
      </c>
      <c r="AZ290" s="6">
        <f t="shared" si="49"/>
        <v>0</v>
      </c>
      <c r="BB290" s="6">
        <v>0</v>
      </c>
      <c r="BD290" s="6">
        <v>0</v>
      </c>
      <c r="BF290" s="6">
        <v>0</v>
      </c>
      <c r="BH290" s="6">
        <v>0</v>
      </c>
      <c r="BJ290" s="6">
        <f t="shared" si="50"/>
        <v>0</v>
      </c>
      <c r="BL290" s="6">
        <f>+'Gen Fd Rev'!AK290-'Gen Fd Exp'!BJ290</f>
        <v>0</v>
      </c>
      <c r="BR290" s="6">
        <v>0</v>
      </c>
      <c r="BT290" s="6">
        <f t="shared" si="55"/>
        <v>0</v>
      </c>
      <c r="BV290" s="7">
        <f>+BT290-'Gen Fd BS'!AC290+BR290</f>
        <v>0</v>
      </c>
    </row>
    <row r="291" spans="1:74">
      <c r="A291" s="11" t="s">
        <v>295</v>
      </c>
      <c r="B291" s="11"/>
      <c r="C291" s="11" t="s">
        <v>25</v>
      </c>
      <c r="E291" s="6">
        <v>25909832</v>
      </c>
      <c r="G291" s="6">
        <v>5317426</v>
      </c>
      <c r="I291" s="6">
        <v>1639171</v>
      </c>
      <c r="K291" s="6">
        <v>0</v>
      </c>
      <c r="M291" s="6">
        <v>88813</v>
      </c>
      <c r="O291" s="6">
        <v>3220602</v>
      </c>
      <c r="Q291" s="6">
        <v>2849439</v>
      </c>
      <c r="S291" s="6">
        <v>159360</v>
      </c>
      <c r="U291" s="6">
        <v>3907040</v>
      </c>
      <c r="W291" s="6">
        <v>1211820</v>
      </c>
      <c r="Y291" s="6">
        <v>272601</v>
      </c>
      <c r="AA291" s="6">
        <v>4679532</v>
      </c>
      <c r="AC291" s="6">
        <v>1674767</v>
      </c>
      <c r="AE291" s="6">
        <v>858340</v>
      </c>
      <c r="AG291" s="6">
        <v>4266</v>
      </c>
      <c r="AI291" s="6">
        <v>152031</v>
      </c>
      <c r="AJ291" s="11" t="s">
        <v>295</v>
      </c>
      <c r="AK291" s="11"/>
      <c r="AL291" s="11" t="s">
        <v>25</v>
      </c>
      <c r="AN291" s="6">
        <v>947190</v>
      </c>
      <c r="AP291" s="6">
        <v>162905</v>
      </c>
      <c r="AT291" s="6">
        <v>147514</v>
      </c>
      <c r="AV291" s="6">
        <v>36725</v>
      </c>
      <c r="AX291" s="6">
        <v>0</v>
      </c>
      <c r="AZ291" s="6">
        <f t="shared" si="49"/>
        <v>53239374</v>
      </c>
      <c r="BB291" s="6">
        <v>14081</v>
      </c>
      <c r="BD291" s="6">
        <v>0</v>
      </c>
      <c r="BF291" s="6">
        <v>0</v>
      </c>
      <c r="BH291" s="6">
        <v>0</v>
      </c>
      <c r="BJ291" s="6">
        <f t="shared" si="50"/>
        <v>53253455</v>
      </c>
      <c r="BL291" s="6">
        <f>+'Gen Fd Rev'!AK291-'Gen Fd Exp'!BJ291</f>
        <v>2566836</v>
      </c>
      <c r="BN291" s="6">
        <v>25665584</v>
      </c>
      <c r="BP291" s="6">
        <v>0</v>
      </c>
      <c r="BR291" s="6">
        <v>0</v>
      </c>
      <c r="BT291" s="6">
        <f t="shared" si="55"/>
        <v>28232420</v>
      </c>
      <c r="BV291" s="7">
        <f>+BT291-'Gen Fd BS'!AC291+BR291</f>
        <v>0</v>
      </c>
    </row>
    <row r="292" spans="1:74" hidden="1">
      <c r="A292" s="11" t="s">
        <v>729</v>
      </c>
      <c r="B292" s="11"/>
      <c r="C292" s="11" t="s">
        <v>69</v>
      </c>
      <c r="AJ292" s="11" t="s">
        <v>729</v>
      </c>
      <c r="AK292" s="11"/>
      <c r="AL292" s="11" t="s">
        <v>69</v>
      </c>
      <c r="AX292" s="6">
        <v>0</v>
      </c>
      <c r="AZ292" s="6">
        <f>SUM(E292:AX292)</f>
        <v>0</v>
      </c>
      <c r="BB292" s="6">
        <v>0</v>
      </c>
      <c r="BD292" s="6">
        <v>0</v>
      </c>
      <c r="BF292" s="6">
        <v>0</v>
      </c>
      <c r="BH292" s="6">
        <v>0</v>
      </c>
      <c r="BJ292" s="6">
        <f>+AZ292+BB292+BD292+BH292</f>
        <v>0</v>
      </c>
      <c r="BL292" s="6">
        <f>+'Gen Fd Rev'!AK292-'Gen Fd Exp'!BJ292</f>
        <v>0</v>
      </c>
      <c r="BR292" s="6">
        <v>0</v>
      </c>
      <c r="BT292" s="6">
        <f t="shared" si="55"/>
        <v>0</v>
      </c>
      <c r="BV292" s="7">
        <f>+BT292-'Gen Fd BS'!AC292+BR292</f>
        <v>0</v>
      </c>
    </row>
    <row r="293" spans="1:74">
      <c r="A293" s="11" t="s">
        <v>315</v>
      </c>
      <c r="B293" s="11"/>
      <c r="C293" s="11" t="s">
        <v>30</v>
      </c>
      <c r="E293" s="6">
        <v>2237132</v>
      </c>
      <c r="G293" s="6">
        <v>801941</v>
      </c>
      <c r="I293" s="6">
        <v>101210</v>
      </c>
      <c r="K293" s="6">
        <v>0</v>
      </c>
      <c r="M293" s="6">
        <v>638155</v>
      </c>
      <c r="O293" s="6">
        <v>153340</v>
      </c>
      <c r="Q293" s="6">
        <v>74755</v>
      </c>
      <c r="S293" s="6">
        <v>18258</v>
      </c>
      <c r="U293" s="6">
        <v>506628</v>
      </c>
      <c r="W293" s="6">
        <v>221929</v>
      </c>
      <c r="Y293" s="6">
        <v>0</v>
      </c>
      <c r="AA293" s="6">
        <v>703958</v>
      </c>
      <c r="AC293" s="6">
        <v>490567</v>
      </c>
      <c r="AE293" s="6">
        <v>15305</v>
      </c>
      <c r="AG293" s="6">
        <v>0</v>
      </c>
      <c r="AI293" s="6">
        <v>2799</v>
      </c>
      <c r="AJ293" s="11" t="s">
        <v>315</v>
      </c>
      <c r="AK293" s="11"/>
      <c r="AL293" s="11" t="s">
        <v>30</v>
      </c>
      <c r="AN293" s="6">
        <v>92246</v>
      </c>
      <c r="AP293" s="6">
        <v>19</v>
      </c>
      <c r="AT293" s="6">
        <v>0</v>
      </c>
      <c r="AV293" s="6">
        <v>6458</v>
      </c>
      <c r="AX293" s="6">
        <v>0</v>
      </c>
      <c r="AZ293" s="6">
        <f t="shared" ref="AZ293:AZ305" si="59">SUM(E293:AX293)</f>
        <v>6064700</v>
      </c>
      <c r="BB293" s="6">
        <v>1909</v>
      </c>
      <c r="BD293" s="6">
        <v>0</v>
      </c>
      <c r="BF293" s="6">
        <v>0</v>
      </c>
      <c r="BH293" s="6">
        <v>0</v>
      </c>
      <c r="BJ293" s="6">
        <f>+AZ293+BB293+BD293+BH293</f>
        <v>6066609</v>
      </c>
      <c r="BL293" s="6">
        <f>+'Gen Fd Rev'!AK293-'Gen Fd Exp'!BJ293</f>
        <v>-524172</v>
      </c>
      <c r="BN293" s="6">
        <v>-1781163</v>
      </c>
      <c r="BP293" s="6">
        <v>0</v>
      </c>
      <c r="BR293" s="6">
        <v>0</v>
      </c>
      <c r="BT293" s="6">
        <f t="shared" si="55"/>
        <v>-2305335</v>
      </c>
      <c r="BV293" s="7">
        <f>+BT293-'Gen Fd BS'!AC293+BR293</f>
        <v>0</v>
      </c>
    </row>
    <row r="294" spans="1:74" hidden="1">
      <c r="A294" s="11" t="s">
        <v>763</v>
      </c>
      <c r="B294" s="11"/>
      <c r="C294" s="11" t="s">
        <v>112</v>
      </c>
      <c r="AJ294" s="11" t="s">
        <v>763</v>
      </c>
      <c r="AK294" s="11"/>
      <c r="AL294" s="11" t="s">
        <v>112</v>
      </c>
      <c r="AX294" s="6">
        <v>0</v>
      </c>
      <c r="BB294" s="6">
        <v>0</v>
      </c>
      <c r="BD294" s="6">
        <v>0</v>
      </c>
      <c r="BF294" s="6">
        <v>0</v>
      </c>
      <c r="BH294" s="6">
        <v>0</v>
      </c>
      <c r="BL294" s="6">
        <f>+'Gen Fd Rev'!AK294-'Gen Fd Exp'!BJ294</f>
        <v>0</v>
      </c>
      <c r="BR294" s="6">
        <v>0</v>
      </c>
      <c r="BV294" s="7">
        <f>+BT294-'Gen Fd BS'!AC294+BR294</f>
        <v>0</v>
      </c>
    </row>
    <row r="295" spans="1:74" hidden="1">
      <c r="A295" s="11" t="s">
        <v>681</v>
      </c>
      <c r="B295" s="11"/>
      <c r="C295" s="11" t="s">
        <v>467</v>
      </c>
      <c r="AJ295" s="11" t="s">
        <v>681</v>
      </c>
      <c r="AK295" s="11"/>
      <c r="AL295" s="11" t="s">
        <v>467</v>
      </c>
      <c r="AX295" s="6">
        <v>0</v>
      </c>
      <c r="AZ295" s="6">
        <f t="shared" si="59"/>
        <v>0</v>
      </c>
      <c r="BB295" s="6">
        <v>0</v>
      </c>
      <c r="BD295" s="6">
        <v>0</v>
      </c>
      <c r="BF295" s="6">
        <v>0</v>
      </c>
      <c r="BH295" s="6">
        <v>0</v>
      </c>
      <c r="BJ295" s="6">
        <f>+AZ295+BB295+BD295+BH295</f>
        <v>0</v>
      </c>
      <c r="BL295" s="6">
        <f>+'Gen Fd Rev'!AK295-'Gen Fd Exp'!BJ295</f>
        <v>0</v>
      </c>
      <c r="BR295" s="6">
        <v>0</v>
      </c>
      <c r="BT295" s="6">
        <f t="shared" si="55"/>
        <v>0</v>
      </c>
      <c r="BV295" s="7">
        <f>+BT295-'Gen Fd BS'!AC295+BR295</f>
        <v>0</v>
      </c>
    </row>
    <row r="296" spans="1:74" hidden="1">
      <c r="A296" s="11" t="s">
        <v>798</v>
      </c>
      <c r="B296" s="11"/>
      <c r="C296" s="11" t="s">
        <v>110</v>
      </c>
      <c r="AJ296" s="11" t="s">
        <v>798</v>
      </c>
      <c r="AK296" s="11"/>
      <c r="AL296" s="11" t="s">
        <v>110</v>
      </c>
      <c r="AX296" s="6">
        <v>0</v>
      </c>
      <c r="AZ296" s="6">
        <f t="shared" si="59"/>
        <v>0</v>
      </c>
      <c r="BB296" s="6">
        <v>0</v>
      </c>
      <c r="BD296" s="6">
        <v>0</v>
      </c>
      <c r="BF296" s="6">
        <v>0</v>
      </c>
      <c r="BH296" s="6">
        <v>0</v>
      </c>
      <c r="BJ296" s="6">
        <f t="shared" ref="BJ296:BJ318" si="60">+AZ296+BB296+BD296+BH296</f>
        <v>0</v>
      </c>
      <c r="BL296" s="6">
        <f>+'Gen Fd Rev'!AK296-'Gen Fd Exp'!BJ296</f>
        <v>0</v>
      </c>
      <c r="BR296" s="6">
        <v>0</v>
      </c>
      <c r="BT296" s="6">
        <f t="shared" si="55"/>
        <v>0</v>
      </c>
      <c r="BV296" s="7">
        <f>+BT296-'Gen Fd BS'!AC296+BR296</f>
        <v>0</v>
      </c>
    </row>
    <row r="297" spans="1:74">
      <c r="A297" s="11" t="s">
        <v>799</v>
      </c>
      <c r="B297" s="11"/>
      <c r="C297" s="11" t="s">
        <v>33</v>
      </c>
      <c r="D297" s="9"/>
      <c r="E297" s="6">
        <v>5578876</v>
      </c>
      <c r="G297" s="6">
        <v>1034855</v>
      </c>
      <c r="I297" s="6">
        <v>307482</v>
      </c>
      <c r="K297" s="6">
        <v>0</v>
      </c>
      <c r="M297" s="6">
        <v>0</v>
      </c>
      <c r="O297" s="6">
        <v>716257</v>
      </c>
      <c r="Q297" s="6">
        <v>454506</v>
      </c>
      <c r="S297" s="6">
        <v>25589</v>
      </c>
      <c r="U297" s="6">
        <v>973615</v>
      </c>
      <c r="W297" s="6">
        <v>313381</v>
      </c>
      <c r="Y297" s="6">
        <v>1480</v>
      </c>
      <c r="AA297" s="6">
        <v>1049649</v>
      </c>
      <c r="AC297" s="6">
        <v>530302</v>
      </c>
      <c r="AE297" s="6">
        <v>122224</v>
      </c>
      <c r="AG297" s="6">
        <v>0</v>
      </c>
      <c r="AI297" s="6">
        <v>529</v>
      </c>
      <c r="AJ297" s="11" t="s">
        <v>799</v>
      </c>
      <c r="AK297" s="11"/>
      <c r="AL297" s="11" t="s">
        <v>33</v>
      </c>
      <c r="AN297" s="6">
        <v>299286</v>
      </c>
      <c r="AP297" s="6">
        <v>61644</v>
      </c>
      <c r="AT297" s="6">
        <v>0</v>
      </c>
      <c r="AV297" s="6">
        <v>0</v>
      </c>
      <c r="AX297" s="6">
        <v>0</v>
      </c>
      <c r="AZ297" s="6">
        <f>SUM(E297:AX297)</f>
        <v>11469675</v>
      </c>
      <c r="BB297" s="6">
        <v>569432</v>
      </c>
      <c r="BD297" s="6">
        <v>0</v>
      </c>
      <c r="BF297" s="6">
        <v>0</v>
      </c>
      <c r="BH297" s="6">
        <v>0</v>
      </c>
      <c r="BJ297" s="6">
        <f>+AZ297+BB297+BD297+BH297</f>
        <v>12039107</v>
      </c>
      <c r="BL297" s="6">
        <f>+'Gen Fd Rev'!AK297-'Gen Fd Exp'!BJ297</f>
        <v>1159411</v>
      </c>
      <c r="BN297" s="6">
        <v>4721659</v>
      </c>
      <c r="BP297" s="6">
        <v>0</v>
      </c>
      <c r="BR297" s="6">
        <v>0</v>
      </c>
      <c r="BT297" s="6">
        <f>+BN297+BL297-BP297</f>
        <v>5881070</v>
      </c>
      <c r="BV297" s="7">
        <f>+BT297-'Gen Fd BS'!AC297+BR297</f>
        <v>0</v>
      </c>
    </row>
    <row r="298" spans="1:74">
      <c r="A298" s="11" t="s">
        <v>345</v>
      </c>
      <c r="B298" s="11"/>
      <c r="C298" s="11" t="s">
        <v>34</v>
      </c>
      <c r="E298" s="6">
        <v>4543735</v>
      </c>
      <c r="G298" s="6">
        <v>1896086</v>
      </c>
      <c r="I298" s="6">
        <v>191371</v>
      </c>
      <c r="K298" s="6">
        <v>0</v>
      </c>
      <c r="M298" s="6">
        <f>49385+337146</f>
        <v>386531</v>
      </c>
      <c r="O298" s="6">
        <v>665642</v>
      </c>
      <c r="Q298" s="6">
        <v>365295</v>
      </c>
      <c r="S298" s="6">
        <v>50649</v>
      </c>
      <c r="U298" s="6">
        <v>814483</v>
      </c>
      <c r="W298" s="6">
        <v>373346</v>
      </c>
      <c r="Y298" s="6">
        <v>0</v>
      </c>
      <c r="AA298" s="6">
        <v>771805</v>
      </c>
      <c r="AC298" s="6">
        <v>501564</v>
      </c>
      <c r="AE298" s="6">
        <v>171776</v>
      </c>
      <c r="AG298" s="6">
        <v>0</v>
      </c>
      <c r="AI298" s="6">
        <v>0</v>
      </c>
      <c r="AJ298" s="11" t="s">
        <v>345</v>
      </c>
      <c r="AK298" s="11"/>
      <c r="AL298" s="11" t="s">
        <v>34</v>
      </c>
      <c r="AN298" s="6">
        <v>330457</v>
      </c>
      <c r="AP298" s="6">
        <v>21949</v>
      </c>
      <c r="AT298" s="6">
        <v>62418</v>
      </c>
      <c r="AV298" s="6">
        <v>0</v>
      </c>
      <c r="AX298" s="6">
        <v>0</v>
      </c>
      <c r="AZ298" s="6">
        <f t="shared" si="59"/>
        <v>11147107</v>
      </c>
      <c r="BB298" s="6">
        <v>0</v>
      </c>
      <c r="BD298" s="6">
        <v>0</v>
      </c>
      <c r="BF298" s="6">
        <v>0</v>
      </c>
      <c r="BH298" s="6">
        <v>0</v>
      </c>
      <c r="BJ298" s="6">
        <f t="shared" si="60"/>
        <v>11147107</v>
      </c>
      <c r="BL298" s="6">
        <f>+'Gen Fd Rev'!AK298-'Gen Fd Exp'!BJ298</f>
        <v>563123</v>
      </c>
      <c r="BN298" s="6">
        <v>5039892</v>
      </c>
      <c r="BP298" s="6">
        <v>0</v>
      </c>
      <c r="BR298" s="6">
        <v>0</v>
      </c>
      <c r="BT298" s="6">
        <f t="shared" si="55"/>
        <v>5603015</v>
      </c>
      <c r="BV298" s="7">
        <f>+BT298-'Gen Fd BS'!AC298+BR298</f>
        <v>0</v>
      </c>
    </row>
    <row r="299" spans="1:74">
      <c r="A299" s="11" t="s">
        <v>526</v>
      </c>
      <c r="B299" s="11"/>
      <c r="C299" s="11" t="s">
        <v>64</v>
      </c>
      <c r="E299" s="6">
        <v>8742618</v>
      </c>
      <c r="G299" s="6">
        <v>1162492</v>
      </c>
      <c r="I299" s="6">
        <v>0</v>
      </c>
      <c r="K299" s="6">
        <v>0</v>
      </c>
      <c r="M299" s="6">
        <v>0</v>
      </c>
      <c r="O299" s="6">
        <v>458013</v>
      </c>
      <c r="Q299" s="6">
        <v>371845</v>
      </c>
      <c r="S299" s="6">
        <v>17082</v>
      </c>
      <c r="U299" s="6">
        <v>1434312</v>
      </c>
      <c r="W299" s="6">
        <v>421066</v>
      </c>
      <c r="Y299" s="6">
        <v>2987</v>
      </c>
      <c r="AA299" s="6">
        <v>1112482</v>
      </c>
      <c r="AC299" s="6">
        <v>638345</v>
      </c>
      <c r="AE299" s="6">
        <v>28205</v>
      </c>
      <c r="AG299" s="6">
        <v>0</v>
      </c>
      <c r="AI299" s="6">
        <v>0</v>
      </c>
      <c r="AJ299" s="11" t="s">
        <v>526</v>
      </c>
      <c r="AK299" s="11"/>
      <c r="AL299" s="11" t="s">
        <v>64</v>
      </c>
      <c r="AN299" s="6">
        <v>252065</v>
      </c>
      <c r="AP299" s="6">
        <v>129583</v>
      </c>
      <c r="AT299" s="6">
        <v>9509</v>
      </c>
      <c r="AV299" s="6">
        <v>85776</v>
      </c>
      <c r="AX299" s="6">
        <v>0</v>
      </c>
      <c r="AZ299" s="6">
        <f t="shared" si="59"/>
        <v>14866380</v>
      </c>
      <c r="BB299" s="6">
        <v>205912</v>
      </c>
      <c r="BD299" s="6">
        <v>0</v>
      </c>
      <c r="BF299" s="6">
        <v>0</v>
      </c>
      <c r="BH299" s="6">
        <v>0</v>
      </c>
      <c r="BJ299" s="6">
        <f t="shared" si="60"/>
        <v>15072292</v>
      </c>
      <c r="BL299" s="6">
        <f>+'Gen Fd Rev'!AK299-'Gen Fd Exp'!BJ299</f>
        <v>-549003</v>
      </c>
      <c r="BN299" s="6">
        <v>-3769313</v>
      </c>
      <c r="BP299" s="6">
        <v>0</v>
      </c>
      <c r="BR299" s="6">
        <v>0</v>
      </c>
      <c r="BT299" s="6">
        <f t="shared" si="55"/>
        <v>-4318316</v>
      </c>
      <c r="BV299" s="7">
        <f>+BT299-'Gen Fd BS'!AC299+BR299</f>
        <v>0</v>
      </c>
    </row>
    <row r="300" spans="1:74">
      <c r="A300" s="11" t="s">
        <v>744</v>
      </c>
      <c r="B300" s="11"/>
      <c r="C300" s="11" t="s">
        <v>25</v>
      </c>
      <c r="E300" s="6">
        <v>4753898</v>
      </c>
      <c r="G300" s="6">
        <v>1133760</v>
      </c>
      <c r="I300" s="6">
        <v>245309</v>
      </c>
      <c r="K300" s="6">
        <v>0</v>
      </c>
      <c r="M300" s="6">
        <f>486+56794</f>
        <v>57280</v>
      </c>
      <c r="O300" s="6">
        <v>760453</v>
      </c>
      <c r="Q300" s="6">
        <v>671087</v>
      </c>
      <c r="S300" s="6">
        <v>127541</v>
      </c>
      <c r="U300" s="6">
        <v>1065393</v>
      </c>
      <c r="W300" s="6">
        <v>613211</v>
      </c>
      <c r="Y300" s="6">
        <v>0</v>
      </c>
      <c r="AA300" s="6">
        <v>1671163</v>
      </c>
      <c r="AC300" s="6">
        <v>973645</v>
      </c>
      <c r="AE300" s="6">
        <v>0</v>
      </c>
      <c r="AG300" s="6">
        <v>0</v>
      </c>
      <c r="AI300" s="6">
        <v>480</v>
      </c>
      <c r="AJ300" s="11" t="s">
        <v>744</v>
      </c>
      <c r="AK300" s="11"/>
      <c r="AL300" s="11" t="s">
        <v>25</v>
      </c>
      <c r="AN300" s="6">
        <v>339817</v>
      </c>
      <c r="AP300" s="6">
        <v>3017</v>
      </c>
      <c r="AT300" s="6">
        <v>22162</v>
      </c>
      <c r="AV300" s="6">
        <v>2036</v>
      </c>
      <c r="AX300" s="6">
        <v>0</v>
      </c>
      <c r="AZ300" s="6">
        <f t="shared" si="59"/>
        <v>12440252</v>
      </c>
      <c r="BB300" s="6">
        <v>0</v>
      </c>
      <c r="BD300" s="6">
        <v>0</v>
      </c>
      <c r="BF300" s="6">
        <v>0</v>
      </c>
      <c r="BH300" s="6">
        <v>0</v>
      </c>
      <c r="BJ300" s="6">
        <f t="shared" si="60"/>
        <v>12440252</v>
      </c>
      <c r="BL300" s="6">
        <f>+'Gen Fd Rev'!AK300-'Gen Fd Exp'!BJ300</f>
        <v>-258655</v>
      </c>
      <c r="BN300" s="6">
        <v>4521489</v>
      </c>
      <c r="BP300" s="6">
        <v>0</v>
      </c>
      <c r="BR300" s="6">
        <v>0</v>
      </c>
      <c r="BT300" s="6">
        <f t="shared" si="55"/>
        <v>4262834</v>
      </c>
      <c r="BV300" s="7">
        <f>+BT300-'Gen Fd BS'!AC300+BR300</f>
        <v>0</v>
      </c>
    </row>
    <row r="301" spans="1:74" hidden="1">
      <c r="A301" s="11" t="s">
        <v>874</v>
      </c>
      <c r="B301" s="11"/>
      <c r="C301" s="11" t="s">
        <v>42</v>
      </c>
      <c r="E301" s="6">
        <v>0</v>
      </c>
      <c r="G301" s="6">
        <v>0</v>
      </c>
      <c r="I301" s="6">
        <v>0</v>
      </c>
      <c r="K301" s="6">
        <v>0</v>
      </c>
      <c r="M301" s="6">
        <v>0</v>
      </c>
      <c r="O301" s="6">
        <v>0</v>
      </c>
      <c r="Q301" s="6">
        <v>0</v>
      </c>
      <c r="S301" s="6">
        <v>0</v>
      </c>
      <c r="U301" s="6">
        <v>0</v>
      </c>
      <c r="W301" s="6">
        <v>0</v>
      </c>
      <c r="Y301" s="6">
        <v>0</v>
      </c>
      <c r="AA301" s="6">
        <v>0</v>
      </c>
      <c r="AC301" s="6">
        <v>0</v>
      </c>
      <c r="AE301" s="6">
        <v>0</v>
      </c>
      <c r="AG301" s="6">
        <v>0</v>
      </c>
      <c r="AI301" s="6">
        <v>0</v>
      </c>
      <c r="AJ301" s="11" t="s">
        <v>874</v>
      </c>
      <c r="AK301" s="11"/>
      <c r="AL301" s="11" t="s">
        <v>42</v>
      </c>
      <c r="AN301" s="6">
        <v>0</v>
      </c>
      <c r="AP301" s="6">
        <v>0</v>
      </c>
      <c r="AT301" s="6">
        <v>0</v>
      </c>
      <c r="AV301" s="6">
        <v>0</v>
      </c>
      <c r="AX301" s="6">
        <v>0</v>
      </c>
      <c r="AZ301" s="6">
        <f t="shared" si="59"/>
        <v>0</v>
      </c>
      <c r="BB301" s="6">
        <v>0</v>
      </c>
      <c r="BD301" s="6">
        <v>0</v>
      </c>
      <c r="BF301" s="6">
        <v>0</v>
      </c>
      <c r="BH301" s="6">
        <v>0</v>
      </c>
      <c r="BJ301" s="6">
        <f t="shared" si="60"/>
        <v>0</v>
      </c>
      <c r="BL301" s="6">
        <f>+'Gen Fd Rev'!AK301-'Gen Fd Exp'!BJ301</f>
        <v>0</v>
      </c>
      <c r="BP301" s="6">
        <v>0</v>
      </c>
      <c r="BR301" s="6">
        <v>0</v>
      </c>
      <c r="BT301" s="6">
        <f t="shared" ref="BT301:BT320" si="61">+BN301+BL301-BP301</f>
        <v>0</v>
      </c>
      <c r="BV301" s="7">
        <f>+BT301-'Gen Fd BS'!AC301+BR301</f>
        <v>0</v>
      </c>
    </row>
    <row r="302" spans="1:74">
      <c r="A302" s="11" t="s">
        <v>375</v>
      </c>
      <c r="B302" s="11"/>
      <c r="C302" s="11" t="s">
        <v>42</v>
      </c>
      <c r="D302" s="9"/>
      <c r="E302" s="6">
        <v>6658355</v>
      </c>
      <c r="G302" s="6">
        <v>1429211</v>
      </c>
      <c r="I302" s="6">
        <v>308846</v>
      </c>
      <c r="K302" s="6">
        <v>0</v>
      </c>
      <c r="M302" s="6">
        <v>48756</v>
      </c>
      <c r="O302" s="6">
        <v>405704</v>
      </c>
      <c r="Q302" s="6">
        <v>775345</v>
      </c>
      <c r="S302" s="6">
        <v>31332</v>
      </c>
      <c r="U302" s="6">
        <v>2079849</v>
      </c>
      <c r="W302" s="6">
        <v>464891</v>
      </c>
      <c r="Y302" s="6">
        <v>136622</v>
      </c>
      <c r="AA302" s="6">
        <v>1674163</v>
      </c>
      <c r="AC302" s="6">
        <v>1392811</v>
      </c>
      <c r="AE302" s="6">
        <v>159594</v>
      </c>
      <c r="AG302" s="6">
        <v>0</v>
      </c>
      <c r="AI302" s="6">
        <v>0</v>
      </c>
      <c r="AJ302" s="11" t="s">
        <v>375</v>
      </c>
      <c r="AK302" s="11"/>
      <c r="AL302" s="11" t="s">
        <v>42</v>
      </c>
      <c r="AN302" s="6">
        <v>261607</v>
      </c>
      <c r="AP302" s="6">
        <v>43264</v>
      </c>
      <c r="AT302" s="6">
        <v>306171</v>
      </c>
      <c r="AV302" s="6">
        <v>88677</v>
      </c>
      <c r="AX302" s="6">
        <v>0</v>
      </c>
      <c r="AZ302" s="6">
        <f t="shared" si="59"/>
        <v>16265198</v>
      </c>
      <c r="BB302" s="6">
        <v>188529</v>
      </c>
      <c r="BD302" s="6">
        <v>0</v>
      </c>
      <c r="BF302" s="6">
        <v>0</v>
      </c>
      <c r="BH302" s="6">
        <v>0</v>
      </c>
      <c r="BJ302" s="6">
        <f t="shared" si="60"/>
        <v>16453727</v>
      </c>
      <c r="BL302" s="6">
        <f>+'Gen Fd Rev'!AK302-'Gen Fd Exp'!BJ302</f>
        <v>-28478</v>
      </c>
      <c r="BN302" s="6">
        <v>5924245</v>
      </c>
      <c r="BP302" s="6">
        <v>0</v>
      </c>
      <c r="BR302" s="6">
        <v>0</v>
      </c>
      <c r="BT302" s="6">
        <f t="shared" si="61"/>
        <v>5895767</v>
      </c>
      <c r="BV302" s="7">
        <f>+BT302-'Gen Fd BS'!AC302+BR302</f>
        <v>0</v>
      </c>
    </row>
    <row r="303" spans="1:74" hidden="1">
      <c r="A303" s="11" t="s">
        <v>682</v>
      </c>
      <c r="B303" s="11"/>
      <c r="C303" s="11" t="s">
        <v>10</v>
      </c>
      <c r="D303" s="9"/>
      <c r="AJ303" s="11" t="s">
        <v>682</v>
      </c>
      <c r="AK303" s="11"/>
      <c r="AL303" s="11" t="s">
        <v>10</v>
      </c>
      <c r="AX303" s="6">
        <v>0</v>
      </c>
      <c r="AZ303" s="6">
        <f t="shared" si="59"/>
        <v>0</v>
      </c>
      <c r="BB303" s="6">
        <v>0</v>
      </c>
      <c r="BD303" s="6">
        <v>0</v>
      </c>
      <c r="BF303" s="6">
        <v>0</v>
      </c>
      <c r="BH303" s="6">
        <v>0</v>
      </c>
      <c r="BJ303" s="6">
        <f t="shared" si="60"/>
        <v>0</v>
      </c>
      <c r="BL303" s="6">
        <f>+'Gen Fd Rev'!AK303-'Gen Fd Exp'!BJ303</f>
        <v>0</v>
      </c>
      <c r="BR303" s="6">
        <v>0</v>
      </c>
      <c r="BT303" s="6">
        <f t="shared" si="61"/>
        <v>0</v>
      </c>
      <c r="BV303" s="7">
        <f>+BT303-'Gen Fd BS'!AC303+BR303</f>
        <v>0</v>
      </c>
    </row>
    <row r="304" spans="1:74">
      <c r="A304" s="11" t="s">
        <v>541</v>
      </c>
      <c r="B304" s="11"/>
      <c r="C304" s="11" t="s">
        <v>67</v>
      </c>
      <c r="E304" s="6">
        <v>3438263</v>
      </c>
      <c r="G304" s="6">
        <v>919974</v>
      </c>
      <c r="I304" s="6">
        <v>161064</v>
      </c>
      <c r="K304" s="6">
        <v>664</v>
      </c>
      <c r="M304" s="6">
        <v>832412</v>
      </c>
      <c r="O304" s="6">
        <v>165700</v>
      </c>
      <c r="Q304" s="6">
        <v>250711</v>
      </c>
      <c r="S304" s="6">
        <v>32296</v>
      </c>
      <c r="U304" s="6">
        <v>636575</v>
      </c>
      <c r="W304" s="6">
        <v>270054</v>
      </c>
      <c r="Y304" s="6">
        <v>0</v>
      </c>
      <c r="AA304" s="6">
        <v>547807</v>
      </c>
      <c r="AC304" s="6">
        <v>373398</v>
      </c>
      <c r="AE304" s="6">
        <v>15972</v>
      </c>
      <c r="AG304" s="6">
        <v>0</v>
      </c>
      <c r="AI304" s="6">
        <v>0</v>
      </c>
      <c r="AJ304" s="11" t="s">
        <v>541</v>
      </c>
      <c r="AK304" s="11"/>
      <c r="AL304" s="11" t="s">
        <v>67</v>
      </c>
      <c r="AN304" s="6">
        <v>140270</v>
      </c>
      <c r="AP304" s="6">
        <v>0</v>
      </c>
      <c r="AT304" s="6">
        <v>0</v>
      </c>
      <c r="AV304" s="6">
        <v>0</v>
      </c>
      <c r="AX304" s="6">
        <v>0</v>
      </c>
      <c r="AZ304" s="6">
        <f t="shared" si="59"/>
        <v>7785160</v>
      </c>
      <c r="BB304" s="6">
        <v>0</v>
      </c>
      <c r="BD304" s="6">
        <v>0</v>
      </c>
      <c r="BF304" s="6">
        <v>0</v>
      </c>
      <c r="BH304" s="6">
        <v>0</v>
      </c>
      <c r="BJ304" s="6">
        <f t="shared" si="60"/>
        <v>7785160</v>
      </c>
      <c r="BL304" s="6">
        <f>+'Gen Fd Rev'!AK304-'Gen Fd Exp'!BJ304</f>
        <v>783490</v>
      </c>
      <c r="BN304" s="6">
        <v>9641343</v>
      </c>
      <c r="BP304" s="6">
        <v>0</v>
      </c>
      <c r="BR304" s="6">
        <v>0</v>
      </c>
      <c r="BT304" s="6">
        <f t="shared" si="61"/>
        <v>10424833</v>
      </c>
      <c r="BV304" s="7">
        <f>+BT304-'Gen Fd BS'!AC304+BR304</f>
        <v>0</v>
      </c>
    </row>
    <row r="305" spans="1:74">
      <c r="A305" s="11" t="s">
        <v>766</v>
      </c>
      <c r="B305" s="11"/>
      <c r="C305" s="11" t="s">
        <v>112</v>
      </c>
      <c r="E305" s="6">
        <v>4321451</v>
      </c>
      <c r="G305" s="6">
        <v>845805</v>
      </c>
      <c r="I305" s="6">
        <v>50191</v>
      </c>
      <c r="K305" s="6">
        <v>0</v>
      </c>
      <c r="M305" s="6">
        <v>32016</v>
      </c>
      <c r="O305" s="6">
        <v>485294</v>
      </c>
      <c r="Q305" s="6">
        <v>287661</v>
      </c>
      <c r="S305" s="6">
        <v>36245</v>
      </c>
      <c r="U305" s="6">
        <v>752506</v>
      </c>
      <c r="W305" s="6">
        <v>303327</v>
      </c>
      <c r="Y305" s="6">
        <v>0</v>
      </c>
      <c r="AA305" s="6">
        <v>601875</v>
      </c>
      <c r="AC305" s="6">
        <v>371025</v>
      </c>
      <c r="AE305" s="6">
        <v>53871</v>
      </c>
      <c r="AG305" s="6">
        <v>0</v>
      </c>
      <c r="AI305" s="6">
        <v>0</v>
      </c>
      <c r="AJ305" s="11" t="s">
        <v>766</v>
      </c>
      <c r="AK305" s="11"/>
      <c r="AL305" s="11" t="s">
        <v>112</v>
      </c>
      <c r="AN305" s="6">
        <v>251720</v>
      </c>
      <c r="AP305" s="6">
        <v>0</v>
      </c>
      <c r="AT305" s="6">
        <v>55248</v>
      </c>
      <c r="AV305" s="6">
        <v>70041</v>
      </c>
      <c r="AX305" s="6">
        <v>0</v>
      </c>
      <c r="AZ305" s="6">
        <f t="shared" si="59"/>
        <v>8518276</v>
      </c>
      <c r="BB305" s="6">
        <v>0</v>
      </c>
      <c r="BD305" s="6">
        <v>0</v>
      </c>
      <c r="BF305" s="6">
        <v>0</v>
      </c>
      <c r="BH305" s="6">
        <v>0</v>
      </c>
      <c r="BJ305" s="6">
        <f t="shared" si="60"/>
        <v>8518276</v>
      </c>
      <c r="BL305" s="6">
        <f>+'Gen Fd Rev'!AK305-'Gen Fd Exp'!BJ305</f>
        <v>-333384</v>
      </c>
      <c r="BN305" s="6">
        <v>3312595</v>
      </c>
      <c r="BP305" s="6">
        <v>0</v>
      </c>
      <c r="BR305" s="6">
        <v>0</v>
      </c>
      <c r="BT305" s="6">
        <f t="shared" si="61"/>
        <v>2979211</v>
      </c>
      <c r="BV305" s="7">
        <f>+BT305-'Gen Fd BS'!AC305+BR305</f>
        <v>0</v>
      </c>
    </row>
    <row r="306" spans="1:74">
      <c r="A306" s="11" t="s">
        <v>545</v>
      </c>
      <c r="B306" s="11"/>
      <c r="C306" s="11" t="s">
        <v>69</v>
      </c>
      <c r="E306" s="6">
        <v>12078954</v>
      </c>
      <c r="G306" s="6">
        <v>3793640</v>
      </c>
      <c r="I306" s="6">
        <v>0</v>
      </c>
      <c r="K306" s="6">
        <v>0</v>
      </c>
      <c r="M306" s="6">
        <v>2903905</v>
      </c>
      <c r="O306" s="6">
        <v>1180254</v>
      </c>
      <c r="Q306" s="6">
        <v>343939</v>
      </c>
      <c r="S306" s="6">
        <v>21763</v>
      </c>
      <c r="U306" s="6">
        <v>1920534</v>
      </c>
      <c r="W306" s="6">
        <v>494676</v>
      </c>
      <c r="Y306" s="6">
        <v>180312</v>
      </c>
      <c r="AA306" s="6">
        <v>2117846</v>
      </c>
      <c r="AC306" s="6">
        <v>2519571</v>
      </c>
      <c r="AE306" s="6">
        <v>304382</v>
      </c>
      <c r="AG306" s="6">
        <v>0</v>
      </c>
      <c r="AI306" s="6">
        <v>0</v>
      </c>
      <c r="AJ306" s="11" t="s">
        <v>545</v>
      </c>
      <c r="AK306" s="11"/>
      <c r="AL306" s="11" t="s">
        <v>69</v>
      </c>
      <c r="AN306" s="6">
        <v>347015</v>
      </c>
      <c r="AP306" s="6">
        <v>341600</v>
      </c>
      <c r="AT306" s="6">
        <v>0</v>
      </c>
      <c r="AV306" s="6">
        <v>0</v>
      </c>
      <c r="AX306" s="6">
        <v>0</v>
      </c>
      <c r="AZ306" s="6">
        <f t="shared" ref="AZ306:AZ318" si="62">SUM(E306:AX306)</f>
        <v>28548391</v>
      </c>
      <c r="BB306" s="6">
        <v>0</v>
      </c>
      <c r="BD306" s="6">
        <v>0</v>
      </c>
      <c r="BF306" s="6">
        <v>0</v>
      </c>
      <c r="BH306" s="6">
        <v>0</v>
      </c>
      <c r="BJ306" s="6">
        <f t="shared" si="60"/>
        <v>28548391</v>
      </c>
      <c r="BL306" s="6">
        <f>+'Gen Fd Rev'!AK306-'Gen Fd Exp'!BJ306</f>
        <v>5028895</v>
      </c>
      <c r="BN306" s="6">
        <v>-5519698</v>
      </c>
      <c r="BP306" s="6">
        <v>0</v>
      </c>
      <c r="BR306" s="6">
        <v>0</v>
      </c>
      <c r="BT306" s="6">
        <f t="shared" si="61"/>
        <v>-490803</v>
      </c>
      <c r="BV306" s="7">
        <f>+BT306-'Gen Fd BS'!AC306+BR306</f>
        <v>0</v>
      </c>
    </row>
    <row r="307" spans="1:74" hidden="1">
      <c r="A307" s="11" t="s">
        <v>800</v>
      </c>
      <c r="B307" s="11"/>
      <c r="C307" s="11" t="s">
        <v>32</v>
      </c>
      <c r="E307" s="6">
        <v>0</v>
      </c>
      <c r="G307" s="6">
        <v>0</v>
      </c>
      <c r="I307" s="6">
        <v>0</v>
      </c>
      <c r="K307" s="6">
        <v>0</v>
      </c>
      <c r="M307" s="6">
        <v>0</v>
      </c>
      <c r="O307" s="6">
        <v>0</v>
      </c>
      <c r="Q307" s="6">
        <v>0</v>
      </c>
      <c r="S307" s="6">
        <v>0</v>
      </c>
      <c r="U307" s="6">
        <v>0</v>
      </c>
      <c r="W307" s="6">
        <v>0</v>
      </c>
      <c r="Y307" s="6">
        <v>0</v>
      </c>
      <c r="AA307" s="6">
        <v>0</v>
      </c>
      <c r="AC307" s="6">
        <v>0</v>
      </c>
      <c r="AE307" s="6">
        <v>0</v>
      </c>
      <c r="AG307" s="6">
        <v>0</v>
      </c>
      <c r="AI307" s="6">
        <v>0</v>
      </c>
      <c r="AJ307" s="11" t="s">
        <v>800</v>
      </c>
      <c r="AK307" s="11"/>
      <c r="AL307" s="11" t="s">
        <v>32</v>
      </c>
      <c r="AN307" s="6">
        <v>0</v>
      </c>
      <c r="AP307" s="6">
        <v>0</v>
      </c>
      <c r="AT307" s="6">
        <v>0</v>
      </c>
      <c r="AV307" s="6">
        <v>0</v>
      </c>
      <c r="AX307" s="6">
        <v>0</v>
      </c>
      <c r="AZ307" s="6">
        <f t="shared" si="62"/>
        <v>0</v>
      </c>
      <c r="BB307" s="6">
        <v>0</v>
      </c>
      <c r="BD307" s="6">
        <v>0</v>
      </c>
      <c r="BF307" s="6">
        <v>0</v>
      </c>
      <c r="BH307" s="6">
        <v>0</v>
      </c>
      <c r="BJ307" s="6">
        <f t="shared" si="60"/>
        <v>0</v>
      </c>
      <c r="BL307" s="6">
        <f>+'Gen Fd Rev'!AK307-'Gen Fd Exp'!BJ307</f>
        <v>0</v>
      </c>
      <c r="BR307" s="6">
        <v>0</v>
      </c>
      <c r="BT307" s="6">
        <f t="shared" si="61"/>
        <v>0</v>
      </c>
      <c r="BV307" s="7">
        <f>+BT307-'Gen Fd BS'!AC307+BR307</f>
        <v>0</v>
      </c>
    </row>
    <row r="308" spans="1:74">
      <c r="A308" s="11" t="s">
        <v>453</v>
      </c>
      <c r="B308" s="11"/>
      <c r="C308" s="11" t="s">
        <v>54</v>
      </c>
      <c r="E308" s="6">
        <v>8709684</v>
      </c>
      <c r="G308" s="6">
        <v>1503756</v>
      </c>
      <c r="I308" s="6">
        <v>13674</v>
      </c>
      <c r="K308" s="6">
        <v>0</v>
      </c>
      <c r="M308" s="6">
        <v>13151</v>
      </c>
      <c r="O308" s="6">
        <v>846535</v>
      </c>
      <c r="Q308" s="6">
        <v>599707</v>
      </c>
      <c r="S308" s="6">
        <v>80677</v>
      </c>
      <c r="U308" s="6">
        <v>1362298</v>
      </c>
      <c r="W308" s="6">
        <v>517810</v>
      </c>
      <c r="Y308" s="6">
        <v>0</v>
      </c>
      <c r="AA308" s="6">
        <v>1723003</v>
      </c>
      <c r="AC308" s="6">
        <v>1577643</v>
      </c>
      <c r="AE308" s="6">
        <v>454143</v>
      </c>
      <c r="AG308" s="6">
        <v>0</v>
      </c>
      <c r="AI308" s="6">
        <v>0</v>
      </c>
      <c r="AJ308" s="11" t="s">
        <v>453</v>
      </c>
      <c r="AK308" s="11"/>
      <c r="AL308" s="11" t="s">
        <v>54</v>
      </c>
      <c r="AN308" s="6">
        <v>288956</v>
      </c>
      <c r="AP308" s="6">
        <v>0</v>
      </c>
      <c r="AT308" s="6">
        <v>0</v>
      </c>
      <c r="AV308" s="6">
        <v>0</v>
      </c>
      <c r="AX308" s="6">
        <v>0</v>
      </c>
      <c r="AZ308" s="6">
        <f t="shared" si="62"/>
        <v>17691037</v>
      </c>
      <c r="BB308" s="6">
        <v>0</v>
      </c>
      <c r="BD308" s="6">
        <v>0</v>
      </c>
      <c r="BF308" s="6">
        <v>0</v>
      </c>
      <c r="BH308" s="6">
        <v>0</v>
      </c>
      <c r="BJ308" s="6">
        <f t="shared" si="60"/>
        <v>17691037</v>
      </c>
      <c r="BL308" s="6">
        <f>+'Gen Fd Rev'!AK308-'Gen Fd Exp'!BJ308</f>
        <v>-217963</v>
      </c>
      <c r="BN308" s="6">
        <v>5950902</v>
      </c>
      <c r="BP308" s="6">
        <v>0</v>
      </c>
      <c r="BR308" s="6">
        <v>0</v>
      </c>
      <c r="BT308" s="6">
        <f t="shared" si="61"/>
        <v>5732939</v>
      </c>
      <c r="BV308" s="7">
        <f>+BT308-'Gen Fd BS'!AC308+BR308</f>
        <v>0</v>
      </c>
    </row>
    <row r="309" spans="1:74">
      <c r="A309" s="11" t="s">
        <v>352</v>
      </c>
      <c r="B309" s="11"/>
      <c r="C309" s="11" t="s">
        <v>35</v>
      </c>
      <c r="E309" s="6">
        <v>14391009</v>
      </c>
      <c r="G309" s="6">
        <v>4164842</v>
      </c>
      <c r="I309" s="6">
        <v>492158</v>
      </c>
      <c r="K309" s="6">
        <v>0</v>
      </c>
      <c r="M309" s="6">
        <v>6094</v>
      </c>
      <c r="O309" s="6">
        <v>2366492</v>
      </c>
      <c r="Q309" s="6">
        <v>1149007</v>
      </c>
      <c r="S309" s="6">
        <v>96335</v>
      </c>
      <c r="U309" s="6">
        <v>3069426</v>
      </c>
      <c r="W309" s="6">
        <v>838538</v>
      </c>
      <c r="Y309" s="6">
        <v>0</v>
      </c>
      <c r="AA309" s="6">
        <v>3374630</v>
      </c>
      <c r="AC309" s="6">
        <v>2869125</v>
      </c>
      <c r="AE309" s="6">
        <v>0</v>
      </c>
      <c r="AG309" s="6">
        <v>0</v>
      </c>
      <c r="AI309" s="6">
        <v>17752</v>
      </c>
      <c r="AJ309" s="11" t="s">
        <v>352</v>
      </c>
      <c r="AK309" s="11"/>
      <c r="AL309" s="11" t="s">
        <v>35</v>
      </c>
      <c r="AN309" s="6">
        <v>478899</v>
      </c>
      <c r="AP309" s="6">
        <v>0</v>
      </c>
      <c r="AT309" s="6">
        <v>8322</v>
      </c>
      <c r="AV309" s="6">
        <v>1933</v>
      </c>
      <c r="AX309" s="6">
        <v>0</v>
      </c>
      <c r="AZ309" s="6">
        <f t="shared" si="62"/>
        <v>33324562</v>
      </c>
      <c r="BB309" s="6">
        <v>90000</v>
      </c>
      <c r="BD309" s="6">
        <v>0</v>
      </c>
      <c r="BF309" s="6">
        <v>0</v>
      </c>
      <c r="BH309" s="6">
        <v>0</v>
      </c>
      <c r="BJ309" s="6">
        <f t="shared" si="60"/>
        <v>33414562</v>
      </c>
      <c r="BL309" s="6">
        <f>+'Gen Fd Rev'!AK309-'Gen Fd Exp'!BJ309</f>
        <v>-1480108</v>
      </c>
      <c r="BN309" s="6">
        <v>6693642</v>
      </c>
      <c r="BP309" s="6">
        <v>17615</v>
      </c>
      <c r="BR309" s="6">
        <v>0</v>
      </c>
      <c r="BT309" s="6">
        <f t="shared" si="61"/>
        <v>5195919</v>
      </c>
      <c r="BV309" s="7">
        <f>+BT309-'Gen Fd BS'!AC309+BR309</f>
        <v>0</v>
      </c>
    </row>
    <row r="310" spans="1:74">
      <c r="A310" s="11" t="s">
        <v>400</v>
      </c>
      <c r="B310" s="11"/>
      <c r="C310" s="11" t="s">
        <v>398</v>
      </c>
      <c r="E310" s="6">
        <v>8916198</v>
      </c>
      <c r="G310" s="6">
        <v>2038856</v>
      </c>
      <c r="I310" s="6">
        <v>292870</v>
      </c>
      <c r="K310" s="6">
        <v>0</v>
      </c>
      <c r="M310" s="6">
        <v>1154</v>
      </c>
      <c r="O310" s="6">
        <v>890591</v>
      </c>
      <c r="Q310" s="6">
        <v>492905</v>
      </c>
      <c r="S310" s="6">
        <v>97692</v>
      </c>
      <c r="U310" s="6">
        <v>1496763</v>
      </c>
      <c r="W310" s="6">
        <v>524035</v>
      </c>
      <c r="Y310" s="6">
        <v>28554</v>
      </c>
      <c r="AA310" s="6">
        <v>1988195</v>
      </c>
      <c r="AC310" s="6">
        <v>646897</v>
      </c>
      <c r="AE310" s="6">
        <v>318835</v>
      </c>
      <c r="AG310" s="6">
        <v>0</v>
      </c>
      <c r="AI310" s="6">
        <v>0</v>
      </c>
      <c r="AJ310" s="11" t="s">
        <v>400</v>
      </c>
      <c r="AK310" s="11"/>
      <c r="AL310" s="11" t="s">
        <v>398</v>
      </c>
      <c r="AN310" s="6">
        <v>397621</v>
      </c>
      <c r="AP310" s="6">
        <v>0</v>
      </c>
      <c r="AT310" s="6">
        <v>0</v>
      </c>
      <c r="AV310" s="6">
        <v>0</v>
      </c>
      <c r="AX310" s="6">
        <v>0</v>
      </c>
      <c r="AZ310" s="6">
        <f t="shared" si="62"/>
        <v>18131166</v>
      </c>
      <c r="BB310" s="6">
        <v>0</v>
      </c>
      <c r="BD310" s="6">
        <v>0</v>
      </c>
      <c r="BF310" s="6">
        <v>0</v>
      </c>
      <c r="BH310" s="6">
        <v>0</v>
      </c>
      <c r="BJ310" s="6">
        <f t="shared" si="60"/>
        <v>18131166</v>
      </c>
      <c r="BL310" s="6">
        <f>+'Gen Fd Rev'!AK310-'Gen Fd Exp'!BJ310</f>
        <v>1987831</v>
      </c>
      <c r="BN310" s="6">
        <v>1089188</v>
      </c>
      <c r="BP310" s="6">
        <v>0</v>
      </c>
      <c r="BR310" s="6">
        <v>0</v>
      </c>
      <c r="BT310" s="6">
        <f t="shared" si="61"/>
        <v>3077019</v>
      </c>
      <c r="BV310" s="7">
        <f>+BT310-'Gen Fd BS'!AC310+BR310</f>
        <v>0</v>
      </c>
    </row>
    <row r="311" spans="1:74">
      <c r="A311" s="11" t="s">
        <v>386</v>
      </c>
      <c r="B311" s="11"/>
      <c r="C311" s="11" t="s">
        <v>44</v>
      </c>
      <c r="E311" s="6">
        <v>32422875</v>
      </c>
      <c r="G311" s="6">
        <v>9266982</v>
      </c>
      <c r="I311" s="6">
        <v>2570274</v>
      </c>
      <c r="K311" s="6">
        <v>0</v>
      </c>
      <c r="M311" s="6">
        <v>19009452</v>
      </c>
      <c r="O311" s="6">
        <v>2724239</v>
      </c>
      <c r="Q311" s="6">
        <v>1907077</v>
      </c>
      <c r="S311" s="6">
        <v>330965</v>
      </c>
      <c r="U311" s="6">
        <v>5839414</v>
      </c>
      <c r="W311" s="6">
        <v>1111657</v>
      </c>
      <c r="Y311" s="6">
        <v>383985</v>
      </c>
      <c r="AA311" s="6">
        <v>7260107</v>
      </c>
      <c r="AC311" s="6">
        <v>2756796</v>
      </c>
      <c r="AE311" s="6">
        <v>626284</v>
      </c>
      <c r="AG311" s="6">
        <v>0</v>
      </c>
      <c r="AI311" s="6">
        <v>118625</v>
      </c>
      <c r="AJ311" s="11" t="s">
        <v>386</v>
      </c>
      <c r="AK311" s="11"/>
      <c r="AL311" s="11" t="s">
        <v>44</v>
      </c>
      <c r="AN311" s="6">
        <v>1039711</v>
      </c>
      <c r="AP311" s="6">
        <v>55821</v>
      </c>
      <c r="AT311" s="6">
        <v>0</v>
      </c>
      <c r="AV311" s="6">
        <v>154870</v>
      </c>
      <c r="AX311" s="6">
        <v>0</v>
      </c>
      <c r="AZ311" s="6">
        <f t="shared" si="62"/>
        <v>87579134</v>
      </c>
      <c r="BB311" s="6">
        <v>379685</v>
      </c>
      <c r="BD311" s="6">
        <v>0</v>
      </c>
      <c r="BF311" s="6">
        <v>0</v>
      </c>
      <c r="BH311" s="6">
        <v>0</v>
      </c>
      <c r="BJ311" s="6">
        <f t="shared" si="60"/>
        <v>87958819</v>
      </c>
      <c r="BL311" s="6">
        <f>+'Gen Fd Rev'!AK311-'Gen Fd Exp'!BJ311</f>
        <v>-1136740</v>
      </c>
      <c r="BN311" s="6">
        <v>-326522</v>
      </c>
      <c r="BP311" s="6">
        <v>0</v>
      </c>
      <c r="BR311" s="6">
        <v>0</v>
      </c>
      <c r="BT311" s="6">
        <f t="shared" si="61"/>
        <v>-1463262</v>
      </c>
      <c r="BV311" s="7">
        <f>+BT311-'Gen Fd BS'!AC311+BR311</f>
        <v>0</v>
      </c>
    </row>
    <row r="312" spans="1:74">
      <c r="A312" s="11" t="s">
        <v>527</v>
      </c>
      <c r="B312" s="11"/>
      <c r="C312" s="11" t="s">
        <v>64</v>
      </c>
      <c r="E312" s="6">
        <v>2765707</v>
      </c>
      <c r="G312" s="6">
        <v>538144</v>
      </c>
      <c r="I312" s="6">
        <v>23717</v>
      </c>
      <c r="K312" s="6">
        <v>0</v>
      </c>
      <c r="M312" s="6">
        <v>286095</v>
      </c>
      <c r="O312" s="6">
        <v>141627</v>
      </c>
      <c r="Q312" s="6">
        <v>110913</v>
      </c>
      <c r="S312" s="6">
        <v>120982</v>
      </c>
      <c r="U312" s="6">
        <v>451836</v>
      </c>
      <c r="W312" s="6">
        <v>318799</v>
      </c>
      <c r="Y312" s="6">
        <v>21769</v>
      </c>
      <c r="AA312" s="6">
        <v>1088798</v>
      </c>
      <c r="AC312" s="6">
        <v>240197</v>
      </c>
      <c r="AE312" s="6">
        <v>0</v>
      </c>
      <c r="AG312" s="6">
        <v>0</v>
      </c>
      <c r="AI312" s="6">
        <v>0</v>
      </c>
      <c r="AJ312" s="11" t="s">
        <v>527</v>
      </c>
      <c r="AK312" s="11"/>
      <c r="AL312" s="11" t="s">
        <v>64</v>
      </c>
      <c r="AN312" s="6">
        <v>183826</v>
      </c>
      <c r="AP312" s="6">
        <v>0</v>
      </c>
      <c r="AT312" s="6">
        <v>10000</v>
      </c>
      <c r="AV312" s="6">
        <v>0</v>
      </c>
      <c r="AX312" s="6">
        <v>0</v>
      </c>
      <c r="AZ312" s="6">
        <f t="shared" si="62"/>
        <v>6302410</v>
      </c>
      <c r="BB312" s="6">
        <v>47000</v>
      </c>
      <c r="BD312" s="6">
        <v>0</v>
      </c>
      <c r="BF312" s="6">
        <v>0</v>
      </c>
      <c r="BH312" s="6">
        <v>0</v>
      </c>
      <c r="BJ312" s="6">
        <f t="shared" si="60"/>
        <v>6349410</v>
      </c>
      <c r="BL312" s="6">
        <f>+'Gen Fd Rev'!AK312-'Gen Fd Exp'!BJ312</f>
        <v>94529</v>
      </c>
      <c r="BN312" s="6">
        <v>865</v>
      </c>
      <c r="BP312" s="6">
        <v>0</v>
      </c>
      <c r="BR312" s="6">
        <v>0</v>
      </c>
      <c r="BT312" s="6">
        <f t="shared" si="61"/>
        <v>95394</v>
      </c>
      <c r="BV312" s="7">
        <f>+BT312-'Gen Fd BS'!AC312+BR312</f>
        <v>0</v>
      </c>
    </row>
    <row r="313" spans="1:74">
      <c r="A313" s="11" t="s">
        <v>683</v>
      </c>
      <c r="B313" s="11"/>
      <c r="C313" s="11" t="s">
        <v>11</v>
      </c>
      <c r="E313" s="6">
        <v>4631404</v>
      </c>
      <c r="G313" s="6">
        <v>705598</v>
      </c>
      <c r="I313" s="6">
        <v>259503</v>
      </c>
      <c r="K313" s="6">
        <v>0</v>
      </c>
      <c r="M313" s="6">
        <v>1143863</v>
      </c>
      <c r="O313" s="6">
        <v>610751</v>
      </c>
      <c r="Q313" s="6">
        <v>847504</v>
      </c>
      <c r="S313" s="6">
        <v>23649</v>
      </c>
      <c r="U313" s="6">
        <v>1064266</v>
      </c>
      <c r="W313" s="6">
        <v>398380</v>
      </c>
      <c r="Y313" s="6">
        <v>7083</v>
      </c>
      <c r="AA313" s="6">
        <v>937241</v>
      </c>
      <c r="AC313" s="6">
        <v>659218</v>
      </c>
      <c r="AE313" s="6">
        <v>110411</v>
      </c>
      <c r="AG313" s="6">
        <v>0</v>
      </c>
      <c r="AI313" s="6">
        <v>18443</v>
      </c>
      <c r="AJ313" s="11" t="s">
        <v>683</v>
      </c>
      <c r="AK313" s="11"/>
      <c r="AL313" s="11" t="s">
        <v>11</v>
      </c>
      <c r="AN313" s="6">
        <v>296887</v>
      </c>
      <c r="AP313" s="6">
        <v>161962</v>
      </c>
      <c r="AT313" s="6">
        <v>67159</v>
      </c>
      <c r="AV313" s="6">
        <v>43329</v>
      </c>
      <c r="AX313" s="6">
        <v>0</v>
      </c>
      <c r="AZ313" s="6">
        <f t="shared" si="62"/>
        <v>11986651</v>
      </c>
      <c r="BB313" s="6">
        <v>0</v>
      </c>
      <c r="BD313" s="6">
        <v>0</v>
      </c>
      <c r="BF313" s="6">
        <v>0</v>
      </c>
      <c r="BH313" s="6">
        <v>0</v>
      </c>
      <c r="BJ313" s="6">
        <f t="shared" si="60"/>
        <v>11986651</v>
      </c>
      <c r="BL313" s="6">
        <f>+'Gen Fd Rev'!AK313-'Gen Fd Exp'!BJ313</f>
        <v>-672402</v>
      </c>
      <c r="BN313" s="6">
        <v>3691284</v>
      </c>
      <c r="BP313" s="6">
        <v>0</v>
      </c>
      <c r="BR313" s="6">
        <v>0</v>
      </c>
      <c r="BT313" s="6">
        <f t="shared" si="61"/>
        <v>3018882</v>
      </c>
      <c r="BV313" s="7">
        <f>+BT313-'Gen Fd BS'!AC313+BR313</f>
        <v>0</v>
      </c>
    </row>
    <row r="314" spans="1:74">
      <c r="A314" s="11" t="s">
        <v>499</v>
      </c>
      <c r="B314" s="11"/>
      <c r="C314" s="11" t="s">
        <v>62</v>
      </c>
      <c r="E314" s="6">
        <v>12226896</v>
      </c>
      <c r="G314" s="6">
        <v>2154650</v>
      </c>
      <c r="I314" s="6">
        <v>350849</v>
      </c>
      <c r="K314" s="6">
        <v>0</v>
      </c>
      <c r="M314" s="6">
        <v>1009132</v>
      </c>
      <c r="O314" s="6">
        <v>1356911</v>
      </c>
      <c r="Q314" s="6">
        <v>754472</v>
      </c>
      <c r="S314" s="6">
        <v>65987</v>
      </c>
      <c r="U314" s="6">
        <v>1817882</v>
      </c>
      <c r="W314" s="6">
        <v>516469</v>
      </c>
      <c r="Y314" s="6">
        <v>117336</v>
      </c>
      <c r="AA314" s="6">
        <v>2431374</v>
      </c>
      <c r="AC314" s="6">
        <v>1164443</v>
      </c>
      <c r="AE314" s="6">
        <v>99370</v>
      </c>
      <c r="AG314" s="6">
        <v>0</v>
      </c>
      <c r="AI314" s="6">
        <v>12715</v>
      </c>
      <c r="AJ314" s="11" t="s">
        <v>499</v>
      </c>
      <c r="AK314" s="11"/>
      <c r="AL314" s="11" t="s">
        <v>62</v>
      </c>
      <c r="AN314" s="6">
        <v>585789</v>
      </c>
      <c r="AP314" s="6">
        <v>16631</v>
      </c>
      <c r="AT314" s="6">
        <v>0</v>
      </c>
      <c r="AV314" s="6">
        <v>0</v>
      </c>
      <c r="AX314" s="6">
        <v>0</v>
      </c>
      <c r="AZ314" s="6">
        <f t="shared" si="62"/>
        <v>24680906</v>
      </c>
      <c r="BB314" s="6">
        <v>57250</v>
      </c>
      <c r="BD314" s="6">
        <v>0</v>
      </c>
      <c r="BF314" s="6">
        <v>0</v>
      </c>
      <c r="BH314" s="6">
        <v>0</v>
      </c>
      <c r="BJ314" s="6">
        <f t="shared" si="60"/>
        <v>24738156</v>
      </c>
      <c r="BL314" s="6">
        <f>+'Gen Fd Rev'!AK314-'Gen Fd Exp'!BJ314</f>
        <v>-2298184</v>
      </c>
      <c r="BN314" s="6">
        <v>2171085</v>
      </c>
      <c r="BP314" s="6">
        <v>0</v>
      </c>
      <c r="BR314" s="6">
        <v>0</v>
      </c>
      <c r="BT314" s="6">
        <f t="shared" si="61"/>
        <v>-127099</v>
      </c>
      <c r="BV314" s="7">
        <f>+BT314-'Gen Fd BS'!AC314+BR314</f>
        <v>0</v>
      </c>
    </row>
    <row r="315" spans="1:74">
      <c r="A315" s="11" t="s">
        <v>324</v>
      </c>
      <c r="B315" s="11"/>
      <c r="C315" s="11" t="s">
        <v>32</v>
      </c>
      <c r="E315" s="6">
        <v>20110755</v>
      </c>
      <c r="G315" s="6">
        <v>5162690</v>
      </c>
      <c r="I315" s="6">
        <v>153905</v>
      </c>
      <c r="K315" s="6">
        <v>0</v>
      </c>
      <c r="M315" s="6">
        <v>788616</v>
      </c>
      <c r="O315" s="6">
        <v>2213949</v>
      </c>
      <c r="Q315" s="6">
        <v>1062556</v>
      </c>
      <c r="S315" s="6">
        <v>85230</v>
      </c>
      <c r="U315" s="6">
        <v>3507034</v>
      </c>
      <c r="W315" s="6">
        <v>995210</v>
      </c>
      <c r="Y315" s="6">
        <v>238379</v>
      </c>
      <c r="AA315" s="6">
        <v>2560406</v>
      </c>
      <c r="AC315" s="6">
        <v>3026911</v>
      </c>
      <c r="AE315" s="6">
        <v>509856</v>
      </c>
      <c r="AG315" s="6">
        <v>0</v>
      </c>
      <c r="AI315" s="6">
        <v>24291</v>
      </c>
      <c r="AJ315" s="11" t="s">
        <v>324</v>
      </c>
      <c r="AK315" s="11"/>
      <c r="AL315" s="11" t="s">
        <v>32</v>
      </c>
      <c r="AN315" s="6">
        <v>1028595</v>
      </c>
      <c r="AP315" s="6">
        <v>26787</v>
      </c>
      <c r="AT315" s="6">
        <v>0</v>
      </c>
      <c r="AV315" s="6">
        <v>0</v>
      </c>
      <c r="AX315" s="6">
        <v>0</v>
      </c>
      <c r="AZ315" s="6">
        <f t="shared" si="62"/>
        <v>41495170</v>
      </c>
      <c r="BB315" s="6">
        <v>0</v>
      </c>
      <c r="BD315" s="6">
        <v>0</v>
      </c>
      <c r="BF315" s="6">
        <v>0</v>
      </c>
      <c r="BH315" s="6">
        <v>0</v>
      </c>
      <c r="BJ315" s="6">
        <f t="shared" si="60"/>
        <v>41495170</v>
      </c>
      <c r="BL315" s="6">
        <f>+'Gen Fd Rev'!AK315-'Gen Fd Exp'!BJ315</f>
        <v>-3697711</v>
      </c>
      <c r="BN315" s="6">
        <v>9267605</v>
      </c>
      <c r="BP315" s="6">
        <v>0</v>
      </c>
      <c r="BR315" s="6">
        <v>0</v>
      </c>
      <c r="BT315" s="6">
        <f t="shared" si="61"/>
        <v>5569894</v>
      </c>
      <c r="BV315" s="7">
        <f>+BT315-'Gen Fd BS'!AC315+BR315</f>
        <v>0</v>
      </c>
    </row>
    <row r="316" spans="1:74">
      <c r="A316" s="11" t="s">
        <v>684</v>
      </c>
      <c r="B316" s="11"/>
      <c r="C316" s="11" t="s">
        <v>45</v>
      </c>
      <c r="E316" s="6">
        <v>2427530</v>
      </c>
      <c r="G316" s="6">
        <v>136312</v>
      </c>
      <c r="I316" s="6">
        <v>32781</v>
      </c>
      <c r="K316" s="6">
        <v>49</v>
      </c>
      <c r="M316" s="6">
        <v>0</v>
      </c>
      <c r="O316" s="6">
        <v>120913</v>
      </c>
      <c r="Q316" s="6">
        <v>310671</v>
      </c>
      <c r="S316" s="6">
        <v>18458</v>
      </c>
      <c r="U316" s="6">
        <v>512772</v>
      </c>
      <c r="W316" s="6">
        <v>151740</v>
      </c>
      <c r="Y316" s="6">
        <v>0</v>
      </c>
      <c r="AA316" s="6">
        <v>447177</v>
      </c>
      <c r="AC316" s="6">
        <v>122139</v>
      </c>
      <c r="AE316" s="6">
        <v>75232</v>
      </c>
      <c r="AG316" s="6">
        <v>0</v>
      </c>
      <c r="AI316" s="6">
        <v>1397</v>
      </c>
      <c r="AJ316" s="11" t="s">
        <v>684</v>
      </c>
      <c r="AK316" s="11"/>
      <c r="AL316" s="11" t="s">
        <v>45</v>
      </c>
      <c r="AN316" s="6">
        <v>214103</v>
      </c>
      <c r="AP316" s="6">
        <v>0</v>
      </c>
      <c r="AT316" s="6">
        <v>0</v>
      </c>
      <c r="AV316" s="6">
        <v>0</v>
      </c>
      <c r="AX316" s="6">
        <v>0</v>
      </c>
      <c r="AZ316" s="6">
        <f t="shared" si="62"/>
        <v>4571274</v>
      </c>
      <c r="BB316" s="6">
        <v>468058</v>
      </c>
      <c r="BD316" s="6">
        <v>0</v>
      </c>
      <c r="BF316" s="6">
        <v>0</v>
      </c>
      <c r="BH316" s="6">
        <v>0</v>
      </c>
      <c r="BJ316" s="6">
        <f t="shared" si="60"/>
        <v>5039332</v>
      </c>
      <c r="BL316" s="6">
        <f>+'Gen Fd Rev'!AK316-'Gen Fd Exp'!BJ316</f>
        <v>-323044</v>
      </c>
      <c r="BN316" s="6">
        <v>2388018</v>
      </c>
      <c r="BP316" s="6">
        <v>0</v>
      </c>
      <c r="BR316" s="6">
        <v>0</v>
      </c>
      <c r="BT316" s="6">
        <f t="shared" si="61"/>
        <v>2064974</v>
      </c>
      <c r="BV316" s="7">
        <f>+BT316-'Gen Fd BS'!AC316+BR316</f>
        <v>0</v>
      </c>
    </row>
    <row r="317" spans="1:74">
      <c r="A317" s="11" t="s">
        <v>801</v>
      </c>
      <c r="B317" s="11"/>
      <c r="C317" s="11" t="s">
        <v>110</v>
      </c>
      <c r="D317" s="9"/>
      <c r="E317" s="6">
        <v>1830986</v>
      </c>
      <c r="G317" s="6">
        <v>367010</v>
      </c>
      <c r="I317" s="6">
        <v>444</v>
      </c>
      <c r="K317" s="6">
        <v>0</v>
      </c>
      <c r="M317" s="6">
        <v>407379</v>
      </c>
      <c r="O317" s="6">
        <v>114472</v>
      </c>
      <c r="Q317" s="6">
        <v>243633</v>
      </c>
      <c r="S317" s="6">
        <v>37279</v>
      </c>
      <c r="U317" s="6">
        <v>435134</v>
      </c>
      <c r="W317" s="6">
        <v>226722</v>
      </c>
      <c r="Y317" s="6">
        <v>0</v>
      </c>
      <c r="AA317" s="6">
        <v>442689</v>
      </c>
      <c r="AC317" s="6">
        <v>356845</v>
      </c>
      <c r="AE317" s="6">
        <v>31126</v>
      </c>
      <c r="AG317" s="6">
        <v>0</v>
      </c>
      <c r="AI317" s="6">
        <v>1269</v>
      </c>
      <c r="AJ317" s="11" t="s">
        <v>801</v>
      </c>
      <c r="AK317" s="11"/>
      <c r="AL317" s="11" t="s">
        <v>110</v>
      </c>
      <c r="AN317" s="6">
        <v>124229</v>
      </c>
      <c r="AP317" s="6">
        <v>0</v>
      </c>
      <c r="AT317" s="6">
        <v>36000</v>
      </c>
      <c r="AV317" s="6">
        <v>13688</v>
      </c>
      <c r="AX317" s="6">
        <v>0</v>
      </c>
      <c r="AZ317" s="6">
        <f t="shared" si="62"/>
        <v>4668905</v>
      </c>
      <c r="BB317" s="6">
        <v>110000</v>
      </c>
      <c r="BD317" s="6">
        <v>0</v>
      </c>
      <c r="BF317" s="6">
        <v>0</v>
      </c>
      <c r="BH317" s="6">
        <v>0</v>
      </c>
      <c r="BJ317" s="6">
        <f t="shared" si="60"/>
        <v>4778905</v>
      </c>
      <c r="BL317" s="6">
        <f>+'Gen Fd Rev'!AK317-'Gen Fd Exp'!BJ317</f>
        <v>737421</v>
      </c>
      <c r="BN317" s="6">
        <v>3593224</v>
      </c>
      <c r="BP317" s="6">
        <v>0</v>
      </c>
      <c r="BR317" s="6">
        <v>0</v>
      </c>
      <c r="BT317" s="6">
        <f t="shared" si="61"/>
        <v>4330645</v>
      </c>
      <c r="BV317" s="7">
        <f>+BT317-'Gen Fd BS'!AC317+BR317</f>
        <v>0</v>
      </c>
    </row>
    <row r="318" spans="1:74">
      <c r="A318" s="11" t="s">
        <v>351</v>
      </c>
      <c r="B318" s="11"/>
      <c r="C318" s="11" t="s">
        <v>348</v>
      </c>
      <c r="E318" s="6">
        <v>5479488</v>
      </c>
      <c r="G318" s="6">
        <v>806956</v>
      </c>
      <c r="I318" s="6">
        <v>222780</v>
      </c>
      <c r="K318" s="6">
        <v>0</v>
      </c>
      <c r="M318" s="6">
        <v>4821</v>
      </c>
      <c r="O318" s="6">
        <v>348832</v>
      </c>
      <c r="Q318" s="6">
        <v>725321</v>
      </c>
      <c r="S318" s="6">
        <v>52204</v>
      </c>
      <c r="U318" s="6">
        <v>720134</v>
      </c>
      <c r="W318" s="6">
        <v>334883</v>
      </c>
      <c r="Y318" s="6">
        <v>26672</v>
      </c>
      <c r="AA318" s="6">
        <v>1099143</v>
      </c>
      <c r="AC318" s="6">
        <v>781796</v>
      </c>
      <c r="AE318" s="6">
        <v>10334</v>
      </c>
      <c r="AG318" s="6">
        <v>421</v>
      </c>
      <c r="AI318" s="6">
        <v>0</v>
      </c>
      <c r="AJ318" s="11" t="s">
        <v>351</v>
      </c>
      <c r="AK318" s="11"/>
      <c r="AL318" s="11" t="s">
        <v>348</v>
      </c>
      <c r="AN318" s="6">
        <v>146260</v>
      </c>
      <c r="AP318" s="6">
        <v>195303</v>
      </c>
      <c r="AT318" s="6">
        <v>20008</v>
      </c>
      <c r="AV318" s="6">
        <v>3740</v>
      </c>
      <c r="AX318" s="6">
        <v>0</v>
      </c>
      <c r="AZ318" s="6">
        <f t="shared" si="62"/>
        <v>10979096</v>
      </c>
      <c r="BB318" s="6">
        <v>97935</v>
      </c>
      <c r="BD318" s="6">
        <v>0</v>
      </c>
      <c r="BF318" s="6">
        <v>0</v>
      </c>
      <c r="BH318" s="6">
        <v>0</v>
      </c>
      <c r="BJ318" s="6">
        <f t="shared" si="60"/>
        <v>11077031</v>
      </c>
      <c r="BL318" s="6">
        <f>+'Gen Fd Rev'!AK318-'Gen Fd Exp'!BJ318</f>
        <v>83094</v>
      </c>
      <c r="BN318" s="6">
        <v>6391929</v>
      </c>
      <c r="BP318" s="6">
        <v>0</v>
      </c>
      <c r="BR318" s="6">
        <v>0</v>
      </c>
      <c r="BT318" s="6">
        <f t="shared" si="61"/>
        <v>6475023</v>
      </c>
      <c r="BV318" s="7">
        <f>+BT318-'Gen Fd BS'!AC318+BR318</f>
        <v>0</v>
      </c>
    </row>
    <row r="319" spans="1:74">
      <c r="A319" s="11" t="s">
        <v>711</v>
      </c>
      <c r="B319" s="11"/>
      <c r="C319" s="11" t="s">
        <v>50</v>
      </c>
      <c r="E319" s="6">
        <v>13558340</v>
      </c>
      <c r="G319" s="6">
        <v>3115162</v>
      </c>
      <c r="I319" s="6">
        <v>1800851</v>
      </c>
      <c r="K319" s="6">
        <v>16496</v>
      </c>
      <c r="M319" s="6">
        <v>1575065</v>
      </c>
      <c r="O319" s="6">
        <v>2762771</v>
      </c>
      <c r="Q319" s="6">
        <v>2451546</v>
      </c>
      <c r="S319" s="6">
        <v>0</v>
      </c>
      <c r="U319" s="6">
        <f>65164+2848384</f>
        <v>2913548</v>
      </c>
      <c r="W319" s="6">
        <v>599932</v>
      </c>
      <c r="Y319" s="6">
        <v>30</v>
      </c>
      <c r="AA319" s="6">
        <v>3832511</v>
      </c>
      <c r="AC319" s="6">
        <v>1646598</v>
      </c>
      <c r="AE319" s="6">
        <v>264788</v>
      </c>
      <c r="AG319" s="6">
        <v>0</v>
      </c>
      <c r="AI319" s="6">
        <v>-42907</v>
      </c>
      <c r="AJ319" s="11" t="s">
        <v>711</v>
      </c>
      <c r="AK319" s="11"/>
      <c r="AL319" s="11" t="s">
        <v>50</v>
      </c>
      <c r="AN319" s="6">
        <v>477389</v>
      </c>
      <c r="AP319" s="6">
        <v>3521</v>
      </c>
      <c r="AT319" s="6">
        <v>169758</v>
      </c>
      <c r="AV319" s="6">
        <v>68093</v>
      </c>
      <c r="AX319" s="6">
        <v>0</v>
      </c>
      <c r="AZ319" s="6">
        <f t="shared" ref="AZ319:AZ387" si="63">SUM(E319:AX319)</f>
        <v>35213492</v>
      </c>
      <c r="BB319" s="6">
        <v>0</v>
      </c>
      <c r="BD319" s="6">
        <v>0</v>
      </c>
      <c r="BF319" s="6">
        <v>0</v>
      </c>
      <c r="BH319" s="6">
        <v>0</v>
      </c>
      <c r="BJ319" s="6">
        <f t="shared" ref="BJ319:BJ387" si="64">+AZ319+BB319+BD319+BH319</f>
        <v>35213492</v>
      </c>
      <c r="BL319" s="6">
        <f>+'Gen Fd Rev'!AK319-'Gen Fd Exp'!BJ319</f>
        <v>-174111</v>
      </c>
      <c r="BN319" s="6">
        <v>7609264</v>
      </c>
      <c r="BP319" s="6">
        <v>0</v>
      </c>
      <c r="BR319" s="6">
        <v>0</v>
      </c>
      <c r="BT319" s="6">
        <f t="shared" si="61"/>
        <v>7435153</v>
      </c>
      <c r="BV319" s="7">
        <f>+BT319-'Gen Fd BS'!AC319+BR319</f>
        <v>0</v>
      </c>
    </row>
    <row r="320" spans="1:74">
      <c r="A320" s="11" t="s">
        <v>325</v>
      </c>
      <c r="B320" s="11"/>
      <c r="C320" s="11" t="s">
        <v>32</v>
      </c>
      <c r="E320" s="6">
        <v>7553032</v>
      </c>
      <c r="G320" s="6">
        <v>1208544</v>
      </c>
      <c r="I320" s="6">
        <v>0</v>
      </c>
      <c r="K320" s="6">
        <v>0</v>
      </c>
      <c r="M320" s="6">
        <v>166979</v>
      </c>
      <c r="O320" s="6">
        <v>1206140</v>
      </c>
      <c r="Q320" s="6">
        <v>907733</v>
      </c>
      <c r="S320" s="6">
        <v>0</v>
      </c>
      <c r="U320" s="6">
        <f>49581+1082968</f>
        <v>1132549</v>
      </c>
      <c r="W320" s="6">
        <v>505361</v>
      </c>
      <c r="Y320" s="6">
        <v>60075</v>
      </c>
      <c r="AA320" s="6">
        <v>1349962</v>
      </c>
      <c r="AC320" s="6">
        <v>805178</v>
      </c>
      <c r="AE320" s="6">
        <v>704773</v>
      </c>
      <c r="AG320" s="6">
        <v>0</v>
      </c>
      <c r="AI320" s="6">
        <v>596182</v>
      </c>
      <c r="AJ320" s="11" t="s">
        <v>325</v>
      </c>
      <c r="AK320" s="11"/>
      <c r="AL320" s="11" t="s">
        <v>32</v>
      </c>
      <c r="AN320" s="6">
        <v>300354</v>
      </c>
      <c r="AP320" s="6">
        <v>0</v>
      </c>
      <c r="AT320" s="6">
        <v>240893</v>
      </c>
      <c r="AV320" s="6">
        <v>11653</v>
      </c>
      <c r="AX320" s="6">
        <v>0</v>
      </c>
      <c r="AZ320" s="6">
        <f t="shared" si="63"/>
        <v>16749408</v>
      </c>
      <c r="BB320" s="6">
        <v>300000</v>
      </c>
      <c r="BD320" s="6">
        <v>0</v>
      </c>
      <c r="BF320" s="6">
        <v>0</v>
      </c>
      <c r="BH320" s="6">
        <v>0</v>
      </c>
      <c r="BJ320" s="6">
        <f t="shared" si="64"/>
        <v>17049408</v>
      </c>
      <c r="BL320" s="6">
        <f>+'Gen Fd Rev'!AK320-'Gen Fd Exp'!BJ320</f>
        <v>360626</v>
      </c>
      <c r="BN320" s="6">
        <v>8246252</v>
      </c>
      <c r="BP320" s="6">
        <v>0</v>
      </c>
      <c r="BR320" s="6">
        <v>0</v>
      </c>
      <c r="BT320" s="6">
        <f t="shared" si="61"/>
        <v>8606878</v>
      </c>
      <c r="BV320" s="7">
        <f>+BT320-'Gen Fd BS'!AC320+BR320</f>
        <v>0</v>
      </c>
    </row>
    <row r="321" spans="1:74">
      <c r="A321" s="11" t="s">
        <v>224</v>
      </c>
      <c r="B321" s="11"/>
      <c r="C321" s="11" t="s">
        <v>221</v>
      </c>
      <c r="D321" s="9"/>
      <c r="E321" s="6">
        <v>5290499</v>
      </c>
      <c r="G321" s="6">
        <v>964889</v>
      </c>
      <c r="I321" s="6">
        <v>0</v>
      </c>
      <c r="K321" s="6">
        <v>0</v>
      </c>
      <c r="M321" s="6">
        <v>432704</v>
      </c>
      <c r="O321" s="6">
        <v>667892</v>
      </c>
      <c r="Q321" s="6">
        <v>540228</v>
      </c>
      <c r="S321" s="6">
        <v>72533</v>
      </c>
      <c r="U321" s="6">
        <v>1100028</v>
      </c>
      <c r="W321" s="6">
        <v>232098</v>
      </c>
      <c r="Y321" s="6">
        <v>823</v>
      </c>
      <c r="AA321" s="6">
        <v>1371722</v>
      </c>
      <c r="AC321" s="6">
        <v>1073253</v>
      </c>
      <c r="AE321" s="6">
        <v>414553</v>
      </c>
      <c r="AG321" s="6">
        <v>0</v>
      </c>
      <c r="AI321" s="6">
        <v>38644</v>
      </c>
      <c r="AJ321" s="11" t="s">
        <v>224</v>
      </c>
      <c r="AK321" s="11"/>
      <c r="AL321" s="11" t="s">
        <v>221</v>
      </c>
      <c r="AN321" s="6">
        <v>327045</v>
      </c>
      <c r="AP321" s="6">
        <v>6479</v>
      </c>
      <c r="AT321" s="6">
        <v>0</v>
      </c>
      <c r="AV321" s="6">
        <v>0</v>
      </c>
      <c r="AX321" s="6">
        <v>0</v>
      </c>
      <c r="AZ321" s="6">
        <f t="shared" si="63"/>
        <v>12533390</v>
      </c>
      <c r="BB321" s="6">
        <v>0</v>
      </c>
      <c r="BD321" s="6">
        <v>0</v>
      </c>
      <c r="BF321" s="6">
        <v>0</v>
      </c>
      <c r="BH321" s="6">
        <v>0</v>
      </c>
      <c r="BJ321" s="6">
        <f t="shared" si="64"/>
        <v>12533390</v>
      </c>
      <c r="BL321" s="6">
        <f>+'Gen Fd Rev'!AK321-'Gen Fd Exp'!BJ321</f>
        <v>-330661</v>
      </c>
      <c r="BN321" s="6">
        <v>1530757</v>
      </c>
      <c r="BP321" s="6">
        <v>0</v>
      </c>
      <c r="BR321" s="6">
        <v>0</v>
      </c>
      <c r="BT321" s="6">
        <f t="shared" ref="BT321:BT365" si="65">+BN321+BL321-BP321</f>
        <v>1200096</v>
      </c>
      <c r="BV321" s="7">
        <f>+BT321-'Gen Fd BS'!AC321+BR321</f>
        <v>0</v>
      </c>
    </row>
    <row r="322" spans="1:74" hidden="1">
      <c r="A322" s="11" t="s">
        <v>730</v>
      </c>
      <c r="B322" s="11"/>
      <c r="C322" s="11" t="s">
        <v>41</v>
      </c>
      <c r="D322" s="9"/>
      <c r="E322" s="6">
        <v>0</v>
      </c>
      <c r="G322" s="6">
        <v>0</v>
      </c>
      <c r="I322" s="6">
        <v>0</v>
      </c>
      <c r="K322" s="6">
        <v>0</v>
      </c>
      <c r="M322" s="6">
        <v>0</v>
      </c>
      <c r="O322" s="6">
        <v>0</v>
      </c>
      <c r="Q322" s="6">
        <v>0</v>
      </c>
      <c r="S322" s="6">
        <v>0</v>
      </c>
      <c r="U322" s="6">
        <v>0</v>
      </c>
      <c r="W322" s="6">
        <v>0</v>
      </c>
      <c r="Y322" s="6">
        <v>0</v>
      </c>
      <c r="AA322" s="6">
        <v>0</v>
      </c>
      <c r="AC322" s="6">
        <v>0</v>
      </c>
      <c r="AE322" s="6">
        <v>0</v>
      </c>
      <c r="AG322" s="6">
        <v>0</v>
      </c>
      <c r="AI322" s="6">
        <v>0</v>
      </c>
      <c r="AJ322" s="11" t="s">
        <v>730</v>
      </c>
      <c r="AK322" s="11"/>
      <c r="AL322" s="11" t="s">
        <v>41</v>
      </c>
      <c r="AN322" s="6">
        <v>0</v>
      </c>
      <c r="AP322" s="6">
        <v>0</v>
      </c>
      <c r="AT322" s="6">
        <v>0</v>
      </c>
      <c r="AV322" s="6">
        <v>0</v>
      </c>
      <c r="AX322" s="6">
        <v>0</v>
      </c>
      <c r="AZ322" s="6">
        <f t="shared" si="63"/>
        <v>0</v>
      </c>
      <c r="BB322" s="6">
        <v>0</v>
      </c>
      <c r="BD322" s="6">
        <v>0</v>
      </c>
      <c r="BF322" s="6">
        <v>0</v>
      </c>
      <c r="BH322" s="6">
        <v>0</v>
      </c>
      <c r="BJ322" s="6">
        <f t="shared" si="64"/>
        <v>0</v>
      </c>
      <c r="BL322" s="6">
        <f>+'Gen Fd Rev'!AK322-'Gen Fd Exp'!BJ322</f>
        <v>0</v>
      </c>
      <c r="BP322" s="6">
        <v>0</v>
      </c>
      <c r="BR322" s="6">
        <v>0</v>
      </c>
      <c r="BT322" s="6">
        <f t="shared" si="65"/>
        <v>0</v>
      </c>
      <c r="BV322" s="7">
        <f>+BT322-'Gen Fd BS'!AC322+BR322</f>
        <v>0</v>
      </c>
    </row>
    <row r="323" spans="1:74">
      <c r="A323" s="11" t="s">
        <v>224</v>
      </c>
      <c r="B323" s="11"/>
      <c r="C323" s="11" t="s">
        <v>110</v>
      </c>
      <c r="E323" s="6">
        <v>10845639</v>
      </c>
      <c r="G323" s="6">
        <v>2765112</v>
      </c>
      <c r="I323" s="6">
        <v>2791409</v>
      </c>
      <c r="K323" s="6">
        <v>0</v>
      </c>
      <c r="M323" s="6">
        <v>2669000</v>
      </c>
      <c r="O323" s="6">
        <v>1168450</v>
      </c>
      <c r="Q323" s="6">
        <v>1190001</v>
      </c>
      <c r="S323" s="6">
        <v>43998</v>
      </c>
      <c r="U323" s="6">
        <v>2172197</v>
      </c>
      <c r="W323" s="6">
        <v>647119</v>
      </c>
      <c r="Y323" s="6">
        <v>56874</v>
      </c>
      <c r="AA323" s="6">
        <v>2729221</v>
      </c>
      <c r="AC323" s="6">
        <v>1472867</v>
      </c>
      <c r="AE323" s="6">
        <v>214844</v>
      </c>
      <c r="AG323" s="6">
        <v>0</v>
      </c>
      <c r="AI323" s="6">
        <v>0</v>
      </c>
      <c r="AJ323" s="11" t="s">
        <v>224</v>
      </c>
      <c r="AK323" s="11"/>
      <c r="AL323" s="11" t="s">
        <v>110</v>
      </c>
      <c r="AN323" s="6">
        <v>440147</v>
      </c>
      <c r="AP323" s="6">
        <v>391121</v>
      </c>
      <c r="AT323" s="6">
        <v>0</v>
      </c>
      <c r="AV323" s="6">
        <v>0</v>
      </c>
      <c r="AX323" s="6">
        <v>0</v>
      </c>
      <c r="AZ323" s="6">
        <f t="shared" si="63"/>
        <v>29597999</v>
      </c>
      <c r="BB323" s="6">
        <v>25000</v>
      </c>
      <c r="BD323" s="6">
        <v>0</v>
      </c>
      <c r="BF323" s="6">
        <v>0</v>
      </c>
      <c r="BH323" s="6">
        <v>0</v>
      </c>
      <c r="BJ323" s="6">
        <f t="shared" si="64"/>
        <v>29622999</v>
      </c>
      <c r="BL323" s="6">
        <f>+'Gen Fd Rev'!AK323-'Gen Fd Exp'!BJ323</f>
        <v>-545110</v>
      </c>
      <c r="BN323" s="6">
        <v>5337435</v>
      </c>
      <c r="BP323" s="6">
        <v>0</v>
      </c>
      <c r="BR323" s="6">
        <v>0</v>
      </c>
      <c r="BT323" s="6">
        <f t="shared" si="65"/>
        <v>4792325</v>
      </c>
      <c r="BV323" s="7">
        <f>+BT323-'Gen Fd BS'!AC323+BR323</f>
        <v>0</v>
      </c>
    </row>
    <row r="324" spans="1:74">
      <c r="A324" s="11" t="s">
        <v>694</v>
      </c>
      <c r="B324" s="11"/>
      <c r="C324" s="11" t="s">
        <v>398</v>
      </c>
      <c r="E324" s="6">
        <v>6596829</v>
      </c>
      <c r="G324" s="6">
        <v>712755</v>
      </c>
      <c r="I324" s="6">
        <v>503211</v>
      </c>
      <c r="K324" s="6">
        <v>0</v>
      </c>
      <c r="M324" s="6">
        <v>0</v>
      </c>
      <c r="O324" s="6">
        <v>523685</v>
      </c>
      <c r="Q324" s="6">
        <v>444103</v>
      </c>
      <c r="S324" s="6">
        <v>56817</v>
      </c>
      <c r="U324" s="6">
        <v>1305802</v>
      </c>
      <c r="W324" s="6">
        <v>648715</v>
      </c>
      <c r="Y324" s="6">
        <v>1026</v>
      </c>
      <c r="AA324" s="6">
        <v>799076</v>
      </c>
      <c r="AC324" s="6">
        <v>1160761</v>
      </c>
      <c r="AE324" s="6">
        <v>330452</v>
      </c>
      <c r="AG324" s="6">
        <v>90</v>
      </c>
      <c r="AI324" s="6">
        <v>0</v>
      </c>
      <c r="AJ324" s="11" t="s">
        <v>694</v>
      </c>
      <c r="AK324" s="11"/>
      <c r="AL324" s="11" t="s">
        <v>398</v>
      </c>
      <c r="AN324" s="6">
        <v>370876</v>
      </c>
      <c r="AP324" s="6">
        <v>19108</v>
      </c>
      <c r="AT324" s="6">
        <v>25000</v>
      </c>
      <c r="AV324" s="6">
        <v>6680</v>
      </c>
      <c r="AX324" s="6">
        <v>0</v>
      </c>
      <c r="AZ324" s="6">
        <f t="shared" si="63"/>
        <v>13504986</v>
      </c>
      <c r="BB324" s="6">
        <v>2290728</v>
      </c>
      <c r="BD324" s="6">
        <v>0</v>
      </c>
      <c r="BF324" s="6">
        <v>0</v>
      </c>
      <c r="BH324" s="6">
        <v>0</v>
      </c>
      <c r="BJ324" s="6">
        <f t="shared" si="64"/>
        <v>15795714</v>
      </c>
      <c r="BL324" s="6">
        <f>+'Gen Fd Rev'!AK324-'Gen Fd Exp'!BJ324</f>
        <v>-3057716</v>
      </c>
      <c r="BN324" s="6">
        <v>9407075</v>
      </c>
      <c r="BP324" s="6">
        <v>0</v>
      </c>
      <c r="BR324" s="6">
        <v>0</v>
      </c>
      <c r="BT324" s="6">
        <f t="shared" si="65"/>
        <v>6349359</v>
      </c>
      <c r="BV324" s="7">
        <f>+BT324-'Gen Fd BS'!AC324+BR324</f>
        <v>0</v>
      </c>
    </row>
    <row r="325" spans="1:74">
      <c r="A325" s="11" t="s">
        <v>605</v>
      </c>
      <c r="B325" s="11"/>
      <c r="C325" s="11" t="s">
        <v>200</v>
      </c>
      <c r="E325" s="6">
        <v>3826461</v>
      </c>
      <c r="G325" s="6">
        <v>834448</v>
      </c>
      <c r="I325" s="6">
        <v>629064</v>
      </c>
      <c r="K325" s="6">
        <v>0</v>
      </c>
      <c r="M325" s="6">
        <v>13470</v>
      </c>
      <c r="O325" s="6">
        <v>344562</v>
      </c>
      <c r="Q325" s="6">
        <v>748911</v>
      </c>
      <c r="S325" s="6">
        <v>92388</v>
      </c>
      <c r="U325" s="6">
        <v>596176</v>
      </c>
      <c r="W325" s="6">
        <v>445611</v>
      </c>
      <c r="Y325" s="6">
        <v>0</v>
      </c>
      <c r="AA325" s="6">
        <v>875647</v>
      </c>
      <c r="AC325" s="6">
        <v>560167</v>
      </c>
      <c r="AE325" s="6">
        <v>0</v>
      </c>
      <c r="AG325" s="6">
        <v>0</v>
      </c>
      <c r="AI325" s="6">
        <v>4950</v>
      </c>
      <c r="AJ325" s="11" t="s">
        <v>605</v>
      </c>
      <c r="AK325" s="11"/>
      <c r="AL325" s="11" t="s">
        <v>200</v>
      </c>
      <c r="AN325" s="6">
        <v>128448</v>
      </c>
      <c r="AP325" s="6">
        <v>64607</v>
      </c>
      <c r="AT325" s="6">
        <v>1487546</v>
      </c>
      <c r="AV325" s="6">
        <v>59527</v>
      </c>
      <c r="AX325" s="6">
        <v>0</v>
      </c>
      <c r="AZ325" s="6">
        <f t="shared" si="63"/>
        <v>10711983</v>
      </c>
      <c r="BB325" s="6">
        <v>0</v>
      </c>
      <c r="BD325" s="6">
        <v>0</v>
      </c>
      <c r="BF325" s="6">
        <v>0</v>
      </c>
      <c r="BH325" s="6">
        <v>0</v>
      </c>
      <c r="BJ325" s="6">
        <f t="shared" si="64"/>
        <v>10711983</v>
      </c>
      <c r="BL325" s="6">
        <f>+'Gen Fd Rev'!AK325-'Gen Fd Exp'!BJ325</f>
        <v>894606</v>
      </c>
      <c r="BN325" s="6">
        <v>3085401</v>
      </c>
      <c r="BP325" s="6">
        <v>0</v>
      </c>
      <c r="BR325" s="6">
        <v>0</v>
      </c>
      <c r="BT325" s="6">
        <f t="shared" si="65"/>
        <v>3980007</v>
      </c>
      <c r="BV325" s="7">
        <f>+BT325-'Gen Fd BS'!AC325+BR325</f>
        <v>0</v>
      </c>
    </row>
    <row r="326" spans="1:74" hidden="1">
      <c r="A326" s="11" t="s">
        <v>805</v>
      </c>
      <c r="B326" s="11"/>
      <c r="C326" s="11" t="s">
        <v>63</v>
      </c>
      <c r="E326" s="6">
        <v>0</v>
      </c>
      <c r="G326" s="6">
        <v>0</v>
      </c>
      <c r="I326" s="6">
        <v>0</v>
      </c>
      <c r="K326" s="6">
        <v>0</v>
      </c>
      <c r="M326" s="6">
        <v>0</v>
      </c>
      <c r="O326" s="6">
        <v>0</v>
      </c>
      <c r="Q326" s="6">
        <v>0</v>
      </c>
      <c r="S326" s="6">
        <v>0</v>
      </c>
      <c r="U326" s="6">
        <v>0</v>
      </c>
      <c r="W326" s="6">
        <v>0</v>
      </c>
      <c r="Y326" s="6">
        <v>0</v>
      </c>
      <c r="AA326" s="6">
        <v>0</v>
      </c>
      <c r="AC326" s="6">
        <v>0</v>
      </c>
      <c r="AE326" s="6">
        <v>0</v>
      </c>
      <c r="AG326" s="6">
        <v>0</v>
      </c>
      <c r="AI326" s="6">
        <v>0</v>
      </c>
      <c r="AJ326" s="11" t="s">
        <v>805</v>
      </c>
      <c r="AK326" s="11"/>
      <c r="AL326" s="11" t="s">
        <v>63</v>
      </c>
      <c r="AN326" s="6">
        <v>0</v>
      </c>
      <c r="AP326" s="6">
        <v>0</v>
      </c>
      <c r="AT326" s="6">
        <v>0</v>
      </c>
      <c r="AV326" s="6">
        <v>0</v>
      </c>
      <c r="AX326" s="6">
        <v>0</v>
      </c>
      <c r="AZ326" s="6">
        <f t="shared" ref="AZ326" si="66">SUM(E326:AX326)</f>
        <v>0</v>
      </c>
      <c r="BB326" s="6">
        <v>0</v>
      </c>
      <c r="BD326" s="6">
        <v>0</v>
      </c>
      <c r="BF326" s="6">
        <v>0</v>
      </c>
      <c r="BH326" s="6">
        <v>0</v>
      </c>
      <c r="BJ326" s="6">
        <f t="shared" ref="BJ326" si="67">+AZ326+BB326+BD326+BH326</f>
        <v>0</v>
      </c>
      <c r="BL326" s="6">
        <f>+'Gen Fd Rev'!AK326-'Gen Fd Exp'!BJ326</f>
        <v>0</v>
      </c>
      <c r="BP326" s="6">
        <v>0</v>
      </c>
      <c r="BR326" s="6">
        <v>0</v>
      </c>
      <c r="BT326" s="6">
        <f t="shared" ref="BT326" si="68">+BN326+BL326-BP326</f>
        <v>0</v>
      </c>
      <c r="BV326" s="7">
        <f>+BT326-'Gen Fd BS'!AC326+BR326</f>
        <v>0</v>
      </c>
    </row>
    <row r="327" spans="1:74">
      <c r="A327" s="11" t="s">
        <v>469</v>
      </c>
      <c r="B327" s="11"/>
      <c r="C327" s="11" t="s">
        <v>110</v>
      </c>
      <c r="E327" s="6">
        <v>14543255</v>
      </c>
      <c r="G327" s="6">
        <v>5777701</v>
      </c>
      <c r="I327" s="6">
        <v>1173020</v>
      </c>
      <c r="K327" s="6">
        <v>173771</v>
      </c>
      <c r="M327" s="6">
        <v>12212317</v>
      </c>
      <c r="O327" s="6">
        <v>2882765</v>
      </c>
      <c r="Q327" s="6">
        <v>1921845</v>
      </c>
      <c r="S327" s="6">
        <v>20509</v>
      </c>
      <c r="U327" s="6">
        <v>2733956</v>
      </c>
      <c r="W327" s="6">
        <v>1139895</v>
      </c>
      <c r="Y327" s="6">
        <v>528312</v>
      </c>
      <c r="AA327" s="6">
        <v>4097571</v>
      </c>
      <c r="AC327" s="6">
        <v>2105951</v>
      </c>
      <c r="AE327" s="6">
        <v>1217771</v>
      </c>
      <c r="AG327" s="6">
        <v>0</v>
      </c>
      <c r="AI327" s="6">
        <v>1352468</v>
      </c>
      <c r="AJ327" s="11" t="s">
        <v>469</v>
      </c>
      <c r="AK327" s="11"/>
      <c r="AL327" s="11" t="s">
        <v>110</v>
      </c>
      <c r="AN327" s="6">
        <v>681158</v>
      </c>
      <c r="AP327" s="6">
        <v>0</v>
      </c>
      <c r="AT327" s="6">
        <v>0</v>
      </c>
      <c r="AV327" s="6">
        <v>0</v>
      </c>
      <c r="AX327" s="6">
        <v>0</v>
      </c>
      <c r="AZ327" s="6">
        <f t="shared" si="63"/>
        <v>52562265</v>
      </c>
      <c r="BB327" s="6">
        <v>1146000</v>
      </c>
      <c r="BD327" s="6">
        <v>0</v>
      </c>
      <c r="BF327" s="6">
        <v>0</v>
      </c>
      <c r="BH327" s="6">
        <v>0</v>
      </c>
      <c r="BJ327" s="6">
        <f t="shared" si="64"/>
        <v>53708265</v>
      </c>
      <c r="BL327" s="6">
        <f>+'Gen Fd Rev'!AK327-'Gen Fd Exp'!BJ327</f>
        <v>-660673</v>
      </c>
      <c r="BN327" s="6">
        <v>494384</v>
      </c>
      <c r="BP327" s="6">
        <v>0</v>
      </c>
      <c r="BR327" s="6">
        <v>0</v>
      </c>
      <c r="BT327" s="6">
        <f t="shared" si="65"/>
        <v>-166289</v>
      </c>
      <c r="BV327" s="7">
        <f>+BT327-'Gen Fd BS'!AC327+BR327</f>
        <v>0</v>
      </c>
    </row>
    <row r="328" spans="1:74">
      <c r="A328" s="11" t="s">
        <v>722</v>
      </c>
      <c r="B328" s="11"/>
      <c r="C328" s="11" t="s">
        <v>20</v>
      </c>
      <c r="E328" s="6">
        <v>17549767</v>
      </c>
      <c r="G328" s="6">
        <v>2981835</v>
      </c>
      <c r="I328" s="6">
        <v>1326114</v>
      </c>
      <c r="K328" s="6">
        <v>0</v>
      </c>
      <c r="M328" s="6">
        <v>194758</v>
      </c>
      <c r="O328" s="6">
        <v>1556113</v>
      </c>
      <c r="Q328" s="6">
        <v>1741186</v>
      </c>
      <c r="S328" s="6">
        <v>53365</v>
      </c>
      <c r="U328" s="6">
        <v>2925953</v>
      </c>
      <c r="W328" s="6">
        <v>1610021</v>
      </c>
      <c r="Y328" s="6">
        <v>440172</v>
      </c>
      <c r="AA328" s="6">
        <v>3842484</v>
      </c>
      <c r="AC328" s="6">
        <v>1345689</v>
      </c>
      <c r="AE328" s="6">
        <v>11237</v>
      </c>
      <c r="AG328" s="6">
        <v>170</v>
      </c>
      <c r="AI328" s="6">
        <v>3352</v>
      </c>
      <c r="AJ328" s="11" t="s">
        <v>722</v>
      </c>
      <c r="AK328" s="11"/>
      <c r="AL328" s="11" t="s">
        <v>20</v>
      </c>
      <c r="AN328" s="6">
        <v>647459</v>
      </c>
      <c r="AP328" s="6">
        <v>17879</v>
      </c>
      <c r="AT328" s="6">
        <v>0</v>
      </c>
      <c r="AV328" s="6">
        <v>0</v>
      </c>
      <c r="AX328" s="6">
        <v>0</v>
      </c>
      <c r="AZ328" s="6">
        <f t="shared" si="63"/>
        <v>36247554</v>
      </c>
      <c r="BB328" s="6">
        <v>761473</v>
      </c>
      <c r="BD328" s="6">
        <v>0</v>
      </c>
      <c r="BF328" s="6">
        <v>0</v>
      </c>
      <c r="BH328" s="6">
        <v>0</v>
      </c>
      <c r="BJ328" s="6">
        <f t="shared" si="64"/>
        <v>37009027</v>
      </c>
      <c r="BL328" s="6">
        <f>+'Gen Fd Rev'!AK328-'Gen Fd Exp'!BJ328</f>
        <v>-393042</v>
      </c>
      <c r="BN328" s="6">
        <v>-1123787</v>
      </c>
      <c r="BP328" s="6">
        <v>0</v>
      </c>
      <c r="BR328" s="6">
        <v>0</v>
      </c>
      <c r="BT328" s="6">
        <f t="shared" si="65"/>
        <v>-1516829</v>
      </c>
      <c r="BV328" s="7">
        <f>+BT328-'Gen Fd BS'!AC328+BR328</f>
        <v>0</v>
      </c>
    </row>
    <row r="329" spans="1:74">
      <c r="A329" s="11" t="s">
        <v>205</v>
      </c>
      <c r="B329" s="11"/>
      <c r="C329" s="11" t="s">
        <v>11</v>
      </c>
      <c r="E329" s="6">
        <v>3351664</v>
      </c>
      <c r="G329" s="6">
        <v>512664</v>
      </c>
      <c r="I329" s="6">
        <v>89748</v>
      </c>
      <c r="K329" s="6">
        <v>0</v>
      </c>
      <c r="M329" s="6">
        <v>777710</v>
      </c>
      <c r="O329" s="6">
        <v>269689</v>
      </c>
      <c r="Q329" s="6">
        <v>252214</v>
      </c>
      <c r="S329" s="6">
        <v>50712</v>
      </c>
      <c r="U329" s="6">
        <v>650167</v>
      </c>
      <c r="W329" s="6">
        <v>339811</v>
      </c>
      <c r="Y329" s="6">
        <v>199</v>
      </c>
      <c r="AA329" s="6">
        <v>633301</v>
      </c>
      <c r="AC329" s="6">
        <v>550996</v>
      </c>
      <c r="AE329" s="6">
        <v>112727</v>
      </c>
      <c r="AG329" s="6">
        <v>0</v>
      </c>
      <c r="AI329" s="6">
        <v>0</v>
      </c>
      <c r="AJ329" s="11" t="s">
        <v>205</v>
      </c>
      <c r="AK329" s="11"/>
      <c r="AL329" s="11" t="s">
        <v>11</v>
      </c>
      <c r="AN329" s="6">
        <v>185166</v>
      </c>
      <c r="AP329" s="6">
        <v>0</v>
      </c>
      <c r="AT329" s="6">
        <v>0</v>
      </c>
      <c r="AV329" s="6">
        <v>0</v>
      </c>
      <c r="AX329" s="6">
        <v>0</v>
      </c>
      <c r="AZ329" s="6">
        <f t="shared" si="63"/>
        <v>7776768</v>
      </c>
      <c r="BB329" s="6">
        <v>44000</v>
      </c>
      <c r="BD329" s="6">
        <v>0</v>
      </c>
      <c r="BF329" s="6">
        <v>0</v>
      </c>
      <c r="BH329" s="6">
        <v>0</v>
      </c>
      <c r="BJ329" s="6">
        <f t="shared" si="64"/>
        <v>7820768</v>
      </c>
      <c r="BL329" s="6">
        <f>+'Gen Fd Rev'!AK329-'Gen Fd Exp'!BJ329</f>
        <v>-200240</v>
      </c>
      <c r="BN329" s="6">
        <v>1717129</v>
      </c>
      <c r="BP329" s="6">
        <v>0</v>
      </c>
      <c r="BR329" s="6">
        <v>0</v>
      </c>
      <c r="BT329" s="6">
        <f t="shared" si="65"/>
        <v>1516889</v>
      </c>
      <c r="BV329" s="7">
        <f>+BT329-'Gen Fd BS'!AC329+BR329</f>
        <v>0</v>
      </c>
    </row>
    <row r="330" spans="1:74">
      <c r="A330" s="11" t="s">
        <v>528</v>
      </c>
      <c r="B330" s="11"/>
      <c r="C330" s="11" t="s">
        <v>64</v>
      </c>
      <c r="E330" s="6">
        <v>4506414</v>
      </c>
      <c r="G330" s="6">
        <v>476046</v>
      </c>
      <c r="I330" s="6">
        <v>85875</v>
      </c>
      <c r="K330" s="6">
        <v>0</v>
      </c>
      <c r="M330" s="6">
        <v>0</v>
      </c>
      <c r="O330" s="6">
        <v>453095</v>
      </c>
      <c r="Q330" s="6">
        <v>150911</v>
      </c>
      <c r="S330" s="6">
        <v>34839</v>
      </c>
      <c r="U330" s="6">
        <v>795937</v>
      </c>
      <c r="W330" s="6">
        <v>343732</v>
      </c>
      <c r="Y330" s="6">
        <v>44291</v>
      </c>
      <c r="AA330" s="6">
        <v>791291</v>
      </c>
      <c r="AC330" s="6">
        <v>524392</v>
      </c>
      <c r="AE330" s="6">
        <v>58839</v>
      </c>
      <c r="AG330" s="6">
        <v>0</v>
      </c>
      <c r="AI330" s="6">
        <v>0</v>
      </c>
      <c r="AJ330" s="11" t="s">
        <v>528</v>
      </c>
      <c r="AK330" s="11"/>
      <c r="AL330" s="11" t="s">
        <v>64</v>
      </c>
      <c r="AN330" s="6">
        <v>199781</v>
      </c>
      <c r="AP330" s="6">
        <v>0</v>
      </c>
      <c r="AT330" s="6">
        <v>0</v>
      </c>
      <c r="AV330" s="6">
        <v>2500</v>
      </c>
      <c r="AX330" s="6">
        <v>0</v>
      </c>
      <c r="AZ330" s="6">
        <f t="shared" si="63"/>
        <v>8467943</v>
      </c>
      <c r="BB330" s="6">
        <v>20131</v>
      </c>
      <c r="BD330" s="6">
        <v>0</v>
      </c>
      <c r="BF330" s="6">
        <v>0</v>
      </c>
      <c r="BH330" s="6">
        <v>0</v>
      </c>
      <c r="BJ330" s="6">
        <f t="shared" si="64"/>
        <v>8488074</v>
      </c>
      <c r="BL330" s="6">
        <f>+'Gen Fd Rev'!AK330-'Gen Fd Exp'!BJ330</f>
        <v>-136011</v>
      </c>
      <c r="BN330" s="6">
        <v>2356511</v>
      </c>
      <c r="BP330" s="6">
        <v>0</v>
      </c>
      <c r="BR330" s="6">
        <v>0</v>
      </c>
      <c r="BT330" s="6">
        <f t="shared" si="65"/>
        <v>2220500</v>
      </c>
      <c r="BV330" s="7">
        <f>+BT330-'Gen Fd BS'!AC330+BR330</f>
        <v>0</v>
      </c>
    </row>
    <row r="331" spans="1:74">
      <c r="A331" s="11" t="s">
        <v>288</v>
      </c>
      <c r="B331" s="11"/>
      <c r="C331" s="11" t="s">
        <v>24</v>
      </c>
      <c r="E331" s="6">
        <v>4451397</v>
      </c>
      <c r="G331" s="6">
        <v>1098136</v>
      </c>
      <c r="I331" s="6">
        <v>294980</v>
      </c>
      <c r="K331" s="6">
        <v>0</v>
      </c>
      <c r="M331" s="6">
        <v>708719</v>
      </c>
      <c r="O331" s="6">
        <v>500152</v>
      </c>
      <c r="Q331" s="6">
        <v>758399</v>
      </c>
      <c r="S331" s="6">
        <v>191226</v>
      </c>
      <c r="U331" s="6">
        <v>1011137</v>
      </c>
      <c r="W331" s="6">
        <v>426658</v>
      </c>
      <c r="Y331" s="6">
        <v>0</v>
      </c>
      <c r="AA331" s="6">
        <v>1206890</v>
      </c>
      <c r="AC331" s="6">
        <v>1024532</v>
      </c>
      <c r="AE331" s="6">
        <v>71912</v>
      </c>
      <c r="AG331" s="6">
        <v>0</v>
      </c>
      <c r="AI331" s="6">
        <v>141428</v>
      </c>
      <c r="AJ331" s="11" t="s">
        <v>288</v>
      </c>
      <c r="AK331" s="11"/>
      <c r="AL331" s="11" t="s">
        <v>24</v>
      </c>
      <c r="AN331" s="6">
        <v>256542</v>
      </c>
      <c r="AP331" s="6">
        <v>0</v>
      </c>
      <c r="AT331" s="6">
        <v>96000</v>
      </c>
      <c r="AV331" s="6">
        <v>107046</v>
      </c>
      <c r="AX331" s="6">
        <v>0</v>
      </c>
      <c r="AZ331" s="6">
        <f t="shared" si="63"/>
        <v>12345154</v>
      </c>
      <c r="BB331" s="6">
        <v>81786</v>
      </c>
      <c r="BD331" s="6">
        <v>0</v>
      </c>
      <c r="BF331" s="6">
        <v>0</v>
      </c>
      <c r="BH331" s="6">
        <v>0</v>
      </c>
      <c r="BJ331" s="6">
        <f t="shared" si="64"/>
        <v>12426940</v>
      </c>
      <c r="BL331" s="6">
        <f>+'Gen Fd Rev'!AK331-'Gen Fd Exp'!BJ331</f>
        <v>488517</v>
      </c>
      <c r="BN331" s="6">
        <v>263218</v>
      </c>
      <c r="BP331" s="6">
        <v>0</v>
      </c>
      <c r="BR331" s="6">
        <v>0</v>
      </c>
      <c r="BT331" s="6">
        <f t="shared" si="65"/>
        <v>751735</v>
      </c>
      <c r="BV331" s="7">
        <f>+BT331-'Gen Fd BS'!AC331+BR331</f>
        <v>0</v>
      </c>
    </row>
    <row r="332" spans="1:74">
      <c r="A332" s="11" t="s">
        <v>326</v>
      </c>
      <c r="B332" s="11"/>
      <c r="C332" s="11" t="s">
        <v>32</v>
      </c>
      <c r="D332" s="9"/>
      <c r="E332" s="6">
        <v>9487702</v>
      </c>
      <c r="G332" s="6">
        <v>1694246</v>
      </c>
      <c r="I332" s="6">
        <v>0</v>
      </c>
      <c r="K332" s="6">
        <v>1028</v>
      </c>
      <c r="M332" s="6">
        <v>140382</v>
      </c>
      <c r="O332" s="6">
        <v>1179044</v>
      </c>
      <c r="Q332" s="6">
        <v>465655</v>
      </c>
      <c r="S332" s="6">
        <v>0</v>
      </c>
      <c r="U332" s="6">
        <f>13234+1546767</f>
        <v>1560001</v>
      </c>
      <c r="W332" s="6">
        <v>516196</v>
      </c>
      <c r="Y332" s="6">
        <v>6806</v>
      </c>
      <c r="AA332" s="6">
        <v>1967704</v>
      </c>
      <c r="AC332" s="6">
        <v>745946</v>
      </c>
      <c r="AE332" s="6">
        <v>887251</v>
      </c>
      <c r="AG332" s="6">
        <v>0</v>
      </c>
      <c r="AI332" s="6">
        <v>0</v>
      </c>
      <c r="AJ332" s="11" t="s">
        <v>326</v>
      </c>
      <c r="AK332" s="11"/>
      <c r="AL332" s="11" t="s">
        <v>32</v>
      </c>
      <c r="AN332" s="6">
        <v>492025</v>
      </c>
      <c r="AP332" s="6">
        <v>529575</v>
      </c>
      <c r="AT332" s="6">
        <v>132021</v>
      </c>
      <c r="AV332" s="6">
        <v>74917</v>
      </c>
      <c r="AX332" s="6">
        <v>0</v>
      </c>
      <c r="AZ332" s="6">
        <f t="shared" si="63"/>
        <v>19880499</v>
      </c>
      <c r="BB332" s="6">
        <v>899000</v>
      </c>
      <c r="BD332" s="6">
        <v>0</v>
      </c>
      <c r="BF332" s="6">
        <v>0</v>
      </c>
      <c r="BH332" s="6">
        <v>0</v>
      </c>
      <c r="BJ332" s="6">
        <f t="shared" si="64"/>
        <v>20779499</v>
      </c>
      <c r="BL332" s="6">
        <f>+'Gen Fd Rev'!AK332-'Gen Fd Exp'!BJ332</f>
        <v>217885</v>
      </c>
      <c r="BN332" s="6">
        <v>10711181</v>
      </c>
      <c r="BP332" s="6">
        <v>0</v>
      </c>
      <c r="BR332" s="6">
        <v>0</v>
      </c>
      <c r="BT332" s="6">
        <f t="shared" si="65"/>
        <v>10929066</v>
      </c>
      <c r="BV332" s="7">
        <f>+BT332-'Gen Fd BS'!AC332+BR332</f>
        <v>0</v>
      </c>
    </row>
    <row r="333" spans="1:74" hidden="1">
      <c r="A333" s="11" t="s">
        <v>612</v>
      </c>
      <c r="B333" s="11"/>
      <c r="C333" s="11" t="s">
        <v>70</v>
      </c>
      <c r="E333" s="6">
        <v>0</v>
      </c>
      <c r="G333" s="6">
        <v>0</v>
      </c>
      <c r="I333" s="6">
        <v>0</v>
      </c>
      <c r="K333" s="6">
        <v>0</v>
      </c>
      <c r="M333" s="6">
        <v>0</v>
      </c>
      <c r="O333" s="6">
        <v>0</v>
      </c>
      <c r="Q333" s="6">
        <v>0</v>
      </c>
      <c r="S333" s="6">
        <v>0</v>
      </c>
      <c r="U333" s="6">
        <v>0</v>
      </c>
      <c r="W333" s="6">
        <v>0</v>
      </c>
      <c r="Y333" s="6">
        <v>0</v>
      </c>
      <c r="AA333" s="6">
        <v>0</v>
      </c>
      <c r="AC333" s="6">
        <v>0</v>
      </c>
      <c r="AE333" s="6">
        <v>0</v>
      </c>
      <c r="AG333" s="6">
        <v>0</v>
      </c>
      <c r="AI333" s="6">
        <v>0</v>
      </c>
      <c r="AJ333" s="11" t="s">
        <v>612</v>
      </c>
      <c r="AK333" s="11"/>
      <c r="AL333" s="11" t="s">
        <v>70</v>
      </c>
      <c r="AN333" s="6">
        <v>0</v>
      </c>
      <c r="AP333" s="6">
        <v>0</v>
      </c>
      <c r="AT333" s="6">
        <v>0</v>
      </c>
      <c r="AV333" s="6">
        <v>0</v>
      </c>
      <c r="AX333" s="6">
        <v>0</v>
      </c>
      <c r="AZ333" s="6">
        <f t="shared" si="63"/>
        <v>0</v>
      </c>
      <c r="BB333" s="6">
        <v>0</v>
      </c>
      <c r="BD333" s="6">
        <v>0</v>
      </c>
      <c r="BF333" s="6">
        <v>0</v>
      </c>
      <c r="BH333" s="6">
        <v>0</v>
      </c>
      <c r="BJ333" s="6">
        <f t="shared" si="64"/>
        <v>0</v>
      </c>
      <c r="BL333" s="6">
        <f>+'Gen Fd Rev'!AK333-'Gen Fd Exp'!BJ333</f>
        <v>0</v>
      </c>
      <c r="BP333" s="6">
        <v>0</v>
      </c>
      <c r="BR333" s="6">
        <v>0</v>
      </c>
      <c r="BT333" s="6">
        <f t="shared" si="65"/>
        <v>0</v>
      </c>
      <c r="BV333" s="7">
        <f>+BT333-'Gen Fd BS'!AC333+BR333</f>
        <v>0</v>
      </c>
    </row>
    <row r="334" spans="1:74">
      <c r="A334" s="11" t="s">
        <v>410</v>
      </c>
      <c r="B334" s="11"/>
      <c r="C334" s="11" t="s">
        <v>46</v>
      </c>
      <c r="E334" s="6">
        <v>27799181</v>
      </c>
      <c r="G334" s="6">
        <v>0</v>
      </c>
      <c r="I334" s="6">
        <v>0</v>
      </c>
      <c r="K334" s="6">
        <v>0</v>
      </c>
      <c r="M334" s="6">
        <v>0</v>
      </c>
      <c r="O334" s="6">
        <v>2553146</v>
      </c>
      <c r="Q334" s="6">
        <v>1396072</v>
      </c>
      <c r="S334" s="6">
        <v>37196</v>
      </c>
      <c r="U334" s="6">
        <v>3416882</v>
      </c>
      <c r="W334" s="6">
        <v>711862</v>
      </c>
      <c r="Y334" s="6">
        <v>454484</v>
      </c>
      <c r="AA334" s="6">
        <v>3885007</v>
      </c>
      <c r="AC334" s="6">
        <v>999440</v>
      </c>
      <c r="AE334" s="6">
        <v>3739</v>
      </c>
      <c r="AG334" s="6">
        <v>0</v>
      </c>
      <c r="AI334" s="6">
        <v>2874834</v>
      </c>
      <c r="AJ334" s="11" t="s">
        <v>410</v>
      </c>
      <c r="AK334" s="11"/>
      <c r="AL334" s="11" t="s">
        <v>46</v>
      </c>
      <c r="AN334" s="6">
        <v>612757</v>
      </c>
      <c r="AP334" s="6">
        <v>28172</v>
      </c>
      <c r="AT334" s="6">
        <v>29173</v>
      </c>
      <c r="AV334" s="6">
        <v>11465</v>
      </c>
      <c r="AX334" s="6">
        <v>0</v>
      </c>
      <c r="AZ334" s="6">
        <f t="shared" si="63"/>
        <v>44813410</v>
      </c>
      <c r="BB334" s="6">
        <v>75000</v>
      </c>
      <c r="BD334" s="6">
        <v>0</v>
      </c>
      <c r="BF334" s="6">
        <v>0</v>
      </c>
      <c r="BH334" s="6">
        <v>0</v>
      </c>
      <c r="BJ334" s="6">
        <f t="shared" si="64"/>
        <v>44888410</v>
      </c>
      <c r="BL334" s="6">
        <f>+'Gen Fd Rev'!AK334-'Gen Fd Exp'!BJ334</f>
        <v>149319</v>
      </c>
      <c r="BN334" s="6">
        <v>13572689</v>
      </c>
      <c r="BP334" s="6">
        <v>0</v>
      </c>
      <c r="BR334" s="6">
        <v>0</v>
      </c>
      <c r="BT334" s="6">
        <f t="shared" si="65"/>
        <v>13722008</v>
      </c>
      <c r="BV334" s="7">
        <f>+BT334-'Gen Fd BS'!AC334+BR334</f>
        <v>0</v>
      </c>
    </row>
    <row r="335" spans="1:74" hidden="1">
      <c r="A335" s="11" t="s">
        <v>685</v>
      </c>
      <c r="B335" s="11"/>
      <c r="C335" s="11" t="s">
        <v>422</v>
      </c>
      <c r="E335" s="6">
        <v>0</v>
      </c>
      <c r="G335" s="6">
        <v>0</v>
      </c>
      <c r="I335" s="6">
        <v>0</v>
      </c>
      <c r="K335" s="6">
        <v>0</v>
      </c>
      <c r="M335" s="6">
        <v>0</v>
      </c>
      <c r="O335" s="6">
        <v>0</v>
      </c>
      <c r="Q335" s="6">
        <v>0</v>
      </c>
      <c r="S335" s="6">
        <v>0</v>
      </c>
      <c r="U335" s="6">
        <v>0</v>
      </c>
      <c r="W335" s="6">
        <v>0</v>
      </c>
      <c r="Y335" s="6">
        <v>0</v>
      </c>
      <c r="AA335" s="6">
        <v>0</v>
      </c>
      <c r="AC335" s="6">
        <v>0</v>
      </c>
      <c r="AE335" s="6">
        <v>0</v>
      </c>
      <c r="AG335" s="6">
        <v>0</v>
      </c>
      <c r="AI335" s="6">
        <v>0</v>
      </c>
      <c r="AJ335" s="11" t="s">
        <v>685</v>
      </c>
      <c r="AK335" s="11"/>
      <c r="AL335" s="11" t="s">
        <v>422</v>
      </c>
      <c r="AN335" s="6">
        <v>0</v>
      </c>
      <c r="AP335" s="6">
        <v>0</v>
      </c>
      <c r="AT335" s="6">
        <v>0</v>
      </c>
      <c r="AV335" s="6">
        <v>0</v>
      </c>
      <c r="AX335" s="6">
        <v>0</v>
      </c>
      <c r="AZ335" s="6">
        <f t="shared" si="63"/>
        <v>0</v>
      </c>
      <c r="BB335" s="6">
        <v>0</v>
      </c>
      <c r="BD335" s="6">
        <v>0</v>
      </c>
      <c r="BF335" s="6">
        <v>0</v>
      </c>
      <c r="BH335" s="6">
        <v>0</v>
      </c>
      <c r="BJ335" s="6">
        <f t="shared" si="64"/>
        <v>0</v>
      </c>
      <c r="BL335" s="6">
        <f>+'Gen Fd Rev'!AK335-'Gen Fd Exp'!BJ335</f>
        <v>0</v>
      </c>
      <c r="BR335" s="6">
        <v>0</v>
      </c>
      <c r="BT335" s="6">
        <f t="shared" si="65"/>
        <v>0</v>
      </c>
      <c r="BV335" s="7">
        <f>+BT335-'Gen Fd BS'!AC335+BR335</f>
        <v>0</v>
      </c>
    </row>
    <row r="336" spans="1:74">
      <c r="A336" s="11" t="s">
        <v>500</v>
      </c>
      <c r="B336" s="11"/>
      <c r="C336" s="11" t="s">
        <v>62</v>
      </c>
      <c r="E336" s="6">
        <v>8170410</v>
      </c>
      <c r="G336" s="6">
        <v>2240247</v>
      </c>
      <c r="I336" s="6">
        <v>712172</v>
      </c>
      <c r="K336" s="6">
        <v>0</v>
      </c>
      <c r="M336" s="6">
        <v>1226641</v>
      </c>
      <c r="O336" s="6">
        <v>764471</v>
      </c>
      <c r="Q336" s="6">
        <v>1248720</v>
      </c>
      <c r="S336" s="6">
        <v>20447</v>
      </c>
      <c r="U336" s="6">
        <v>1550021</v>
      </c>
      <c r="W336" s="6">
        <v>545187</v>
      </c>
      <c r="Y336" s="6">
        <v>118853</v>
      </c>
      <c r="AA336" s="6">
        <v>1891622</v>
      </c>
      <c r="AC336" s="6">
        <v>1412488</v>
      </c>
      <c r="AE336" s="6">
        <v>20088</v>
      </c>
      <c r="AG336" s="6">
        <v>0</v>
      </c>
      <c r="AI336" s="6">
        <v>0</v>
      </c>
      <c r="AJ336" s="11" t="s">
        <v>500</v>
      </c>
      <c r="AK336" s="11"/>
      <c r="AL336" s="11" t="s">
        <v>62</v>
      </c>
      <c r="AN336" s="6">
        <v>698101</v>
      </c>
      <c r="AP336" s="6">
        <v>0</v>
      </c>
      <c r="AT336" s="6">
        <v>44676</v>
      </c>
      <c r="AV336" s="6">
        <v>2892</v>
      </c>
      <c r="AX336" s="6">
        <v>0</v>
      </c>
      <c r="AZ336" s="6">
        <f t="shared" si="63"/>
        <v>20667036</v>
      </c>
      <c r="BB336" s="6">
        <v>260380</v>
      </c>
      <c r="BD336" s="6">
        <v>0</v>
      </c>
      <c r="BF336" s="6">
        <v>0</v>
      </c>
      <c r="BH336" s="6">
        <v>0</v>
      </c>
      <c r="BJ336" s="6">
        <f t="shared" si="64"/>
        <v>20927416</v>
      </c>
      <c r="BL336" s="6">
        <f>+'Gen Fd Rev'!AK336-'Gen Fd Exp'!BJ336</f>
        <v>-623788</v>
      </c>
      <c r="BN336" s="6">
        <v>7826943</v>
      </c>
      <c r="BP336" s="6">
        <v>6675</v>
      </c>
      <c r="BR336" s="6">
        <v>0</v>
      </c>
      <c r="BT336" s="6">
        <f t="shared" si="65"/>
        <v>7196480</v>
      </c>
      <c r="BV336" s="7">
        <f>+BT336-'Gen Fd BS'!AC336+BR336</f>
        <v>0</v>
      </c>
    </row>
    <row r="337" spans="1:74">
      <c r="A337" s="11" t="s">
        <v>216</v>
      </c>
      <c r="B337" s="11"/>
      <c r="C337" s="11" t="s">
        <v>15</v>
      </c>
      <c r="E337" s="6">
        <v>5525969</v>
      </c>
      <c r="G337" s="6">
        <v>735152</v>
      </c>
      <c r="I337" s="6">
        <v>313333</v>
      </c>
      <c r="K337" s="6">
        <v>0</v>
      </c>
      <c r="M337" s="6">
        <v>70882</v>
      </c>
      <c r="O337" s="6">
        <v>560487</v>
      </c>
      <c r="Q337" s="6">
        <v>277981</v>
      </c>
      <c r="S337" s="6">
        <v>75403</v>
      </c>
      <c r="U337" s="6">
        <v>1000633</v>
      </c>
      <c r="W337" s="6">
        <v>265680</v>
      </c>
      <c r="Y337" s="6">
        <v>0</v>
      </c>
      <c r="AA337" s="6">
        <v>985776</v>
      </c>
      <c r="AC337" s="6">
        <v>634751</v>
      </c>
      <c r="AE337" s="6">
        <v>44103</v>
      </c>
      <c r="AG337" s="6">
        <v>0</v>
      </c>
      <c r="AI337" s="6">
        <v>0</v>
      </c>
      <c r="AJ337" s="11" t="s">
        <v>216</v>
      </c>
      <c r="AK337" s="11"/>
      <c r="AL337" s="11" t="s">
        <v>15</v>
      </c>
      <c r="AN337" s="6">
        <v>208746</v>
      </c>
      <c r="AP337" s="6">
        <v>91567</v>
      </c>
      <c r="AT337" s="6">
        <v>583355</v>
      </c>
      <c r="AV337" s="6">
        <v>216408</v>
      </c>
      <c r="AX337" s="6">
        <v>0</v>
      </c>
      <c r="AZ337" s="6">
        <f t="shared" si="63"/>
        <v>11590226</v>
      </c>
      <c r="BB337" s="6">
        <v>56394</v>
      </c>
      <c r="BD337" s="6">
        <v>0</v>
      </c>
      <c r="BF337" s="6">
        <v>0</v>
      </c>
      <c r="BH337" s="6">
        <v>0</v>
      </c>
      <c r="BJ337" s="6">
        <f t="shared" si="64"/>
        <v>11646620</v>
      </c>
      <c r="BL337" s="6">
        <f>+'Gen Fd Rev'!AK337-'Gen Fd Exp'!BJ337</f>
        <v>1332420</v>
      </c>
      <c r="BN337" s="6">
        <v>-2017514</v>
      </c>
      <c r="BP337" s="6">
        <v>0</v>
      </c>
      <c r="BR337" s="6">
        <v>0</v>
      </c>
      <c r="BT337" s="6">
        <f t="shared" si="65"/>
        <v>-685094</v>
      </c>
      <c r="BV337" s="7">
        <f>+BT337-'Gen Fd BS'!AC337+BR337</f>
        <v>0</v>
      </c>
    </row>
    <row r="338" spans="1:74">
      <c r="A338" s="11" t="s">
        <v>767</v>
      </c>
      <c r="B338" s="11"/>
      <c r="C338" s="11" t="s">
        <v>66</v>
      </c>
      <c r="E338" s="6">
        <v>22179551</v>
      </c>
      <c r="G338" s="6">
        <v>3494235</v>
      </c>
      <c r="I338" s="6">
        <v>589821</v>
      </c>
      <c r="K338" s="6">
        <v>0</v>
      </c>
      <c r="M338" s="6">
        <v>251822</v>
      </c>
      <c r="O338" s="6">
        <v>3392138</v>
      </c>
      <c r="Q338" s="6">
        <v>3264511</v>
      </c>
      <c r="S338" s="6">
        <v>163064</v>
      </c>
      <c r="U338" s="6">
        <v>3202790</v>
      </c>
      <c r="W338" s="6">
        <v>1057101</v>
      </c>
      <c r="Y338" s="6">
        <v>606782</v>
      </c>
      <c r="AA338" s="6">
        <v>4451231</v>
      </c>
      <c r="AC338" s="6">
        <v>2164548</v>
      </c>
      <c r="AE338" s="6">
        <v>312803</v>
      </c>
      <c r="AG338" s="6">
        <v>0</v>
      </c>
      <c r="AI338" s="6">
        <v>390</v>
      </c>
      <c r="AJ338" s="11" t="s">
        <v>767</v>
      </c>
      <c r="AK338" s="11"/>
      <c r="AL338" s="11" t="s">
        <v>66</v>
      </c>
      <c r="AN338" s="6">
        <v>735436</v>
      </c>
      <c r="AP338" s="6">
        <v>0</v>
      </c>
      <c r="AT338" s="6">
        <v>75000</v>
      </c>
      <c r="AV338" s="6">
        <v>18309</v>
      </c>
      <c r="AX338" s="6">
        <v>0</v>
      </c>
      <c r="AZ338" s="6">
        <f t="shared" si="63"/>
        <v>45959532</v>
      </c>
      <c r="BB338" s="6">
        <v>63313</v>
      </c>
      <c r="BD338" s="6">
        <v>0</v>
      </c>
      <c r="BF338" s="6">
        <v>0</v>
      </c>
      <c r="BH338" s="6">
        <v>0</v>
      </c>
      <c r="BJ338" s="6">
        <f t="shared" si="64"/>
        <v>46022845</v>
      </c>
      <c r="BL338" s="6">
        <f>+'Gen Fd Rev'!AK338-'Gen Fd Exp'!BJ338</f>
        <v>-1050358</v>
      </c>
      <c r="BN338" s="6">
        <v>-1223385</v>
      </c>
      <c r="BP338" s="6">
        <v>0</v>
      </c>
      <c r="BR338" s="6">
        <v>0</v>
      </c>
      <c r="BT338" s="6">
        <f t="shared" si="65"/>
        <v>-2273743</v>
      </c>
      <c r="BV338" s="7">
        <f>+BT338-'Gen Fd BS'!AC338+BR338</f>
        <v>0</v>
      </c>
    </row>
    <row r="339" spans="1:74">
      <c r="A339" s="11" t="s">
        <v>546</v>
      </c>
      <c r="B339" s="11"/>
      <c r="C339" s="11" t="s">
        <v>69</v>
      </c>
      <c r="E339" s="6">
        <v>47001754</v>
      </c>
      <c r="G339" s="6">
        <v>12276095</v>
      </c>
      <c r="I339" s="6">
        <v>0</v>
      </c>
      <c r="K339" s="6">
        <v>0</v>
      </c>
      <c r="M339" s="6">
        <v>1096818</v>
      </c>
      <c r="O339" s="6">
        <v>6576180</v>
      </c>
      <c r="Q339" s="6">
        <v>7664271</v>
      </c>
      <c r="S339" s="6">
        <v>0</v>
      </c>
      <c r="U339" s="6">
        <f>58014+5387566</f>
        <v>5445580</v>
      </c>
      <c r="W339" s="6">
        <v>1650569</v>
      </c>
      <c r="Y339" s="6">
        <v>323355</v>
      </c>
      <c r="AA339" s="6">
        <v>9103564</v>
      </c>
      <c r="AC339" s="6">
        <v>5998331</v>
      </c>
      <c r="AE339" s="6">
        <v>2813195</v>
      </c>
      <c r="AG339" s="6">
        <v>0</v>
      </c>
      <c r="AI339" s="6">
        <v>1024162</v>
      </c>
      <c r="AJ339" s="11" t="s">
        <v>546</v>
      </c>
      <c r="AK339" s="11"/>
      <c r="AL339" s="11" t="s">
        <v>69</v>
      </c>
      <c r="AN339" s="6">
        <v>1640472</v>
      </c>
      <c r="AP339" s="6">
        <v>0</v>
      </c>
      <c r="AT339" s="6">
        <v>0</v>
      </c>
      <c r="AV339" s="6">
        <v>0</v>
      </c>
      <c r="AX339" s="6">
        <v>0</v>
      </c>
      <c r="AZ339" s="6">
        <f t="shared" si="63"/>
        <v>102614346</v>
      </c>
      <c r="BB339" s="6">
        <v>281933</v>
      </c>
      <c r="BD339" s="6">
        <v>0</v>
      </c>
      <c r="BF339" s="6">
        <v>0</v>
      </c>
      <c r="BH339" s="6">
        <v>0</v>
      </c>
      <c r="BJ339" s="6">
        <f t="shared" si="64"/>
        <v>102896279</v>
      </c>
      <c r="BL339" s="6">
        <f>+'Gen Fd Rev'!AK339-'Gen Fd Exp'!BJ339</f>
        <v>-7349822</v>
      </c>
      <c r="BN339" s="6">
        <v>39259850</v>
      </c>
      <c r="BP339" s="6">
        <v>0</v>
      </c>
      <c r="BR339" s="6">
        <v>0</v>
      </c>
      <c r="BT339" s="6">
        <f t="shared" si="65"/>
        <v>31910028</v>
      </c>
      <c r="BV339" s="7">
        <f>+BT339-'Gen Fd BS'!AC339+BR339</f>
        <v>0</v>
      </c>
    </row>
    <row r="340" spans="1:74">
      <c r="A340" s="11" t="s">
        <v>501</v>
      </c>
      <c r="B340" s="11"/>
      <c r="C340" s="11" t="s">
        <v>62</v>
      </c>
      <c r="E340" s="6">
        <v>17114688</v>
      </c>
      <c r="G340" s="6">
        <v>3882368</v>
      </c>
      <c r="I340" s="6">
        <v>1933839</v>
      </c>
      <c r="K340" s="6">
        <v>0</v>
      </c>
      <c r="M340" s="6">
        <f>87956+447289</f>
        <v>535245</v>
      </c>
      <c r="O340" s="6">
        <v>2734709</v>
      </c>
      <c r="Q340" s="6">
        <v>1221049</v>
      </c>
      <c r="S340" s="6">
        <v>187410</v>
      </c>
      <c r="U340" s="6">
        <v>2777782</v>
      </c>
      <c r="W340" s="6">
        <v>1037271</v>
      </c>
      <c r="Y340" s="6">
        <v>8109</v>
      </c>
      <c r="AA340" s="6">
        <v>4289167</v>
      </c>
      <c r="AC340" s="6">
        <v>1511854</v>
      </c>
      <c r="AE340" s="6">
        <v>625687</v>
      </c>
      <c r="AG340" s="6">
        <v>0</v>
      </c>
      <c r="AI340" s="6">
        <v>0</v>
      </c>
      <c r="AJ340" s="11" t="s">
        <v>501</v>
      </c>
      <c r="AK340" s="11"/>
      <c r="AL340" s="11" t="s">
        <v>62</v>
      </c>
      <c r="AN340" s="6">
        <v>1073577</v>
      </c>
      <c r="AP340" s="6">
        <v>0</v>
      </c>
      <c r="AT340" s="6">
        <v>60272</v>
      </c>
      <c r="AV340" s="6">
        <v>4155</v>
      </c>
      <c r="AX340" s="6">
        <v>0</v>
      </c>
      <c r="AZ340" s="6">
        <f t="shared" si="63"/>
        <v>38997182</v>
      </c>
      <c r="BB340" s="6">
        <v>0</v>
      </c>
      <c r="BD340" s="6">
        <v>0</v>
      </c>
      <c r="BF340" s="6">
        <v>0</v>
      </c>
      <c r="BH340" s="6">
        <v>0</v>
      </c>
      <c r="BJ340" s="6">
        <f t="shared" si="64"/>
        <v>38997182</v>
      </c>
      <c r="BL340" s="6">
        <f>+'Gen Fd Rev'!AK340-'Gen Fd Exp'!BJ340</f>
        <v>-1342076</v>
      </c>
      <c r="BN340" s="6">
        <v>2924390</v>
      </c>
      <c r="BP340" s="6">
        <v>0</v>
      </c>
      <c r="BR340" s="6">
        <v>0</v>
      </c>
      <c r="BT340" s="6">
        <f t="shared" si="65"/>
        <v>1582314</v>
      </c>
      <c r="BV340" s="7">
        <f>+BT340-'Gen Fd BS'!AC340+BR340</f>
        <v>0</v>
      </c>
    </row>
    <row r="341" spans="1:74">
      <c r="A341" s="11" t="s">
        <v>529</v>
      </c>
      <c r="B341" s="11"/>
      <c r="C341" s="11" t="s">
        <v>64</v>
      </c>
      <c r="E341" s="6">
        <v>4080884</v>
      </c>
      <c r="G341" s="6">
        <v>731835</v>
      </c>
      <c r="I341" s="6">
        <v>86891</v>
      </c>
      <c r="K341" s="6">
        <v>0</v>
      </c>
      <c r="M341" s="6">
        <v>56583</v>
      </c>
      <c r="O341" s="6">
        <v>476885</v>
      </c>
      <c r="Q341" s="6">
        <v>208491</v>
      </c>
      <c r="S341" s="6">
        <v>46874</v>
      </c>
      <c r="U341" s="6">
        <v>875885</v>
      </c>
      <c r="W341" s="6">
        <v>345375</v>
      </c>
      <c r="Y341" s="6">
        <v>4184</v>
      </c>
      <c r="AA341" s="6">
        <v>844023</v>
      </c>
      <c r="AC341" s="6">
        <v>565064</v>
      </c>
      <c r="AE341" s="6">
        <v>84673</v>
      </c>
      <c r="AG341" s="6">
        <v>10896</v>
      </c>
      <c r="AI341" s="6">
        <v>0</v>
      </c>
      <c r="AJ341" s="11" t="s">
        <v>529</v>
      </c>
      <c r="AK341" s="11"/>
      <c r="AL341" s="11" t="s">
        <v>64</v>
      </c>
      <c r="AN341" s="6">
        <v>19672</v>
      </c>
      <c r="AP341" s="6">
        <v>0</v>
      </c>
      <c r="AT341" s="6">
        <v>0</v>
      </c>
      <c r="AV341" s="6">
        <v>0</v>
      </c>
      <c r="AX341" s="6">
        <v>0</v>
      </c>
      <c r="AZ341" s="6">
        <f t="shared" si="63"/>
        <v>8438215</v>
      </c>
      <c r="BB341" s="6">
        <v>147779</v>
      </c>
      <c r="BD341" s="6">
        <v>0</v>
      </c>
      <c r="BF341" s="6">
        <v>0</v>
      </c>
      <c r="BH341" s="6">
        <v>0</v>
      </c>
      <c r="BJ341" s="6">
        <f t="shared" si="64"/>
        <v>8585994</v>
      </c>
      <c r="BL341" s="6">
        <f>+'Gen Fd Rev'!AK341-'Gen Fd Exp'!BJ341</f>
        <v>-296650</v>
      </c>
      <c r="BN341" s="6">
        <v>472558</v>
      </c>
      <c r="BP341" s="6">
        <v>0</v>
      </c>
      <c r="BR341" s="6">
        <v>0</v>
      </c>
      <c r="BT341" s="6">
        <f t="shared" si="65"/>
        <v>175908</v>
      </c>
      <c r="BV341" s="7">
        <f>+BT341-'Gen Fd BS'!AC341+BR341</f>
        <v>0</v>
      </c>
    </row>
    <row r="342" spans="1:74" hidden="1">
      <c r="A342" s="10" t="s">
        <v>878</v>
      </c>
      <c r="B342" s="11"/>
      <c r="C342" s="11" t="s">
        <v>115</v>
      </c>
      <c r="D342" s="9"/>
      <c r="E342" s="6">
        <v>0</v>
      </c>
      <c r="G342" s="6">
        <v>0</v>
      </c>
      <c r="I342" s="6">
        <v>0</v>
      </c>
      <c r="K342" s="6">
        <v>0</v>
      </c>
      <c r="M342" s="6">
        <v>0</v>
      </c>
      <c r="O342" s="6">
        <v>0</v>
      </c>
      <c r="Q342" s="6">
        <v>0</v>
      </c>
      <c r="S342" s="6">
        <v>0</v>
      </c>
      <c r="U342" s="6">
        <v>0</v>
      </c>
      <c r="W342" s="6">
        <v>0</v>
      </c>
      <c r="Y342" s="6">
        <v>0</v>
      </c>
      <c r="AA342" s="6">
        <v>0</v>
      </c>
      <c r="AC342" s="6">
        <v>0</v>
      </c>
      <c r="AE342" s="6">
        <v>0</v>
      </c>
      <c r="AG342" s="6">
        <v>0</v>
      </c>
      <c r="AI342" s="6">
        <v>0</v>
      </c>
      <c r="AJ342" s="10" t="s">
        <v>878</v>
      </c>
      <c r="AK342" s="11"/>
      <c r="AL342" s="11" t="s">
        <v>115</v>
      </c>
      <c r="AN342" s="6">
        <v>0</v>
      </c>
      <c r="AP342" s="6">
        <v>0</v>
      </c>
      <c r="AT342" s="6">
        <v>0</v>
      </c>
      <c r="AV342" s="6">
        <v>0</v>
      </c>
      <c r="AX342" s="6">
        <v>0</v>
      </c>
      <c r="AZ342" s="6">
        <f t="shared" si="63"/>
        <v>0</v>
      </c>
      <c r="BB342" s="6">
        <v>0</v>
      </c>
      <c r="BD342" s="6">
        <v>0</v>
      </c>
      <c r="BF342" s="6">
        <v>0</v>
      </c>
      <c r="BH342" s="6">
        <v>0</v>
      </c>
      <c r="BJ342" s="6">
        <f t="shared" si="64"/>
        <v>0</v>
      </c>
      <c r="BL342" s="6">
        <f>+'Gen Fd Rev'!AK342-'Gen Fd Exp'!BJ342</f>
        <v>0</v>
      </c>
      <c r="BP342" s="6">
        <v>0</v>
      </c>
      <c r="BR342" s="6">
        <v>0</v>
      </c>
      <c r="BT342" s="6">
        <f t="shared" si="65"/>
        <v>0</v>
      </c>
      <c r="BV342" s="7">
        <f>+BT342-'Gen Fd BS'!AC342+BR342</f>
        <v>0</v>
      </c>
    </row>
    <row r="343" spans="1:74">
      <c r="A343" s="11" t="s">
        <v>723</v>
      </c>
      <c r="B343" s="11"/>
      <c r="C343" s="11" t="s">
        <v>20</v>
      </c>
      <c r="E343" s="6">
        <v>24401909</v>
      </c>
      <c r="G343" s="6">
        <v>8975307</v>
      </c>
      <c r="I343" s="6">
        <v>1411817</v>
      </c>
      <c r="K343" s="6">
        <v>18540</v>
      </c>
      <c r="M343" s="6">
        <v>972</v>
      </c>
      <c r="O343" s="6">
        <v>4101565</v>
      </c>
      <c r="Q343" s="6">
        <v>4036701</v>
      </c>
      <c r="S343" s="6">
        <v>118001</v>
      </c>
      <c r="U343" s="6">
        <v>3449093</v>
      </c>
      <c r="W343" s="6">
        <v>1742784</v>
      </c>
      <c r="Y343" s="6">
        <v>283804</v>
      </c>
      <c r="AA343" s="6">
        <v>5353584</v>
      </c>
      <c r="AC343" s="6">
        <v>4712327</v>
      </c>
      <c r="AE343" s="6">
        <v>770792</v>
      </c>
      <c r="AG343" s="6">
        <v>0</v>
      </c>
      <c r="AI343" s="6">
        <v>20</v>
      </c>
      <c r="AJ343" s="11" t="s">
        <v>723</v>
      </c>
      <c r="AK343" s="11"/>
      <c r="AL343" s="11" t="s">
        <v>20</v>
      </c>
      <c r="AN343" s="6">
        <v>1006126</v>
      </c>
      <c r="AP343" s="6">
        <v>59682</v>
      </c>
      <c r="AT343" s="6">
        <v>57309</v>
      </c>
      <c r="AV343" s="6">
        <v>2368</v>
      </c>
      <c r="AX343" s="6">
        <v>0</v>
      </c>
      <c r="AZ343" s="6">
        <f t="shared" si="63"/>
        <v>60502701</v>
      </c>
      <c r="BB343" s="6">
        <v>614262</v>
      </c>
      <c r="BD343" s="6">
        <v>0</v>
      </c>
      <c r="BF343" s="6">
        <v>0</v>
      </c>
      <c r="BH343" s="6">
        <v>0</v>
      </c>
      <c r="BJ343" s="6">
        <f t="shared" si="64"/>
        <v>61116963</v>
      </c>
      <c r="BL343" s="6">
        <f>+'Gen Fd Rev'!AK343-'Gen Fd Exp'!BJ343</f>
        <v>1492316</v>
      </c>
      <c r="BN343" s="6">
        <v>25985589</v>
      </c>
      <c r="BP343" s="6">
        <v>0</v>
      </c>
      <c r="BR343" s="6">
        <v>0</v>
      </c>
      <c r="BT343" s="6">
        <f t="shared" si="65"/>
        <v>27477905</v>
      </c>
      <c r="BV343" s="7">
        <f>+BT343-'Gen Fd BS'!AC343+BR343</f>
        <v>0</v>
      </c>
    </row>
    <row r="344" spans="1:74">
      <c r="A344" s="11" t="s">
        <v>445</v>
      </c>
      <c r="B344" s="11"/>
      <c r="C344" s="11" t="s">
        <v>51</v>
      </c>
      <c r="E344" s="6">
        <v>8984875</v>
      </c>
      <c r="G344" s="6">
        <v>1672896</v>
      </c>
      <c r="I344" s="6">
        <v>127467</v>
      </c>
      <c r="K344" s="6">
        <v>0</v>
      </c>
      <c r="M344" s="6">
        <v>571097</v>
      </c>
      <c r="O344" s="6">
        <v>646944</v>
      </c>
      <c r="Q344" s="6">
        <v>1157761</v>
      </c>
      <c r="S344" s="6">
        <v>46343</v>
      </c>
      <c r="U344" s="6">
        <v>1644468</v>
      </c>
      <c r="W344" s="6">
        <v>402037</v>
      </c>
      <c r="Y344" s="6">
        <v>0</v>
      </c>
      <c r="AA344" s="6">
        <v>1660994</v>
      </c>
      <c r="AC344" s="6">
        <v>1085468</v>
      </c>
      <c r="AE344" s="6">
        <v>49074</v>
      </c>
      <c r="AG344" s="6">
        <v>0</v>
      </c>
      <c r="AI344" s="6">
        <v>6221</v>
      </c>
      <c r="AJ344" s="11" t="s">
        <v>445</v>
      </c>
      <c r="AK344" s="11"/>
      <c r="AL344" s="11" t="s">
        <v>51</v>
      </c>
      <c r="AN344" s="6">
        <v>447769</v>
      </c>
      <c r="AP344" s="6">
        <v>184482</v>
      </c>
      <c r="AT344" s="6">
        <v>86227</v>
      </c>
      <c r="AV344" s="6">
        <v>5681</v>
      </c>
      <c r="AX344" s="6">
        <v>0</v>
      </c>
      <c r="AZ344" s="6">
        <f t="shared" si="63"/>
        <v>18779804</v>
      </c>
      <c r="BB344" s="6">
        <v>0</v>
      </c>
      <c r="BD344" s="6">
        <v>0</v>
      </c>
      <c r="BF344" s="6">
        <v>0</v>
      </c>
      <c r="BH344" s="6">
        <v>0</v>
      </c>
      <c r="BJ344" s="6">
        <f t="shared" si="64"/>
        <v>18779804</v>
      </c>
      <c r="BL344" s="6">
        <f>+'Gen Fd Rev'!AK344-'Gen Fd Exp'!BJ344</f>
        <v>926917</v>
      </c>
      <c r="BN344" s="6">
        <v>-72889</v>
      </c>
      <c r="BP344" s="6">
        <v>0</v>
      </c>
      <c r="BR344" s="6">
        <v>0</v>
      </c>
      <c r="BT344" s="6">
        <f t="shared" si="65"/>
        <v>854028</v>
      </c>
      <c r="BV344" s="7">
        <f>+BT344-'Gen Fd BS'!AC344+BR344</f>
        <v>0</v>
      </c>
    </row>
    <row r="345" spans="1:74" hidden="1">
      <c r="A345" s="11" t="s">
        <v>806</v>
      </c>
      <c r="B345" s="11"/>
      <c r="C345" s="11" t="s">
        <v>33</v>
      </c>
      <c r="AJ345" s="11" t="s">
        <v>806</v>
      </c>
      <c r="AK345" s="11"/>
      <c r="AL345" s="11" t="s">
        <v>33</v>
      </c>
      <c r="AX345" s="6">
        <v>0</v>
      </c>
      <c r="AZ345" s="6">
        <f t="shared" si="63"/>
        <v>0</v>
      </c>
      <c r="BB345" s="6">
        <v>0</v>
      </c>
      <c r="BD345" s="6">
        <v>0</v>
      </c>
      <c r="BF345" s="6">
        <v>0</v>
      </c>
      <c r="BH345" s="6">
        <v>0</v>
      </c>
      <c r="BJ345" s="6">
        <f t="shared" si="64"/>
        <v>0</v>
      </c>
      <c r="BL345" s="6">
        <f>+'Gen Fd Rev'!AK345-'Gen Fd Exp'!BJ345</f>
        <v>0</v>
      </c>
      <c r="BP345" s="6">
        <v>0</v>
      </c>
      <c r="BR345" s="6">
        <v>0</v>
      </c>
      <c r="BT345" s="6">
        <f t="shared" si="65"/>
        <v>0</v>
      </c>
      <c r="BV345" s="7">
        <f>+BT345-'Gen Fd BS'!AC345+BR345</f>
        <v>0</v>
      </c>
    </row>
    <row r="346" spans="1:74">
      <c r="A346" s="11" t="s">
        <v>638</v>
      </c>
      <c r="B346" s="11"/>
      <c r="C346" s="11" t="s">
        <v>64</v>
      </c>
      <c r="E346" s="6">
        <v>3220017</v>
      </c>
      <c r="G346" s="6">
        <v>600289</v>
      </c>
      <c r="I346" s="6">
        <v>29091</v>
      </c>
      <c r="K346" s="6">
        <v>0</v>
      </c>
      <c r="M346" s="6">
        <v>0</v>
      </c>
      <c r="O346" s="6">
        <v>129309</v>
      </c>
      <c r="Q346" s="6">
        <v>10115</v>
      </c>
      <c r="S346" s="6">
        <v>25782</v>
      </c>
      <c r="U346" s="6">
        <v>435756</v>
      </c>
      <c r="W346" s="6">
        <v>185530</v>
      </c>
      <c r="Y346" s="6">
        <v>0</v>
      </c>
      <c r="AA346" s="6">
        <v>540943</v>
      </c>
      <c r="AC346" s="6">
        <v>168275</v>
      </c>
      <c r="AE346" s="6">
        <v>26699</v>
      </c>
      <c r="AG346" s="6">
        <v>0</v>
      </c>
      <c r="AI346" s="6">
        <v>3241</v>
      </c>
      <c r="AJ346" s="11" t="s">
        <v>638</v>
      </c>
      <c r="AK346" s="11"/>
      <c r="AL346" s="11" t="s">
        <v>64</v>
      </c>
      <c r="AN346" s="6">
        <v>141234</v>
      </c>
      <c r="AP346" s="6">
        <v>0</v>
      </c>
      <c r="AT346" s="6">
        <v>18418</v>
      </c>
      <c r="AV346" s="6">
        <v>4346</v>
      </c>
      <c r="AX346" s="6">
        <v>0</v>
      </c>
      <c r="AZ346" s="6">
        <f t="shared" si="63"/>
        <v>5539045</v>
      </c>
      <c r="BB346" s="6">
        <v>75000</v>
      </c>
      <c r="BD346" s="6">
        <v>0</v>
      </c>
      <c r="BF346" s="6">
        <v>0</v>
      </c>
      <c r="BH346" s="6">
        <v>0</v>
      </c>
      <c r="BJ346" s="6">
        <f t="shared" si="64"/>
        <v>5614045</v>
      </c>
      <c r="BL346" s="6">
        <f>+'Gen Fd Rev'!AK346-'Gen Fd Exp'!BJ346</f>
        <v>860671</v>
      </c>
      <c r="BN346" s="6">
        <v>-830115</v>
      </c>
      <c r="BP346" s="6">
        <v>0</v>
      </c>
      <c r="BR346" s="6">
        <v>0</v>
      </c>
      <c r="BT346" s="6">
        <f t="shared" si="65"/>
        <v>30556</v>
      </c>
      <c r="BV346" s="7">
        <f>+BT346-'Gen Fd BS'!AC346+BR346</f>
        <v>0</v>
      </c>
    </row>
    <row r="347" spans="1:74">
      <c r="A347" s="11" t="s">
        <v>768</v>
      </c>
      <c r="B347" s="11"/>
      <c r="C347" s="11" t="s">
        <v>228</v>
      </c>
      <c r="E347" s="6">
        <v>4273427</v>
      </c>
      <c r="G347" s="6">
        <v>1149425</v>
      </c>
      <c r="I347" s="6">
        <v>160644</v>
      </c>
      <c r="K347" s="6">
        <v>0</v>
      </c>
      <c r="M347" s="6">
        <v>0</v>
      </c>
      <c r="O347" s="6">
        <v>320181</v>
      </c>
      <c r="Q347" s="6">
        <v>242885</v>
      </c>
      <c r="S347" s="6">
        <v>38394</v>
      </c>
      <c r="U347" s="6">
        <v>854284</v>
      </c>
      <c r="W347" s="6">
        <v>316190</v>
      </c>
      <c r="Y347" s="6">
        <v>0</v>
      </c>
      <c r="AA347" s="6">
        <v>1404890</v>
      </c>
      <c r="AC347" s="6">
        <v>635632</v>
      </c>
      <c r="AE347" s="6">
        <v>128929</v>
      </c>
      <c r="AG347" s="6">
        <v>0</v>
      </c>
      <c r="AI347" s="6">
        <v>4963</v>
      </c>
      <c r="AJ347" s="11" t="s">
        <v>768</v>
      </c>
      <c r="AK347" s="11"/>
      <c r="AL347" s="11" t="s">
        <v>228</v>
      </c>
      <c r="AN347" s="6">
        <v>235287</v>
      </c>
      <c r="AP347" s="6">
        <v>0</v>
      </c>
      <c r="AT347" s="6">
        <v>0</v>
      </c>
      <c r="AV347" s="6">
        <v>0</v>
      </c>
      <c r="AX347" s="6">
        <v>0</v>
      </c>
      <c r="AZ347" s="6">
        <f t="shared" si="63"/>
        <v>9765131</v>
      </c>
      <c r="BB347" s="6">
        <v>67860</v>
      </c>
      <c r="BD347" s="6">
        <v>0</v>
      </c>
      <c r="BF347" s="6">
        <v>0</v>
      </c>
      <c r="BH347" s="6">
        <v>0</v>
      </c>
      <c r="BJ347" s="6">
        <f t="shared" si="64"/>
        <v>9832991</v>
      </c>
      <c r="BL347" s="6">
        <f>+'Gen Fd Rev'!AK347-'Gen Fd Exp'!BJ347</f>
        <v>-961943</v>
      </c>
      <c r="BN347" s="6">
        <v>961585</v>
      </c>
      <c r="BP347" s="6">
        <v>0</v>
      </c>
      <c r="BR347" s="6">
        <v>0</v>
      </c>
      <c r="BT347" s="6">
        <f t="shared" si="65"/>
        <v>-358</v>
      </c>
      <c r="BV347" s="7">
        <f>+BT347-'Gen Fd BS'!AC347+BR347</f>
        <v>0</v>
      </c>
    </row>
    <row r="348" spans="1:74">
      <c r="A348" s="11" t="s">
        <v>418</v>
      </c>
      <c r="B348" s="11"/>
      <c r="C348" s="11" t="s">
        <v>47</v>
      </c>
      <c r="E348" s="6">
        <v>33201056</v>
      </c>
      <c r="G348" s="6">
        <v>6737601</v>
      </c>
      <c r="I348" s="6">
        <v>212109</v>
      </c>
      <c r="K348" s="6">
        <v>0</v>
      </c>
      <c r="M348" s="6">
        <v>72385</v>
      </c>
      <c r="O348" s="6">
        <v>2771229</v>
      </c>
      <c r="Q348" s="6">
        <v>4165161</v>
      </c>
      <c r="S348" s="6">
        <v>98812</v>
      </c>
      <c r="U348" s="6">
        <v>4569869</v>
      </c>
      <c r="W348" s="6">
        <v>1399582</v>
      </c>
      <c r="Y348" s="6">
        <v>466173</v>
      </c>
      <c r="AA348" s="6">
        <v>6357084</v>
      </c>
      <c r="AC348" s="6">
        <v>2414326</v>
      </c>
      <c r="AE348" s="6">
        <v>351572</v>
      </c>
      <c r="AG348" s="6">
        <v>0</v>
      </c>
      <c r="AI348" s="6">
        <v>100398</v>
      </c>
      <c r="AJ348" s="11" t="s">
        <v>418</v>
      </c>
      <c r="AK348" s="11"/>
      <c r="AL348" s="11" t="s">
        <v>47</v>
      </c>
      <c r="AN348" s="6">
        <v>1187241</v>
      </c>
      <c r="AP348" s="6">
        <v>216624</v>
      </c>
      <c r="AT348" s="6">
        <v>87280</v>
      </c>
      <c r="AV348" s="6">
        <v>18869</v>
      </c>
      <c r="AX348" s="6">
        <v>0</v>
      </c>
      <c r="AZ348" s="6">
        <f t="shared" si="63"/>
        <v>64427371</v>
      </c>
      <c r="BB348" s="6">
        <v>490900</v>
      </c>
      <c r="BD348" s="6">
        <v>0</v>
      </c>
      <c r="BF348" s="6">
        <v>0</v>
      </c>
      <c r="BH348" s="6">
        <v>0</v>
      </c>
      <c r="BJ348" s="6">
        <f t="shared" si="64"/>
        <v>64918271</v>
      </c>
      <c r="BL348" s="6">
        <f>+'Gen Fd Rev'!AK348-'Gen Fd Exp'!BJ348</f>
        <v>5469538</v>
      </c>
      <c r="BN348" s="6">
        <v>10970931</v>
      </c>
      <c r="BP348" s="6">
        <v>0</v>
      </c>
      <c r="BR348" s="6">
        <v>0</v>
      </c>
      <c r="BT348" s="6">
        <f t="shared" si="65"/>
        <v>16440469</v>
      </c>
      <c r="BV348" s="7">
        <f>+BT348-'Gen Fd BS'!AC348+BR348</f>
        <v>0</v>
      </c>
    </row>
    <row r="349" spans="1:74">
      <c r="A349" s="11" t="s">
        <v>421</v>
      </c>
      <c r="B349" s="11"/>
      <c r="C349" s="11" t="s">
        <v>420</v>
      </c>
      <c r="E349" s="6">
        <v>6274706</v>
      </c>
      <c r="G349" s="6">
        <v>1752621</v>
      </c>
      <c r="I349" s="6">
        <v>1270326</v>
      </c>
      <c r="K349" s="6">
        <v>6350</v>
      </c>
      <c r="M349" s="6">
        <f>150217+1694197</f>
        <v>1844414</v>
      </c>
      <c r="O349" s="6">
        <v>574158</v>
      </c>
      <c r="Q349" s="6">
        <v>379107</v>
      </c>
      <c r="S349" s="6">
        <v>70303</v>
      </c>
      <c r="U349" s="6">
        <v>770252</v>
      </c>
      <c r="W349" s="6">
        <v>468042</v>
      </c>
      <c r="Y349" s="6">
        <v>0</v>
      </c>
      <c r="AA349" s="6">
        <v>1862602</v>
      </c>
      <c r="AC349" s="6">
        <v>1541637</v>
      </c>
      <c r="AE349" s="6">
        <v>0</v>
      </c>
      <c r="AG349" s="6">
        <v>0</v>
      </c>
      <c r="AI349" s="6">
        <v>0</v>
      </c>
      <c r="AJ349" s="11" t="s">
        <v>421</v>
      </c>
      <c r="AK349" s="11"/>
      <c r="AL349" s="11" t="s">
        <v>420</v>
      </c>
      <c r="AN349" s="6">
        <v>191781</v>
      </c>
      <c r="AP349" s="6">
        <v>0</v>
      </c>
      <c r="AT349" s="6">
        <v>0</v>
      </c>
      <c r="AV349" s="6">
        <v>0</v>
      </c>
      <c r="AX349" s="6">
        <v>0</v>
      </c>
      <c r="AZ349" s="6">
        <f t="shared" si="63"/>
        <v>17006299</v>
      </c>
      <c r="BB349" s="6">
        <v>0</v>
      </c>
      <c r="BD349" s="6">
        <v>0</v>
      </c>
      <c r="BF349" s="6">
        <v>0</v>
      </c>
      <c r="BH349" s="6">
        <v>0</v>
      </c>
      <c r="BJ349" s="6">
        <f t="shared" si="64"/>
        <v>17006299</v>
      </c>
      <c r="BL349" s="6">
        <f>+'Gen Fd Rev'!AK349-'Gen Fd Exp'!BJ349</f>
        <v>1573819</v>
      </c>
      <c r="BN349" s="6">
        <v>-803858</v>
      </c>
      <c r="BP349" s="6">
        <v>0</v>
      </c>
      <c r="BR349" s="6">
        <v>0</v>
      </c>
      <c r="BT349" s="6">
        <f t="shared" si="65"/>
        <v>769961</v>
      </c>
      <c r="BV349" s="7">
        <f>+BT349-'Gen Fd BS'!AC349+BR349</f>
        <v>0</v>
      </c>
    </row>
    <row r="350" spans="1:74">
      <c r="A350" s="11" t="s">
        <v>769</v>
      </c>
      <c r="B350" s="11"/>
      <c r="C350" s="11" t="s">
        <v>41</v>
      </c>
      <c r="D350" s="9"/>
      <c r="E350" s="6">
        <v>42954140</v>
      </c>
      <c r="G350" s="6">
        <v>10410617</v>
      </c>
      <c r="I350" s="6">
        <v>1718301</v>
      </c>
      <c r="K350" s="6">
        <v>0</v>
      </c>
      <c r="M350" s="6">
        <v>56869</v>
      </c>
      <c r="O350" s="6">
        <v>5903319</v>
      </c>
      <c r="Q350" s="6">
        <v>6544904</v>
      </c>
      <c r="S350" s="6">
        <v>536533</v>
      </c>
      <c r="U350" s="6">
        <v>5381181</v>
      </c>
      <c r="W350" s="6">
        <v>2346354</v>
      </c>
      <c r="Y350" s="6">
        <v>595192</v>
      </c>
      <c r="AA350" s="6">
        <v>8199429</v>
      </c>
      <c r="AC350" s="6">
        <v>6229637</v>
      </c>
      <c r="AE350" s="6">
        <v>1995622</v>
      </c>
      <c r="AG350" s="6">
        <v>0</v>
      </c>
      <c r="AI350" s="6">
        <v>66245</v>
      </c>
      <c r="AJ350" s="11" t="s">
        <v>769</v>
      </c>
      <c r="AK350" s="11"/>
      <c r="AL350" s="11" t="s">
        <v>41</v>
      </c>
      <c r="AN350" s="6">
        <v>1476075</v>
      </c>
      <c r="AP350" s="6">
        <v>0</v>
      </c>
      <c r="AT350" s="6">
        <v>0</v>
      </c>
      <c r="AV350" s="6">
        <v>0</v>
      </c>
      <c r="AX350" s="6">
        <v>0</v>
      </c>
      <c r="AZ350" s="6">
        <f t="shared" si="63"/>
        <v>94414418</v>
      </c>
      <c r="BB350" s="6">
        <v>434368</v>
      </c>
      <c r="BD350" s="6">
        <v>0</v>
      </c>
      <c r="BF350" s="6">
        <v>0</v>
      </c>
      <c r="BH350" s="6">
        <v>0</v>
      </c>
      <c r="BJ350" s="6">
        <f t="shared" si="64"/>
        <v>94848786</v>
      </c>
      <c r="BL350" s="6">
        <f>+'Gen Fd Rev'!AK350-'Gen Fd Exp'!BJ350</f>
        <v>-1289321</v>
      </c>
      <c r="BN350" s="6">
        <v>53515095</v>
      </c>
      <c r="BP350" s="6">
        <v>0</v>
      </c>
      <c r="BR350" s="6">
        <v>0</v>
      </c>
      <c r="BT350" s="6">
        <f t="shared" si="65"/>
        <v>52225774</v>
      </c>
      <c r="BV350" s="7">
        <f>+BT350-'Gen Fd BS'!AC350+BR350</f>
        <v>0</v>
      </c>
    </row>
    <row r="351" spans="1:74">
      <c r="A351" s="11" t="s">
        <v>424</v>
      </c>
      <c r="B351" s="11"/>
      <c r="C351" s="11" t="s">
        <v>48</v>
      </c>
      <c r="E351" s="6">
        <v>5253433</v>
      </c>
      <c r="G351" s="6">
        <v>734185</v>
      </c>
      <c r="I351" s="6">
        <v>100390</v>
      </c>
      <c r="K351" s="6">
        <v>0</v>
      </c>
      <c r="M351" s="6">
        <v>746760</v>
      </c>
      <c r="O351" s="6">
        <v>632761</v>
      </c>
      <c r="Q351" s="6">
        <v>338606</v>
      </c>
      <c r="S351" s="6">
        <v>22420</v>
      </c>
      <c r="U351" s="6">
        <v>804724</v>
      </c>
      <c r="W351" s="6">
        <v>362206</v>
      </c>
      <c r="Y351" s="6">
        <v>56256</v>
      </c>
      <c r="AA351" s="6">
        <v>933446</v>
      </c>
      <c r="AC351" s="6">
        <v>727045</v>
      </c>
      <c r="AE351" s="6">
        <v>177272</v>
      </c>
      <c r="AG351" s="6">
        <v>0</v>
      </c>
      <c r="AI351" s="6">
        <v>3396</v>
      </c>
      <c r="AJ351" s="11" t="s">
        <v>424</v>
      </c>
      <c r="AK351" s="11"/>
      <c r="AL351" s="11" t="s">
        <v>48</v>
      </c>
      <c r="AN351" s="6">
        <v>282377</v>
      </c>
      <c r="AP351" s="6">
        <v>4196</v>
      </c>
      <c r="AT351" s="6">
        <v>0</v>
      </c>
      <c r="AV351" s="6">
        <v>0</v>
      </c>
      <c r="AX351" s="6">
        <v>0</v>
      </c>
      <c r="AZ351" s="6">
        <f t="shared" si="63"/>
        <v>11179473</v>
      </c>
      <c r="BB351" s="6">
        <v>71165</v>
      </c>
      <c r="BD351" s="6">
        <v>0</v>
      </c>
      <c r="BF351" s="6">
        <v>0</v>
      </c>
      <c r="BH351" s="6">
        <v>0</v>
      </c>
      <c r="BJ351" s="6">
        <f t="shared" si="64"/>
        <v>11250638</v>
      </c>
      <c r="BL351" s="6">
        <f>+'Gen Fd Rev'!AK351-'Gen Fd Exp'!BJ351</f>
        <v>199934</v>
      </c>
      <c r="BN351" s="6">
        <v>380344</v>
      </c>
      <c r="BP351" s="6">
        <v>0</v>
      </c>
      <c r="BR351" s="6">
        <v>0</v>
      </c>
      <c r="BT351" s="6">
        <f t="shared" si="65"/>
        <v>580278</v>
      </c>
      <c r="BV351" s="7">
        <f>+BT351-'Gen Fd BS'!AC351+BR351</f>
        <v>0</v>
      </c>
    </row>
    <row r="352" spans="1:74">
      <c r="A352" s="11" t="s">
        <v>297</v>
      </c>
      <c r="B352" s="11"/>
      <c r="C352" s="11" t="s">
        <v>26</v>
      </c>
      <c r="D352" s="9"/>
      <c r="E352" s="6">
        <v>8121087</v>
      </c>
      <c r="G352" s="6">
        <v>1895125</v>
      </c>
      <c r="I352" s="6">
        <v>87810</v>
      </c>
      <c r="K352" s="6">
        <v>0</v>
      </c>
      <c r="M352" s="6">
        <v>1926269</v>
      </c>
      <c r="O352" s="6">
        <v>923037</v>
      </c>
      <c r="Q352" s="6">
        <v>1350765</v>
      </c>
      <c r="S352" s="6">
        <v>0</v>
      </c>
      <c r="U352" s="6">
        <f>52308+2056309</f>
        <v>2108617</v>
      </c>
      <c r="W352" s="6">
        <v>674382</v>
      </c>
      <c r="Y352" s="6">
        <v>103837</v>
      </c>
      <c r="AA352" s="6">
        <v>1943931</v>
      </c>
      <c r="AC352" s="6">
        <v>2028475</v>
      </c>
      <c r="AE352" s="6">
        <v>435508</v>
      </c>
      <c r="AG352" s="6">
        <v>0</v>
      </c>
      <c r="AI352" s="6">
        <v>86343</v>
      </c>
      <c r="AJ352" s="11" t="s">
        <v>297</v>
      </c>
      <c r="AK352" s="11"/>
      <c r="AL352" s="11" t="s">
        <v>26</v>
      </c>
      <c r="AN352" s="6">
        <v>258765</v>
      </c>
      <c r="AP352" s="6">
        <v>72894</v>
      </c>
      <c r="AT352" s="6">
        <v>0</v>
      </c>
      <c r="AV352" s="6">
        <v>0</v>
      </c>
      <c r="AX352" s="6">
        <v>0</v>
      </c>
      <c r="AZ352" s="6">
        <f t="shared" si="63"/>
        <v>22016845</v>
      </c>
      <c r="BB352" s="6">
        <v>3100</v>
      </c>
      <c r="BD352" s="6">
        <v>0</v>
      </c>
      <c r="BF352" s="6">
        <v>0</v>
      </c>
      <c r="BH352" s="6">
        <v>0</v>
      </c>
      <c r="BJ352" s="6">
        <f t="shared" si="64"/>
        <v>22019945</v>
      </c>
      <c r="BL352" s="6">
        <f>+'Gen Fd Rev'!AK352-'Gen Fd Exp'!BJ352</f>
        <v>1996244</v>
      </c>
      <c r="BN352" s="6">
        <v>10791268</v>
      </c>
      <c r="BP352" s="6">
        <v>0</v>
      </c>
      <c r="BR352" s="6">
        <v>0</v>
      </c>
      <c r="BT352" s="6">
        <f t="shared" si="65"/>
        <v>12787512</v>
      </c>
      <c r="BV352" s="7">
        <f>+BT352-'Gen Fd BS'!AC352+BR352</f>
        <v>0</v>
      </c>
    </row>
    <row r="353" spans="1:74">
      <c r="A353" s="11" t="s">
        <v>432</v>
      </c>
      <c r="B353" s="11"/>
      <c r="C353" s="11" t="s">
        <v>50</v>
      </c>
      <c r="E353" s="6">
        <v>20703167</v>
      </c>
      <c r="G353" s="6">
        <v>7015195</v>
      </c>
      <c r="I353" s="6">
        <v>478207</v>
      </c>
      <c r="K353" s="6">
        <v>0</v>
      </c>
      <c r="M353" s="6">
        <f>33248+468841</f>
        <v>502089</v>
      </c>
      <c r="O353" s="6">
        <v>3696691</v>
      </c>
      <c r="Q353" s="6">
        <v>1067023</v>
      </c>
      <c r="S353" s="6">
        <v>34933</v>
      </c>
      <c r="U353" s="6">
        <v>2856591</v>
      </c>
      <c r="W353" s="6">
        <v>864572</v>
      </c>
      <c r="Y353" s="6">
        <v>292189</v>
      </c>
      <c r="AA353" s="6">
        <v>3651407</v>
      </c>
      <c r="AC353" s="6">
        <v>2762684</v>
      </c>
      <c r="AE353" s="6">
        <v>417898</v>
      </c>
      <c r="AG353" s="6">
        <v>0</v>
      </c>
      <c r="AI353" s="6">
        <v>0</v>
      </c>
      <c r="AJ353" s="11" t="s">
        <v>432</v>
      </c>
      <c r="AK353" s="11"/>
      <c r="AL353" s="11" t="s">
        <v>50</v>
      </c>
      <c r="AN353" s="6">
        <v>637191</v>
      </c>
      <c r="AP353" s="6">
        <v>6822</v>
      </c>
      <c r="AT353" s="6">
        <v>34510</v>
      </c>
      <c r="AV353" s="6">
        <f>25066+225669</f>
        <v>250735</v>
      </c>
      <c r="AX353" s="6">
        <v>0</v>
      </c>
      <c r="AZ353" s="6">
        <f t="shared" si="63"/>
        <v>45271904</v>
      </c>
      <c r="BB353" s="6">
        <v>162601</v>
      </c>
      <c r="BD353" s="6">
        <v>0</v>
      </c>
      <c r="BF353" s="6">
        <v>0</v>
      </c>
      <c r="BH353" s="6">
        <v>0</v>
      </c>
      <c r="BJ353" s="6">
        <f t="shared" si="64"/>
        <v>45434505</v>
      </c>
      <c r="BL353" s="6">
        <f>+'Gen Fd Rev'!AK353-'Gen Fd Exp'!BJ353</f>
        <v>4216098</v>
      </c>
      <c r="BN353" s="6">
        <v>-752297</v>
      </c>
      <c r="BP353" s="6">
        <v>0</v>
      </c>
      <c r="BR353" s="6">
        <v>0</v>
      </c>
      <c r="BT353" s="6">
        <f t="shared" si="65"/>
        <v>3463801</v>
      </c>
      <c r="BV353" s="7">
        <f>+BT353-'Gen Fd BS'!AC353+BR353</f>
        <v>0</v>
      </c>
    </row>
    <row r="354" spans="1:74" hidden="1">
      <c r="A354" s="11" t="s">
        <v>812</v>
      </c>
      <c r="B354" s="11"/>
      <c r="C354" s="11" t="s">
        <v>53</v>
      </c>
      <c r="AJ354" s="11" t="s">
        <v>812</v>
      </c>
      <c r="AK354" s="11"/>
      <c r="AL354" s="11" t="s">
        <v>53</v>
      </c>
      <c r="AX354" s="6">
        <v>0</v>
      </c>
      <c r="AZ354" s="6">
        <f t="shared" si="63"/>
        <v>0</v>
      </c>
      <c r="BB354" s="6">
        <v>0</v>
      </c>
      <c r="BD354" s="6">
        <v>0</v>
      </c>
      <c r="BF354" s="6">
        <v>0</v>
      </c>
      <c r="BH354" s="6">
        <v>0</v>
      </c>
      <c r="BJ354" s="6">
        <f t="shared" ref="BJ354" si="69">+AZ354+BB354+BD354+BH354</f>
        <v>0</v>
      </c>
      <c r="BL354" s="6">
        <f>+'Gen Fd Rev'!AK354-'Gen Fd Exp'!BJ354</f>
        <v>0</v>
      </c>
      <c r="BP354" s="6">
        <v>0</v>
      </c>
      <c r="BR354" s="6">
        <v>0</v>
      </c>
      <c r="BT354" s="6">
        <f t="shared" si="65"/>
        <v>0</v>
      </c>
      <c r="BV354" s="7">
        <f>+BT354-'Gen Fd BS'!AC354+BR354</f>
        <v>0</v>
      </c>
    </row>
    <row r="355" spans="1:74">
      <c r="A355" s="11" t="s">
        <v>225</v>
      </c>
      <c r="B355" s="11"/>
      <c r="C355" s="11" t="s">
        <v>221</v>
      </c>
      <c r="E355" s="6">
        <v>25886160</v>
      </c>
      <c r="G355" s="6">
        <v>5470603</v>
      </c>
      <c r="I355" s="6">
        <v>105</v>
      </c>
      <c r="K355" s="6">
        <v>97841</v>
      </c>
      <c r="M355" s="6">
        <v>10793269</v>
      </c>
      <c r="O355" s="6">
        <v>4267863</v>
      </c>
      <c r="Q355" s="6">
        <v>1977419</v>
      </c>
      <c r="S355" s="6">
        <v>56405</v>
      </c>
      <c r="U355" s="6">
        <v>4071167</v>
      </c>
      <c r="W355" s="6">
        <v>714449</v>
      </c>
      <c r="Y355" s="6">
        <v>427308</v>
      </c>
      <c r="AA355" s="6">
        <v>4832101</v>
      </c>
      <c r="AC355" s="6">
        <v>3456172</v>
      </c>
      <c r="AE355" s="6">
        <v>3463206</v>
      </c>
      <c r="AG355" s="6">
        <v>0</v>
      </c>
      <c r="AI355" s="6">
        <v>239</v>
      </c>
      <c r="AJ355" s="11" t="s">
        <v>225</v>
      </c>
      <c r="AK355" s="11"/>
      <c r="AL355" s="11" t="s">
        <v>221</v>
      </c>
      <c r="AN355" s="6">
        <v>124530</v>
      </c>
      <c r="AP355" s="6">
        <v>36326</v>
      </c>
      <c r="AT355" s="6">
        <v>527375</v>
      </c>
      <c r="AV355" s="6">
        <v>86338</v>
      </c>
      <c r="AX355" s="6">
        <v>0</v>
      </c>
      <c r="AZ355" s="6">
        <f t="shared" si="63"/>
        <v>66288876</v>
      </c>
      <c r="BB355" s="6">
        <v>618152</v>
      </c>
      <c r="BD355" s="6">
        <v>0</v>
      </c>
      <c r="BF355" s="6">
        <v>0</v>
      </c>
      <c r="BH355" s="6">
        <v>0</v>
      </c>
      <c r="BJ355" s="6">
        <f t="shared" si="64"/>
        <v>66907028</v>
      </c>
      <c r="BL355" s="6">
        <f>+'Gen Fd Rev'!AK355-'Gen Fd Exp'!BJ355</f>
        <v>-1340445</v>
      </c>
      <c r="BN355" s="6">
        <v>-2812400</v>
      </c>
      <c r="BP355" s="6">
        <v>0</v>
      </c>
      <c r="BR355" s="6">
        <v>0</v>
      </c>
      <c r="BT355" s="6">
        <f t="shared" si="65"/>
        <v>-4152845</v>
      </c>
      <c r="BV355" s="7">
        <f>+BT355-'Gen Fd BS'!AC355+BR355</f>
        <v>0</v>
      </c>
    </row>
    <row r="356" spans="1:74">
      <c r="A356" s="11" t="s">
        <v>387</v>
      </c>
      <c r="B356" s="11"/>
      <c r="C356" s="11" t="s">
        <v>44</v>
      </c>
      <c r="E356" s="6">
        <v>12923554</v>
      </c>
      <c r="G356" s="6">
        <v>2423507</v>
      </c>
      <c r="I356" s="6">
        <v>155697</v>
      </c>
      <c r="K356" s="6">
        <v>0</v>
      </c>
      <c r="M356" s="6">
        <v>126540</v>
      </c>
      <c r="O356" s="6">
        <v>1594164</v>
      </c>
      <c r="Q356" s="6">
        <v>462024</v>
      </c>
      <c r="S356" s="6">
        <v>319619</v>
      </c>
      <c r="U356" s="6">
        <v>2531846</v>
      </c>
      <c r="W356" s="6">
        <v>699026</v>
      </c>
      <c r="Y356" s="6">
        <v>348786</v>
      </c>
      <c r="AA356" s="6">
        <v>2387823</v>
      </c>
      <c r="AC356" s="6">
        <v>1449773</v>
      </c>
      <c r="AE356" s="6">
        <v>0</v>
      </c>
      <c r="AG356" s="6">
        <v>0</v>
      </c>
      <c r="AI356" s="6">
        <v>4326</v>
      </c>
      <c r="AJ356" s="11" t="s">
        <v>387</v>
      </c>
      <c r="AK356" s="11"/>
      <c r="AL356" s="11" t="s">
        <v>44</v>
      </c>
      <c r="AN356" s="6">
        <f>37651+424170+162657</f>
        <v>624478</v>
      </c>
      <c r="AP356" s="6">
        <f>405+126648</f>
        <v>127053</v>
      </c>
      <c r="AT356" s="6">
        <v>0</v>
      </c>
      <c r="AV356" s="6">
        <v>0</v>
      </c>
      <c r="AX356" s="6">
        <v>0</v>
      </c>
      <c r="AZ356" s="6">
        <f t="shared" si="63"/>
        <v>26178216</v>
      </c>
      <c r="BB356" s="6">
        <v>450000</v>
      </c>
      <c r="BD356" s="6">
        <v>0</v>
      </c>
      <c r="BF356" s="6">
        <v>0</v>
      </c>
      <c r="BH356" s="6">
        <v>0</v>
      </c>
      <c r="BJ356" s="6">
        <f t="shared" si="64"/>
        <v>26628216</v>
      </c>
      <c r="BL356" s="6">
        <f>+'Gen Fd Rev'!AK356-'Gen Fd Exp'!BJ356</f>
        <v>-25031</v>
      </c>
      <c r="BN356" s="6">
        <v>3618216</v>
      </c>
      <c r="BP356" s="6">
        <v>0</v>
      </c>
      <c r="BR356" s="6">
        <v>0</v>
      </c>
      <c r="BT356" s="6">
        <f t="shared" si="65"/>
        <v>3593185</v>
      </c>
      <c r="BV356" s="7">
        <f>+BT356-'Gen Fd BS'!AC356+BR356</f>
        <v>0</v>
      </c>
    </row>
    <row r="357" spans="1:74">
      <c r="A357" s="11" t="s">
        <v>770</v>
      </c>
      <c r="B357" s="11"/>
      <c r="C357" s="11" t="s">
        <v>113</v>
      </c>
      <c r="E357" s="6">
        <v>26970760</v>
      </c>
      <c r="G357" s="6">
        <v>6355344</v>
      </c>
      <c r="I357" s="6">
        <v>314129</v>
      </c>
      <c r="K357" s="6">
        <v>0</v>
      </c>
      <c r="M357" s="6">
        <v>47245</v>
      </c>
      <c r="O357" s="6">
        <v>2146719</v>
      </c>
      <c r="Q357" s="6">
        <v>3532644</v>
      </c>
      <c r="S357" s="6">
        <v>0</v>
      </c>
      <c r="U357" s="6">
        <f>72481+3023664</f>
        <v>3096145</v>
      </c>
      <c r="W357" s="6">
        <v>1305460</v>
      </c>
      <c r="Y357" s="6">
        <v>347248</v>
      </c>
      <c r="AA357" s="6">
        <v>4475672</v>
      </c>
      <c r="AC357" s="6">
        <v>5388163</v>
      </c>
      <c r="AE357" s="6">
        <v>900873</v>
      </c>
      <c r="AG357" s="6">
        <v>0</v>
      </c>
      <c r="AI357" s="6">
        <v>1165738</v>
      </c>
      <c r="AJ357" s="11" t="s">
        <v>770</v>
      </c>
      <c r="AK357" s="11"/>
      <c r="AL357" s="11" t="s">
        <v>113</v>
      </c>
      <c r="AN357" s="6">
        <v>948200</v>
      </c>
      <c r="AP357" s="6">
        <v>0</v>
      </c>
      <c r="AT357" s="6">
        <v>139318</v>
      </c>
      <c r="AV357" s="6">
        <v>20477</v>
      </c>
      <c r="AX357" s="6">
        <v>0</v>
      </c>
      <c r="AZ357" s="6">
        <f t="shared" si="63"/>
        <v>57154135</v>
      </c>
      <c r="BB357" s="6">
        <v>0</v>
      </c>
      <c r="BD357" s="6">
        <v>0</v>
      </c>
      <c r="BF357" s="6">
        <v>0</v>
      </c>
      <c r="BH357" s="6">
        <v>0</v>
      </c>
      <c r="BJ357" s="6">
        <f t="shared" si="64"/>
        <v>57154135</v>
      </c>
      <c r="BL357" s="6">
        <f>+'Gen Fd Rev'!AK357-'Gen Fd Exp'!BJ357</f>
        <v>2086099</v>
      </c>
      <c r="BN357" s="6">
        <v>11307164</v>
      </c>
      <c r="BP357" s="6">
        <v>0</v>
      </c>
      <c r="BR357" s="6">
        <v>0</v>
      </c>
      <c r="BT357" s="6">
        <f t="shared" si="65"/>
        <v>13393263</v>
      </c>
      <c r="BV357" s="7">
        <f>+BT357-'Gen Fd BS'!AC357+BR357</f>
        <v>0</v>
      </c>
    </row>
    <row r="358" spans="1:74" hidden="1">
      <c r="A358" s="11" t="s">
        <v>613</v>
      </c>
      <c r="B358" s="11"/>
      <c r="C358" s="11" t="s">
        <v>552</v>
      </c>
      <c r="D358" s="9"/>
      <c r="AJ358" s="11" t="s">
        <v>613</v>
      </c>
      <c r="AK358" s="11"/>
      <c r="AL358" s="11" t="s">
        <v>552</v>
      </c>
      <c r="AX358" s="6">
        <v>0</v>
      </c>
      <c r="AZ358" s="6">
        <f t="shared" si="63"/>
        <v>0</v>
      </c>
      <c r="BB358" s="6">
        <v>0</v>
      </c>
      <c r="BD358" s="6">
        <v>0</v>
      </c>
      <c r="BF358" s="6">
        <v>0</v>
      </c>
      <c r="BH358" s="6">
        <v>0</v>
      </c>
      <c r="BJ358" s="6">
        <f t="shared" si="64"/>
        <v>0</v>
      </c>
      <c r="BL358" s="6">
        <f>+'Gen Fd Rev'!AK358-'Gen Fd Exp'!BJ358</f>
        <v>0</v>
      </c>
      <c r="BP358" s="6">
        <v>0</v>
      </c>
      <c r="BR358" s="6">
        <v>0</v>
      </c>
      <c r="BT358" s="6">
        <f t="shared" si="65"/>
        <v>0</v>
      </c>
      <c r="BV358" s="7">
        <f>+BT358-'Gen Fd BS'!AC358+BR358</f>
        <v>0</v>
      </c>
    </row>
    <row r="359" spans="1:74" hidden="1">
      <c r="A359" s="11" t="s">
        <v>892</v>
      </c>
      <c r="B359" s="11"/>
      <c r="C359" s="11" t="s">
        <v>467</v>
      </c>
      <c r="AJ359" s="11" t="s">
        <v>892</v>
      </c>
      <c r="AK359" s="11"/>
      <c r="AL359" s="11" t="s">
        <v>467</v>
      </c>
      <c r="AX359" s="6">
        <v>0</v>
      </c>
      <c r="AZ359" s="6">
        <f t="shared" si="63"/>
        <v>0</v>
      </c>
      <c r="BB359" s="6">
        <v>0</v>
      </c>
      <c r="BD359" s="6">
        <v>0</v>
      </c>
      <c r="BF359" s="6">
        <v>0</v>
      </c>
      <c r="BH359" s="6">
        <v>0</v>
      </c>
      <c r="BJ359" s="6">
        <f t="shared" si="64"/>
        <v>0</v>
      </c>
      <c r="BL359" s="6">
        <f>+'Gen Fd Rev'!AK359-'Gen Fd Exp'!BJ359</f>
        <v>0</v>
      </c>
      <c r="BP359" s="6">
        <v>0</v>
      </c>
      <c r="BR359" s="6">
        <v>0</v>
      </c>
      <c r="BT359" s="6">
        <f t="shared" si="65"/>
        <v>0</v>
      </c>
      <c r="BV359" s="7">
        <f>+BT359-'Gen Fd BS'!AC359+BR359</f>
        <v>0</v>
      </c>
    </row>
    <row r="360" spans="1:74" hidden="1">
      <c r="A360" s="11" t="s">
        <v>807</v>
      </c>
      <c r="B360" s="11"/>
      <c r="C360" s="11" t="s">
        <v>48</v>
      </c>
      <c r="AJ360" s="11" t="s">
        <v>807</v>
      </c>
      <c r="AK360" s="11"/>
      <c r="AL360" s="11" t="s">
        <v>48</v>
      </c>
      <c r="AX360" s="6">
        <v>0</v>
      </c>
      <c r="AZ360" s="6">
        <f t="shared" si="63"/>
        <v>0</v>
      </c>
      <c r="BB360" s="6">
        <v>0</v>
      </c>
      <c r="BD360" s="6">
        <v>0</v>
      </c>
      <c r="BF360" s="6">
        <v>0</v>
      </c>
      <c r="BH360" s="6">
        <v>0</v>
      </c>
      <c r="BJ360" s="6">
        <f t="shared" si="64"/>
        <v>0</v>
      </c>
      <c r="BL360" s="6">
        <f>+'Gen Fd Rev'!AK360-'Gen Fd Exp'!BJ360</f>
        <v>0</v>
      </c>
      <c r="BP360" s="6">
        <v>0</v>
      </c>
      <c r="BR360" s="6">
        <v>0</v>
      </c>
      <c r="BT360" s="6">
        <f t="shared" si="65"/>
        <v>0</v>
      </c>
      <c r="BV360" s="7">
        <f>+BT360-'Gen Fd BS'!AC360+BR360</f>
        <v>0</v>
      </c>
    </row>
    <row r="361" spans="1:74">
      <c r="A361" s="11" t="s">
        <v>502</v>
      </c>
      <c r="B361" s="11"/>
      <c r="C361" s="11" t="s">
        <v>62</v>
      </c>
      <c r="E361" s="6">
        <v>7689842</v>
      </c>
      <c r="G361" s="6">
        <v>1751416</v>
      </c>
      <c r="I361" s="6">
        <v>6724</v>
      </c>
      <c r="K361" s="6">
        <v>5283</v>
      </c>
      <c r="M361" s="6">
        <v>0</v>
      </c>
      <c r="O361" s="6">
        <v>771283</v>
      </c>
      <c r="Q361" s="6">
        <v>931959</v>
      </c>
      <c r="S361" s="6">
        <v>125734</v>
      </c>
      <c r="U361" s="6">
        <v>1592186</v>
      </c>
      <c r="W361" s="6">
        <v>441080</v>
      </c>
      <c r="Y361" s="6">
        <v>114524</v>
      </c>
      <c r="AA361" s="6">
        <v>1129680</v>
      </c>
      <c r="AC361" s="6">
        <v>1081755</v>
      </c>
      <c r="AE361" s="6">
        <v>8416</v>
      </c>
      <c r="AG361" s="6">
        <v>0</v>
      </c>
      <c r="AI361" s="6">
        <v>1370</v>
      </c>
      <c r="AJ361" s="11" t="s">
        <v>502</v>
      </c>
      <c r="AK361" s="11"/>
      <c r="AL361" s="11" t="s">
        <v>62</v>
      </c>
      <c r="AN361" s="6">
        <v>328117</v>
      </c>
      <c r="AP361" s="6">
        <v>16407</v>
      </c>
      <c r="AT361" s="6">
        <v>41787</v>
      </c>
      <c r="AV361" s="6">
        <v>12658</v>
      </c>
      <c r="AX361" s="6">
        <v>0</v>
      </c>
      <c r="AZ361" s="6">
        <f t="shared" si="63"/>
        <v>16050221</v>
      </c>
      <c r="BB361" s="6">
        <v>44255</v>
      </c>
      <c r="BD361" s="6">
        <v>0</v>
      </c>
      <c r="BF361" s="6">
        <v>0</v>
      </c>
      <c r="BH361" s="6">
        <v>0</v>
      </c>
      <c r="BJ361" s="6">
        <f t="shared" si="64"/>
        <v>16094476</v>
      </c>
      <c r="BL361" s="6">
        <f>+'Gen Fd Rev'!AK361-'Gen Fd Exp'!BJ361</f>
        <v>-53549</v>
      </c>
      <c r="BN361" s="6">
        <v>48448</v>
      </c>
      <c r="BP361" s="6">
        <v>0</v>
      </c>
      <c r="BR361" s="6">
        <v>0</v>
      </c>
      <c r="BT361" s="6">
        <f t="shared" si="65"/>
        <v>-5101</v>
      </c>
      <c r="BV361" s="7">
        <f>+BT361-'Gen Fd BS'!AC361+BR361</f>
        <v>0</v>
      </c>
    </row>
    <row r="362" spans="1:74">
      <c r="A362" s="11" t="s">
        <v>482</v>
      </c>
      <c r="B362" s="11"/>
      <c r="C362" s="11" t="s">
        <v>59</v>
      </c>
      <c r="E362" s="6">
        <v>6647405</v>
      </c>
      <c r="G362" s="6">
        <v>1404154</v>
      </c>
      <c r="I362" s="6">
        <v>113165</v>
      </c>
      <c r="K362" s="6">
        <v>0</v>
      </c>
      <c r="M362" s="6">
        <v>0</v>
      </c>
      <c r="O362" s="6">
        <v>417235</v>
      </c>
      <c r="Q362" s="6">
        <v>452545</v>
      </c>
      <c r="S362" s="6">
        <v>53803</v>
      </c>
      <c r="U362" s="6">
        <v>974301</v>
      </c>
      <c r="W362" s="6">
        <v>261704</v>
      </c>
      <c r="Y362" s="6">
        <v>0</v>
      </c>
      <c r="AA362" s="6">
        <v>1130348</v>
      </c>
      <c r="AC362" s="6">
        <v>1044358</v>
      </c>
      <c r="AE362" s="6">
        <v>6178</v>
      </c>
      <c r="AG362" s="6">
        <v>0</v>
      </c>
      <c r="AI362" s="6">
        <v>3072</v>
      </c>
      <c r="AJ362" s="11" t="s">
        <v>482</v>
      </c>
      <c r="AK362" s="11"/>
      <c r="AL362" s="11" t="s">
        <v>59</v>
      </c>
      <c r="AN362" s="6">
        <v>413392</v>
      </c>
      <c r="AP362" s="6">
        <v>24749</v>
      </c>
      <c r="AT362" s="6">
        <v>269086</v>
      </c>
      <c r="AV362" s="6">
        <v>71406</v>
      </c>
      <c r="AX362" s="6">
        <v>0</v>
      </c>
      <c r="AZ362" s="6">
        <f t="shared" si="63"/>
        <v>13286901</v>
      </c>
      <c r="BB362" s="6">
        <v>0</v>
      </c>
      <c r="BD362" s="6">
        <v>0</v>
      </c>
      <c r="BF362" s="6">
        <v>0</v>
      </c>
      <c r="BH362" s="6">
        <v>0</v>
      </c>
      <c r="BJ362" s="6">
        <f t="shared" si="64"/>
        <v>13286901</v>
      </c>
      <c r="BL362" s="6">
        <f>+'Gen Fd Rev'!AK362-'Gen Fd Exp'!BJ362</f>
        <v>388014</v>
      </c>
      <c r="BN362" s="6">
        <v>71241</v>
      </c>
      <c r="BP362" s="6">
        <v>0</v>
      </c>
      <c r="BR362" s="6">
        <v>0</v>
      </c>
      <c r="BT362" s="6">
        <f t="shared" si="65"/>
        <v>459255</v>
      </c>
      <c r="BV362" s="7">
        <f>+BT362-'Gen Fd BS'!AC362+BR362</f>
        <v>0</v>
      </c>
    </row>
    <row r="363" spans="1:74">
      <c r="A363" s="11" t="s">
        <v>213</v>
      </c>
      <c r="B363" s="11"/>
      <c r="C363" s="11" t="s">
        <v>14</v>
      </c>
      <c r="E363" s="6">
        <v>4044857</v>
      </c>
      <c r="G363" s="6">
        <v>493354</v>
      </c>
      <c r="I363" s="6">
        <v>211767</v>
      </c>
      <c r="K363" s="6">
        <v>0</v>
      </c>
      <c r="M363" s="6">
        <v>0</v>
      </c>
      <c r="O363" s="6">
        <v>555853</v>
      </c>
      <c r="Q363" s="6">
        <v>320887</v>
      </c>
      <c r="S363" s="6">
        <v>32411</v>
      </c>
      <c r="U363" s="6">
        <v>536321</v>
      </c>
      <c r="W363" s="6">
        <v>233270</v>
      </c>
      <c r="Y363" s="6">
        <v>0</v>
      </c>
      <c r="AA363" s="6">
        <v>878082</v>
      </c>
      <c r="AC363" s="6">
        <v>230152</v>
      </c>
      <c r="AE363" s="6">
        <v>60296</v>
      </c>
      <c r="AG363" s="6">
        <v>0</v>
      </c>
      <c r="AI363" s="6">
        <v>0</v>
      </c>
      <c r="AJ363" s="11" t="s">
        <v>213</v>
      </c>
      <c r="AK363" s="11"/>
      <c r="AL363" s="11" t="s">
        <v>14</v>
      </c>
      <c r="AN363" s="6">
        <v>243294</v>
      </c>
      <c r="AP363" s="6">
        <v>0</v>
      </c>
      <c r="AT363" s="6">
        <v>0</v>
      </c>
      <c r="AV363" s="6">
        <v>0</v>
      </c>
      <c r="AX363" s="6">
        <v>0</v>
      </c>
      <c r="AZ363" s="6">
        <f t="shared" si="63"/>
        <v>7840544</v>
      </c>
      <c r="BB363" s="6">
        <v>10000</v>
      </c>
      <c r="BD363" s="6">
        <v>0</v>
      </c>
      <c r="BF363" s="6">
        <v>0</v>
      </c>
      <c r="BH363" s="6">
        <v>0</v>
      </c>
      <c r="BJ363" s="6">
        <f t="shared" si="64"/>
        <v>7850544</v>
      </c>
      <c r="BL363" s="6">
        <f>+'Gen Fd Rev'!AK363-'Gen Fd Exp'!BJ363</f>
        <v>-75000</v>
      </c>
      <c r="BN363" s="6">
        <v>265889</v>
      </c>
      <c r="BP363" s="6">
        <v>0</v>
      </c>
      <c r="BR363" s="6">
        <v>0</v>
      </c>
      <c r="BT363" s="6">
        <f t="shared" si="65"/>
        <v>190889</v>
      </c>
      <c r="BV363" s="7">
        <f>+BT363-'Gen Fd BS'!AC363+BR363</f>
        <v>0</v>
      </c>
    </row>
    <row r="364" spans="1:74" hidden="1">
      <c r="A364" s="11" t="s">
        <v>640</v>
      </c>
      <c r="B364" s="11"/>
      <c r="C364" s="11" t="s">
        <v>21</v>
      </c>
      <c r="AJ364" s="11" t="s">
        <v>640</v>
      </c>
      <c r="AK364" s="11"/>
      <c r="AL364" s="11" t="s">
        <v>21</v>
      </c>
      <c r="AX364" s="6">
        <v>0</v>
      </c>
      <c r="AZ364" s="6">
        <f t="shared" si="63"/>
        <v>0</v>
      </c>
      <c r="BB364" s="6">
        <v>0</v>
      </c>
      <c r="BD364" s="6">
        <v>0</v>
      </c>
      <c r="BF364" s="6">
        <v>0</v>
      </c>
      <c r="BH364" s="6">
        <v>0</v>
      </c>
      <c r="BJ364" s="6">
        <f t="shared" si="64"/>
        <v>0</v>
      </c>
      <c r="BL364" s="6">
        <f>+'Gen Fd Rev'!AK364-'Gen Fd Exp'!BJ364</f>
        <v>0</v>
      </c>
      <c r="BP364" s="6">
        <v>0</v>
      </c>
      <c r="BR364" s="6">
        <v>0</v>
      </c>
      <c r="BT364" s="6">
        <f t="shared" si="65"/>
        <v>0</v>
      </c>
      <c r="BV364" s="7">
        <f>+BT364-'Gen Fd BS'!AC364+BR364</f>
        <v>0</v>
      </c>
    </row>
    <row r="365" spans="1:74">
      <c r="A365" s="11" t="s">
        <v>510</v>
      </c>
      <c r="B365" s="11"/>
      <c r="C365" s="11" t="s">
        <v>63</v>
      </c>
      <c r="E365" s="6">
        <v>4251684</v>
      </c>
      <c r="G365" s="6">
        <v>657602</v>
      </c>
      <c r="I365" s="6">
        <v>109432</v>
      </c>
      <c r="K365" s="6">
        <v>0</v>
      </c>
      <c r="M365" s="6">
        <f>677691+213699</f>
        <v>891390</v>
      </c>
      <c r="O365" s="6">
        <v>361628</v>
      </c>
      <c r="Q365" s="6">
        <v>291009</v>
      </c>
      <c r="S365" s="6">
        <v>63536</v>
      </c>
      <c r="U365" s="6">
        <v>711786</v>
      </c>
      <c r="W365" s="6">
        <v>390166</v>
      </c>
      <c r="Y365" s="6">
        <v>365</v>
      </c>
      <c r="AA365" s="6">
        <v>719838</v>
      </c>
      <c r="AC365" s="6">
        <v>365749</v>
      </c>
      <c r="AE365" s="6">
        <v>44748</v>
      </c>
      <c r="AG365" s="6">
        <v>0</v>
      </c>
      <c r="AI365" s="6">
        <v>0</v>
      </c>
      <c r="AJ365" s="11" t="s">
        <v>510</v>
      </c>
      <c r="AK365" s="11"/>
      <c r="AL365" s="11" t="s">
        <v>63</v>
      </c>
      <c r="AN365" s="6">
        <v>203947</v>
      </c>
      <c r="AP365" s="6">
        <v>0</v>
      </c>
      <c r="AT365" s="6">
        <v>0</v>
      </c>
      <c r="AV365" s="6">
        <v>0</v>
      </c>
      <c r="AX365" s="6">
        <v>0</v>
      </c>
      <c r="AZ365" s="6">
        <f t="shared" si="63"/>
        <v>9062880</v>
      </c>
      <c r="BB365" s="6">
        <v>28773</v>
      </c>
      <c r="BD365" s="6">
        <v>0</v>
      </c>
      <c r="BF365" s="6">
        <v>0</v>
      </c>
      <c r="BH365" s="6">
        <v>0</v>
      </c>
      <c r="BJ365" s="6">
        <f t="shared" si="64"/>
        <v>9091653</v>
      </c>
      <c r="BL365" s="6">
        <f>+'Gen Fd Rev'!AK365-'Gen Fd Exp'!BJ365</f>
        <v>-513808</v>
      </c>
      <c r="BN365" s="6">
        <v>2822486</v>
      </c>
      <c r="BP365" s="6">
        <v>0</v>
      </c>
      <c r="BR365" s="6">
        <v>0</v>
      </c>
      <c r="BT365" s="6">
        <f t="shared" si="65"/>
        <v>2308678</v>
      </c>
      <c r="BV365" s="7">
        <f>+BT365-'Gen Fd BS'!AC365+BR365</f>
        <v>0</v>
      </c>
    </row>
    <row r="366" spans="1:74" hidden="1">
      <c r="A366" s="11" t="s">
        <v>621</v>
      </c>
      <c r="B366" s="11"/>
      <c r="C366" s="11" t="s">
        <v>558</v>
      </c>
      <c r="AJ366" s="11" t="s">
        <v>621</v>
      </c>
      <c r="AK366" s="11"/>
      <c r="AL366" s="11" t="s">
        <v>558</v>
      </c>
      <c r="AX366" s="6">
        <v>0</v>
      </c>
      <c r="AZ366" s="6">
        <f t="shared" si="63"/>
        <v>0</v>
      </c>
      <c r="BB366" s="6">
        <v>0</v>
      </c>
      <c r="BD366" s="6">
        <v>0</v>
      </c>
      <c r="BF366" s="6">
        <v>0</v>
      </c>
      <c r="BH366" s="6">
        <v>0</v>
      </c>
      <c r="BJ366" s="6">
        <f t="shared" si="64"/>
        <v>0</v>
      </c>
      <c r="BL366" s="6">
        <f>+'Gen Fd Rev'!AK366-'Gen Fd Exp'!BJ366</f>
        <v>0</v>
      </c>
      <c r="BP366" s="6">
        <v>0</v>
      </c>
      <c r="BR366" s="6">
        <v>0</v>
      </c>
      <c r="BT366" s="6">
        <f t="shared" ref="BT366:BT387" si="70">+BN366+BL366-BP366</f>
        <v>0</v>
      </c>
      <c r="BV366" s="7">
        <f>+BT366-'Gen Fd BS'!AC366+BR366</f>
        <v>0</v>
      </c>
    </row>
    <row r="367" spans="1:74" ht="12.75" hidden="1" customHeight="1">
      <c r="A367" s="10" t="s">
        <v>879</v>
      </c>
      <c r="B367" s="11"/>
      <c r="C367" s="11" t="s">
        <v>221</v>
      </c>
      <c r="E367" s="6">
        <v>0</v>
      </c>
      <c r="G367" s="6">
        <v>0</v>
      </c>
      <c r="I367" s="6">
        <v>0</v>
      </c>
      <c r="K367" s="6">
        <v>0</v>
      </c>
      <c r="M367" s="6">
        <v>0</v>
      </c>
      <c r="O367" s="6">
        <v>0</v>
      </c>
      <c r="Q367" s="6">
        <v>0</v>
      </c>
      <c r="S367" s="6">
        <v>0</v>
      </c>
      <c r="U367" s="6">
        <v>0</v>
      </c>
      <c r="W367" s="6">
        <v>0</v>
      </c>
      <c r="Y367" s="6">
        <v>0</v>
      </c>
      <c r="AA367" s="6">
        <v>0</v>
      </c>
      <c r="AC367" s="6">
        <v>0</v>
      </c>
      <c r="AE367" s="6">
        <v>0</v>
      </c>
      <c r="AG367" s="6">
        <v>0</v>
      </c>
      <c r="AI367" s="6">
        <v>0</v>
      </c>
      <c r="AJ367" s="10" t="s">
        <v>879</v>
      </c>
      <c r="AK367" s="11"/>
      <c r="AL367" s="11" t="s">
        <v>221</v>
      </c>
      <c r="AN367" s="6">
        <v>0</v>
      </c>
      <c r="AP367" s="6">
        <v>0</v>
      </c>
      <c r="AT367" s="6">
        <v>0</v>
      </c>
      <c r="AV367" s="6">
        <v>0</v>
      </c>
      <c r="AX367" s="6">
        <v>0</v>
      </c>
      <c r="AZ367" s="6">
        <f t="shared" si="63"/>
        <v>0</v>
      </c>
      <c r="BB367" s="6">
        <v>0</v>
      </c>
      <c r="BD367" s="6">
        <v>0</v>
      </c>
      <c r="BF367" s="6">
        <v>0</v>
      </c>
      <c r="BH367" s="6">
        <v>0</v>
      </c>
      <c r="BJ367" s="6">
        <f t="shared" si="64"/>
        <v>0</v>
      </c>
      <c r="BL367" s="6">
        <f>+'Gen Fd Rev'!AK367-'Gen Fd Exp'!BJ367</f>
        <v>0</v>
      </c>
      <c r="BP367" s="6">
        <v>0</v>
      </c>
      <c r="BR367" s="6">
        <v>0</v>
      </c>
      <c r="BT367" s="6">
        <f t="shared" si="70"/>
        <v>0</v>
      </c>
      <c r="BV367" s="7">
        <f>+BT367-'Gen Fd BS'!AC367+BR367</f>
        <v>0</v>
      </c>
    </row>
    <row r="368" spans="1:74">
      <c r="A368" s="11" t="s">
        <v>356</v>
      </c>
      <c r="B368" s="11"/>
      <c r="C368" s="11" t="s">
        <v>37</v>
      </c>
      <c r="E368" s="6">
        <v>3200912</v>
      </c>
      <c r="G368" s="6">
        <v>446901</v>
      </c>
      <c r="I368" s="6">
        <v>179184</v>
      </c>
      <c r="K368" s="6">
        <v>0</v>
      </c>
      <c r="M368" s="6">
        <v>0</v>
      </c>
      <c r="O368" s="6">
        <v>239275</v>
      </c>
      <c r="Q368" s="6">
        <v>245599</v>
      </c>
      <c r="S368" s="6">
        <v>19014</v>
      </c>
      <c r="U368" s="6">
        <v>472009</v>
      </c>
      <c r="W368" s="6">
        <v>269955</v>
      </c>
      <c r="Y368" s="6">
        <v>1054</v>
      </c>
      <c r="AA368" s="6">
        <v>425672</v>
      </c>
      <c r="AC368" s="6">
        <v>333583</v>
      </c>
      <c r="AE368" s="6">
        <v>876</v>
      </c>
      <c r="AG368" s="6">
        <v>0</v>
      </c>
      <c r="AI368" s="6">
        <v>0</v>
      </c>
      <c r="AJ368" s="11" t="s">
        <v>356</v>
      </c>
      <c r="AK368" s="11"/>
      <c r="AL368" s="11" t="s">
        <v>37</v>
      </c>
      <c r="AN368" s="6">
        <v>145173</v>
      </c>
      <c r="AP368" s="6">
        <v>170000</v>
      </c>
      <c r="AT368" s="6">
        <v>135793</v>
      </c>
      <c r="AV368" s="6">
        <v>32676</v>
      </c>
      <c r="AX368" s="6">
        <v>0</v>
      </c>
      <c r="AZ368" s="6">
        <f t="shared" si="63"/>
        <v>6317676</v>
      </c>
      <c r="BB368" s="6">
        <v>0</v>
      </c>
      <c r="BD368" s="6">
        <v>0</v>
      </c>
      <c r="BF368" s="6">
        <v>0</v>
      </c>
      <c r="BH368" s="6">
        <v>0</v>
      </c>
      <c r="BJ368" s="6">
        <f t="shared" si="64"/>
        <v>6317676</v>
      </c>
      <c r="BL368" s="6">
        <f>+'Gen Fd Rev'!AK368-'Gen Fd Exp'!BJ368</f>
        <v>24094</v>
      </c>
      <c r="BN368" s="6">
        <v>738187</v>
      </c>
      <c r="BP368" s="6">
        <v>0</v>
      </c>
      <c r="BR368" s="6">
        <v>0</v>
      </c>
      <c r="BT368" s="6">
        <f t="shared" si="70"/>
        <v>762281</v>
      </c>
      <c r="BV368" s="7">
        <f>+BT368-'Gen Fd BS'!AC368+BR368</f>
        <v>0</v>
      </c>
    </row>
    <row r="369" spans="1:74" hidden="1">
      <c r="A369" s="11" t="s">
        <v>808</v>
      </c>
      <c r="B369" s="11"/>
      <c r="C369" s="11" t="s">
        <v>552</v>
      </c>
      <c r="AJ369" s="11" t="s">
        <v>808</v>
      </c>
      <c r="AK369" s="11"/>
      <c r="AL369" s="11" t="s">
        <v>552</v>
      </c>
      <c r="AX369" s="6">
        <v>0</v>
      </c>
      <c r="AZ369" s="6">
        <f t="shared" si="63"/>
        <v>0</v>
      </c>
      <c r="BB369" s="6">
        <v>0</v>
      </c>
      <c r="BD369" s="6">
        <v>0</v>
      </c>
      <c r="BF369" s="6">
        <v>0</v>
      </c>
      <c r="BH369" s="6">
        <v>0</v>
      </c>
      <c r="BJ369" s="6">
        <f t="shared" si="64"/>
        <v>0</v>
      </c>
      <c r="BL369" s="6">
        <f>+'Gen Fd Rev'!AK369-'Gen Fd Exp'!BJ369</f>
        <v>0</v>
      </c>
      <c r="BP369" s="6">
        <v>0</v>
      </c>
      <c r="BR369" s="6">
        <v>0</v>
      </c>
      <c r="BT369" s="6">
        <f t="shared" si="70"/>
        <v>0</v>
      </c>
      <c r="BV369" s="7">
        <f>+BT369-'Gen Fd BS'!AC369+BR369</f>
        <v>0</v>
      </c>
    </row>
    <row r="370" spans="1:74">
      <c r="A370" s="11" t="s">
        <v>439</v>
      </c>
      <c r="B370" s="11"/>
      <c r="C370" s="11" t="s">
        <v>440</v>
      </c>
      <c r="D370" s="9"/>
      <c r="E370" s="6">
        <v>7830201</v>
      </c>
      <c r="G370" s="6">
        <v>1554182</v>
      </c>
      <c r="I370" s="6">
        <v>1072918</v>
      </c>
      <c r="K370" s="6">
        <v>0</v>
      </c>
      <c r="M370" s="6">
        <v>0</v>
      </c>
      <c r="O370" s="6">
        <v>569767</v>
      </c>
      <c r="Q370" s="6">
        <v>318476</v>
      </c>
      <c r="S370" s="6">
        <v>46672</v>
      </c>
      <c r="U370" s="6">
        <v>1533730</v>
      </c>
      <c r="W370" s="6">
        <v>591705</v>
      </c>
      <c r="Y370" s="6">
        <v>126236</v>
      </c>
      <c r="AA370" s="6">
        <v>1683649</v>
      </c>
      <c r="AC370" s="6">
        <v>1946471</v>
      </c>
      <c r="AE370" s="6">
        <v>210273</v>
      </c>
      <c r="AG370" s="6">
        <v>0</v>
      </c>
      <c r="AI370" s="6">
        <v>0</v>
      </c>
      <c r="AJ370" s="11" t="s">
        <v>439</v>
      </c>
      <c r="AK370" s="11"/>
      <c r="AL370" s="11" t="s">
        <v>440</v>
      </c>
      <c r="AN370" s="6">
        <v>146404</v>
      </c>
      <c r="AP370" s="6">
        <v>110</v>
      </c>
      <c r="AT370" s="6">
        <v>52483</v>
      </c>
      <c r="AV370" s="6">
        <v>18412</v>
      </c>
      <c r="AX370" s="6">
        <v>0</v>
      </c>
      <c r="AZ370" s="6">
        <f t="shared" si="63"/>
        <v>17701689</v>
      </c>
      <c r="BB370" s="6">
        <v>0</v>
      </c>
      <c r="BD370" s="6">
        <v>0</v>
      </c>
      <c r="BF370" s="6">
        <v>0</v>
      </c>
      <c r="BH370" s="6">
        <v>0</v>
      </c>
      <c r="BJ370" s="6">
        <f t="shared" si="64"/>
        <v>17701689</v>
      </c>
      <c r="BL370" s="6">
        <f>+'Gen Fd Rev'!AK370-'Gen Fd Exp'!BJ370</f>
        <v>1520692</v>
      </c>
      <c r="BN370" s="6">
        <v>4939070</v>
      </c>
      <c r="BP370" s="6">
        <v>0</v>
      </c>
      <c r="BR370" s="6">
        <v>0</v>
      </c>
      <c r="BT370" s="6">
        <f t="shared" si="70"/>
        <v>6459762</v>
      </c>
      <c r="BV370" s="7">
        <f>+BT370-'Gen Fd BS'!AC370+BR370</f>
        <v>0</v>
      </c>
    </row>
    <row r="371" spans="1:74">
      <c r="A371" s="11" t="s">
        <v>771</v>
      </c>
      <c r="B371" s="11"/>
      <c r="C371" s="11" t="s">
        <v>78</v>
      </c>
      <c r="E371" s="6">
        <v>4162408</v>
      </c>
      <c r="G371" s="6">
        <v>1177478</v>
      </c>
      <c r="I371" s="6">
        <v>268894</v>
      </c>
      <c r="K371" s="6">
        <v>0</v>
      </c>
      <c r="M371" s="6">
        <v>1107896</v>
      </c>
      <c r="O371" s="6">
        <v>965316</v>
      </c>
      <c r="Q371" s="6">
        <v>473602</v>
      </c>
      <c r="S371" s="6">
        <v>0</v>
      </c>
      <c r="U371" s="6">
        <f>44242+988538</f>
        <v>1032780</v>
      </c>
      <c r="W371" s="6">
        <v>486492</v>
      </c>
      <c r="Y371" s="6">
        <v>0</v>
      </c>
      <c r="AA371" s="6">
        <v>1425741</v>
      </c>
      <c r="AC371" s="6">
        <v>527546</v>
      </c>
      <c r="AE371" s="6">
        <v>24172</v>
      </c>
      <c r="AG371" s="6">
        <v>0</v>
      </c>
      <c r="AI371" s="6">
        <v>1000</v>
      </c>
      <c r="AJ371" s="11" t="s">
        <v>771</v>
      </c>
      <c r="AK371" s="11"/>
      <c r="AL371" s="11" t="s">
        <v>78</v>
      </c>
      <c r="AN371" s="6">
        <v>215361</v>
      </c>
      <c r="AP371" s="6">
        <v>29570</v>
      </c>
      <c r="AT371" s="6">
        <v>0</v>
      </c>
      <c r="AV371" s="6">
        <v>28624</v>
      </c>
      <c r="AX371" s="6">
        <v>0</v>
      </c>
      <c r="AZ371" s="6">
        <f t="shared" si="63"/>
        <v>11926880</v>
      </c>
      <c r="BB371" s="6">
        <v>11296</v>
      </c>
      <c r="BD371" s="6">
        <v>0</v>
      </c>
      <c r="BF371" s="6">
        <v>0</v>
      </c>
      <c r="BH371" s="6">
        <v>0</v>
      </c>
      <c r="BJ371" s="6">
        <f t="shared" si="64"/>
        <v>11938176</v>
      </c>
      <c r="BL371" s="6">
        <f>+'Gen Fd Rev'!AK371-'Gen Fd Exp'!BJ371</f>
        <v>-80947</v>
      </c>
      <c r="BN371" s="6">
        <v>2916127</v>
      </c>
      <c r="BP371" s="6">
        <v>0</v>
      </c>
      <c r="BR371" s="6">
        <v>0</v>
      </c>
      <c r="BT371" s="6">
        <f t="shared" si="70"/>
        <v>2835180</v>
      </c>
      <c r="BV371" s="7">
        <f>+BT371-'Gen Fd BS'!AC371+BR371</f>
        <v>0</v>
      </c>
    </row>
    <row r="372" spans="1:74" hidden="1">
      <c r="A372" s="10" t="s">
        <v>880</v>
      </c>
      <c r="B372" s="11"/>
      <c r="C372" s="11" t="s">
        <v>40</v>
      </c>
      <c r="D372" s="9"/>
      <c r="E372" s="6">
        <v>0</v>
      </c>
      <c r="G372" s="6">
        <v>0</v>
      </c>
      <c r="I372" s="6">
        <v>0</v>
      </c>
      <c r="K372" s="6">
        <v>0</v>
      </c>
      <c r="M372" s="6">
        <v>0</v>
      </c>
      <c r="O372" s="6">
        <v>0</v>
      </c>
      <c r="Q372" s="6">
        <v>0</v>
      </c>
      <c r="S372" s="6">
        <v>0</v>
      </c>
      <c r="U372" s="6">
        <v>0</v>
      </c>
      <c r="W372" s="6">
        <v>0</v>
      </c>
      <c r="Y372" s="6">
        <v>0</v>
      </c>
      <c r="AA372" s="6">
        <v>0</v>
      </c>
      <c r="AC372" s="6">
        <v>0</v>
      </c>
      <c r="AE372" s="6">
        <v>0</v>
      </c>
      <c r="AG372" s="6">
        <v>0</v>
      </c>
      <c r="AI372" s="6">
        <v>0</v>
      </c>
      <c r="AJ372" s="10" t="s">
        <v>880</v>
      </c>
      <c r="AK372" s="11"/>
      <c r="AL372" s="11" t="s">
        <v>40</v>
      </c>
      <c r="AN372" s="6">
        <v>0</v>
      </c>
      <c r="AP372" s="6">
        <v>0</v>
      </c>
      <c r="AT372" s="6">
        <v>0</v>
      </c>
      <c r="AV372" s="6">
        <v>0</v>
      </c>
      <c r="AX372" s="6">
        <v>0</v>
      </c>
      <c r="AZ372" s="6">
        <f t="shared" si="63"/>
        <v>0</v>
      </c>
      <c r="BB372" s="6">
        <v>0</v>
      </c>
      <c r="BD372" s="6">
        <v>0</v>
      </c>
      <c r="BF372" s="6">
        <v>0</v>
      </c>
      <c r="BH372" s="6">
        <v>0</v>
      </c>
      <c r="BJ372" s="6">
        <f t="shared" si="64"/>
        <v>0</v>
      </c>
      <c r="BL372" s="6">
        <f>+'Gen Fd Rev'!AK372-'Gen Fd Exp'!BJ372</f>
        <v>0</v>
      </c>
      <c r="BP372" s="6">
        <v>0</v>
      </c>
      <c r="BR372" s="6">
        <v>0</v>
      </c>
      <c r="BT372" s="6">
        <f t="shared" si="70"/>
        <v>0</v>
      </c>
      <c r="BV372" s="7">
        <f>+BT372-'Gen Fd BS'!AC372+BR372</f>
        <v>0</v>
      </c>
    </row>
    <row r="373" spans="1:74">
      <c r="A373" s="11" t="s">
        <v>712</v>
      </c>
      <c r="B373" s="11"/>
      <c r="C373" s="11" t="s">
        <v>32</v>
      </c>
      <c r="D373" s="9"/>
      <c r="E373" s="6">
        <v>10795468</v>
      </c>
      <c r="G373" s="6">
        <v>3095049</v>
      </c>
      <c r="I373" s="6">
        <v>177185</v>
      </c>
      <c r="K373" s="6">
        <v>0</v>
      </c>
      <c r="M373" s="6">
        <v>6604051</v>
      </c>
      <c r="O373" s="6">
        <v>1985006</v>
      </c>
      <c r="Q373" s="6">
        <v>1540318</v>
      </c>
      <c r="S373" s="6">
        <v>0</v>
      </c>
      <c r="U373" s="6">
        <f>50939+2164952</f>
        <v>2215891</v>
      </c>
      <c r="W373" s="6">
        <v>819276</v>
      </c>
      <c r="Y373" s="6">
        <v>60939</v>
      </c>
      <c r="AA373" s="6">
        <v>3116227</v>
      </c>
      <c r="AC373" s="6">
        <v>2182562</v>
      </c>
      <c r="AE373" s="6">
        <v>308415</v>
      </c>
      <c r="AG373" s="6">
        <v>0</v>
      </c>
      <c r="AI373" s="6">
        <v>3583</v>
      </c>
      <c r="AJ373" s="11" t="s">
        <v>712</v>
      </c>
      <c r="AK373" s="11"/>
      <c r="AL373" s="11" t="s">
        <v>32</v>
      </c>
      <c r="AN373" s="6">
        <v>637445</v>
      </c>
      <c r="AP373" s="6">
        <v>4841</v>
      </c>
      <c r="AT373" s="6">
        <v>102190</v>
      </c>
      <c r="AV373" s="6">
        <v>14283</v>
      </c>
      <c r="AX373" s="6">
        <v>0</v>
      </c>
      <c r="AZ373" s="6">
        <f t="shared" si="63"/>
        <v>33662729</v>
      </c>
      <c r="BB373" s="6">
        <v>159068</v>
      </c>
      <c r="BD373" s="6">
        <v>0</v>
      </c>
      <c r="BF373" s="6">
        <v>0</v>
      </c>
      <c r="BH373" s="6">
        <v>0</v>
      </c>
      <c r="BJ373" s="6">
        <f t="shared" si="64"/>
        <v>33821797</v>
      </c>
      <c r="BL373" s="6">
        <f>+'Gen Fd Rev'!AK373-'Gen Fd Exp'!BJ373</f>
        <v>1866500</v>
      </c>
      <c r="BN373" s="6">
        <v>2738074</v>
      </c>
      <c r="BP373" s="6">
        <v>0</v>
      </c>
      <c r="BR373" s="6">
        <v>0</v>
      </c>
      <c r="BT373" s="6">
        <f t="shared" si="70"/>
        <v>4604574</v>
      </c>
      <c r="BV373" s="7">
        <f>+BT373-'Gen Fd BS'!AC373+BR373</f>
        <v>0</v>
      </c>
    </row>
    <row r="374" spans="1:74" s="28" customFormat="1">
      <c r="A374" s="27" t="s">
        <v>346</v>
      </c>
      <c r="B374" s="27"/>
      <c r="C374" s="27" t="s">
        <v>34</v>
      </c>
      <c r="E374" s="28">
        <v>7984864</v>
      </c>
      <c r="G374" s="28">
        <v>2774543</v>
      </c>
      <c r="I374" s="28">
        <v>261802</v>
      </c>
      <c r="K374" s="28">
        <v>0</v>
      </c>
      <c r="M374" s="28">
        <v>1477876</v>
      </c>
      <c r="O374" s="28">
        <v>1275698</v>
      </c>
      <c r="Q374" s="28">
        <v>568183</v>
      </c>
      <c r="S374" s="28">
        <v>43166</v>
      </c>
      <c r="U374" s="28">
        <v>1454425</v>
      </c>
      <c r="W374" s="28">
        <v>582122</v>
      </c>
      <c r="Y374" s="28">
        <v>0</v>
      </c>
      <c r="AA374" s="28">
        <v>1556343</v>
      </c>
      <c r="AC374" s="28">
        <v>881436</v>
      </c>
      <c r="AE374" s="28">
        <v>351467</v>
      </c>
      <c r="AG374" s="28">
        <v>0</v>
      </c>
      <c r="AI374" s="28">
        <v>0</v>
      </c>
      <c r="AJ374" s="27" t="s">
        <v>346</v>
      </c>
      <c r="AK374" s="27"/>
      <c r="AL374" s="27" t="s">
        <v>34</v>
      </c>
      <c r="AN374" s="28">
        <v>486918</v>
      </c>
      <c r="AP374" s="28">
        <v>15376</v>
      </c>
      <c r="AT374" s="28">
        <v>122173</v>
      </c>
      <c r="AV374" s="28">
        <v>0</v>
      </c>
      <c r="AX374" s="28">
        <v>0</v>
      </c>
      <c r="AZ374" s="28">
        <f t="shared" si="63"/>
        <v>19836392</v>
      </c>
      <c r="BB374" s="28">
        <v>220338</v>
      </c>
      <c r="BD374" s="28">
        <v>0</v>
      </c>
      <c r="BF374" s="28">
        <v>0</v>
      </c>
      <c r="BH374" s="28">
        <v>0</v>
      </c>
      <c r="BJ374" s="28">
        <f t="shared" si="64"/>
        <v>20056730</v>
      </c>
      <c r="BL374" s="28">
        <f>+'Gen Fd Rev'!AK374-'Gen Fd Exp'!BJ374</f>
        <v>410461</v>
      </c>
      <c r="BN374" s="28">
        <v>8031947</v>
      </c>
      <c r="BP374" s="28">
        <v>0</v>
      </c>
      <c r="BR374" s="28">
        <v>0</v>
      </c>
      <c r="BT374" s="28">
        <f t="shared" si="70"/>
        <v>8442408</v>
      </c>
      <c r="BV374" s="32">
        <f>+BT374-'Gen Fd BS'!AC374+BR374</f>
        <v>0</v>
      </c>
    </row>
    <row r="375" spans="1:74" hidden="1">
      <c r="A375" s="11" t="s">
        <v>765</v>
      </c>
      <c r="B375" s="11"/>
      <c r="C375" s="11" t="s">
        <v>57</v>
      </c>
      <c r="AJ375" s="11" t="s">
        <v>765</v>
      </c>
      <c r="AK375" s="11"/>
      <c r="AL375" s="11" t="s">
        <v>57</v>
      </c>
      <c r="AX375" s="6">
        <v>0</v>
      </c>
      <c r="BB375" s="6">
        <v>0</v>
      </c>
      <c r="BD375" s="6">
        <v>0</v>
      </c>
      <c r="BF375" s="6">
        <v>0</v>
      </c>
      <c r="BH375" s="6">
        <v>0</v>
      </c>
      <c r="BL375" s="6">
        <f>+'Gen Fd Rev'!AK375-'Gen Fd Exp'!BJ375</f>
        <v>0</v>
      </c>
      <c r="BP375" s="6">
        <v>0</v>
      </c>
      <c r="BR375" s="6">
        <v>0</v>
      </c>
      <c r="BV375" s="7">
        <f>+BT375-'Gen Fd BS'!AC375+BR375</f>
        <v>0</v>
      </c>
    </row>
    <row r="376" spans="1:74">
      <c r="A376" s="11" t="s">
        <v>211</v>
      </c>
      <c r="B376" s="11"/>
      <c r="C376" s="11" t="s">
        <v>13</v>
      </c>
      <c r="E376" s="6">
        <v>4583729</v>
      </c>
      <c r="G376" s="6">
        <v>1246317</v>
      </c>
      <c r="I376" s="6">
        <v>171409</v>
      </c>
      <c r="K376" s="6">
        <v>0</v>
      </c>
      <c r="M376" s="6">
        <f>9003+537</f>
        <v>9540</v>
      </c>
      <c r="O376" s="6">
        <v>330391</v>
      </c>
      <c r="Q376" s="6">
        <v>231929</v>
      </c>
      <c r="S376" s="6">
        <v>69367</v>
      </c>
      <c r="U376" s="6">
        <v>1217483</v>
      </c>
      <c r="W376" s="6">
        <v>347645</v>
      </c>
      <c r="Y376" s="6">
        <v>0</v>
      </c>
      <c r="AA376" s="6">
        <v>1193262</v>
      </c>
      <c r="AC376" s="6">
        <v>998044</v>
      </c>
      <c r="AE376" s="6">
        <v>0</v>
      </c>
      <c r="AG376" s="6">
        <v>0</v>
      </c>
      <c r="AI376" s="6">
        <v>11142</v>
      </c>
      <c r="AJ376" s="11" t="s">
        <v>211</v>
      </c>
      <c r="AK376" s="11"/>
      <c r="AL376" s="11" t="s">
        <v>13</v>
      </c>
      <c r="AN376" s="6">
        <v>159105</v>
      </c>
      <c r="AP376" s="6">
        <v>3960</v>
      </c>
      <c r="AT376" s="6">
        <v>0</v>
      </c>
      <c r="AV376" s="6">
        <v>0</v>
      </c>
      <c r="AX376" s="6">
        <v>0</v>
      </c>
      <c r="AZ376" s="6">
        <f t="shared" si="63"/>
        <v>10573323</v>
      </c>
      <c r="BB376" s="6">
        <v>400282</v>
      </c>
      <c r="BD376" s="6">
        <v>0</v>
      </c>
      <c r="BF376" s="6">
        <v>0</v>
      </c>
      <c r="BH376" s="6">
        <v>0</v>
      </c>
      <c r="BJ376" s="6">
        <f t="shared" si="64"/>
        <v>10973605</v>
      </c>
      <c r="BL376" s="6">
        <f>+'Gen Fd Rev'!AK376-'Gen Fd Exp'!BJ376</f>
        <v>499432</v>
      </c>
      <c r="BN376" s="6">
        <v>1686958</v>
      </c>
      <c r="BP376" s="6">
        <v>0</v>
      </c>
      <c r="BR376" s="6">
        <v>0</v>
      </c>
      <c r="BT376" s="6">
        <f t="shared" si="70"/>
        <v>2186390</v>
      </c>
      <c r="BV376" s="7">
        <f>+BT376-'Gen Fd BS'!AC376+BR376</f>
        <v>0</v>
      </c>
    </row>
    <row r="377" spans="1:74">
      <c r="A377" s="11" t="s">
        <v>608</v>
      </c>
      <c r="B377" s="11"/>
      <c r="C377" s="11" t="s">
        <v>27</v>
      </c>
      <c r="E377" s="6">
        <v>23118290</v>
      </c>
      <c r="G377" s="6">
        <v>3667630</v>
      </c>
      <c r="I377" s="6">
        <v>0</v>
      </c>
      <c r="K377" s="6">
        <v>0</v>
      </c>
      <c r="M377" s="6">
        <v>1246210</v>
      </c>
      <c r="O377" s="6">
        <v>3311480</v>
      </c>
      <c r="Q377" s="6">
        <v>4153654</v>
      </c>
      <c r="S377" s="6">
        <v>0</v>
      </c>
      <c r="U377" s="6">
        <f>84179+3691706</f>
        <v>3775885</v>
      </c>
      <c r="W377" s="6">
        <v>0</v>
      </c>
      <c r="Y377" s="6">
        <v>1607088</v>
      </c>
      <c r="AA377" s="6">
        <v>4820500</v>
      </c>
      <c r="AC377" s="6">
        <v>2664007</v>
      </c>
      <c r="AE377" s="6">
        <v>227522</v>
      </c>
      <c r="AG377" s="6">
        <v>0</v>
      </c>
      <c r="AI377" s="6">
        <f>24868+204934</f>
        <v>229802</v>
      </c>
      <c r="AJ377" s="11" t="s">
        <v>608</v>
      </c>
      <c r="AK377" s="11"/>
      <c r="AL377" s="11" t="s">
        <v>27</v>
      </c>
      <c r="AN377" s="6">
        <v>1402928</v>
      </c>
      <c r="AP377" s="6">
        <v>0</v>
      </c>
      <c r="AT377" s="6">
        <v>0</v>
      </c>
      <c r="AV377" s="6">
        <v>0</v>
      </c>
      <c r="AX377" s="6">
        <v>0</v>
      </c>
      <c r="AZ377" s="6">
        <f t="shared" si="63"/>
        <v>50224996</v>
      </c>
      <c r="BB377" s="6">
        <v>272987</v>
      </c>
      <c r="BD377" s="6">
        <v>0</v>
      </c>
      <c r="BF377" s="6">
        <v>0</v>
      </c>
      <c r="BH377" s="6">
        <v>0</v>
      </c>
      <c r="BJ377" s="6">
        <f t="shared" si="64"/>
        <v>50497983</v>
      </c>
      <c r="BL377" s="6">
        <f>+'Gen Fd Rev'!AK377-'Gen Fd Exp'!BJ377</f>
        <v>-1689759</v>
      </c>
      <c r="BN377" s="6">
        <v>27370939</v>
      </c>
      <c r="BP377" s="6">
        <v>0</v>
      </c>
      <c r="BR377" s="6">
        <v>0</v>
      </c>
      <c r="BT377" s="6">
        <f t="shared" si="70"/>
        <v>25681180</v>
      </c>
      <c r="BV377" s="7">
        <f>+BT377-'Gen Fd BS'!AC377+BR377</f>
        <v>0</v>
      </c>
    </row>
    <row r="378" spans="1:74">
      <c r="A378" s="11" t="s">
        <v>483</v>
      </c>
      <c r="B378" s="11"/>
      <c r="C378" s="11" t="s">
        <v>59</v>
      </c>
      <c r="E378" s="6">
        <v>2100791</v>
      </c>
      <c r="G378" s="6">
        <v>399781</v>
      </c>
      <c r="I378" s="6">
        <v>179</v>
      </c>
      <c r="K378" s="6">
        <v>0</v>
      </c>
      <c r="M378" s="6">
        <v>600</v>
      </c>
      <c r="O378" s="6">
        <v>194514</v>
      </c>
      <c r="Q378" s="6">
        <v>125762</v>
      </c>
      <c r="S378" s="6">
        <v>14636</v>
      </c>
      <c r="U378" s="6">
        <v>495418</v>
      </c>
      <c r="W378" s="6">
        <v>177857</v>
      </c>
      <c r="Y378" s="6">
        <v>0</v>
      </c>
      <c r="AA378" s="6">
        <v>402226</v>
      </c>
      <c r="AC378" s="6">
        <v>107096</v>
      </c>
      <c r="AE378" s="6">
        <v>51802</v>
      </c>
      <c r="AG378" s="6">
        <v>736</v>
      </c>
      <c r="AI378" s="6">
        <v>0</v>
      </c>
      <c r="AJ378" s="11" t="s">
        <v>483</v>
      </c>
      <c r="AK378" s="11"/>
      <c r="AL378" s="11" t="s">
        <v>59</v>
      </c>
      <c r="AN378" s="6">
        <v>59996</v>
      </c>
      <c r="AP378" s="6">
        <v>0</v>
      </c>
      <c r="AT378" s="6">
        <v>0</v>
      </c>
      <c r="AV378" s="6">
        <v>0</v>
      </c>
      <c r="AX378" s="6">
        <v>0</v>
      </c>
      <c r="AZ378" s="6">
        <f t="shared" si="63"/>
        <v>4131394</v>
      </c>
      <c r="BB378" s="6">
        <v>51</v>
      </c>
      <c r="BD378" s="6">
        <v>0</v>
      </c>
      <c r="BF378" s="6">
        <v>0</v>
      </c>
      <c r="BH378" s="6">
        <v>0</v>
      </c>
      <c r="BJ378" s="6">
        <f t="shared" si="64"/>
        <v>4131445</v>
      </c>
      <c r="BL378" s="6">
        <f>+'Gen Fd Rev'!AK378-'Gen Fd Exp'!BJ378</f>
        <v>-266609</v>
      </c>
      <c r="BN378" s="6">
        <v>1446659</v>
      </c>
      <c r="BP378" s="6">
        <v>0</v>
      </c>
      <c r="BR378" s="6">
        <v>0</v>
      </c>
      <c r="BT378" s="6">
        <f t="shared" si="70"/>
        <v>1180050</v>
      </c>
      <c r="BV378" s="7">
        <f>+BT378-'Gen Fd BS'!AC378+BR378</f>
        <v>0</v>
      </c>
    </row>
    <row r="379" spans="1:74">
      <c r="A379" s="11" t="s">
        <v>214</v>
      </c>
      <c r="B379" s="11"/>
      <c r="C379" s="11" t="s">
        <v>14</v>
      </c>
      <c r="D379" s="9"/>
      <c r="E379" s="6">
        <v>3887389</v>
      </c>
      <c r="G379" s="6">
        <v>275325</v>
      </c>
      <c r="I379" s="6">
        <v>150946</v>
      </c>
      <c r="K379" s="6">
        <v>0</v>
      </c>
      <c r="M379" s="6">
        <v>0</v>
      </c>
      <c r="O379" s="6">
        <v>579945</v>
      </c>
      <c r="Q379" s="6">
        <v>600795</v>
      </c>
      <c r="S379" s="6">
        <v>45088</v>
      </c>
      <c r="U379" s="6">
        <v>807962</v>
      </c>
      <c r="W379" s="6">
        <v>195217</v>
      </c>
      <c r="Y379" s="6">
        <v>0</v>
      </c>
      <c r="AA379" s="6">
        <v>929691</v>
      </c>
      <c r="AC379" s="6">
        <v>256599</v>
      </c>
      <c r="AE379" s="6">
        <v>63962</v>
      </c>
      <c r="AG379" s="6">
        <v>0</v>
      </c>
      <c r="AI379" s="6">
        <v>0</v>
      </c>
      <c r="AJ379" s="11" t="s">
        <v>214</v>
      </c>
      <c r="AK379" s="11"/>
      <c r="AL379" s="11" t="s">
        <v>14</v>
      </c>
      <c r="AN379" s="6">
        <v>252009</v>
      </c>
      <c r="AP379" s="6">
        <v>0</v>
      </c>
      <c r="AT379" s="6">
        <v>0</v>
      </c>
      <c r="AV379" s="6">
        <v>0</v>
      </c>
      <c r="AX379" s="6">
        <v>0</v>
      </c>
      <c r="AZ379" s="6">
        <f t="shared" si="63"/>
        <v>8044928</v>
      </c>
      <c r="BB379" s="6">
        <v>15000</v>
      </c>
      <c r="BD379" s="6">
        <v>0</v>
      </c>
      <c r="BF379" s="6">
        <v>0</v>
      </c>
      <c r="BH379" s="6">
        <v>0</v>
      </c>
      <c r="BJ379" s="6">
        <f t="shared" si="64"/>
        <v>8059928</v>
      </c>
      <c r="BL379" s="6">
        <f>+'Gen Fd Rev'!AK379-'Gen Fd Exp'!BJ379</f>
        <v>304626</v>
      </c>
      <c r="BN379" s="6">
        <v>5763425</v>
      </c>
      <c r="BP379" s="6">
        <v>0</v>
      </c>
      <c r="BR379" s="6">
        <v>0</v>
      </c>
      <c r="BT379" s="6">
        <f t="shared" si="70"/>
        <v>6068051</v>
      </c>
      <c r="BV379" s="7">
        <f>+BT379-'Gen Fd BS'!AC379+BR379</f>
        <v>0</v>
      </c>
    </row>
    <row r="380" spans="1:74" hidden="1">
      <c r="A380" s="11" t="s">
        <v>706</v>
      </c>
      <c r="B380" s="11"/>
      <c r="C380" s="11" t="s">
        <v>14</v>
      </c>
      <c r="AJ380" s="11" t="s">
        <v>706</v>
      </c>
      <c r="AK380" s="11"/>
      <c r="AL380" s="11" t="s">
        <v>14</v>
      </c>
      <c r="AX380" s="6">
        <v>0</v>
      </c>
      <c r="AZ380" s="6">
        <f t="shared" si="63"/>
        <v>0</v>
      </c>
      <c r="BB380" s="6">
        <v>0</v>
      </c>
      <c r="BD380" s="6">
        <v>0</v>
      </c>
      <c r="BF380" s="6">
        <v>0</v>
      </c>
      <c r="BH380" s="6">
        <v>0</v>
      </c>
      <c r="BJ380" s="6">
        <f t="shared" si="64"/>
        <v>0</v>
      </c>
      <c r="BL380" s="6">
        <f>+'Gen Fd Rev'!AK380-'Gen Fd Exp'!BJ380</f>
        <v>0</v>
      </c>
      <c r="BP380" s="6">
        <v>0</v>
      </c>
      <c r="BR380" s="6">
        <v>0</v>
      </c>
      <c r="BT380" s="6">
        <f t="shared" si="70"/>
        <v>0</v>
      </c>
      <c r="BV380" s="7">
        <f>+BT380-'Gen Fd BS'!AC380+BR380</f>
        <v>0</v>
      </c>
    </row>
    <row r="381" spans="1:74">
      <c r="A381" s="11" t="s">
        <v>433</v>
      </c>
      <c r="B381" s="11"/>
      <c r="C381" s="11" t="s">
        <v>50</v>
      </c>
      <c r="E381" s="6">
        <v>4415550</v>
      </c>
      <c r="G381" s="6">
        <v>1151426</v>
      </c>
      <c r="I381" s="6">
        <v>0</v>
      </c>
      <c r="K381" s="6">
        <v>0</v>
      </c>
      <c r="M381" s="6">
        <v>268444</v>
      </c>
      <c r="O381" s="6">
        <v>425649</v>
      </c>
      <c r="Q381" s="6">
        <v>836347</v>
      </c>
      <c r="S381" s="6">
        <v>0</v>
      </c>
      <c r="U381" s="6">
        <f>70944+772459</f>
        <v>843403</v>
      </c>
      <c r="W381" s="6">
        <v>269428</v>
      </c>
      <c r="Y381" s="6">
        <v>85440</v>
      </c>
      <c r="AA381" s="6">
        <v>1088639</v>
      </c>
      <c r="AC381" s="6">
        <v>540235</v>
      </c>
      <c r="AE381" s="6">
        <v>139602</v>
      </c>
      <c r="AG381" s="6">
        <v>0</v>
      </c>
      <c r="AI381" s="6">
        <v>976</v>
      </c>
      <c r="AJ381" s="11" t="s">
        <v>433</v>
      </c>
      <c r="AK381" s="11"/>
      <c r="AL381" s="11" t="s">
        <v>50</v>
      </c>
      <c r="AN381" s="6">
        <v>252871</v>
      </c>
      <c r="AP381" s="6">
        <v>0</v>
      </c>
      <c r="AT381" s="6">
        <v>0</v>
      </c>
      <c r="AV381" s="6">
        <v>0</v>
      </c>
      <c r="AX381" s="6">
        <v>0</v>
      </c>
      <c r="AZ381" s="6">
        <f t="shared" si="63"/>
        <v>10318010</v>
      </c>
      <c r="BB381" s="6">
        <v>0</v>
      </c>
      <c r="BD381" s="6">
        <v>0</v>
      </c>
      <c r="BF381" s="6">
        <v>0</v>
      </c>
      <c r="BH381" s="6">
        <v>0</v>
      </c>
      <c r="BJ381" s="6">
        <f t="shared" si="64"/>
        <v>10318010</v>
      </c>
      <c r="BL381" s="6">
        <f>+'Gen Fd Rev'!AK381-'Gen Fd Exp'!BJ381</f>
        <v>538145</v>
      </c>
      <c r="BN381" s="6">
        <v>4260714</v>
      </c>
      <c r="BP381" s="6">
        <v>0</v>
      </c>
      <c r="BR381" s="6">
        <v>0</v>
      </c>
      <c r="BT381" s="6">
        <f t="shared" si="70"/>
        <v>4798859</v>
      </c>
      <c r="BV381" s="7">
        <f>+BT381-'Gen Fd BS'!AC381+BR381</f>
        <v>0</v>
      </c>
    </row>
    <row r="382" spans="1:74" hidden="1">
      <c r="A382" s="11" t="s">
        <v>809</v>
      </c>
      <c r="B382" s="11"/>
      <c r="C382" s="11" t="s">
        <v>451</v>
      </c>
      <c r="AJ382" s="11" t="s">
        <v>809</v>
      </c>
      <c r="AK382" s="11"/>
      <c r="AL382" s="11" t="s">
        <v>451</v>
      </c>
      <c r="AX382" s="6">
        <v>0</v>
      </c>
      <c r="AZ382" s="6">
        <f t="shared" si="63"/>
        <v>0</v>
      </c>
      <c r="BB382" s="6">
        <v>0</v>
      </c>
      <c r="BD382" s="6">
        <v>0</v>
      </c>
      <c r="BF382" s="6">
        <v>0</v>
      </c>
      <c r="BH382" s="6">
        <v>0</v>
      </c>
      <c r="BJ382" s="6">
        <f t="shared" si="64"/>
        <v>0</v>
      </c>
      <c r="BL382" s="6">
        <f>+'Gen Fd Rev'!AK382-'Gen Fd Exp'!BJ382</f>
        <v>0</v>
      </c>
      <c r="BP382" s="6">
        <v>0</v>
      </c>
      <c r="BR382" s="6">
        <v>0</v>
      </c>
      <c r="BT382" s="6">
        <f t="shared" si="70"/>
        <v>0</v>
      </c>
      <c r="BV382" s="7">
        <f>+BT382-'Gen Fd BS'!AC382+BR382</f>
        <v>0</v>
      </c>
    </row>
    <row r="383" spans="1:74">
      <c r="A383" s="11" t="s">
        <v>357</v>
      </c>
      <c r="B383" s="11"/>
      <c r="C383" s="11" t="s">
        <v>37</v>
      </c>
      <c r="E383" s="6">
        <v>4641094</v>
      </c>
      <c r="G383" s="6">
        <v>639538</v>
      </c>
      <c r="I383" s="6">
        <v>452556</v>
      </c>
      <c r="K383" s="6">
        <v>0</v>
      </c>
      <c r="M383" s="6">
        <v>7057</v>
      </c>
      <c r="O383" s="6">
        <v>307946</v>
      </c>
      <c r="Q383" s="6">
        <v>561686</v>
      </c>
      <c r="S383" s="6">
        <v>14436</v>
      </c>
      <c r="U383" s="6">
        <v>810030</v>
      </c>
      <c r="W383" s="6">
        <v>255674</v>
      </c>
      <c r="Y383" s="6">
        <v>0</v>
      </c>
      <c r="AA383" s="6">
        <v>765708</v>
      </c>
      <c r="AC383" s="6">
        <v>606621</v>
      </c>
      <c r="AE383" s="6">
        <v>57969</v>
      </c>
      <c r="AG383" s="6">
        <v>0</v>
      </c>
      <c r="AI383" s="6">
        <v>76</v>
      </c>
      <c r="AJ383" s="11" t="s">
        <v>357</v>
      </c>
      <c r="AK383" s="11"/>
      <c r="AL383" s="11" t="s">
        <v>37</v>
      </c>
      <c r="AN383" s="6">
        <v>286664</v>
      </c>
      <c r="AP383" s="6">
        <v>0</v>
      </c>
      <c r="AT383" s="6">
        <v>18752</v>
      </c>
      <c r="AV383" s="6">
        <v>4462</v>
      </c>
      <c r="AX383" s="6">
        <v>0</v>
      </c>
      <c r="AZ383" s="6">
        <f t="shared" si="63"/>
        <v>9430269</v>
      </c>
      <c r="BB383" s="6">
        <v>0</v>
      </c>
      <c r="BD383" s="6">
        <v>0</v>
      </c>
      <c r="BF383" s="6">
        <v>0</v>
      </c>
      <c r="BH383" s="6">
        <v>0</v>
      </c>
      <c r="BJ383" s="6">
        <f t="shared" si="64"/>
        <v>9430269</v>
      </c>
      <c r="BL383" s="6">
        <f>+'Gen Fd Rev'!AK383-'Gen Fd Exp'!BJ383</f>
        <v>-260817</v>
      </c>
      <c r="BN383" s="6">
        <v>1779931</v>
      </c>
      <c r="BP383" s="6">
        <v>0</v>
      </c>
      <c r="BR383" s="6">
        <v>0</v>
      </c>
      <c r="BT383" s="6">
        <f t="shared" si="70"/>
        <v>1519114</v>
      </c>
      <c r="BV383" s="7">
        <f>+BT383-'Gen Fd BS'!AC383+BR383</f>
        <v>0</v>
      </c>
    </row>
    <row r="384" spans="1:74">
      <c r="A384" s="11" t="s">
        <v>226</v>
      </c>
      <c r="B384" s="11"/>
      <c r="C384" s="11" t="s">
        <v>221</v>
      </c>
      <c r="E384" s="6">
        <v>2503330</v>
      </c>
      <c r="G384" s="6">
        <v>343717</v>
      </c>
      <c r="I384" s="6">
        <v>0</v>
      </c>
      <c r="K384" s="6">
        <v>0</v>
      </c>
      <c r="M384" s="6">
        <v>34882</v>
      </c>
      <c r="O384" s="6">
        <v>334936</v>
      </c>
      <c r="Q384" s="6">
        <v>166156</v>
      </c>
      <c r="S384" s="6">
        <v>52035</v>
      </c>
      <c r="U384" s="6">
        <v>753963</v>
      </c>
      <c r="W384" s="6">
        <v>193909</v>
      </c>
      <c r="Y384" s="6">
        <v>35639</v>
      </c>
      <c r="AA384" s="6">
        <v>763002</v>
      </c>
      <c r="AC384" s="6">
        <v>465318</v>
      </c>
      <c r="AE384" s="6">
        <v>0</v>
      </c>
      <c r="AG384" s="6">
        <v>0</v>
      </c>
      <c r="AI384" s="6">
        <v>0</v>
      </c>
      <c r="AJ384" s="11" t="s">
        <v>226</v>
      </c>
      <c r="AK384" s="11"/>
      <c r="AL384" s="11" t="s">
        <v>221</v>
      </c>
      <c r="AN384" s="6">
        <v>100637</v>
      </c>
      <c r="AP384" s="6">
        <v>0</v>
      </c>
      <c r="AT384" s="6">
        <v>34611</v>
      </c>
      <c r="AV384" s="6">
        <v>3586</v>
      </c>
      <c r="AX384" s="6">
        <v>0</v>
      </c>
      <c r="AZ384" s="6">
        <f t="shared" si="63"/>
        <v>5785721</v>
      </c>
      <c r="BB384" s="6">
        <v>68233</v>
      </c>
      <c r="BD384" s="6">
        <v>0</v>
      </c>
      <c r="BF384" s="6">
        <v>0</v>
      </c>
      <c r="BH384" s="6">
        <v>0</v>
      </c>
      <c r="BJ384" s="6">
        <f t="shared" si="64"/>
        <v>5853954</v>
      </c>
      <c r="BL384" s="6">
        <f>+'Gen Fd Rev'!AK384-'Gen Fd Exp'!BJ384</f>
        <v>317901</v>
      </c>
      <c r="BN384" s="6">
        <v>2875194</v>
      </c>
      <c r="BP384" s="6">
        <v>0</v>
      </c>
      <c r="BR384" s="6">
        <v>0</v>
      </c>
      <c r="BT384" s="6">
        <f t="shared" si="70"/>
        <v>3193095</v>
      </c>
      <c r="BV384" s="7">
        <f>+BT384-'Gen Fd BS'!AC384+BR384</f>
        <v>0</v>
      </c>
    </row>
    <row r="385" spans="1:74">
      <c r="A385" s="11" t="s">
        <v>537</v>
      </c>
      <c r="B385" s="11"/>
      <c r="C385" s="11" t="s">
        <v>65</v>
      </c>
      <c r="E385" s="6">
        <v>10960787</v>
      </c>
      <c r="G385" s="6">
        <v>2898037</v>
      </c>
      <c r="I385" s="6">
        <v>126028</v>
      </c>
      <c r="K385" s="6">
        <v>0</v>
      </c>
      <c r="M385" s="6">
        <v>552896</v>
      </c>
      <c r="O385" s="6">
        <v>1358912</v>
      </c>
      <c r="Q385" s="6">
        <v>578457</v>
      </c>
      <c r="S385" s="6">
        <v>108603</v>
      </c>
      <c r="U385" s="6">
        <v>2180033</v>
      </c>
      <c r="W385" s="6">
        <v>778693</v>
      </c>
      <c r="Y385" s="6">
        <v>0</v>
      </c>
      <c r="AA385" s="6">
        <v>2204253</v>
      </c>
      <c r="AC385" s="6">
        <v>857316</v>
      </c>
      <c r="AE385" s="6">
        <v>0</v>
      </c>
      <c r="AG385" s="6">
        <v>0</v>
      </c>
      <c r="AI385" s="6">
        <v>3180</v>
      </c>
      <c r="AJ385" s="11" t="s">
        <v>537</v>
      </c>
      <c r="AK385" s="11"/>
      <c r="AL385" s="11" t="s">
        <v>65</v>
      </c>
      <c r="AN385" s="6">
        <v>625205</v>
      </c>
      <c r="AP385" s="6">
        <v>0</v>
      </c>
      <c r="AT385" s="6">
        <v>97072</v>
      </c>
      <c r="AV385" s="6">
        <v>44669</v>
      </c>
      <c r="AX385" s="6">
        <v>0</v>
      </c>
      <c r="AZ385" s="6">
        <f t="shared" si="63"/>
        <v>23374141</v>
      </c>
      <c r="BB385" s="6">
        <v>245000</v>
      </c>
      <c r="BD385" s="6">
        <v>0</v>
      </c>
      <c r="BF385" s="6">
        <v>0</v>
      </c>
      <c r="BH385" s="6">
        <v>0</v>
      </c>
      <c r="BJ385" s="6">
        <f t="shared" si="64"/>
        <v>23619141</v>
      </c>
      <c r="BL385" s="6">
        <f>+'Gen Fd Rev'!AK385-'Gen Fd Exp'!BJ385</f>
        <v>-1176882</v>
      </c>
      <c r="BN385" s="6">
        <v>7073744</v>
      </c>
      <c r="BP385" s="6">
        <v>0</v>
      </c>
      <c r="BR385" s="6">
        <v>0</v>
      </c>
      <c r="BT385" s="6">
        <f t="shared" si="70"/>
        <v>5896862</v>
      </c>
      <c r="BV385" s="7">
        <f>+BT385-'Gen Fd BS'!AC385+BR385</f>
        <v>0</v>
      </c>
    </row>
    <row r="386" spans="1:74">
      <c r="A386" s="11" t="s">
        <v>772</v>
      </c>
      <c r="B386" s="11"/>
      <c r="C386" s="11" t="s">
        <v>113</v>
      </c>
      <c r="E386" s="6">
        <v>11736282</v>
      </c>
      <c r="G386" s="6">
        <v>2720939</v>
      </c>
      <c r="I386" s="6">
        <v>0</v>
      </c>
      <c r="K386" s="6">
        <v>12486</v>
      </c>
      <c r="M386" s="6">
        <v>0</v>
      </c>
      <c r="O386" s="6">
        <v>1076732</v>
      </c>
      <c r="Q386" s="6">
        <v>1142482</v>
      </c>
      <c r="S386" s="6">
        <v>83380</v>
      </c>
      <c r="U386" s="6">
        <v>1493488</v>
      </c>
      <c r="W386" s="6">
        <v>786740</v>
      </c>
      <c r="Y386" s="6">
        <v>0</v>
      </c>
      <c r="AA386" s="6">
        <v>3048776</v>
      </c>
      <c r="AC386" s="6">
        <v>1410178</v>
      </c>
      <c r="AE386" s="6">
        <v>349446</v>
      </c>
      <c r="AG386" s="6">
        <v>0</v>
      </c>
      <c r="AI386" s="6">
        <v>2441</v>
      </c>
      <c r="AJ386" s="11" t="s">
        <v>772</v>
      </c>
      <c r="AK386" s="11"/>
      <c r="AL386" s="11" t="s">
        <v>113</v>
      </c>
      <c r="AN386" s="6">
        <v>335302</v>
      </c>
      <c r="AP386" s="6">
        <v>0</v>
      </c>
      <c r="AT386" s="6">
        <v>0</v>
      </c>
      <c r="AV386" s="6">
        <v>0</v>
      </c>
      <c r="AX386" s="6">
        <v>0</v>
      </c>
      <c r="AZ386" s="6">
        <f t="shared" si="63"/>
        <v>24198672</v>
      </c>
      <c r="BB386" s="6">
        <v>999569</v>
      </c>
      <c r="BD386" s="6">
        <v>0</v>
      </c>
      <c r="BF386" s="6">
        <v>0</v>
      </c>
      <c r="BH386" s="6">
        <v>0</v>
      </c>
      <c r="BJ386" s="6">
        <f t="shared" si="64"/>
        <v>25198241</v>
      </c>
      <c r="BL386" s="6">
        <f>+'Gen Fd Rev'!AK386-'Gen Fd Exp'!BJ386</f>
        <v>67622</v>
      </c>
      <c r="BN386" s="6">
        <v>18875439</v>
      </c>
      <c r="BP386" s="6">
        <v>0</v>
      </c>
      <c r="BR386" s="6">
        <v>0</v>
      </c>
      <c r="BT386" s="6">
        <f t="shared" si="70"/>
        <v>18943061</v>
      </c>
      <c r="BV386" s="7">
        <f>+BT386-'Gen Fd BS'!AC386+BR386</f>
        <v>0</v>
      </c>
    </row>
    <row r="387" spans="1:74" hidden="1">
      <c r="A387" s="11" t="s">
        <v>810</v>
      </c>
      <c r="B387" s="11"/>
      <c r="C387" s="11" t="s">
        <v>60</v>
      </c>
      <c r="AJ387" s="11" t="s">
        <v>810</v>
      </c>
      <c r="AK387" s="11"/>
      <c r="AL387" s="11" t="s">
        <v>60</v>
      </c>
      <c r="AX387" s="6">
        <v>0</v>
      </c>
      <c r="AZ387" s="6">
        <f t="shared" si="63"/>
        <v>0</v>
      </c>
      <c r="BB387" s="6">
        <v>0</v>
      </c>
      <c r="BD387" s="6">
        <v>0</v>
      </c>
      <c r="BF387" s="6">
        <v>0</v>
      </c>
      <c r="BH387" s="6">
        <v>0</v>
      </c>
      <c r="BJ387" s="6">
        <f t="shared" si="64"/>
        <v>0</v>
      </c>
      <c r="BL387" s="6">
        <f>+'Gen Fd Rev'!AK387-'Gen Fd Exp'!BJ387</f>
        <v>0</v>
      </c>
      <c r="BP387" s="6">
        <v>0</v>
      </c>
      <c r="BR387" s="6">
        <v>0</v>
      </c>
      <c r="BT387" s="6">
        <f t="shared" si="70"/>
        <v>0</v>
      </c>
      <c r="BV387" s="7">
        <f>+BT387-'Gen Fd BS'!AC387+BR387</f>
        <v>0</v>
      </c>
    </row>
    <row r="388" spans="1:74">
      <c r="A388" s="11" t="s">
        <v>376</v>
      </c>
      <c r="B388" s="11"/>
      <c r="C388" s="11" t="s">
        <v>42</v>
      </c>
      <c r="E388" s="6">
        <v>29863809</v>
      </c>
      <c r="G388" s="6">
        <v>6157476</v>
      </c>
      <c r="I388" s="6">
        <v>315940</v>
      </c>
      <c r="K388" s="6">
        <v>0</v>
      </c>
      <c r="M388" s="6">
        <v>165108</v>
      </c>
      <c r="O388" s="6">
        <v>3208398</v>
      </c>
      <c r="Q388" s="6">
        <v>2168176</v>
      </c>
      <c r="S388" s="6">
        <v>200947</v>
      </c>
      <c r="U388" s="6">
        <v>3356807</v>
      </c>
      <c r="W388" s="6">
        <v>1065569</v>
      </c>
      <c r="Y388" s="6">
        <v>475905</v>
      </c>
      <c r="AA388" s="6">
        <v>5516684</v>
      </c>
      <c r="AC388" s="6">
        <v>2396317</v>
      </c>
      <c r="AE388" s="6">
        <v>805520</v>
      </c>
      <c r="AG388" s="6">
        <v>0</v>
      </c>
      <c r="AI388" s="6">
        <v>42493</v>
      </c>
      <c r="AJ388" s="11" t="s">
        <v>376</v>
      </c>
      <c r="AK388" s="11"/>
      <c r="AL388" s="11" t="s">
        <v>42</v>
      </c>
      <c r="AN388" s="6">
        <v>711618</v>
      </c>
      <c r="AP388" s="6">
        <v>0</v>
      </c>
      <c r="AT388" s="6">
        <v>246202</v>
      </c>
      <c r="AV388" s="6">
        <v>5142</v>
      </c>
      <c r="AX388" s="6">
        <v>0</v>
      </c>
      <c r="AZ388" s="6">
        <f>SUM(E388:AX388)</f>
        <v>56702111</v>
      </c>
      <c r="BB388" s="6">
        <v>151606</v>
      </c>
      <c r="BD388" s="6">
        <v>0</v>
      </c>
      <c r="BF388" s="6">
        <v>0</v>
      </c>
      <c r="BH388" s="6">
        <v>0</v>
      </c>
      <c r="BJ388" s="6">
        <f>+AZ388+BB388+BD388+BH388</f>
        <v>56853717</v>
      </c>
      <c r="BL388" s="6">
        <f>+'Gen Fd Rev'!AK388-'Gen Fd Exp'!BJ388</f>
        <v>1893096</v>
      </c>
      <c r="BN388" s="6">
        <v>10946622</v>
      </c>
      <c r="BP388" s="6">
        <v>0</v>
      </c>
      <c r="BR388" s="6">
        <v>0</v>
      </c>
      <c r="BT388" s="6">
        <f>+BN388+BL388-BP388</f>
        <v>12839718</v>
      </c>
      <c r="BV388" s="7">
        <f>+BT388-'Gen Fd BS'!AC388+BR388</f>
        <v>0</v>
      </c>
    </row>
    <row r="389" spans="1:74" hidden="1">
      <c r="A389" s="10" t="s">
        <v>881</v>
      </c>
      <c r="B389" s="11"/>
      <c r="C389" s="11" t="s">
        <v>30</v>
      </c>
      <c r="E389" s="6">
        <v>0</v>
      </c>
      <c r="G389" s="6">
        <v>0</v>
      </c>
      <c r="I389" s="6">
        <v>0</v>
      </c>
      <c r="K389" s="6">
        <v>0</v>
      </c>
      <c r="M389" s="6">
        <v>0</v>
      </c>
      <c r="O389" s="6">
        <v>0</v>
      </c>
      <c r="Q389" s="6">
        <v>0</v>
      </c>
      <c r="S389" s="6">
        <v>0</v>
      </c>
      <c r="U389" s="6">
        <v>0</v>
      </c>
      <c r="W389" s="6">
        <v>0</v>
      </c>
      <c r="Y389" s="6">
        <v>0</v>
      </c>
      <c r="AA389" s="6">
        <v>0</v>
      </c>
      <c r="AC389" s="6">
        <v>0</v>
      </c>
      <c r="AE389" s="6">
        <v>0</v>
      </c>
      <c r="AG389" s="6">
        <v>0</v>
      </c>
      <c r="AI389" s="6">
        <v>0</v>
      </c>
      <c r="AJ389" s="10" t="s">
        <v>881</v>
      </c>
      <c r="AK389" s="11"/>
      <c r="AL389" s="11" t="s">
        <v>30</v>
      </c>
      <c r="AN389" s="6">
        <v>0</v>
      </c>
      <c r="AP389" s="6">
        <v>0</v>
      </c>
      <c r="AT389" s="6">
        <v>0</v>
      </c>
      <c r="AV389" s="6">
        <v>0</v>
      </c>
      <c r="AX389" s="6">
        <v>0</v>
      </c>
      <c r="AZ389" s="6">
        <f t="shared" ref="AZ389:AZ406" si="71">SUM(E389:AX389)</f>
        <v>0</v>
      </c>
      <c r="BB389" s="6">
        <v>0</v>
      </c>
      <c r="BD389" s="6">
        <v>0</v>
      </c>
      <c r="BF389" s="6">
        <v>0</v>
      </c>
      <c r="BH389" s="6">
        <v>0</v>
      </c>
      <c r="BJ389" s="6">
        <f t="shared" ref="BJ389:BJ406" si="72">+AZ389+BB389+BD389+BH389</f>
        <v>0</v>
      </c>
      <c r="BL389" s="6">
        <f>+'Gen Fd Rev'!AK389-'Gen Fd Exp'!BJ389</f>
        <v>0</v>
      </c>
      <c r="BP389" s="6">
        <v>0</v>
      </c>
      <c r="BR389" s="6">
        <v>0</v>
      </c>
      <c r="BT389" s="6">
        <f t="shared" ref="BT389:BT436" si="73">+BN389+BL389-BP389</f>
        <v>0</v>
      </c>
      <c r="BV389" s="7">
        <f>+BT389-'Gen Fd BS'!AC389+BR389</f>
        <v>0</v>
      </c>
    </row>
    <row r="390" spans="1:74">
      <c r="A390" s="11" t="s">
        <v>773</v>
      </c>
      <c r="B390" s="11"/>
      <c r="C390" s="11" t="s">
        <v>65</v>
      </c>
      <c r="E390" s="6">
        <v>4261397</v>
      </c>
      <c r="G390" s="6">
        <v>685827</v>
      </c>
      <c r="I390" s="6">
        <v>90880</v>
      </c>
      <c r="K390" s="6">
        <v>5673</v>
      </c>
      <c r="M390" s="6">
        <v>614876</v>
      </c>
      <c r="O390" s="6">
        <v>321679</v>
      </c>
      <c r="Q390" s="6">
        <v>443347</v>
      </c>
      <c r="S390" s="6">
        <v>26263</v>
      </c>
      <c r="U390" s="6">
        <v>716333</v>
      </c>
      <c r="W390" s="6">
        <v>318141</v>
      </c>
      <c r="Y390" s="6">
        <v>0</v>
      </c>
      <c r="AA390" s="6">
        <v>1218566</v>
      </c>
      <c r="AC390" s="6">
        <v>570773</v>
      </c>
      <c r="AE390" s="6">
        <v>291</v>
      </c>
      <c r="AG390" s="6">
        <v>0</v>
      </c>
      <c r="AI390" s="6">
        <v>340</v>
      </c>
      <c r="AJ390" s="11" t="s">
        <v>773</v>
      </c>
      <c r="AK390" s="11"/>
      <c r="AL390" s="11" t="s">
        <v>65</v>
      </c>
      <c r="AN390" s="6">
        <v>197295</v>
      </c>
      <c r="AP390" s="6">
        <v>84374</v>
      </c>
      <c r="AT390" s="6">
        <v>5399</v>
      </c>
      <c r="AV390" s="6">
        <v>1013</v>
      </c>
      <c r="AX390" s="6">
        <v>0</v>
      </c>
      <c r="AZ390" s="6">
        <f t="shared" si="71"/>
        <v>9562467</v>
      </c>
      <c r="BB390" s="6">
        <v>0</v>
      </c>
      <c r="BD390" s="6">
        <v>0</v>
      </c>
      <c r="BF390" s="6">
        <v>0</v>
      </c>
      <c r="BH390" s="6">
        <v>0</v>
      </c>
      <c r="BJ390" s="6">
        <f t="shared" si="72"/>
        <v>9562467</v>
      </c>
      <c r="BL390" s="6">
        <f>+'Gen Fd Rev'!AK390-'Gen Fd Exp'!BJ390</f>
        <v>431467</v>
      </c>
      <c r="BN390" s="6">
        <v>91505</v>
      </c>
      <c r="BP390" s="6">
        <v>0</v>
      </c>
      <c r="BR390" s="6">
        <v>0</v>
      </c>
      <c r="BT390" s="6">
        <f t="shared" si="73"/>
        <v>522972</v>
      </c>
      <c r="BV390" s="7">
        <f>+BT390-'Gen Fd BS'!AC390+BR390</f>
        <v>0</v>
      </c>
    </row>
    <row r="391" spans="1:74">
      <c r="A391" s="11" t="s">
        <v>774</v>
      </c>
      <c r="B391" s="11"/>
      <c r="C391" s="11" t="s">
        <v>64</v>
      </c>
      <c r="E391" s="6">
        <v>5717617</v>
      </c>
      <c r="G391" s="6">
        <v>1340386</v>
      </c>
      <c r="I391" s="6">
        <v>187301</v>
      </c>
      <c r="K391" s="6">
        <v>0</v>
      </c>
      <c r="M391" s="6">
        <v>0</v>
      </c>
      <c r="O391" s="6">
        <v>583788</v>
      </c>
      <c r="Q391" s="6">
        <v>254626</v>
      </c>
      <c r="S391" s="6">
        <v>86370</v>
      </c>
      <c r="U391" s="6">
        <v>759753</v>
      </c>
      <c r="W391" s="6">
        <v>295093</v>
      </c>
      <c r="Y391" s="6">
        <v>0</v>
      </c>
      <c r="AA391" s="6">
        <v>861956</v>
      </c>
      <c r="AC391" s="6">
        <v>678431</v>
      </c>
      <c r="AE391" s="6">
        <v>233622</v>
      </c>
      <c r="AG391" s="6">
        <v>0</v>
      </c>
      <c r="AI391" s="6">
        <v>357</v>
      </c>
      <c r="AJ391" s="11" t="s">
        <v>774</v>
      </c>
      <c r="AK391" s="11"/>
      <c r="AL391" s="11" t="s">
        <v>64</v>
      </c>
      <c r="AN391" s="6">
        <v>256308</v>
      </c>
      <c r="AP391" s="6">
        <v>0</v>
      </c>
      <c r="AT391" s="6">
        <v>0</v>
      </c>
      <c r="AV391" s="6">
        <v>0</v>
      </c>
      <c r="AX391" s="6">
        <v>0</v>
      </c>
      <c r="AZ391" s="6">
        <f t="shared" si="71"/>
        <v>11255608</v>
      </c>
      <c r="BB391" s="6">
        <v>19982</v>
      </c>
      <c r="BD391" s="6">
        <v>0</v>
      </c>
      <c r="BF391" s="6">
        <v>0</v>
      </c>
      <c r="BH391" s="6">
        <v>0</v>
      </c>
      <c r="BJ391" s="6">
        <f t="shared" si="72"/>
        <v>11275590</v>
      </c>
      <c r="BL391" s="6">
        <f>+'Gen Fd Rev'!AK391-'Gen Fd Exp'!BJ391</f>
        <v>-476259</v>
      </c>
      <c r="BN391" s="6">
        <v>385158</v>
      </c>
      <c r="BP391" s="6">
        <v>0</v>
      </c>
      <c r="BR391" s="6">
        <v>0</v>
      </c>
      <c r="BT391" s="6">
        <f t="shared" si="73"/>
        <v>-91101</v>
      </c>
      <c r="BV391" s="7">
        <f>+BT391-'Gen Fd BS'!AC391+BR391</f>
        <v>0</v>
      </c>
    </row>
    <row r="392" spans="1:74" hidden="1">
      <c r="A392" s="11" t="s">
        <v>811</v>
      </c>
      <c r="B392" s="11"/>
      <c r="C392" s="11" t="s">
        <v>48</v>
      </c>
      <c r="AJ392" s="11" t="s">
        <v>811</v>
      </c>
      <c r="AK392" s="11"/>
      <c r="AL392" s="11" t="s">
        <v>48</v>
      </c>
      <c r="AX392" s="6">
        <v>0</v>
      </c>
      <c r="AZ392" s="6">
        <f t="shared" si="71"/>
        <v>0</v>
      </c>
      <c r="BB392" s="6">
        <v>0</v>
      </c>
      <c r="BD392" s="6">
        <v>0</v>
      </c>
      <c r="BF392" s="6">
        <v>0</v>
      </c>
      <c r="BH392" s="6">
        <v>0</v>
      </c>
      <c r="BJ392" s="6">
        <f t="shared" si="72"/>
        <v>0</v>
      </c>
      <c r="BL392" s="6">
        <f>+'Gen Fd Rev'!AK392-'Gen Fd Exp'!BJ392</f>
        <v>0</v>
      </c>
      <c r="BP392" s="6">
        <v>0</v>
      </c>
      <c r="BR392" s="6">
        <v>0</v>
      </c>
      <c r="BT392" s="6">
        <f t="shared" si="73"/>
        <v>0</v>
      </c>
      <c r="BV392" s="7">
        <f>+BT392-'Gen Fd BS'!AC392+BR392</f>
        <v>0</v>
      </c>
    </row>
    <row r="393" spans="1:74">
      <c r="A393" s="11" t="s">
        <v>606</v>
      </c>
      <c r="B393" s="11"/>
      <c r="C393" s="11" t="s">
        <v>64</v>
      </c>
      <c r="E393" s="6">
        <v>10461374</v>
      </c>
      <c r="G393" s="6">
        <v>2572487</v>
      </c>
      <c r="I393" s="6">
        <v>103259</v>
      </c>
      <c r="K393" s="6">
        <v>0</v>
      </c>
      <c r="M393" s="6">
        <v>941829</v>
      </c>
      <c r="O393" s="6">
        <v>1066599</v>
      </c>
      <c r="Q393" s="6">
        <v>961940</v>
      </c>
      <c r="S393" s="6">
        <v>55574</v>
      </c>
      <c r="U393" s="6">
        <v>2066050</v>
      </c>
      <c r="W393" s="6">
        <v>493115</v>
      </c>
      <c r="Y393" s="6">
        <v>201396</v>
      </c>
      <c r="AA393" s="6">
        <v>1598734</v>
      </c>
      <c r="AC393" s="6">
        <v>1075117</v>
      </c>
      <c r="AE393" s="6">
        <v>248957</v>
      </c>
      <c r="AG393" s="6">
        <v>0</v>
      </c>
      <c r="AI393" s="6">
        <v>1078</v>
      </c>
      <c r="AJ393" s="11" t="s">
        <v>606</v>
      </c>
      <c r="AK393" s="11"/>
      <c r="AL393" s="11" t="s">
        <v>64</v>
      </c>
      <c r="AN393" s="6">
        <v>308210</v>
      </c>
      <c r="AP393" s="6">
        <v>51958</v>
      </c>
      <c r="AT393" s="6">
        <v>0</v>
      </c>
      <c r="AV393" s="6">
        <v>0</v>
      </c>
      <c r="AX393" s="6">
        <v>0</v>
      </c>
      <c r="AZ393" s="6">
        <f t="shared" si="71"/>
        <v>22207677</v>
      </c>
      <c r="BB393" s="6">
        <v>0</v>
      </c>
      <c r="BD393" s="6">
        <v>0</v>
      </c>
      <c r="BF393" s="6">
        <v>0</v>
      </c>
      <c r="BH393" s="6">
        <v>0</v>
      </c>
      <c r="BJ393" s="6">
        <f t="shared" si="72"/>
        <v>22207677</v>
      </c>
      <c r="BL393" s="6">
        <f>+'Gen Fd Rev'!AK393-'Gen Fd Exp'!BJ393</f>
        <v>492086</v>
      </c>
      <c r="BN393" s="6">
        <v>-2416774</v>
      </c>
      <c r="BP393" s="6">
        <v>0</v>
      </c>
      <c r="BR393" s="6">
        <v>0</v>
      </c>
      <c r="BT393" s="6">
        <f t="shared" si="73"/>
        <v>-1924688</v>
      </c>
      <c r="BV393" s="7">
        <f>+BT393-'Gen Fd BS'!AC393+BR393</f>
        <v>0</v>
      </c>
    </row>
    <row r="394" spans="1:74">
      <c r="A394" s="11" t="s">
        <v>449</v>
      </c>
      <c r="B394" s="11"/>
      <c r="C394" s="11" t="s">
        <v>52</v>
      </c>
      <c r="E394" s="6">
        <v>4106920</v>
      </c>
      <c r="G394" s="6">
        <v>718132</v>
      </c>
      <c r="I394" s="6">
        <v>346161</v>
      </c>
      <c r="K394" s="6">
        <v>0</v>
      </c>
      <c r="M394" s="6">
        <v>0</v>
      </c>
      <c r="O394" s="6">
        <v>369984</v>
      </c>
      <c r="Q394" s="6">
        <v>167631</v>
      </c>
      <c r="S394" s="6">
        <v>65524</v>
      </c>
      <c r="U394" s="6">
        <v>1013830</v>
      </c>
      <c r="W394" s="6">
        <v>421404</v>
      </c>
      <c r="Y394" s="6">
        <v>18442</v>
      </c>
      <c r="AA394" s="6">
        <v>855866</v>
      </c>
      <c r="AC394" s="6">
        <v>990787</v>
      </c>
      <c r="AE394" s="6">
        <v>4299</v>
      </c>
      <c r="AG394" s="6">
        <v>0</v>
      </c>
      <c r="AI394" s="6">
        <v>291</v>
      </c>
      <c r="AJ394" s="11" t="s">
        <v>449</v>
      </c>
      <c r="AK394" s="11"/>
      <c r="AL394" s="11" t="s">
        <v>52</v>
      </c>
      <c r="AN394" s="6">
        <v>146893</v>
      </c>
      <c r="AP394" s="6">
        <v>0</v>
      </c>
      <c r="AT394" s="6">
        <v>6497</v>
      </c>
      <c r="AV394" s="6">
        <v>3964</v>
      </c>
      <c r="AX394" s="6">
        <v>0</v>
      </c>
      <c r="AZ394" s="6">
        <f t="shared" si="71"/>
        <v>9236625</v>
      </c>
      <c r="BB394" s="6">
        <v>428329</v>
      </c>
      <c r="BD394" s="6">
        <v>0</v>
      </c>
      <c r="BF394" s="6">
        <v>0</v>
      </c>
      <c r="BH394" s="6">
        <v>0</v>
      </c>
      <c r="BJ394" s="6">
        <f t="shared" si="72"/>
        <v>9664954</v>
      </c>
      <c r="BL394" s="6">
        <f>+'Gen Fd Rev'!AK394-'Gen Fd Exp'!BJ394</f>
        <v>1361690</v>
      </c>
      <c r="BN394" s="6">
        <v>1324914</v>
      </c>
      <c r="BP394" s="6">
        <v>0</v>
      </c>
      <c r="BR394" s="6">
        <v>0</v>
      </c>
      <c r="BT394" s="6">
        <f t="shared" si="73"/>
        <v>2686604</v>
      </c>
      <c r="BV394" s="7">
        <f>+BT394-'Gen Fd BS'!AC394+BR394</f>
        <v>0</v>
      </c>
    </row>
    <row r="395" spans="1:74">
      <c r="A395" s="11" t="s">
        <v>511</v>
      </c>
      <c r="B395" s="11"/>
      <c r="C395" s="11" t="s">
        <v>63</v>
      </c>
      <c r="E395" s="6">
        <v>16324448</v>
      </c>
      <c r="G395" s="6">
        <v>3822693</v>
      </c>
      <c r="I395" s="6">
        <v>107582</v>
      </c>
      <c r="K395" s="6">
        <v>17990</v>
      </c>
      <c r="M395" s="6">
        <v>941216</v>
      </c>
      <c r="O395" s="6">
        <v>2473632</v>
      </c>
      <c r="Q395" s="6">
        <v>742870</v>
      </c>
      <c r="S395" s="6">
        <v>101811</v>
      </c>
      <c r="U395" s="6">
        <v>2641708</v>
      </c>
      <c r="W395" s="6">
        <v>1121346</v>
      </c>
      <c r="Y395" s="6">
        <v>256689</v>
      </c>
      <c r="AA395" s="6">
        <v>3367405</v>
      </c>
      <c r="AC395" s="6">
        <v>2219386</v>
      </c>
      <c r="AE395" s="6">
        <v>704547</v>
      </c>
      <c r="AG395" s="6">
        <v>0</v>
      </c>
      <c r="AI395" s="6">
        <v>0</v>
      </c>
      <c r="AJ395" s="11" t="s">
        <v>511</v>
      </c>
      <c r="AK395" s="11"/>
      <c r="AL395" s="11" t="s">
        <v>63</v>
      </c>
      <c r="AN395" s="6">
        <v>933858</v>
      </c>
      <c r="AP395" s="6">
        <v>0</v>
      </c>
      <c r="AT395" s="6">
        <v>0</v>
      </c>
      <c r="AV395" s="6">
        <v>0</v>
      </c>
      <c r="AX395" s="6">
        <v>0</v>
      </c>
      <c r="AZ395" s="6">
        <f t="shared" si="71"/>
        <v>35777181</v>
      </c>
      <c r="BB395" s="6">
        <v>49010</v>
      </c>
      <c r="BD395" s="6">
        <v>0</v>
      </c>
      <c r="BF395" s="6">
        <v>0</v>
      </c>
      <c r="BH395" s="6">
        <v>0</v>
      </c>
      <c r="BJ395" s="6">
        <f t="shared" si="72"/>
        <v>35826191</v>
      </c>
      <c r="BL395" s="6">
        <f>+'Gen Fd Rev'!AK395-'Gen Fd Exp'!BJ395</f>
        <v>3054014</v>
      </c>
      <c r="BN395" s="6">
        <v>4844412</v>
      </c>
      <c r="BP395" s="6">
        <v>0</v>
      </c>
      <c r="BR395" s="6">
        <v>0</v>
      </c>
      <c r="BT395" s="6">
        <f t="shared" si="73"/>
        <v>7898426</v>
      </c>
      <c r="BV395" s="7">
        <f>+BT395-'Gen Fd BS'!AC395+BR395</f>
        <v>0</v>
      </c>
    </row>
    <row r="396" spans="1:74">
      <c r="A396" s="11" t="s">
        <v>556</v>
      </c>
      <c r="B396" s="11"/>
      <c r="C396" s="11" t="s">
        <v>72</v>
      </c>
      <c r="E396" s="6">
        <v>2625798</v>
      </c>
      <c r="G396" s="6">
        <v>898430</v>
      </c>
      <c r="I396" s="6">
        <v>0</v>
      </c>
      <c r="K396" s="6">
        <v>0</v>
      </c>
      <c r="M396" s="6">
        <v>638091</v>
      </c>
      <c r="O396" s="6">
        <v>205256</v>
      </c>
      <c r="Q396" s="6">
        <v>201060</v>
      </c>
      <c r="S396" s="6">
        <v>171670</v>
      </c>
      <c r="U396" s="6">
        <v>632086</v>
      </c>
      <c r="W396" s="6">
        <v>339560</v>
      </c>
      <c r="Y396" s="6">
        <v>0</v>
      </c>
      <c r="AA396" s="6">
        <v>625469</v>
      </c>
      <c r="AC396" s="6">
        <v>295661</v>
      </c>
      <c r="AE396" s="6">
        <v>0</v>
      </c>
      <c r="AG396" s="6">
        <v>0</v>
      </c>
      <c r="AI396" s="6">
        <v>0</v>
      </c>
      <c r="AJ396" s="11" t="s">
        <v>556</v>
      </c>
      <c r="AK396" s="11"/>
      <c r="AL396" s="11" t="s">
        <v>72</v>
      </c>
      <c r="AN396" s="6">
        <v>199662</v>
      </c>
      <c r="AP396" s="6">
        <v>0</v>
      </c>
      <c r="AT396" s="6">
        <v>0</v>
      </c>
      <c r="AV396" s="6">
        <v>0</v>
      </c>
      <c r="AX396" s="6">
        <v>0</v>
      </c>
      <c r="AZ396" s="6">
        <f t="shared" si="71"/>
        <v>6832743</v>
      </c>
      <c r="BB396" s="6">
        <v>12402</v>
      </c>
      <c r="BD396" s="6">
        <v>0</v>
      </c>
      <c r="BF396" s="6">
        <v>0</v>
      </c>
      <c r="BH396" s="6">
        <v>0</v>
      </c>
      <c r="BJ396" s="6">
        <f t="shared" si="72"/>
        <v>6845145</v>
      </c>
      <c r="BL396" s="6">
        <f>+'Gen Fd Rev'!AK396-'Gen Fd Exp'!BJ396</f>
        <v>805703</v>
      </c>
      <c r="BN396" s="6">
        <v>2134584</v>
      </c>
      <c r="BP396" s="6">
        <v>0</v>
      </c>
      <c r="BR396" s="6">
        <v>0</v>
      </c>
      <c r="BT396" s="6">
        <f t="shared" si="73"/>
        <v>2940287</v>
      </c>
      <c r="BV396" s="7">
        <f>+BT396-'Gen Fd BS'!AC396+BR396</f>
        <v>0</v>
      </c>
    </row>
    <row r="397" spans="1:74" hidden="1">
      <c r="A397" s="11" t="s">
        <v>813</v>
      </c>
      <c r="B397" s="11"/>
      <c r="C397" s="11" t="s">
        <v>53</v>
      </c>
      <c r="AJ397" s="11" t="s">
        <v>813</v>
      </c>
      <c r="AK397" s="11"/>
      <c r="AL397" s="11" t="s">
        <v>53</v>
      </c>
      <c r="AX397" s="6">
        <v>0</v>
      </c>
      <c r="AZ397" s="6">
        <f t="shared" si="71"/>
        <v>0</v>
      </c>
      <c r="BB397" s="6">
        <v>0</v>
      </c>
      <c r="BD397" s="6">
        <v>0</v>
      </c>
      <c r="BF397" s="6">
        <v>0</v>
      </c>
      <c r="BH397" s="6">
        <v>0</v>
      </c>
      <c r="BJ397" s="6">
        <f t="shared" si="72"/>
        <v>0</v>
      </c>
      <c r="BL397" s="6">
        <f>+'Gen Fd Rev'!AK397-'Gen Fd Exp'!BJ397</f>
        <v>0</v>
      </c>
      <c r="BR397" s="6">
        <v>0</v>
      </c>
      <c r="BT397" s="6">
        <f t="shared" si="73"/>
        <v>0</v>
      </c>
      <c r="BV397" s="7">
        <f>+BT397-'Gen Fd BS'!AC397+BR397</f>
        <v>0</v>
      </c>
    </row>
    <row r="398" spans="1:74">
      <c r="A398" s="11" t="s">
        <v>503</v>
      </c>
      <c r="B398" s="11"/>
      <c r="C398" s="11" t="s">
        <v>62</v>
      </c>
      <c r="E398" s="6">
        <v>18250763</v>
      </c>
      <c r="G398" s="6">
        <v>2528292</v>
      </c>
      <c r="I398" s="6">
        <v>1777441</v>
      </c>
      <c r="K398" s="6">
        <v>6666</v>
      </c>
      <c r="M398" s="6">
        <v>130971</v>
      </c>
      <c r="O398" s="6">
        <v>2552299</v>
      </c>
      <c r="Q398" s="6">
        <v>2116578</v>
      </c>
      <c r="S398" s="6">
        <v>33530</v>
      </c>
      <c r="U398" s="6">
        <v>3267455</v>
      </c>
      <c r="W398" s="6">
        <v>1022741</v>
      </c>
      <c r="Y398" s="6">
        <v>6288</v>
      </c>
      <c r="AA398" s="6">
        <v>4157127</v>
      </c>
      <c r="AC398" s="6">
        <v>2999857</v>
      </c>
      <c r="AE398" s="6">
        <v>407937</v>
      </c>
      <c r="AG398" s="6">
        <v>0</v>
      </c>
      <c r="AI398" s="6">
        <v>16215</v>
      </c>
      <c r="AJ398" s="11" t="s">
        <v>503</v>
      </c>
      <c r="AK398" s="11"/>
      <c r="AL398" s="11" t="s">
        <v>62</v>
      </c>
      <c r="AN398" s="6">
        <v>828611</v>
      </c>
      <c r="AP398" s="6">
        <f>83455+768121</f>
        <v>851576</v>
      </c>
      <c r="AT398" s="6">
        <v>131863</v>
      </c>
      <c r="AV398" s="6">
        <v>26342</v>
      </c>
      <c r="AX398" s="6">
        <v>0</v>
      </c>
      <c r="AZ398" s="6">
        <f t="shared" si="71"/>
        <v>41112552</v>
      </c>
      <c r="BB398" s="6">
        <v>158882</v>
      </c>
      <c r="BD398" s="6">
        <v>0</v>
      </c>
      <c r="BF398" s="6">
        <v>0</v>
      </c>
      <c r="BH398" s="6">
        <v>0</v>
      </c>
      <c r="BJ398" s="6">
        <f t="shared" si="72"/>
        <v>41271434</v>
      </c>
      <c r="BL398" s="6">
        <f>+'Gen Fd Rev'!AK398-'Gen Fd Exp'!BJ398</f>
        <v>-704984</v>
      </c>
      <c r="BN398" s="6">
        <v>2333920</v>
      </c>
      <c r="BP398" s="6">
        <v>-1662</v>
      </c>
      <c r="BR398" s="6">
        <v>0</v>
      </c>
      <c r="BT398" s="6">
        <f t="shared" si="73"/>
        <v>1630598</v>
      </c>
      <c r="BV398" s="7">
        <f>+BT398-'Gen Fd BS'!AC398+BR398</f>
        <v>0</v>
      </c>
    </row>
    <row r="399" spans="1:74" hidden="1">
      <c r="A399" s="11" t="s">
        <v>814</v>
      </c>
      <c r="B399" s="11"/>
      <c r="C399" s="11" t="s">
        <v>552</v>
      </c>
      <c r="D399" s="9"/>
      <c r="AJ399" s="11" t="s">
        <v>814</v>
      </c>
      <c r="AK399" s="11"/>
      <c r="AL399" s="11" t="s">
        <v>552</v>
      </c>
      <c r="AX399" s="6">
        <v>0</v>
      </c>
      <c r="AZ399" s="6">
        <f t="shared" si="71"/>
        <v>0</v>
      </c>
      <c r="BB399" s="6">
        <v>0</v>
      </c>
      <c r="BD399" s="6">
        <v>0</v>
      </c>
      <c r="BF399" s="6">
        <v>0</v>
      </c>
      <c r="BH399" s="6">
        <v>0</v>
      </c>
      <c r="BJ399" s="6">
        <f t="shared" si="72"/>
        <v>0</v>
      </c>
      <c r="BL399" s="6">
        <f>+'Gen Fd Rev'!AK399-'Gen Fd Exp'!BJ399</f>
        <v>0</v>
      </c>
      <c r="BR399" s="6">
        <v>0</v>
      </c>
      <c r="BT399" s="6">
        <f t="shared" si="73"/>
        <v>0</v>
      </c>
      <c r="BV399" s="7">
        <f>+BT399-'Gen Fd BS'!AC399+BR399</f>
        <v>0</v>
      </c>
    </row>
    <row r="400" spans="1:74">
      <c r="A400" s="11" t="s">
        <v>709</v>
      </c>
      <c r="B400" s="11"/>
      <c r="C400" s="11" t="s">
        <v>32</v>
      </c>
      <c r="E400" s="6">
        <v>5238763</v>
      </c>
      <c r="G400" s="6">
        <v>2091400</v>
      </c>
      <c r="I400" s="6">
        <v>34784</v>
      </c>
      <c r="K400" s="6">
        <v>0</v>
      </c>
      <c r="M400" s="6">
        <v>939</v>
      </c>
      <c r="O400" s="6">
        <v>848086</v>
      </c>
      <c r="Q400" s="6">
        <v>730269</v>
      </c>
      <c r="S400" s="6">
        <v>33658</v>
      </c>
      <c r="U400" s="6">
        <v>919130</v>
      </c>
      <c r="W400" s="6">
        <v>348258</v>
      </c>
      <c r="Y400" s="6">
        <v>13534</v>
      </c>
      <c r="AA400" s="6">
        <v>914779</v>
      </c>
      <c r="AC400" s="6">
        <v>228811</v>
      </c>
      <c r="AE400" s="6">
        <v>33700</v>
      </c>
      <c r="AG400" s="6">
        <v>0</v>
      </c>
      <c r="AI400" s="6">
        <v>1361</v>
      </c>
      <c r="AJ400" s="11" t="s">
        <v>709</v>
      </c>
      <c r="AK400" s="11"/>
      <c r="AL400" s="11" t="s">
        <v>32</v>
      </c>
      <c r="AN400" s="6">
        <v>232935</v>
      </c>
      <c r="AP400" s="6">
        <v>0</v>
      </c>
      <c r="AT400" s="6">
        <v>0</v>
      </c>
      <c r="AV400" s="6">
        <v>0</v>
      </c>
      <c r="AX400" s="6">
        <v>0</v>
      </c>
      <c r="AZ400" s="6">
        <f t="shared" si="71"/>
        <v>11670407</v>
      </c>
      <c r="BB400" s="6">
        <v>31717</v>
      </c>
      <c r="BD400" s="6">
        <v>0</v>
      </c>
      <c r="BF400" s="6">
        <v>0</v>
      </c>
      <c r="BH400" s="6">
        <v>0</v>
      </c>
      <c r="BJ400" s="6">
        <f t="shared" si="72"/>
        <v>11702124</v>
      </c>
      <c r="BL400" s="6">
        <f>+'Gen Fd Rev'!AK400-'Gen Fd Exp'!BJ400</f>
        <v>699632</v>
      </c>
      <c r="BN400" s="6">
        <v>-7209</v>
      </c>
      <c r="BP400" s="6">
        <v>0</v>
      </c>
      <c r="BR400" s="6">
        <v>0</v>
      </c>
      <c r="BT400" s="6">
        <f t="shared" si="73"/>
        <v>692423</v>
      </c>
      <c r="BV400" s="7">
        <f>+BT400-'Gen Fd BS'!AC400+BR400</f>
        <v>0</v>
      </c>
    </row>
    <row r="401" spans="1:74">
      <c r="A401" s="11" t="s">
        <v>377</v>
      </c>
      <c r="B401" s="11"/>
      <c r="C401" s="11" t="s">
        <v>42</v>
      </c>
      <c r="E401" s="6">
        <v>5429557</v>
      </c>
      <c r="G401" s="6">
        <v>2196659</v>
      </c>
      <c r="I401" s="6">
        <v>190314</v>
      </c>
      <c r="K401" s="6">
        <v>0</v>
      </c>
      <c r="M401" s="6">
        <v>262648</v>
      </c>
      <c r="O401" s="6">
        <v>1603635</v>
      </c>
      <c r="Q401" s="6">
        <v>72398</v>
      </c>
      <c r="S401" s="6">
        <v>27349</v>
      </c>
      <c r="U401" s="6">
        <v>1109950</v>
      </c>
      <c r="W401" s="6">
        <v>497857</v>
      </c>
      <c r="Y401" s="6">
        <v>0</v>
      </c>
      <c r="AA401" s="6">
        <v>1342254</v>
      </c>
      <c r="AC401" s="6">
        <v>1257573</v>
      </c>
      <c r="AE401" s="6">
        <v>533868</v>
      </c>
      <c r="AG401" s="6">
        <v>0</v>
      </c>
      <c r="AI401" s="6">
        <v>0</v>
      </c>
      <c r="AJ401" s="11" t="s">
        <v>377</v>
      </c>
      <c r="AK401" s="11"/>
      <c r="AL401" s="11" t="s">
        <v>42</v>
      </c>
      <c r="AN401" s="6">
        <v>321007</v>
      </c>
      <c r="AP401" s="6">
        <v>0</v>
      </c>
      <c r="AT401" s="6">
        <v>0</v>
      </c>
      <c r="AV401" s="6">
        <v>69120</v>
      </c>
      <c r="AX401" s="6">
        <v>0</v>
      </c>
      <c r="AZ401" s="6">
        <f t="shared" si="71"/>
        <v>14914189</v>
      </c>
      <c r="BB401" s="6">
        <v>242577</v>
      </c>
      <c r="BD401" s="6">
        <v>0</v>
      </c>
      <c r="BF401" s="6">
        <v>0</v>
      </c>
      <c r="BH401" s="6">
        <v>0</v>
      </c>
      <c r="BJ401" s="6">
        <f t="shared" si="72"/>
        <v>15156766</v>
      </c>
      <c r="BL401" s="6">
        <f>+'Gen Fd Rev'!AK401-'Gen Fd Exp'!BJ401</f>
        <v>620287</v>
      </c>
      <c r="BN401" s="6">
        <v>-538548</v>
      </c>
      <c r="BP401" s="6">
        <v>0</v>
      </c>
      <c r="BR401" s="6">
        <v>0</v>
      </c>
      <c r="BT401" s="6">
        <f t="shared" si="73"/>
        <v>81739</v>
      </c>
      <c r="BV401" s="7">
        <f>+BT401-'Gen Fd BS'!AC401+BR401</f>
        <v>0</v>
      </c>
    </row>
    <row r="402" spans="1:74">
      <c r="A402" s="11" t="s">
        <v>271</v>
      </c>
      <c r="B402" s="11"/>
      <c r="C402" s="11" t="s">
        <v>20</v>
      </c>
      <c r="E402" s="6">
        <v>22490523</v>
      </c>
      <c r="G402" s="6">
        <v>7596228</v>
      </c>
      <c r="I402" s="6">
        <v>449042</v>
      </c>
      <c r="K402" s="6">
        <v>0</v>
      </c>
      <c r="M402" s="6">
        <v>270050</v>
      </c>
      <c r="O402" s="6">
        <v>3809419</v>
      </c>
      <c r="Q402" s="6">
        <v>770065</v>
      </c>
      <c r="S402" s="6">
        <v>293275</v>
      </c>
      <c r="U402" s="6">
        <v>3326001</v>
      </c>
      <c r="W402" s="6">
        <v>1245858</v>
      </c>
      <c r="Y402" s="6">
        <v>115177</v>
      </c>
      <c r="AA402" s="6">
        <v>5467057</v>
      </c>
      <c r="AC402" s="6">
        <v>1963421</v>
      </c>
      <c r="AE402" s="6">
        <v>1100912</v>
      </c>
      <c r="AG402" s="6">
        <v>90691</v>
      </c>
      <c r="AI402" s="6">
        <v>21378</v>
      </c>
      <c r="AJ402" s="11" t="s">
        <v>271</v>
      </c>
      <c r="AK402" s="11"/>
      <c r="AL402" s="11" t="s">
        <v>20</v>
      </c>
      <c r="AN402" s="6">
        <v>1216571</v>
      </c>
      <c r="AP402" s="6">
        <v>0</v>
      </c>
      <c r="AT402" s="6">
        <v>0</v>
      </c>
      <c r="AV402" s="6">
        <v>250</v>
      </c>
      <c r="AX402" s="6">
        <v>0</v>
      </c>
      <c r="AZ402" s="6">
        <f t="shared" si="71"/>
        <v>50225918</v>
      </c>
      <c r="BB402" s="6">
        <v>32208</v>
      </c>
      <c r="BD402" s="6">
        <v>0</v>
      </c>
      <c r="BF402" s="6">
        <v>0</v>
      </c>
      <c r="BH402" s="6">
        <v>0</v>
      </c>
      <c r="BJ402" s="6">
        <f t="shared" si="72"/>
        <v>50258126</v>
      </c>
      <c r="BL402" s="6">
        <f>+'Gen Fd Rev'!AK402-'Gen Fd Exp'!BJ402</f>
        <v>2278436</v>
      </c>
      <c r="BN402" s="6">
        <v>13251565</v>
      </c>
      <c r="BP402" s="6">
        <v>0</v>
      </c>
      <c r="BR402" s="6">
        <v>0</v>
      </c>
      <c r="BT402" s="6">
        <f t="shared" si="73"/>
        <v>15530001</v>
      </c>
      <c r="BV402" s="7">
        <f>+BT402-'Gen Fd BS'!AC402+BR402</f>
        <v>0</v>
      </c>
    </row>
    <row r="403" spans="1:74">
      <c r="A403" s="11" t="s">
        <v>388</v>
      </c>
      <c r="B403" s="11"/>
      <c r="C403" s="11" t="s">
        <v>44</v>
      </c>
      <c r="E403" s="6">
        <v>13927414</v>
      </c>
      <c r="G403" s="6">
        <v>3825488</v>
      </c>
      <c r="I403" s="6">
        <v>110878</v>
      </c>
      <c r="K403" s="6">
        <v>1002</v>
      </c>
      <c r="M403" s="6">
        <v>1525239</v>
      </c>
      <c r="O403" s="6">
        <v>1833762</v>
      </c>
      <c r="Q403" s="6">
        <v>2150967</v>
      </c>
      <c r="S403" s="6">
        <v>119382</v>
      </c>
      <c r="U403" s="6">
        <v>2074402</v>
      </c>
      <c r="W403" s="6">
        <v>788682</v>
      </c>
      <c r="Y403" s="6">
        <v>251317</v>
      </c>
      <c r="AA403" s="6">
        <v>2397438</v>
      </c>
      <c r="AC403" s="6">
        <v>2196989</v>
      </c>
      <c r="AE403" s="6">
        <v>54457</v>
      </c>
      <c r="AG403" s="6">
        <v>4767</v>
      </c>
      <c r="AI403" s="6">
        <v>0</v>
      </c>
      <c r="AJ403" s="11" t="s">
        <v>388</v>
      </c>
      <c r="AK403" s="11"/>
      <c r="AL403" s="11" t="s">
        <v>44</v>
      </c>
      <c r="AN403" s="6">
        <v>543707</v>
      </c>
      <c r="AP403" s="6">
        <v>9669</v>
      </c>
      <c r="AT403" s="6">
        <v>70834</v>
      </c>
      <c r="AV403" s="6">
        <v>18168</v>
      </c>
      <c r="AX403" s="6">
        <v>0</v>
      </c>
      <c r="AZ403" s="6">
        <f t="shared" si="71"/>
        <v>31904562</v>
      </c>
      <c r="BB403" s="6">
        <v>68983</v>
      </c>
      <c r="BD403" s="6">
        <v>0</v>
      </c>
      <c r="BF403" s="6">
        <v>0</v>
      </c>
      <c r="BH403" s="6">
        <v>0</v>
      </c>
      <c r="BJ403" s="6">
        <f t="shared" si="72"/>
        <v>31973545</v>
      </c>
      <c r="BL403" s="6">
        <f>+'Gen Fd Rev'!AK403-'Gen Fd Exp'!BJ403</f>
        <v>-9609</v>
      </c>
      <c r="BN403" s="6">
        <v>251782</v>
      </c>
      <c r="BP403" s="6">
        <v>0</v>
      </c>
      <c r="BR403" s="6">
        <v>0</v>
      </c>
      <c r="BT403" s="6">
        <f t="shared" si="73"/>
        <v>242173</v>
      </c>
      <c r="BV403" s="7">
        <f>+BT403-'Gen Fd BS'!AC403+BR403</f>
        <v>0</v>
      </c>
    </row>
    <row r="404" spans="1:74">
      <c r="A404" s="11" t="s">
        <v>272</v>
      </c>
      <c r="B404" s="11"/>
      <c r="C404" s="11" t="s">
        <v>20</v>
      </c>
      <c r="E404" s="6">
        <v>23895468</v>
      </c>
      <c r="G404" s="6">
        <v>3207668</v>
      </c>
      <c r="I404" s="6">
        <v>197782</v>
      </c>
      <c r="K404" s="6">
        <v>0</v>
      </c>
      <c r="M404" s="6">
        <v>1189179</v>
      </c>
      <c r="O404" s="6">
        <v>2783411</v>
      </c>
      <c r="Q404" s="6">
        <v>1798493</v>
      </c>
      <c r="S404" s="6">
        <v>37533</v>
      </c>
      <c r="U404" s="6">
        <v>3524659</v>
      </c>
      <c r="W404" s="6">
        <v>1188020</v>
      </c>
      <c r="Y404" s="6">
        <v>354056</v>
      </c>
      <c r="AA404" s="6">
        <v>3395237</v>
      </c>
      <c r="AC404" s="6">
        <v>3140758</v>
      </c>
      <c r="AE404" s="6">
        <v>563885</v>
      </c>
      <c r="AG404" s="6">
        <v>0</v>
      </c>
      <c r="AI404" s="6">
        <v>55874</v>
      </c>
      <c r="AJ404" s="11" t="s">
        <v>272</v>
      </c>
      <c r="AK404" s="11"/>
      <c r="AL404" s="11" t="s">
        <v>20</v>
      </c>
      <c r="AN404" s="6">
        <v>736536</v>
      </c>
      <c r="AP404" s="6">
        <v>0</v>
      </c>
      <c r="AT404" s="6">
        <v>0</v>
      </c>
      <c r="AV404" s="6">
        <v>0</v>
      </c>
      <c r="AX404" s="6">
        <v>0</v>
      </c>
      <c r="AZ404" s="6">
        <f t="shared" si="71"/>
        <v>46068559</v>
      </c>
      <c r="BB404" s="6">
        <v>118000</v>
      </c>
      <c r="BD404" s="6">
        <v>0</v>
      </c>
      <c r="BF404" s="6">
        <v>0</v>
      </c>
      <c r="BH404" s="6">
        <v>0</v>
      </c>
      <c r="BJ404" s="6">
        <f t="shared" si="72"/>
        <v>46186559</v>
      </c>
      <c r="BL404" s="6">
        <f>+'Gen Fd Rev'!AK404-'Gen Fd Exp'!BJ404</f>
        <v>502456</v>
      </c>
      <c r="BN404" s="6">
        <v>10129834</v>
      </c>
      <c r="BP404" s="6">
        <v>0</v>
      </c>
      <c r="BR404" s="6">
        <v>0</v>
      </c>
      <c r="BT404" s="6">
        <f t="shared" si="73"/>
        <v>10632290</v>
      </c>
      <c r="BV404" s="7">
        <f>+BT404-'Gen Fd BS'!AC404+BR404</f>
        <v>0</v>
      </c>
    </row>
    <row r="405" spans="1:74">
      <c r="A405" s="11" t="s">
        <v>540</v>
      </c>
      <c r="B405" s="11"/>
      <c r="C405" s="11" t="s">
        <v>66</v>
      </c>
      <c r="E405" s="6">
        <v>6614320</v>
      </c>
      <c r="G405" s="6">
        <v>1489292</v>
      </c>
      <c r="I405" s="6">
        <v>803784</v>
      </c>
      <c r="K405" s="6">
        <v>0</v>
      </c>
      <c r="M405" s="6">
        <v>0</v>
      </c>
      <c r="O405" s="6">
        <v>690292</v>
      </c>
      <c r="Q405" s="6">
        <v>654526</v>
      </c>
      <c r="S405" s="6">
        <v>24177</v>
      </c>
      <c r="U405" s="6">
        <v>1066219</v>
      </c>
      <c r="W405" s="6">
        <v>470645</v>
      </c>
      <c r="Y405" s="6">
        <v>0</v>
      </c>
      <c r="AA405" s="6">
        <v>1924545</v>
      </c>
      <c r="AC405" s="6">
        <v>947691</v>
      </c>
      <c r="AE405" s="6">
        <v>9663</v>
      </c>
      <c r="AG405" s="6">
        <v>0</v>
      </c>
      <c r="AI405" s="6">
        <v>0</v>
      </c>
      <c r="AJ405" s="11" t="s">
        <v>540</v>
      </c>
      <c r="AK405" s="11"/>
      <c r="AL405" s="11" t="s">
        <v>66</v>
      </c>
      <c r="AN405" s="6">
        <v>241760</v>
      </c>
      <c r="AP405" s="6">
        <v>0</v>
      </c>
      <c r="AT405" s="6">
        <v>0</v>
      </c>
      <c r="AV405" s="6">
        <v>0</v>
      </c>
      <c r="AX405" s="6">
        <v>0</v>
      </c>
      <c r="AZ405" s="6">
        <f t="shared" si="71"/>
        <v>14936914</v>
      </c>
      <c r="BB405" s="6">
        <v>0</v>
      </c>
      <c r="BD405" s="6">
        <v>0</v>
      </c>
      <c r="BF405" s="6">
        <v>0</v>
      </c>
      <c r="BH405" s="6">
        <v>0</v>
      </c>
      <c r="BJ405" s="6">
        <f t="shared" si="72"/>
        <v>14936914</v>
      </c>
      <c r="BL405" s="6">
        <f>+'Gen Fd Rev'!AK405-'Gen Fd Exp'!BJ405</f>
        <v>-625057</v>
      </c>
      <c r="BN405" s="6">
        <v>10235958</v>
      </c>
      <c r="BP405" s="6">
        <v>0</v>
      </c>
      <c r="BR405" s="6">
        <v>0</v>
      </c>
      <c r="BT405" s="6">
        <f t="shared" si="73"/>
        <v>9610901</v>
      </c>
      <c r="BV405" s="7">
        <f>+BT405-'Gen Fd BS'!AC405+BR405</f>
        <v>0</v>
      </c>
    </row>
    <row r="406" spans="1:74">
      <c r="A406" s="11" t="s">
        <v>233</v>
      </c>
      <c r="B406" s="11"/>
      <c r="C406" s="11" t="s">
        <v>17</v>
      </c>
      <c r="E406" s="6">
        <v>14231613</v>
      </c>
      <c r="G406" s="6">
        <v>2272731</v>
      </c>
      <c r="I406" s="6">
        <v>673573</v>
      </c>
      <c r="K406" s="6">
        <v>0</v>
      </c>
      <c r="M406" s="6">
        <f>22522+16495</f>
        <v>39017</v>
      </c>
      <c r="O406" s="6">
        <v>1561306</v>
      </c>
      <c r="Q406" s="6">
        <v>1483787</v>
      </c>
      <c r="S406" s="6">
        <v>70740</v>
      </c>
      <c r="U406" s="6">
        <v>2634089</v>
      </c>
      <c r="W406" s="6">
        <v>776443</v>
      </c>
      <c r="Y406" s="6">
        <v>0</v>
      </c>
      <c r="AA406" s="6">
        <v>2548312</v>
      </c>
      <c r="AC406" s="6">
        <v>1900116</v>
      </c>
      <c r="AE406" s="6">
        <v>52575</v>
      </c>
      <c r="AG406" s="6">
        <v>0</v>
      </c>
      <c r="AI406" s="6">
        <v>375</v>
      </c>
      <c r="AJ406" s="11" t="s">
        <v>233</v>
      </c>
      <c r="AK406" s="11"/>
      <c r="AL406" s="11" t="s">
        <v>17</v>
      </c>
      <c r="AN406" s="6">
        <v>730540</v>
      </c>
      <c r="AP406" s="6">
        <v>0</v>
      </c>
      <c r="AT406" s="6">
        <v>373012</v>
      </c>
      <c r="AV406" s="6">
        <v>7475</v>
      </c>
      <c r="AX406" s="6">
        <v>0</v>
      </c>
      <c r="AZ406" s="6">
        <f t="shared" si="71"/>
        <v>29355704</v>
      </c>
      <c r="BB406" s="6">
        <v>8225</v>
      </c>
      <c r="BD406" s="6">
        <v>0</v>
      </c>
      <c r="BF406" s="6">
        <v>0</v>
      </c>
      <c r="BH406" s="6">
        <v>0</v>
      </c>
      <c r="BJ406" s="6">
        <f t="shared" si="72"/>
        <v>29363929</v>
      </c>
      <c r="BL406" s="6">
        <f>+'Gen Fd Rev'!AK406-'Gen Fd Exp'!BJ406</f>
        <v>-2281484</v>
      </c>
      <c r="BN406" s="6">
        <v>6603822</v>
      </c>
      <c r="BP406" s="6">
        <v>0</v>
      </c>
      <c r="BR406" s="6">
        <v>0</v>
      </c>
      <c r="BT406" s="6">
        <f t="shared" si="73"/>
        <v>4322338</v>
      </c>
      <c r="BV406" s="7">
        <f>+BT406-'Gen Fd BS'!AC406+BR406</f>
        <v>0</v>
      </c>
    </row>
    <row r="407" spans="1:74" hidden="1">
      <c r="A407" s="11" t="s">
        <v>815</v>
      </c>
      <c r="B407" s="11"/>
      <c r="C407" s="11" t="s">
        <v>22</v>
      </c>
      <c r="AJ407" s="11" t="s">
        <v>815</v>
      </c>
      <c r="AK407" s="11"/>
      <c r="AL407" s="11" t="s">
        <v>22</v>
      </c>
      <c r="AX407" s="6">
        <v>0</v>
      </c>
      <c r="AZ407" s="6">
        <f t="shared" ref="AZ407:AZ456" si="74">SUM(E407:AX407)</f>
        <v>0</v>
      </c>
      <c r="BB407" s="6">
        <v>0</v>
      </c>
      <c r="BD407" s="6">
        <v>0</v>
      </c>
      <c r="BF407" s="6">
        <v>0</v>
      </c>
      <c r="BH407" s="6">
        <v>0</v>
      </c>
      <c r="BJ407" s="6">
        <f t="shared" ref="BJ407:BJ438" si="75">+AZ407+BB407+BD407+BH407</f>
        <v>0</v>
      </c>
      <c r="BL407" s="6">
        <f>+'Gen Fd Rev'!AK407-'Gen Fd Exp'!BJ407</f>
        <v>0</v>
      </c>
      <c r="BP407" s="6">
        <v>0</v>
      </c>
      <c r="BR407" s="6">
        <v>0</v>
      </c>
      <c r="BT407" s="6">
        <f t="shared" si="73"/>
        <v>0</v>
      </c>
      <c r="BV407" s="7">
        <f>+BT407-'Gen Fd BS'!AC407+BR407</f>
        <v>0</v>
      </c>
    </row>
    <row r="408" spans="1:74" hidden="1">
      <c r="A408" s="11" t="s">
        <v>816</v>
      </c>
      <c r="B408" s="11"/>
      <c r="C408" s="11" t="s">
        <v>451</v>
      </c>
      <c r="AJ408" s="11" t="s">
        <v>816</v>
      </c>
      <c r="AK408" s="11"/>
      <c r="AL408" s="11" t="s">
        <v>451</v>
      </c>
      <c r="AX408" s="6">
        <v>0</v>
      </c>
      <c r="AZ408" s="6">
        <f t="shared" si="74"/>
        <v>0</v>
      </c>
      <c r="BB408" s="6">
        <v>0</v>
      </c>
      <c r="BD408" s="6">
        <v>0</v>
      </c>
      <c r="BF408" s="6">
        <v>0</v>
      </c>
      <c r="BH408" s="6">
        <v>0</v>
      </c>
      <c r="BJ408" s="6">
        <f t="shared" ref="BJ408" si="76">+AZ408+BB408+BD408+BH408</f>
        <v>0</v>
      </c>
      <c r="BL408" s="6">
        <f>+'Gen Fd Rev'!AK408-'Gen Fd Exp'!BJ408</f>
        <v>0</v>
      </c>
      <c r="BP408" s="6">
        <v>0</v>
      </c>
      <c r="BR408" s="6">
        <v>0</v>
      </c>
      <c r="BT408" s="6">
        <f t="shared" si="73"/>
        <v>0</v>
      </c>
      <c r="BV408" s="7">
        <f>+BT408-'Gen Fd BS'!AC408+BR408</f>
        <v>0</v>
      </c>
    </row>
    <row r="409" spans="1:74">
      <c r="A409" s="11" t="s">
        <v>434</v>
      </c>
      <c r="B409" s="11"/>
      <c r="C409" s="11" t="s">
        <v>50</v>
      </c>
      <c r="D409" s="9"/>
      <c r="E409" s="6">
        <v>21940497</v>
      </c>
      <c r="G409" s="6">
        <v>8474510</v>
      </c>
      <c r="I409" s="6">
        <v>173596</v>
      </c>
      <c r="K409" s="6">
        <v>0</v>
      </c>
      <c r="M409" s="6">
        <v>10380</v>
      </c>
      <c r="O409" s="6">
        <v>3649279</v>
      </c>
      <c r="Q409" s="6">
        <v>486791</v>
      </c>
      <c r="S409" s="6">
        <v>0</v>
      </c>
      <c r="U409" s="6">
        <f>62112+3227940</f>
        <v>3290052</v>
      </c>
      <c r="W409" s="6">
        <v>974058</v>
      </c>
      <c r="Y409" s="6">
        <v>433103</v>
      </c>
      <c r="AA409" s="6">
        <v>3705753</v>
      </c>
      <c r="AC409" s="6">
        <v>2536974</v>
      </c>
      <c r="AE409" s="6">
        <v>349647</v>
      </c>
      <c r="AG409" s="6">
        <v>0</v>
      </c>
      <c r="AI409" s="6">
        <v>254375</v>
      </c>
      <c r="AJ409" s="11" t="s">
        <v>434</v>
      </c>
      <c r="AK409" s="11"/>
      <c r="AL409" s="11" t="s">
        <v>50</v>
      </c>
      <c r="AN409" s="6">
        <v>874895</v>
      </c>
      <c r="AP409" s="6">
        <v>326557</v>
      </c>
      <c r="AT409" s="6">
        <v>93884</v>
      </c>
      <c r="AV409" s="6">
        <v>58534</v>
      </c>
      <c r="AX409" s="6">
        <v>0</v>
      </c>
      <c r="AZ409" s="6">
        <f t="shared" si="74"/>
        <v>47632885</v>
      </c>
      <c r="BB409" s="6">
        <v>3500</v>
      </c>
      <c r="BD409" s="6">
        <v>0</v>
      </c>
      <c r="BF409" s="6">
        <v>0</v>
      </c>
      <c r="BH409" s="6">
        <v>0</v>
      </c>
      <c r="BJ409" s="6">
        <f t="shared" si="75"/>
        <v>47636385</v>
      </c>
      <c r="BL409" s="6">
        <f>+'Gen Fd Rev'!AK409-'Gen Fd Exp'!BJ409</f>
        <v>1607723</v>
      </c>
      <c r="BN409" s="6">
        <v>4951269</v>
      </c>
      <c r="BP409" s="6">
        <v>0</v>
      </c>
      <c r="BR409" s="6">
        <v>0</v>
      </c>
      <c r="BT409" s="6">
        <f t="shared" si="73"/>
        <v>6558992</v>
      </c>
      <c r="BV409" s="7">
        <f>+BT409-'Gen Fd BS'!AC409+BR409</f>
        <v>0</v>
      </c>
    </row>
    <row r="410" spans="1:74">
      <c r="A410" s="11" t="s">
        <v>442</v>
      </c>
      <c r="B410" s="11"/>
      <c r="C410" s="11" t="s">
        <v>78</v>
      </c>
      <c r="E410" s="6">
        <v>4388507</v>
      </c>
      <c r="G410" s="6">
        <v>760368</v>
      </c>
      <c r="I410" s="6">
        <v>156052</v>
      </c>
      <c r="K410" s="6">
        <v>0</v>
      </c>
      <c r="M410" s="6">
        <v>950537</v>
      </c>
      <c r="O410" s="6">
        <v>261900</v>
      </c>
      <c r="Q410" s="6">
        <v>714763</v>
      </c>
      <c r="S410" s="6">
        <v>16721</v>
      </c>
      <c r="U410" s="6">
        <v>1045964</v>
      </c>
      <c r="W410" s="6">
        <v>432114</v>
      </c>
      <c r="Y410" s="6">
        <v>0</v>
      </c>
      <c r="AA410" s="6">
        <v>876806</v>
      </c>
      <c r="AC410" s="6">
        <v>756266</v>
      </c>
      <c r="AE410" s="6">
        <v>495</v>
      </c>
      <c r="AG410" s="6">
        <v>0</v>
      </c>
      <c r="AI410" s="6">
        <v>0</v>
      </c>
      <c r="AJ410" s="11" t="s">
        <v>442</v>
      </c>
      <c r="AK410" s="11"/>
      <c r="AL410" s="11" t="s">
        <v>78</v>
      </c>
      <c r="AN410" s="6">
        <v>250022</v>
      </c>
      <c r="AP410" s="6">
        <v>9099</v>
      </c>
      <c r="AT410" s="6">
        <v>0</v>
      </c>
      <c r="AV410" s="6">
        <v>0</v>
      </c>
      <c r="AX410" s="6">
        <v>0</v>
      </c>
      <c r="AZ410" s="6">
        <f t="shared" si="74"/>
        <v>10619614</v>
      </c>
      <c r="BB410" s="6">
        <v>0</v>
      </c>
      <c r="BD410" s="6">
        <v>0</v>
      </c>
      <c r="BF410" s="6">
        <v>0</v>
      </c>
      <c r="BH410" s="6">
        <v>0</v>
      </c>
      <c r="BJ410" s="6">
        <f t="shared" si="75"/>
        <v>10619614</v>
      </c>
      <c r="BL410" s="6">
        <f>+'Gen Fd Rev'!AK410-'Gen Fd Exp'!BJ410</f>
        <v>94892</v>
      </c>
      <c r="BN410" s="6">
        <v>5310</v>
      </c>
      <c r="BP410" s="6">
        <v>0</v>
      </c>
      <c r="BR410" s="6">
        <v>0</v>
      </c>
      <c r="BT410" s="6">
        <f t="shared" si="73"/>
        <v>100202</v>
      </c>
      <c r="BV410" s="7">
        <f>+BT410-'Gen Fd BS'!AC410+BR410</f>
        <v>0</v>
      </c>
    </row>
    <row r="411" spans="1:74">
      <c r="A411" s="11" t="s">
        <v>378</v>
      </c>
      <c r="B411" s="11"/>
      <c r="C411" s="11" t="s">
        <v>42</v>
      </c>
      <c r="E411" s="6">
        <v>5026178</v>
      </c>
      <c r="G411" s="6">
        <v>720755</v>
      </c>
      <c r="I411" s="6">
        <v>25983</v>
      </c>
      <c r="K411" s="6">
        <v>0</v>
      </c>
      <c r="M411" s="6">
        <v>10241</v>
      </c>
      <c r="O411" s="6">
        <v>316921</v>
      </c>
      <c r="Q411" s="6">
        <v>461371</v>
      </c>
      <c r="S411" s="6">
        <v>48900</v>
      </c>
      <c r="U411" s="6">
        <v>833099</v>
      </c>
      <c r="W411" s="6">
        <v>385318</v>
      </c>
      <c r="Y411" s="6">
        <v>0</v>
      </c>
      <c r="AA411" s="6">
        <v>905551</v>
      </c>
      <c r="AC411" s="6">
        <v>1588971</v>
      </c>
      <c r="AE411" s="6">
        <v>111745</v>
      </c>
      <c r="AG411" s="6">
        <v>0</v>
      </c>
      <c r="AI411" s="6">
        <v>0</v>
      </c>
      <c r="AJ411" s="11" t="s">
        <v>378</v>
      </c>
      <c r="AK411" s="11"/>
      <c r="AL411" s="11" t="s">
        <v>42</v>
      </c>
      <c r="AN411" s="6">
        <v>128753</v>
      </c>
      <c r="AP411" s="6">
        <v>485000</v>
      </c>
      <c r="AT411" s="6">
        <v>32590</v>
      </c>
      <c r="AV411" s="6">
        <v>8307</v>
      </c>
      <c r="AX411" s="6">
        <v>0</v>
      </c>
      <c r="AZ411" s="6">
        <f t="shared" si="74"/>
        <v>11089683</v>
      </c>
      <c r="BB411" s="6">
        <v>644</v>
      </c>
      <c r="BD411" s="6">
        <v>0</v>
      </c>
      <c r="BF411" s="6">
        <v>0</v>
      </c>
      <c r="BH411" s="6">
        <v>0</v>
      </c>
      <c r="BJ411" s="6">
        <f t="shared" si="75"/>
        <v>11090327</v>
      </c>
      <c r="BL411" s="6">
        <f>+'Gen Fd Rev'!AK411-'Gen Fd Exp'!BJ411</f>
        <v>988419</v>
      </c>
      <c r="BN411" s="6">
        <v>4808557</v>
      </c>
      <c r="BP411" s="6">
        <v>0</v>
      </c>
      <c r="BR411" s="6">
        <v>0</v>
      </c>
      <c r="BT411" s="6">
        <f t="shared" si="73"/>
        <v>5796976</v>
      </c>
      <c r="BV411" s="7">
        <f>+BT411-'Gen Fd BS'!AC411+BR411</f>
        <v>0</v>
      </c>
    </row>
    <row r="412" spans="1:74">
      <c r="A412" s="11" t="s">
        <v>378</v>
      </c>
      <c r="B412" s="11"/>
      <c r="C412" s="11" t="s">
        <v>50</v>
      </c>
      <c r="E412" s="6">
        <v>9568796</v>
      </c>
      <c r="G412" s="6">
        <v>1484334</v>
      </c>
      <c r="I412" s="6">
        <v>125634</v>
      </c>
      <c r="K412" s="6">
        <v>0</v>
      </c>
      <c r="M412" s="6">
        <v>11592</v>
      </c>
      <c r="O412" s="6">
        <v>1574949</v>
      </c>
      <c r="Q412" s="6">
        <v>363922</v>
      </c>
      <c r="S412" s="6">
        <v>35732</v>
      </c>
      <c r="U412" s="6">
        <v>2139593</v>
      </c>
      <c r="W412" s="6">
        <v>409524</v>
      </c>
      <c r="Y412" s="6">
        <v>304495</v>
      </c>
      <c r="AA412" s="6">
        <v>1895971</v>
      </c>
      <c r="AC412" s="6">
        <v>889781</v>
      </c>
      <c r="AE412" s="6">
        <v>42694</v>
      </c>
      <c r="AG412" s="6">
        <v>0</v>
      </c>
      <c r="AI412" s="6">
        <v>17482</v>
      </c>
      <c r="AJ412" s="11" t="s">
        <v>378</v>
      </c>
      <c r="AK412" s="11"/>
      <c r="AL412" s="11" t="s">
        <v>50</v>
      </c>
      <c r="AN412" s="6">
        <v>388857</v>
      </c>
      <c r="AP412" s="6">
        <v>0</v>
      </c>
      <c r="AT412" s="6">
        <v>120000</v>
      </c>
      <c r="AV412" s="6">
        <v>32550</v>
      </c>
      <c r="AX412" s="6">
        <v>0</v>
      </c>
      <c r="AZ412" s="6">
        <f t="shared" si="74"/>
        <v>19405906</v>
      </c>
      <c r="BB412" s="6">
        <v>0</v>
      </c>
      <c r="BD412" s="6">
        <v>0</v>
      </c>
      <c r="BF412" s="6">
        <v>0</v>
      </c>
      <c r="BH412" s="6">
        <v>0</v>
      </c>
      <c r="BJ412" s="6">
        <f t="shared" si="75"/>
        <v>19405906</v>
      </c>
      <c r="BL412" s="6">
        <f>+'Gen Fd Rev'!AK412-'Gen Fd Exp'!BJ412</f>
        <v>169799</v>
      </c>
      <c r="BN412" s="6">
        <v>6789744</v>
      </c>
      <c r="BP412" s="6">
        <v>0</v>
      </c>
      <c r="BR412" s="6">
        <v>0</v>
      </c>
      <c r="BT412" s="6">
        <f t="shared" si="73"/>
        <v>6959543</v>
      </c>
      <c r="BV412" s="7">
        <f>+BT412-'Gen Fd BS'!AC412+BR412</f>
        <v>0</v>
      </c>
    </row>
    <row r="413" spans="1:74">
      <c r="A413" s="11" t="s">
        <v>327</v>
      </c>
      <c r="B413" s="11"/>
      <c r="C413" s="11" t="s">
        <v>32</v>
      </c>
      <c r="E413" s="6">
        <v>35381931</v>
      </c>
      <c r="G413" s="6">
        <v>8927361</v>
      </c>
      <c r="I413" s="6">
        <v>52147</v>
      </c>
      <c r="K413" s="6">
        <v>0</v>
      </c>
      <c r="M413" s="6">
        <f>94586+553482</f>
        <v>648068</v>
      </c>
      <c r="O413" s="6">
        <v>5135944</v>
      </c>
      <c r="Q413" s="6">
        <v>5694444</v>
      </c>
      <c r="S413" s="6">
        <v>173499</v>
      </c>
      <c r="U413" s="6">
        <v>4996946</v>
      </c>
      <c r="W413" s="6">
        <v>1897217</v>
      </c>
      <c r="Y413" s="6">
        <v>448021</v>
      </c>
      <c r="AA413" s="6">
        <v>6333034</v>
      </c>
      <c r="AC413" s="6">
        <v>4621898</v>
      </c>
      <c r="AE413" s="6">
        <v>1593639</v>
      </c>
      <c r="AG413" s="6">
        <v>0</v>
      </c>
      <c r="AI413" s="6">
        <v>140220</v>
      </c>
      <c r="AJ413" s="11" t="s">
        <v>327</v>
      </c>
      <c r="AK413" s="11"/>
      <c r="AL413" s="11" t="s">
        <v>32</v>
      </c>
      <c r="AN413" s="6">
        <v>1363131</v>
      </c>
      <c r="AP413" s="6">
        <v>0</v>
      </c>
      <c r="AT413" s="6">
        <v>0</v>
      </c>
      <c r="AV413" s="6">
        <v>0</v>
      </c>
      <c r="AX413" s="6">
        <v>0</v>
      </c>
      <c r="AZ413" s="6">
        <f t="shared" si="74"/>
        <v>77407500</v>
      </c>
      <c r="BB413" s="6">
        <v>100000</v>
      </c>
      <c r="BD413" s="6">
        <v>0</v>
      </c>
      <c r="BF413" s="6">
        <v>0</v>
      </c>
      <c r="BH413" s="6">
        <v>0</v>
      </c>
      <c r="BJ413" s="6">
        <f t="shared" si="75"/>
        <v>77507500</v>
      </c>
      <c r="BL413" s="6">
        <f>+'Gen Fd Rev'!AK413-'Gen Fd Exp'!BJ413</f>
        <v>1607372</v>
      </c>
      <c r="BN413" s="6">
        <v>25218431</v>
      </c>
      <c r="BP413" s="6">
        <v>0</v>
      </c>
      <c r="BR413" s="6">
        <v>0</v>
      </c>
      <c r="BT413" s="6">
        <f t="shared" si="73"/>
        <v>26825803</v>
      </c>
      <c r="BV413" s="7">
        <f>+BT413-'Gen Fd BS'!AC413+BR413</f>
        <v>0</v>
      </c>
    </row>
    <row r="414" spans="1:74">
      <c r="A414" s="11" t="s">
        <v>597</v>
      </c>
      <c r="B414" s="11"/>
      <c r="C414" s="11" t="s">
        <v>59</v>
      </c>
      <c r="E414" s="6">
        <v>6420699</v>
      </c>
      <c r="G414" s="6">
        <v>1346583</v>
      </c>
      <c r="I414" s="6">
        <v>84266</v>
      </c>
      <c r="K414" s="6">
        <v>0</v>
      </c>
      <c r="M414" s="6">
        <v>637784</v>
      </c>
      <c r="O414" s="6">
        <v>547883</v>
      </c>
      <c r="Q414" s="6">
        <v>692345</v>
      </c>
      <c r="S414" s="6">
        <v>27020</v>
      </c>
      <c r="U414" s="6">
        <v>1227584</v>
      </c>
      <c r="W414" s="6">
        <v>280926</v>
      </c>
      <c r="Y414" s="6">
        <v>0</v>
      </c>
      <c r="AA414" s="6">
        <v>1614456</v>
      </c>
      <c r="AC414" s="6">
        <v>1783063</v>
      </c>
      <c r="AE414" s="6">
        <v>2428</v>
      </c>
      <c r="AG414" s="6">
        <v>0</v>
      </c>
      <c r="AI414" s="6">
        <v>0</v>
      </c>
      <c r="AJ414" s="11" t="s">
        <v>597</v>
      </c>
      <c r="AK414" s="11"/>
      <c r="AL414" s="11" t="s">
        <v>59</v>
      </c>
      <c r="AN414" s="6">
        <v>192563</v>
      </c>
      <c r="AP414" s="6">
        <v>198619</v>
      </c>
      <c r="AT414" s="6">
        <v>207000</v>
      </c>
      <c r="AV414" s="6">
        <v>85913</v>
      </c>
      <c r="AX414" s="6">
        <v>0</v>
      </c>
      <c r="AZ414" s="6">
        <f t="shared" si="74"/>
        <v>15349132</v>
      </c>
      <c r="BB414" s="6">
        <v>89500</v>
      </c>
      <c r="BD414" s="6">
        <v>0</v>
      </c>
      <c r="BF414" s="6">
        <v>0</v>
      </c>
      <c r="BH414" s="6">
        <v>0</v>
      </c>
      <c r="BJ414" s="6">
        <f t="shared" si="75"/>
        <v>15438632</v>
      </c>
      <c r="BL414" s="6">
        <f>+'Gen Fd Rev'!AK414-'Gen Fd Exp'!BJ414</f>
        <v>-409529</v>
      </c>
      <c r="BN414" s="6">
        <v>-231959</v>
      </c>
      <c r="BP414" s="6">
        <v>0</v>
      </c>
      <c r="BR414" s="6">
        <v>0</v>
      </c>
      <c r="BT414" s="6">
        <f t="shared" si="73"/>
        <v>-641488</v>
      </c>
      <c r="BV414" s="7">
        <f>+BT414-'Gen Fd BS'!AC414+BR414</f>
        <v>0</v>
      </c>
    </row>
    <row r="415" spans="1:74">
      <c r="A415" s="11" t="s">
        <v>327</v>
      </c>
      <c r="B415" s="11"/>
      <c r="C415" s="11" t="s">
        <v>62</v>
      </c>
      <c r="E415" s="6">
        <v>7752805</v>
      </c>
      <c r="G415" s="6">
        <v>1620899</v>
      </c>
      <c r="I415" s="6">
        <v>186614</v>
      </c>
      <c r="K415" s="6">
        <v>0</v>
      </c>
      <c r="M415" s="6">
        <v>150023</v>
      </c>
      <c r="O415" s="6">
        <v>481437</v>
      </c>
      <c r="Q415" s="6">
        <v>138746</v>
      </c>
      <c r="S415" s="6">
        <v>91529</v>
      </c>
      <c r="U415" s="6">
        <v>1816577</v>
      </c>
      <c r="W415" s="6">
        <v>460478</v>
      </c>
      <c r="Y415" s="6">
        <v>0</v>
      </c>
      <c r="AA415" s="6">
        <v>1852805</v>
      </c>
      <c r="AC415" s="6">
        <v>1182219</v>
      </c>
      <c r="AE415" s="6">
        <v>299871</v>
      </c>
      <c r="AG415" s="6">
        <v>0</v>
      </c>
      <c r="AI415" s="6">
        <v>0</v>
      </c>
      <c r="AJ415" s="11" t="s">
        <v>327</v>
      </c>
      <c r="AK415" s="11"/>
      <c r="AL415" s="11" t="s">
        <v>62</v>
      </c>
      <c r="AN415" s="6">
        <v>247394</v>
      </c>
      <c r="AP415" s="6">
        <v>0</v>
      </c>
      <c r="AT415" s="6">
        <v>0</v>
      </c>
      <c r="AV415" s="6">
        <v>117746</v>
      </c>
      <c r="AX415" s="6">
        <v>0</v>
      </c>
      <c r="AZ415" s="6">
        <f t="shared" si="74"/>
        <v>16399143</v>
      </c>
      <c r="BB415" s="6">
        <v>0</v>
      </c>
      <c r="BD415" s="6">
        <v>0</v>
      </c>
      <c r="BF415" s="6">
        <v>0</v>
      </c>
      <c r="BH415" s="6">
        <v>0</v>
      </c>
      <c r="BJ415" s="6">
        <f t="shared" si="75"/>
        <v>16399143</v>
      </c>
      <c r="BL415" s="6">
        <f>+'Gen Fd Rev'!AK415-'Gen Fd Exp'!BJ415</f>
        <v>1844382</v>
      </c>
      <c r="BN415" s="6">
        <v>-855880</v>
      </c>
      <c r="BP415" s="6">
        <v>903</v>
      </c>
      <c r="BR415" s="6">
        <v>0</v>
      </c>
      <c r="BT415" s="6">
        <f t="shared" si="73"/>
        <v>987599</v>
      </c>
      <c r="BV415" s="7">
        <f>+BT415-'Gen Fd BS'!AC415+BR415</f>
        <v>0</v>
      </c>
    </row>
    <row r="416" spans="1:74">
      <c r="A416" s="11" t="s">
        <v>234</v>
      </c>
      <c r="B416" s="11"/>
      <c r="C416" s="11" t="s">
        <v>17</v>
      </c>
      <c r="E416" s="6">
        <v>7692091</v>
      </c>
      <c r="G416" s="6">
        <v>1698831</v>
      </c>
      <c r="I416" s="6">
        <v>0</v>
      </c>
      <c r="K416" s="6">
        <v>0</v>
      </c>
      <c r="M416" s="6">
        <v>7062</v>
      </c>
      <c r="O416" s="6">
        <v>551772</v>
      </c>
      <c r="Q416" s="6">
        <v>635719</v>
      </c>
      <c r="S416" s="6">
        <v>65476</v>
      </c>
      <c r="U416" s="6">
        <v>1189888</v>
      </c>
      <c r="W416" s="6">
        <v>450620</v>
      </c>
      <c r="Y416" s="6">
        <v>0</v>
      </c>
      <c r="AA416" s="6">
        <v>1226348</v>
      </c>
      <c r="AC416" s="6">
        <v>1109521</v>
      </c>
      <c r="AE416" s="6">
        <v>56467</v>
      </c>
      <c r="AG416" s="6">
        <v>0</v>
      </c>
      <c r="AI416" s="6">
        <v>0</v>
      </c>
      <c r="AJ416" s="11" t="s">
        <v>234</v>
      </c>
      <c r="AK416" s="11"/>
      <c r="AL416" s="11" t="s">
        <v>17</v>
      </c>
      <c r="AN416" s="6">
        <v>324650</v>
      </c>
      <c r="AP416" s="6">
        <v>15223</v>
      </c>
      <c r="AT416" s="6">
        <v>0</v>
      </c>
      <c r="AV416" s="6">
        <v>0</v>
      </c>
      <c r="AX416" s="6">
        <v>0</v>
      </c>
      <c r="AZ416" s="6">
        <f t="shared" si="74"/>
        <v>15023668</v>
      </c>
      <c r="BB416" s="6">
        <v>1110721</v>
      </c>
      <c r="BD416" s="6">
        <v>0</v>
      </c>
      <c r="BF416" s="6">
        <v>0</v>
      </c>
      <c r="BH416" s="6">
        <v>0</v>
      </c>
      <c r="BJ416" s="6">
        <f t="shared" si="75"/>
        <v>16134389</v>
      </c>
      <c r="BL416" s="6">
        <f>+'Gen Fd Rev'!AK416-'Gen Fd Exp'!BJ416</f>
        <v>-373438</v>
      </c>
      <c r="BN416" s="6">
        <v>3333731</v>
      </c>
      <c r="BP416" s="6">
        <v>0</v>
      </c>
      <c r="BR416" s="6">
        <v>0</v>
      </c>
      <c r="BT416" s="6">
        <f t="shared" si="73"/>
        <v>2960293</v>
      </c>
      <c r="BV416" s="7">
        <f>+BT416-'Gen Fd BS'!AC416+BR416</f>
        <v>0</v>
      </c>
    </row>
    <row r="417" spans="1:74" hidden="1">
      <c r="A417" s="11" t="s">
        <v>739</v>
      </c>
      <c r="B417" s="11"/>
      <c r="C417" s="11" t="s">
        <v>71</v>
      </c>
      <c r="AJ417" s="11" t="s">
        <v>739</v>
      </c>
      <c r="AK417" s="11"/>
      <c r="AL417" s="11" t="s">
        <v>71</v>
      </c>
      <c r="AX417" s="6">
        <v>0</v>
      </c>
      <c r="BB417" s="6">
        <v>0</v>
      </c>
      <c r="BD417" s="6">
        <v>0</v>
      </c>
      <c r="BF417" s="6">
        <v>0</v>
      </c>
      <c r="BH417" s="6">
        <v>0</v>
      </c>
      <c r="BL417" s="6">
        <f>+'Gen Fd Rev'!AK417-'Gen Fd Exp'!BJ417</f>
        <v>0</v>
      </c>
      <c r="BP417" s="6">
        <v>0</v>
      </c>
      <c r="BR417" s="6">
        <v>0</v>
      </c>
      <c r="BT417" s="6">
        <f t="shared" si="73"/>
        <v>0</v>
      </c>
      <c r="BV417" s="7">
        <f>+BT417-'Gen Fd BS'!AC417+BR417</f>
        <v>0</v>
      </c>
    </row>
    <row r="418" spans="1:74" hidden="1">
      <c r="A418" s="10" t="s">
        <v>882</v>
      </c>
      <c r="B418" s="11"/>
      <c r="C418" s="11" t="s">
        <v>72</v>
      </c>
      <c r="E418" s="6">
        <v>0</v>
      </c>
      <c r="G418" s="6">
        <v>0</v>
      </c>
      <c r="I418" s="6">
        <v>0</v>
      </c>
      <c r="K418" s="6">
        <v>0</v>
      </c>
      <c r="M418" s="6">
        <v>0</v>
      </c>
      <c r="O418" s="6">
        <v>0</v>
      </c>
      <c r="Q418" s="6">
        <v>0</v>
      </c>
      <c r="S418" s="6">
        <v>0</v>
      </c>
      <c r="U418" s="6">
        <v>0</v>
      </c>
      <c r="W418" s="6">
        <v>0</v>
      </c>
      <c r="Y418" s="6">
        <v>0</v>
      </c>
      <c r="AA418" s="6">
        <v>0</v>
      </c>
      <c r="AC418" s="6">
        <v>0</v>
      </c>
      <c r="AE418" s="6">
        <v>0</v>
      </c>
      <c r="AG418" s="6">
        <v>0</v>
      </c>
      <c r="AI418" s="6">
        <v>0</v>
      </c>
      <c r="AJ418" s="10" t="s">
        <v>882</v>
      </c>
      <c r="AK418" s="11"/>
      <c r="AL418" s="11" t="s">
        <v>72</v>
      </c>
      <c r="AN418" s="6">
        <v>0</v>
      </c>
      <c r="AP418" s="6">
        <v>0</v>
      </c>
      <c r="AT418" s="6">
        <v>0</v>
      </c>
      <c r="AV418" s="6">
        <v>0</v>
      </c>
      <c r="AX418" s="6">
        <v>0</v>
      </c>
      <c r="AZ418" s="6">
        <f t="shared" si="74"/>
        <v>0</v>
      </c>
      <c r="BB418" s="6">
        <v>0</v>
      </c>
      <c r="BD418" s="6">
        <v>0</v>
      </c>
      <c r="BF418" s="6">
        <v>0</v>
      </c>
      <c r="BH418" s="6">
        <v>0</v>
      </c>
      <c r="BJ418" s="6">
        <f t="shared" si="75"/>
        <v>0</v>
      </c>
      <c r="BL418" s="6">
        <f>+'Gen Fd Rev'!AK418-'Gen Fd Exp'!BJ418</f>
        <v>0</v>
      </c>
      <c r="BP418" s="6">
        <v>0</v>
      </c>
      <c r="BR418" s="6">
        <v>0</v>
      </c>
      <c r="BT418" s="6">
        <f t="shared" si="73"/>
        <v>0</v>
      </c>
      <c r="BV418" s="7">
        <f>+BT418-'Gen Fd BS'!AC418+BR418</f>
        <v>0</v>
      </c>
    </row>
    <row r="419" spans="1:74">
      <c r="A419" s="11" t="s">
        <v>512</v>
      </c>
      <c r="B419" s="11"/>
      <c r="C419" s="11" t="s">
        <v>63</v>
      </c>
      <c r="E419" s="6">
        <v>9889391</v>
      </c>
      <c r="G419" s="6">
        <v>1711201</v>
      </c>
      <c r="I419" s="6">
        <v>633464</v>
      </c>
      <c r="K419" s="6">
        <v>5485</v>
      </c>
      <c r="M419" s="6">
        <v>403966</v>
      </c>
      <c r="O419" s="6">
        <v>622827</v>
      </c>
      <c r="Q419" s="6">
        <v>924951</v>
      </c>
      <c r="S419" s="6">
        <v>43483</v>
      </c>
      <c r="U419" s="6">
        <v>1503445</v>
      </c>
      <c r="W419" s="6">
        <v>553084</v>
      </c>
      <c r="Y419" s="6">
        <v>196883</v>
      </c>
      <c r="AA419" s="6">
        <v>1716653</v>
      </c>
      <c r="AC419" s="6">
        <v>1472221</v>
      </c>
      <c r="AE419" s="6">
        <v>113053</v>
      </c>
      <c r="AG419" s="6">
        <v>0</v>
      </c>
      <c r="AI419" s="6">
        <v>0</v>
      </c>
      <c r="AJ419" s="11" t="s">
        <v>512</v>
      </c>
      <c r="AK419" s="11"/>
      <c r="AL419" s="11" t="s">
        <v>63</v>
      </c>
      <c r="AN419" s="6">
        <v>336327</v>
      </c>
      <c r="AP419" s="6">
        <v>50984</v>
      </c>
      <c r="AT419" s="6">
        <v>38489</v>
      </c>
      <c r="AV419" s="6">
        <v>2047</v>
      </c>
      <c r="AX419" s="6">
        <v>0</v>
      </c>
      <c r="AZ419" s="6">
        <f t="shared" si="74"/>
        <v>20217954</v>
      </c>
      <c r="BB419" s="6">
        <v>0</v>
      </c>
      <c r="BD419" s="6">
        <v>0</v>
      </c>
      <c r="BF419" s="6">
        <v>0</v>
      </c>
      <c r="BH419" s="6">
        <v>0</v>
      </c>
      <c r="BJ419" s="6">
        <f t="shared" si="75"/>
        <v>20217954</v>
      </c>
      <c r="BL419" s="6">
        <f>+'Gen Fd Rev'!AK419-'Gen Fd Exp'!BJ419</f>
        <v>-282086</v>
      </c>
      <c r="BN419" s="6">
        <v>3506687</v>
      </c>
      <c r="BP419" s="6">
        <v>0</v>
      </c>
      <c r="BR419" s="6">
        <v>0</v>
      </c>
      <c r="BT419" s="6">
        <f t="shared" si="73"/>
        <v>3224601</v>
      </c>
      <c r="BV419" s="7">
        <f>+BT419-'Gen Fd BS'!AC419+BR419</f>
        <v>0</v>
      </c>
    </row>
    <row r="420" spans="1:74">
      <c r="A420" s="11" t="s">
        <v>358</v>
      </c>
      <c r="B420" s="11"/>
      <c r="C420" s="11" t="s">
        <v>37</v>
      </c>
      <c r="E420" s="6">
        <v>10357799</v>
      </c>
      <c r="G420" s="6">
        <v>2233213</v>
      </c>
      <c r="I420" s="6">
        <v>87647</v>
      </c>
      <c r="K420" s="6">
        <v>21670</v>
      </c>
      <c r="M420" s="6">
        <v>1527712</v>
      </c>
      <c r="O420" s="6">
        <v>976691</v>
      </c>
      <c r="Q420" s="6">
        <v>1711820</v>
      </c>
      <c r="S420" s="6">
        <v>45652</v>
      </c>
      <c r="U420" s="6">
        <v>1879226</v>
      </c>
      <c r="W420" s="6">
        <v>519987</v>
      </c>
      <c r="Y420" s="6">
        <v>76101</v>
      </c>
      <c r="AA420" s="6">
        <v>2355970</v>
      </c>
      <c r="AC420" s="6">
        <v>729422</v>
      </c>
      <c r="AE420" s="6">
        <v>65642</v>
      </c>
      <c r="AG420" s="6">
        <v>0</v>
      </c>
      <c r="AI420" s="6">
        <v>26612</v>
      </c>
      <c r="AJ420" s="11" t="s">
        <v>358</v>
      </c>
      <c r="AK420" s="11"/>
      <c r="AL420" s="11" t="s">
        <v>37</v>
      </c>
      <c r="AN420" s="6">
        <v>464588</v>
      </c>
      <c r="AP420" s="6">
        <v>52284</v>
      </c>
      <c r="AT420" s="6">
        <v>0</v>
      </c>
      <c r="AV420" s="6">
        <v>0</v>
      </c>
      <c r="AX420" s="6">
        <v>0</v>
      </c>
      <c r="AZ420" s="6">
        <f t="shared" si="74"/>
        <v>23132036</v>
      </c>
      <c r="BB420" s="6">
        <v>85000</v>
      </c>
      <c r="BD420" s="6">
        <v>0</v>
      </c>
      <c r="BF420" s="6">
        <v>0</v>
      </c>
      <c r="BH420" s="6">
        <v>0</v>
      </c>
      <c r="BJ420" s="6">
        <f t="shared" si="75"/>
        <v>23217036</v>
      </c>
      <c r="BL420" s="6">
        <f>+'Gen Fd Rev'!AK420-'Gen Fd Exp'!BJ420</f>
        <v>-1381955</v>
      </c>
      <c r="BN420" s="6">
        <v>8916013</v>
      </c>
      <c r="BP420" s="6">
        <v>0</v>
      </c>
      <c r="BR420" s="6">
        <v>0</v>
      </c>
      <c r="BT420" s="6">
        <f t="shared" si="73"/>
        <v>7534058</v>
      </c>
      <c r="BV420" s="7">
        <f>+BT420-'Gen Fd BS'!AC420+BR420</f>
        <v>0</v>
      </c>
    </row>
    <row r="421" spans="1:74" hidden="1">
      <c r="A421" s="11" t="s">
        <v>817</v>
      </c>
      <c r="B421" s="11"/>
      <c r="C421" s="11" t="s">
        <v>71</v>
      </c>
      <c r="AJ421" s="11" t="s">
        <v>817</v>
      </c>
      <c r="AK421" s="11"/>
      <c r="AL421" s="11" t="s">
        <v>71</v>
      </c>
      <c r="AX421" s="6">
        <v>0</v>
      </c>
      <c r="AZ421" s="6">
        <f t="shared" ref="AZ421" si="77">SUM(E421:AX421)</f>
        <v>0</v>
      </c>
      <c r="BB421" s="6">
        <v>0</v>
      </c>
      <c r="BD421" s="6">
        <v>0</v>
      </c>
      <c r="BF421" s="6">
        <v>0</v>
      </c>
      <c r="BH421" s="6">
        <v>0</v>
      </c>
      <c r="BJ421" s="6">
        <f t="shared" ref="BJ421" si="78">+AZ421+BB421+BD421+BH421</f>
        <v>0</v>
      </c>
      <c r="BL421" s="6">
        <f>+'Gen Fd Rev'!AK421-'Gen Fd Exp'!BJ421</f>
        <v>0</v>
      </c>
      <c r="BP421" s="6">
        <v>0</v>
      </c>
      <c r="BR421" s="6">
        <v>0</v>
      </c>
      <c r="BT421" s="6">
        <f t="shared" ref="BT421" si="79">+BN421+BL421-BP421</f>
        <v>0</v>
      </c>
      <c r="BV421" s="7">
        <f>+BT421-'Gen Fd BS'!AC421+BR421</f>
        <v>0</v>
      </c>
    </row>
    <row r="422" spans="1:74">
      <c r="A422" s="11" t="s">
        <v>631</v>
      </c>
      <c r="B422" s="11"/>
      <c r="C422" s="11" t="s">
        <v>32</v>
      </c>
      <c r="E422" s="6">
        <v>10660099</v>
      </c>
      <c r="G422" s="6">
        <v>2411615</v>
      </c>
      <c r="I422" s="6">
        <v>0</v>
      </c>
      <c r="K422" s="6">
        <v>0</v>
      </c>
      <c r="M422" s="6">
        <v>1046516</v>
      </c>
      <c r="O422" s="6">
        <v>1356939</v>
      </c>
      <c r="Q422" s="6">
        <v>1419829</v>
      </c>
      <c r="S422" s="6">
        <v>0</v>
      </c>
      <c r="U422" s="6">
        <f>26753+1554272</f>
        <v>1581025</v>
      </c>
      <c r="W422" s="6">
        <v>611708</v>
      </c>
      <c r="Y422" s="6">
        <v>25667</v>
      </c>
      <c r="AA422" s="6">
        <v>2097208</v>
      </c>
      <c r="AC422" s="6">
        <v>452896</v>
      </c>
      <c r="AE422" s="6">
        <v>263513</v>
      </c>
      <c r="AG422" s="6">
        <v>0</v>
      </c>
      <c r="AI422" s="6">
        <v>1181779</v>
      </c>
      <c r="AJ422" s="11" t="s">
        <v>631</v>
      </c>
      <c r="AK422" s="11"/>
      <c r="AL422" s="11" t="s">
        <v>32</v>
      </c>
      <c r="AN422" s="6">
        <v>401057</v>
      </c>
      <c r="AP422" s="6">
        <v>13387</v>
      </c>
      <c r="AT422" s="6">
        <v>235700</v>
      </c>
      <c r="AV422" s="6">
        <v>239258</v>
      </c>
      <c r="AX422" s="6">
        <v>0</v>
      </c>
      <c r="AZ422" s="6">
        <f t="shared" si="74"/>
        <v>23998196</v>
      </c>
      <c r="BB422" s="6">
        <v>1016333</v>
      </c>
      <c r="BD422" s="6">
        <v>0</v>
      </c>
      <c r="BF422" s="6">
        <v>0</v>
      </c>
      <c r="BH422" s="6">
        <v>0</v>
      </c>
      <c r="BJ422" s="6">
        <f t="shared" si="75"/>
        <v>25014529</v>
      </c>
      <c r="BL422" s="6">
        <f>+'Gen Fd Rev'!AK422-'Gen Fd Exp'!BJ422</f>
        <v>1553675</v>
      </c>
      <c r="BN422" s="6">
        <v>5545460</v>
      </c>
      <c r="BP422" s="6">
        <v>0</v>
      </c>
      <c r="BR422" s="6">
        <v>0</v>
      </c>
      <c r="BT422" s="6">
        <f t="shared" si="73"/>
        <v>7099135</v>
      </c>
      <c r="BV422" s="7">
        <f>+BT422-'Gen Fd BS'!AC422+BR422</f>
        <v>0</v>
      </c>
    </row>
    <row r="423" spans="1:74" hidden="1">
      <c r="A423" s="11" t="s">
        <v>738</v>
      </c>
      <c r="B423" s="11"/>
      <c r="C423" s="11" t="s">
        <v>38</v>
      </c>
      <c r="AJ423" s="11" t="s">
        <v>738</v>
      </c>
      <c r="AK423" s="11"/>
      <c r="AL423" s="11" t="s">
        <v>38</v>
      </c>
      <c r="AX423" s="6">
        <v>0</v>
      </c>
      <c r="BB423" s="6">
        <v>0</v>
      </c>
      <c r="BD423" s="6">
        <v>0</v>
      </c>
      <c r="BF423" s="6">
        <v>0</v>
      </c>
      <c r="BH423" s="6">
        <v>0</v>
      </c>
      <c r="BL423" s="6">
        <f>+'Gen Fd Rev'!AK423-'Gen Fd Exp'!BJ423</f>
        <v>0</v>
      </c>
      <c r="BP423" s="6">
        <v>0</v>
      </c>
      <c r="BR423" s="6">
        <v>0</v>
      </c>
      <c r="BT423" s="6">
        <f t="shared" si="73"/>
        <v>0</v>
      </c>
      <c r="BV423" s="7">
        <f>+BT423-'Gen Fd BS'!AC423+BR423</f>
        <v>0</v>
      </c>
    </row>
    <row r="424" spans="1:74">
      <c r="A424" s="11" t="s">
        <v>328</v>
      </c>
      <c r="B424" s="11"/>
      <c r="C424" s="11" t="s">
        <v>32</v>
      </c>
      <c r="E424" s="6">
        <v>29943681</v>
      </c>
      <c r="G424" s="6">
        <v>7573352</v>
      </c>
      <c r="I424" s="6">
        <v>149</v>
      </c>
      <c r="K424" s="6">
        <v>0</v>
      </c>
      <c r="M424" s="6">
        <v>232155</v>
      </c>
      <c r="O424" s="6">
        <v>4834507</v>
      </c>
      <c r="Q424" s="6">
        <v>3498700</v>
      </c>
      <c r="S424" s="6">
        <v>0</v>
      </c>
      <c r="U424" s="6">
        <f>98442+4967307</f>
        <v>5065749</v>
      </c>
      <c r="W424" s="6">
        <v>1121844</v>
      </c>
      <c r="Y424" s="6">
        <v>353546</v>
      </c>
      <c r="AA424" s="6">
        <v>5215155</v>
      </c>
      <c r="AC424" s="6">
        <v>2391653</v>
      </c>
      <c r="AE424" s="6">
        <v>489965</v>
      </c>
      <c r="AG424" s="6">
        <v>0</v>
      </c>
      <c r="AI424" s="6">
        <v>117302</v>
      </c>
      <c r="AJ424" s="11" t="s">
        <v>328</v>
      </c>
      <c r="AK424" s="11"/>
      <c r="AL424" s="11" t="s">
        <v>32</v>
      </c>
      <c r="AN424" s="6">
        <v>999686</v>
      </c>
      <c r="AP424" s="6">
        <v>32837</v>
      </c>
      <c r="AT424" s="6">
        <v>0</v>
      </c>
      <c r="AV424" s="6">
        <v>0</v>
      </c>
      <c r="AX424" s="6">
        <v>0</v>
      </c>
      <c r="AZ424" s="6">
        <f t="shared" si="74"/>
        <v>61870281</v>
      </c>
      <c r="BB424" s="6">
        <v>371484</v>
      </c>
      <c r="BD424" s="6">
        <v>0</v>
      </c>
      <c r="BF424" s="6">
        <v>0</v>
      </c>
      <c r="BH424" s="6">
        <v>0</v>
      </c>
      <c r="BJ424" s="6">
        <f t="shared" si="75"/>
        <v>62241765</v>
      </c>
      <c r="BL424" s="6">
        <f>+'Gen Fd Rev'!AK424-'Gen Fd Exp'!BJ424</f>
        <v>-2018597</v>
      </c>
      <c r="BN424" s="6">
        <v>20783463</v>
      </c>
      <c r="BP424" s="6">
        <v>0</v>
      </c>
      <c r="BR424" s="6">
        <v>0</v>
      </c>
      <c r="BT424" s="6">
        <f t="shared" si="73"/>
        <v>18764866</v>
      </c>
      <c r="BV424" s="7">
        <f>+BT424-'Gen Fd BS'!AC424+BR424</f>
        <v>0</v>
      </c>
    </row>
    <row r="425" spans="1:74">
      <c r="A425" s="11" t="s">
        <v>435</v>
      </c>
      <c r="B425" s="11"/>
      <c r="C425" s="11" t="s">
        <v>50</v>
      </c>
      <c r="E425" s="6">
        <v>12999742</v>
      </c>
      <c r="G425" s="6">
        <v>2581607</v>
      </c>
      <c r="I425" s="6">
        <v>0</v>
      </c>
      <c r="K425" s="6">
        <v>0</v>
      </c>
      <c r="M425" s="6">
        <v>189129</v>
      </c>
      <c r="O425" s="6">
        <v>1369406</v>
      </c>
      <c r="Q425" s="6">
        <v>286710</v>
      </c>
      <c r="S425" s="6">
        <v>22431</v>
      </c>
      <c r="U425" s="6">
        <v>1882804</v>
      </c>
      <c r="W425" s="6">
        <v>744230</v>
      </c>
      <c r="Y425" s="6">
        <v>5420</v>
      </c>
      <c r="AA425" s="6">
        <v>2209325</v>
      </c>
      <c r="AC425" s="6">
        <v>240899</v>
      </c>
      <c r="AE425" s="6">
        <v>611615</v>
      </c>
      <c r="AG425" s="6">
        <v>0</v>
      </c>
      <c r="AI425" s="6">
        <v>31273</v>
      </c>
      <c r="AJ425" s="11" t="s">
        <v>435</v>
      </c>
      <c r="AK425" s="11"/>
      <c r="AL425" s="11" t="s">
        <v>50</v>
      </c>
      <c r="AN425" s="6">
        <v>802794</v>
      </c>
      <c r="AP425" s="6">
        <v>0</v>
      </c>
      <c r="AT425" s="6">
        <v>0</v>
      </c>
      <c r="AV425" s="6">
        <v>12408</v>
      </c>
      <c r="AX425" s="6">
        <v>0</v>
      </c>
      <c r="AZ425" s="6">
        <f t="shared" si="74"/>
        <v>23989793</v>
      </c>
      <c r="BB425" s="6">
        <v>350572</v>
      </c>
      <c r="BD425" s="6">
        <v>0</v>
      </c>
      <c r="BF425" s="6">
        <v>0</v>
      </c>
      <c r="BH425" s="6">
        <v>0</v>
      </c>
      <c r="BJ425" s="6">
        <f t="shared" si="75"/>
        <v>24340365</v>
      </c>
      <c r="BL425" s="6">
        <f>+'Gen Fd Rev'!AK425-'Gen Fd Exp'!BJ425</f>
        <v>-1626230</v>
      </c>
      <c r="BN425" s="6">
        <v>1437058</v>
      </c>
      <c r="BP425" s="6">
        <v>0</v>
      </c>
      <c r="BR425" s="6">
        <v>0</v>
      </c>
      <c r="BT425" s="6">
        <f t="shared" si="73"/>
        <v>-189172</v>
      </c>
      <c r="BV425" s="7">
        <f>+BT425-'Gen Fd BS'!AC425+BR425</f>
        <v>0</v>
      </c>
    </row>
    <row r="426" spans="1:74">
      <c r="A426" s="11" t="s">
        <v>389</v>
      </c>
      <c r="B426" s="11"/>
      <c r="C426" s="11" t="s">
        <v>44</v>
      </c>
      <c r="E426" s="6">
        <v>6216068</v>
      </c>
      <c r="G426" s="6">
        <v>756401</v>
      </c>
      <c r="I426" s="6">
        <v>101653</v>
      </c>
      <c r="K426" s="6">
        <v>0</v>
      </c>
      <c r="M426" s="6">
        <v>15207</v>
      </c>
      <c r="O426" s="6">
        <v>899759</v>
      </c>
      <c r="Q426" s="6">
        <v>273451</v>
      </c>
      <c r="S426" s="6">
        <v>29868</v>
      </c>
      <c r="U426" s="6">
        <v>1278983</v>
      </c>
      <c r="W426" s="6">
        <v>380356</v>
      </c>
      <c r="Y426" s="6">
        <v>43581</v>
      </c>
      <c r="AA426" s="6">
        <v>1199867</v>
      </c>
      <c r="AC426" s="6">
        <v>419489</v>
      </c>
      <c r="AE426" s="6">
        <v>47946</v>
      </c>
      <c r="AG426" s="6">
        <v>0</v>
      </c>
      <c r="AI426" s="6">
        <v>0</v>
      </c>
      <c r="AJ426" s="11" t="s">
        <v>389</v>
      </c>
      <c r="AK426" s="11"/>
      <c r="AL426" s="11" t="s">
        <v>44</v>
      </c>
      <c r="AN426" s="6">
        <v>278123</v>
      </c>
      <c r="AP426" s="6">
        <v>0</v>
      </c>
      <c r="AT426" s="6">
        <v>75841</v>
      </c>
      <c r="AV426" s="6">
        <v>22193</v>
      </c>
      <c r="AX426" s="6">
        <v>0</v>
      </c>
      <c r="AZ426" s="6">
        <f t="shared" si="74"/>
        <v>12038786</v>
      </c>
      <c r="BB426" s="6">
        <v>55978</v>
      </c>
      <c r="BD426" s="6">
        <v>0</v>
      </c>
      <c r="BF426" s="6">
        <v>0</v>
      </c>
      <c r="BH426" s="6">
        <v>0</v>
      </c>
      <c r="BJ426" s="6">
        <f t="shared" si="75"/>
        <v>12094764</v>
      </c>
      <c r="BL426" s="6">
        <f>+'Gen Fd Rev'!AK426-'Gen Fd Exp'!BJ426</f>
        <v>873985</v>
      </c>
      <c r="BN426" s="6">
        <v>294064</v>
      </c>
      <c r="BP426" s="6">
        <v>0</v>
      </c>
      <c r="BR426" s="6">
        <v>0</v>
      </c>
      <c r="BT426" s="6">
        <f t="shared" si="73"/>
        <v>1168049</v>
      </c>
      <c r="BV426" s="7">
        <f>+BT426-'Gen Fd BS'!AC426+BR426</f>
        <v>0</v>
      </c>
    </row>
    <row r="427" spans="1:74" hidden="1">
      <c r="A427" s="11" t="s">
        <v>614</v>
      </c>
      <c r="B427" s="11"/>
      <c r="C427" s="11" t="s">
        <v>60</v>
      </c>
      <c r="AJ427" s="11" t="s">
        <v>614</v>
      </c>
      <c r="AK427" s="11"/>
      <c r="AL427" s="11" t="s">
        <v>60</v>
      </c>
      <c r="AX427" s="6">
        <v>0</v>
      </c>
      <c r="AZ427" s="6">
        <f t="shared" si="74"/>
        <v>0</v>
      </c>
      <c r="BB427" s="6">
        <v>0</v>
      </c>
      <c r="BD427" s="6">
        <v>0</v>
      </c>
      <c r="BF427" s="6">
        <v>0</v>
      </c>
      <c r="BH427" s="6">
        <v>0</v>
      </c>
      <c r="BJ427" s="6">
        <f t="shared" si="75"/>
        <v>0</v>
      </c>
      <c r="BL427" s="6">
        <f>+'Gen Fd Rev'!AK427-'Gen Fd Exp'!BJ427</f>
        <v>0</v>
      </c>
      <c r="BP427" s="6">
        <v>0</v>
      </c>
      <c r="BR427" s="6">
        <v>0</v>
      </c>
      <c r="BT427" s="6">
        <f t="shared" si="73"/>
        <v>0</v>
      </c>
      <c r="BV427" s="7">
        <f>+BT427-'Gen Fd BS'!AC427+BR427</f>
        <v>0</v>
      </c>
    </row>
    <row r="428" spans="1:74">
      <c r="A428" s="11" t="s">
        <v>284</v>
      </c>
      <c r="B428" s="11"/>
      <c r="C428" s="11" t="s">
        <v>23</v>
      </c>
      <c r="E428" s="6">
        <v>79264172</v>
      </c>
      <c r="G428" s="6">
        <v>17451096</v>
      </c>
      <c r="I428" s="6">
        <v>920697</v>
      </c>
      <c r="K428" s="6">
        <v>0</v>
      </c>
      <c r="M428" s="6">
        <v>0</v>
      </c>
      <c r="O428" s="6">
        <v>6033204</v>
      </c>
      <c r="Q428" s="6">
        <v>9411215</v>
      </c>
      <c r="S428" s="6">
        <v>0</v>
      </c>
      <c r="U428" s="6">
        <f>7848694+514618</f>
        <v>8363312</v>
      </c>
      <c r="W428" s="6">
        <v>0</v>
      </c>
      <c r="Y428" s="6">
        <v>3260906</v>
      </c>
      <c r="AA428" s="6">
        <f>13366103+368639</f>
        <v>13734742</v>
      </c>
      <c r="AC428" s="6">
        <v>7323474</v>
      </c>
      <c r="AE428" s="6">
        <v>2485179</v>
      </c>
      <c r="AG428" s="6">
        <v>0</v>
      </c>
      <c r="AI428" s="6">
        <v>2901521</v>
      </c>
      <c r="AJ428" s="11" t="s">
        <v>284</v>
      </c>
      <c r="AK428" s="11"/>
      <c r="AL428" s="11" t="s">
        <v>23</v>
      </c>
      <c r="AN428" s="6">
        <v>0</v>
      </c>
      <c r="AP428" s="6">
        <v>12482</v>
      </c>
      <c r="AT428" s="6">
        <v>166142</v>
      </c>
      <c r="AV428" s="6">
        <v>38788</v>
      </c>
      <c r="AX428" s="6">
        <v>0</v>
      </c>
      <c r="AZ428" s="6">
        <f t="shared" si="74"/>
        <v>151366930</v>
      </c>
      <c r="BB428" s="6">
        <v>0</v>
      </c>
      <c r="BD428" s="6">
        <v>0</v>
      </c>
      <c r="BF428" s="6">
        <v>0</v>
      </c>
      <c r="BH428" s="6">
        <v>0</v>
      </c>
      <c r="BJ428" s="6">
        <f t="shared" si="75"/>
        <v>151366930</v>
      </c>
      <c r="BL428" s="6">
        <f>+'Gen Fd Rev'!AK428-'Gen Fd Exp'!BJ428</f>
        <v>8639193</v>
      </c>
      <c r="BN428" s="6">
        <v>28928179</v>
      </c>
      <c r="BP428" s="6">
        <v>0</v>
      </c>
      <c r="BR428" s="6">
        <v>0</v>
      </c>
      <c r="BT428" s="6">
        <f t="shared" si="73"/>
        <v>37567372</v>
      </c>
      <c r="BV428" s="7">
        <f>+BT428-'Gen Fd BS'!AC428+BR428</f>
        <v>0</v>
      </c>
    </row>
    <row r="429" spans="1:74">
      <c r="A429" s="11" t="s">
        <v>273</v>
      </c>
      <c r="B429" s="11"/>
      <c r="C429" s="11" t="s">
        <v>20</v>
      </c>
      <c r="E429" s="6">
        <v>16222861</v>
      </c>
      <c r="G429" s="6">
        <v>5585382</v>
      </c>
      <c r="I429" s="6">
        <v>317428</v>
      </c>
      <c r="K429" s="6">
        <v>0</v>
      </c>
      <c r="M429" s="6">
        <v>152257</v>
      </c>
      <c r="O429" s="6">
        <v>1756772</v>
      </c>
      <c r="Q429" s="6">
        <v>1111977</v>
      </c>
      <c r="S429" s="6">
        <v>160443</v>
      </c>
      <c r="U429" s="6">
        <v>2500885</v>
      </c>
      <c r="W429" s="6">
        <v>1144878</v>
      </c>
      <c r="Y429" s="6">
        <v>0</v>
      </c>
      <c r="AA429" s="6">
        <v>3441646</v>
      </c>
      <c r="AC429" s="6">
        <v>1676771</v>
      </c>
      <c r="AE429" s="6">
        <v>477364</v>
      </c>
      <c r="AG429" s="6">
        <v>0</v>
      </c>
      <c r="AI429" s="6">
        <v>12601</v>
      </c>
      <c r="AJ429" s="11" t="s">
        <v>273</v>
      </c>
      <c r="AK429" s="11"/>
      <c r="AL429" s="11" t="s">
        <v>20</v>
      </c>
      <c r="AN429" s="6">
        <v>878233</v>
      </c>
      <c r="AP429" s="6">
        <v>0</v>
      </c>
      <c r="AT429" s="6">
        <v>7832</v>
      </c>
      <c r="AV429" s="6">
        <v>9708</v>
      </c>
      <c r="AX429" s="6">
        <v>0</v>
      </c>
      <c r="AZ429" s="6">
        <f t="shared" si="74"/>
        <v>35457038</v>
      </c>
      <c r="BB429" s="6">
        <v>700000</v>
      </c>
      <c r="BD429" s="6">
        <v>0</v>
      </c>
      <c r="BF429" s="6">
        <v>0</v>
      </c>
      <c r="BH429" s="6">
        <v>0</v>
      </c>
      <c r="BJ429" s="6">
        <f t="shared" si="75"/>
        <v>36157038</v>
      </c>
      <c r="BL429" s="6">
        <f>+'Gen Fd Rev'!AK429-'Gen Fd Exp'!BJ429</f>
        <v>1527824</v>
      </c>
      <c r="BN429" s="6">
        <v>3771037</v>
      </c>
      <c r="BP429" s="6">
        <v>0</v>
      </c>
      <c r="BR429" s="6">
        <v>0</v>
      </c>
      <c r="BT429" s="6">
        <f t="shared" si="73"/>
        <v>5298861</v>
      </c>
      <c r="BV429" s="7">
        <f>+BT429-'Gen Fd BS'!AC429+BR429</f>
        <v>0</v>
      </c>
    </row>
    <row r="430" spans="1:74">
      <c r="A430" s="11" t="s">
        <v>470</v>
      </c>
      <c r="B430" s="11"/>
      <c r="C430" s="11" t="s">
        <v>110</v>
      </c>
      <c r="E430" s="6">
        <v>6809780</v>
      </c>
      <c r="G430" s="6">
        <v>1136762</v>
      </c>
      <c r="I430" s="6">
        <v>236125</v>
      </c>
      <c r="K430" s="6">
        <v>0</v>
      </c>
      <c r="M430" s="6">
        <v>508070</v>
      </c>
      <c r="O430" s="6">
        <v>878068</v>
      </c>
      <c r="Q430" s="6">
        <v>841609</v>
      </c>
      <c r="S430" s="6">
        <v>96588</v>
      </c>
      <c r="U430" s="6">
        <v>1385994</v>
      </c>
      <c r="W430" s="6">
        <v>507609</v>
      </c>
      <c r="Y430" s="6">
        <v>0</v>
      </c>
      <c r="AA430" s="6">
        <v>1732717</v>
      </c>
      <c r="AC430" s="6">
        <v>802525</v>
      </c>
      <c r="AE430" s="6">
        <v>55989</v>
      </c>
      <c r="AG430" s="6">
        <v>0</v>
      </c>
      <c r="AI430" s="6">
        <v>0</v>
      </c>
      <c r="AJ430" s="11" t="s">
        <v>470</v>
      </c>
      <c r="AK430" s="11"/>
      <c r="AL430" s="11" t="s">
        <v>110</v>
      </c>
      <c r="AN430" s="6">
        <v>460563</v>
      </c>
      <c r="AP430" s="6">
        <v>16787</v>
      </c>
      <c r="AT430" s="6">
        <v>11991</v>
      </c>
      <c r="AV430" s="6">
        <v>20592</v>
      </c>
      <c r="AX430" s="6">
        <v>0</v>
      </c>
      <c r="AZ430" s="6">
        <f t="shared" si="74"/>
        <v>15501769</v>
      </c>
      <c r="BB430" s="6">
        <v>0</v>
      </c>
      <c r="BD430" s="6">
        <v>0</v>
      </c>
      <c r="BF430" s="6">
        <v>0</v>
      </c>
      <c r="BH430" s="6">
        <v>0</v>
      </c>
      <c r="BJ430" s="6">
        <f t="shared" si="75"/>
        <v>15501769</v>
      </c>
      <c r="BL430" s="6">
        <f>+'Gen Fd Rev'!AK430-'Gen Fd Exp'!BJ430</f>
        <v>-782681</v>
      </c>
      <c r="BN430" s="6">
        <v>5459622</v>
      </c>
      <c r="BP430" s="6">
        <v>-8949</v>
      </c>
      <c r="BR430" s="6">
        <v>0</v>
      </c>
      <c r="BT430" s="6">
        <f t="shared" si="73"/>
        <v>4685890</v>
      </c>
      <c r="BV430" s="7">
        <f>+BT430-'Gen Fd BS'!AC430+BR430</f>
        <v>0</v>
      </c>
    </row>
    <row r="431" spans="1:74">
      <c r="A431" s="11" t="s">
        <v>274</v>
      </c>
      <c r="B431" s="11"/>
      <c r="C431" s="11" t="s">
        <v>20</v>
      </c>
      <c r="E431" s="6">
        <v>18549139</v>
      </c>
      <c r="G431" s="6">
        <v>5940179</v>
      </c>
      <c r="I431" s="6">
        <v>420324</v>
      </c>
      <c r="K431" s="6">
        <v>0</v>
      </c>
      <c r="M431" s="6">
        <v>0</v>
      </c>
      <c r="O431" s="6">
        <v>3562540</v>
      </c>
      <c r="Q431" s="6">
        <v>3779112</v>
      </c>
      <c r="S431" s="6">
        <v>78336</v>
      </c>
      <c r="U431" s="6">
        <v>3332678</v>
      </c>
      <c r="W431" s="6">
        <v>1357424</v>
      </c>
      <c r="Y431" s="6">
        <v>545458</v>
      </c>
      <c r="AA431" s="6">
        <v>4347981</v>
      </c>
      <c r="AC431" s="6">
        <v>3637659</v>
      </c>
      <c r="AE431" s="6">
        <v>969826</v>
      </c>
      <c r="AG431" s="6">
        <v>0</v>
      </c>
      <c r="AI431" s="6">
        <v>15855</v>
      </c>
      <c r="AJ431" s="11" t="s">
        <v>274</v>
      </c>
      <c r="AK431" s="11"/>
      <c r="AL431" s="11" t="s">
        <v>20</v>
      </c>
      <c r="AN431" s="6">
        <v>1335395</v>
      </c>
      <c r="AP431" s="6">
        <v>0</v>
      </c>
      <c r="AT431" s="6">
        <v>71508</v>
      </c>
      <c r="AV431" s="6">
        <v>7271</v>
      </c>
      <c r="AX431" s="6">
        <v>0</v>
      </c>
      <c r="AZ431" s="6">
        <f t="shared" si="74"/>
        <v>47950685</v>
      </c>
      <c r="BB431" s="6">
        <v>531819</v>
      </c>
      <c r="BD431" s="6">
        <v>0</v>
      </c>
      <c r="BF431" s="6">
        <v>0</v>
      </c>
      <c r="BH431" s="6">
        <v>0</v>
      </c>
      <c r="BJ431" s="6">
        <f t="shared" si="75"/>
        <v>48482504</v>
      </c>
      <c r="BL431" s="6">
        <f>+'Gen Fd Rev'!AK431-'Gen Fd Exp'!BJ431</f>
        <v>1535139</v>
      </c>
      <c r="BN431" s="6">
        <v>27703301</v>
      </c>
      <c r="BP431" s="6">
        <v>0</v>
      </c>
      <c r="BR431" s="6">
        <v>0</v>
      </c>
      <c r="BT431" s="6">
        <f t="shared" si="73"/>
        <v>29238440</v>
      </c>
      <c r="BV431" s="7">
        <f>+BT431-'Gen Fd BS'!AC431+BR431</f>
        <v>0</v>
      </c>
    </row>
    <row r="432" spans="1:74">
      <c r="A432" s="11" t="s">
        <v>391</v>
      </c>
      <c r="B432" s="11"/>
      <c r="C432" s="11" t="s">
        <v>115</v>
      </c>
      <c r="E432" s="6">
        <v>15301282</v>
      </c>
      <c r="G432" s="6">
        <v>4589699</v>
      </c>
      <c r="I432" s="6">
        <v>2429743</v>
      </c>
      <c r="K432" s="6">
        <v>67233</v>
      </c>
      <c r="M432" s="6">
        <v>147761</v>
      </c>
      <c r="O432" s="6">
        <v>1242399</v>
      </c>
      <c r="Q432" s="6">
        <v>2365683</v>
      </c>
      <c r="S432" s="6">
        <v>54953</v>
      </c>
      <c r="U432" s="6">
        <v>2270014</v>
      </c>
      <c r="W432" s="6">
        <v>934879</v>
      </c>
      <c r="Y432" s="6">
        <v>325720</v>
      </c>
      <c r="AA432" s="6">
        <v>3832788</v>
      </c>
      <c r="AC432" s="6">
        <v>1785679</v>
      </c>
      <c r="AE432" s="6">
        <v>0</v>
      </c>
      <c r="AG432" s="6">
        <v>0</v>
      </c>
      <c r="AI432" s="6">
        <v>991</v>
      </c>
      <c r="AJ432" s="11" t="s">
        <v>391</v>
      </c>
      <c r="AK432" s="11"/>
      <c r="AL432" s="11" t="s">
        <v>115</v>
      </c>
      <c r="AN432" s="6">
        <v>760317</v>
      </c>
      <c r="AP432" s="6">
        <v>0</v>
      </c>
      <c r="AT432" s="6">
        <v>159258</v>
      </c>
      <c r="AV432" s="6">
        <f>112464+58687</f>
        <v>171151</v>
      </c>
      <c r="AX432" s="6">
        <v>0</v>
      </c>
      <c r="AZ432" s="6">
        <f t="shared" si="74"/>
        <v>36439550</v>
      </c>
      <c r="BB432" s="6">
        <v>105864</v>
      </c>
      <c r="BD432" s="6">
        <v>0</v>
      </c>
      <c r="BF432" s="6">
        <v>0</v>
      </c>
      <c r="BH432" s="6">
        <v>2500344</v>
      </c>
      <c r="BJ432" s="6">
        <f t="shared" si="75"/>
        <v>39045758</v>
      </c>
      <c r="BL432" s="6">
        <f>+'Gen Fd Rev'!AK432-'Gen Fd Exp'!BJ432</f>
        <v>1773095</v>
      </c>
      <c r="BN432" s="6">
        <v>5316560</v>
      </c>
      <c r="BP432" s="6">
        <v>0</v>
      </c>
      <c r="BR432" s="6">
        <v>0</v>
      </c>
      <c r="BT432" s="6">
        <f t="shared" si="73"/>
        <v>7089655</v>
      </c>
      <c r="BV432" s="7">
        <f>+BT432-'Gen Fd BS'!AC432+BR432</f>
        <v>0</v>
      </c>
    </row>
    <row r="433" spans="1:74" hidden="1">
      <c r="A433" s="11" t="s">
        <v>818</v>
      </c>
      <c r="B433" s="11"/>
      <c r="C433" s="11" t="s">
        <v>71</v>
      </c>
      <c r="AJ433" s="11" t="s">
        <v>818</v>
      </c>
      <c r="AK433" s="11"/>
      <c r="AL433" s="11" t="s">
        <v>71</v>
      </c>
      <c r="AX433" s="6">
        <v>0</v>
      </c>
      <c r="AZ433" s="6">
        <f t="shared" si="74"/>
        <v>0</v>
      </c>
      <c r="BB433" s="6">
        <v>0</v>
      </c>
      <c r="BD433" s="6">
        <v>0</v>
      </c>
      <c r="BF433" s="6">
        <v>0</v>
      </c>
      <c r="BH433" s="6">
        <v>0</v>
      </c>
      <c r="BJ433" s="6">
        <f t="shared" si="75"/>
        <v>0</v>
      </c>
      <c r="BL433" s="6">
        <f>+'Gen Fd Rev'!AK433-'Gen Fd Exp'!BJ433</f>
        <v>0</v>
      </c>
      <c r="BP433" s="6">
        <v>0</v>
      </c>
      <c r="BR433" s="6">
        <v>0</v>
      </c>
      <c r="BT433" s="6">
        <f t="shared" si="73"/>
        <v>0</v>
      </c>
      <c r="BV433" s="7">
        <f>+BT433-'Gen Fd BS'!AC433+BR433</f>
        <v>0</v>
      </c>
    </row>
    <row r="434" spans="1:74" hidden="1">
      <c r="A434" s="10" t="s">
        <v>883</v>
      </c>
      <c r="B434" s="11"/>
      <c r="C434" s="11" t="s">
        <v>62</v>
      </c>
      <c r="E434" s="6">
        <v>0</v>
      </c>
      <c r="G434" s="6">
        <v>0</v>
      </c>
      <c r="I434" s="6">
        <v>0</v>
      </c>
      <c r="K434" s="6">
        <v>0</v>
      </c>
      <c r="M434" s="6">
        <v>0</v>
      </c>
      <c r="O434" s="6">
        <v>0</v>
      </c>
      <c r="Q434" s="6">
        <v>0</v>
      </c>
      <c r="S434" s="6">
        <v>0</v>
      </c>
      <c r="U434" s="6">
        <v>0</v>
      </c>
      <c r="W434" s="6">
        <v>0</v>
      </c>
      <c r="Y434" s="6">
        <v>0</v>
      </c>
      <c r="AA434" s="6">
        <v>0</v>
      </c>
      <c r="AC434" s="6">
        <v>0</v>
      </c>
      <c r="AE434" s="6">
        <v>0</v>
      </c>
      <c r="AG434" s="6">
        <v>0</v>
      </c>
      <c r="AI434" s="6">
        <v>0</v>
      </c>
      <c r="AJ434" s="10" t="s">
        <v>883</v>
      </c>
      <c r="AK434" s="11"/>
      <c r="AL434" s="11" t="s">
        <v>62</v>
      </c>
      <c r="AN434" s="6">
        <v>0</v>
      </c>
      <c r="AP434" s="6">
        <v>0</v>
      </c>
      <c r="AT434" s="6">
        <v>0</v>
      </c>
      <c r="AV434" s="6">
        <v>0</v>
      </c>
      <c r="AX434" s="6">
        <v>0</v>
      </c>
      <c r="AZ434" s="6">
        <f t="shared" si="74"/>
        <v>0</v>
      </c>
      <c r="BB434" s="6">
        <v>0</v>
      </c>
      <c r="BD434" s="6">
        <v>0</v>
      </c>
      <c r="BF434" s="6">
        <v>0</v>
      </c>
      <c r="BH434" s="6">
        <v>0</v>
      </c>
      <c r="BJ434" s="6">
        <f t="shared" si="75"/>
        <v>0</v>
      </c>
      <c r="BL434" s="6">
        <f>+'Gen Fd Rev'!AK434-'Gen Fd Exp'!BJ434</f>
        <v>0</v>
      </c>
      <c r="BP434" s="6">
        <v>0</v>
      </c>
      <c r="BR434" s="6">
        <v>0</v>
      </c>
      <c r="BT434" s="6">
        <f t="shared" si="73"/>
        <v>0</v>
      </c>
      <c r="BV434" s="7">
        <f>+BT434-'Gen Fd BS'!AC434+BR434</f>
        <v>0</v>
      </c>
    </row>
    <row r="435" spans="1:74">
      <c r="A435" s="11" t="s">
        <v>557</v>
      </c>
      <c r="B435" s="11"/>
      <c r="C435" s="11" t="s">
        <v>72</v>
      </c>
      <c r="E435" s="6">
        <v>5945015</v>
      </c>
      <c r="G435" s="6">
        <v>1347602</v>
      </c>
      <c r="I435" s="6">
        <v>3936</v>
      </c>
      <c r="K435" s="6">
        <v>0</v>
      </c>
      <c r="M435" s="6">
        <v>0</v>
      </c>
      <c r="O435" s="6">
        <v>715629</v>
      </c>
      <c r="Q435" s="6">
        <v>227222</v>
      </c>
      <c r="S435" s="6">
        <v>39983</v>
      </c>
      <c r="U435" s="6">
        <v>930673</v>
      </c>
      <c r="W435" s="6">
        <v>363570</v>
      </c>
      <c r="Y435" s="6">
        <v>6246</v>
      </c>
      <c r="AA435" s="6">
        <v>893389</v>
      </c>
      <c r="AC435" s="6">
        <v>934806</v>
      </c>
      <c r="AE435" s="6">
        <v>0</v>
      </c>
      <c r="AG435" s="6">
        <v>0</v>
      </c>
      <c r="AI435" s="6">
        <v>0</v>
      </c>
      <c r="AJ435" s="11" t="s">
        <v>557</v>
      </c>
      <c r="AK435" s="11"/>
      <c r="AL435" s="11" t="s">
        <v>72</v>
      </c>
      <c r="AN435" s="6">
        <v>216792</v>
      </c>
      <c r="AP435" s="6">
        <v>0</v>
      </c>
      <c r="AT435" s="6">
        <v>0</v>
      </c>
      <c r="AV435" s="6">
        <v>0</v>
      </c>
      <c r="AX435" s="6">
        <v>0</v>
      </c>
      <c r="AZ435" s="6">
        <f t="shared" si="74"/>
        <v>11624863</v>
      </c>
      <c r="BB435" s="6">
        <v>0</v>
      </c>
      <c r="BD435" s="6">
        <v>0</v>
      </c>
      <c r="BF435" s="6">
        <v>0</v>
      </c>
      <c r="BH435" s="6">
        <v>0</v>
      </c>
      <c r="BJ435" s="6">
        <f t="shared" si="75"/>
        <v>11624863</v>
      </c>
      <c r="BL435" s="6">
        <f>+'Gen Fd Rev'!AK435-'Gen Fd Exp'!BJ435</f>
        <v>901735</v>
      </c>
      <c r="BN435" s="6">
        <v>1816944</v>
      </c>
      <c r="BP435" s="6">
        <v>0</v>
      </c>
      <c r="BR435" s="6">
        <v>0</v>
      </c>
      <c r="BT435" s="6">
        <f t="shared" si="73"/>
        <v>2718679</v>
      </c>
      <c r="BV435" s="7">
        <f>+BT435-'Gen Fd BS'!AC435+BR435</f>
        <v>0</v>
      </c>
    </row>
    <row r="436" spans="1:74">
      <c r="A436" s="11" t="s">
        <v>392</v>
      </c>
      <c r="B436" s="11"/>
      <c r="C436" s="11" t="s">
        <v>115</v>
      </c>
      <c r="E436" s="6">
        <v>0</v>
      </c>
      <c r="G436" s="6">
        <v>0</v>
      </c>
      <c r="I436" s="6">
        <v>0</v>
      </c>
      <c r="K436" s="6">
        <v>0</v>
      </c>
      <c r="M436" s="6">
        <v>8962667</v>
      </c>
      <c r="O436" s="6">
        <v>681107</v>
      </c>
      <c r="Q436" s="6">
        <v>402623</v>
      </c>
      <c r="S436" s="6">
        <v>40850</v>
      </c>
      <c r="U436" s="6">
        <v>930852</v>
      </c>
      <c r="W436" s="6">
        <v>496779</v>
      </c>
      <c r="Y436" s="6">
        <v>0</v>
      </c>
      <c r="AA436" s="6">
        <v>1082393</v>
      </c>
      <c r="AC436" s="6">
        <v>40854</v>
      </c>
      <c r="AE436" s="6">
        <v>121257</v>
      </c>
      <c r="AG436" s="6">
        <v>0</v>
      </c>
      <c r="AI436" s="6">
        <v>14782</v>
      </c>
      <c r="AJ436" s="11" t="s">
        <v>392</v>
      </c>
      <c r="AK436" s="11"/>
      <c r="AL436" s="11" t="s">
        <v>115</v>
      </c>
      <c r="AN436" s="6">
        <v>434310</v>
      </c>
      <c r="AP436" s="6">
        <v>0</v>
      </c>
      <c r="AT436" s="6">
        <v>0</v>
      </c>
      <c r="AV436" s="6">
        <v>0</v>
      </c>
      <c r="AX436" s="6">
        <v>0</v>
      </c>
      <c r="AZ436" s="6">
        <f t="shared" si="74"/>
        <v>13208474</v>
      </c>
      <c r="BB436" s="6">
        <v>38000</v>
      </c>
      <c r="BD436" s="6">
        <v>0</v>
      </c>
      <c r="BF436" s="6">
        <v>0</v>
      </c>
      <c r="BH436" s="6">
        <v>0</v>
      </c>
      <c r="BJ436" s="6">
        <f t="shared" si="75"/>
        <v>13246474</v>
      </c>
      <c r="BL436" s="6">
        <f>+'Gen Fd Rev'!AK436-'Gen Fd Exp'!BJ436</f>
        <v>38148</v>
      </c>
      <c r="BN436" s="6">
        <v>3714766</v>
      </c>
      <c r="BP436" s="6">
        <v>0</v>
      </c>
      <c r="BR436" s="6">
        <v>0</v>
      </c>
      <c r="BT436" s="6">
        <f t="shared" si="73"/>
        <v>3752914</v>
      </c>
      <c r="BV436" s="7">
        <f>+BT436-'Gen Fd BS'!AC436+BR436</f>
        <v>0</v>
      </c>
    </row>
    <row r="437" spans="1:74" hidden="1">
      <c r="A437" s="11" t="s">
        <v>710</v>
      </c>
      <c r="B437" s="11"/>
      <c r="C437" s="11" t="s">
        <v>467</v>
      </c>
      <c r="AJ437" s="11" t="s">
        <v>710</v>
      </c>
      <c r="AK437" s="11"/>
      <c r="AL437" s="11" t="s">
        <v>467</v>
      </c>
      <c r="AX437" s="6">
        <v>0</v>
      </c>
      <c r="AZ437" s="6">
        <f t="shared" si="74"/>
        <v>0</v>
      </c>
      <c r="BB437" s="6">
        <v>0</v>
      </c>
      <c r="BD437" s="6">
        <v>0</v>
      </c>
      <c r="BF437" s="6">
        <v>0</v>
      </c>
      <c r="BH437" s="6">
        <v>0</v>
      </c>
      <c r="BJ437" s="6">
        <f t="shared" si="75"/>
        <v>0</v>
      </c>
      <c r="BL437" s="6">
        <f>+'Gen Fd Rev'!AK437-'Gen Fd Exp'!BJ437</f>
        <v>0</v>
      </c>
      <c r="BP437" s="6">
        <v>0</v>
      </c>
      <c r="BR437" s="6">
        <v>0</v>
      </c>
      <c r="BT437" s="6">
        <f t="shared" ref="BT437:BT485" si="80">+BN437+BL437-BP437</f>
        <v>0</v>
      </c>
      <c r="BV437" s="7">
        <f>+BT437-'Gen Fd BS'!AC437+BR437</f>
        <v>0</v>
      </c>
    </row>
    <row r="438" spans="1:74" hidden="1">
      <c r="A438" s="11" t="s">
        <v>819</v>
      </c>
      <c r="B438" s="11"/>
      <c r="C438" s="11" t="s">
        <v>467</v>
      </c>
      <c r="AJ438" s="11" t="s">
        <v>819</v>
      </c>
      <c r="AK438" s="11"/>
      <c r="AL438" s="11" t="s">
        <v>467</v>
      </c>
      <c r="AX438" s="6">
        <v>0</v>
      </c>
      <c r="AZ438" s="6">
        <f t="shared" si="74"/>
        <v>0</v>
      </c>
      <c r="BB438" s="6">
        <v>0</v>
      </c>
      <c r="BD438" s="6">
        <v>0</v>
      </c>
      <c r="BF438" s="6">
        <v>0</v>
      </c>
      <c r="BH438" s="6">
        <v>0</v>
      </c>
      <c r="BJ438" s="6">
        <f t="shared" si="75"/>
        <v>0</v>
      </c>
      <c r="BL438" s="6">
        <f>+'Gen Fd Rev'!AK438-'Gen Fd Exp'!BJ438</f>
        <v>0</v>
      </c>
      <c r="BP438" s="6">
        <v>0</v>
      </c>
      <c r="BR438" s="6">
        <v>0</v>
      </c>
      <c r="BT438" s="6">
        <f t="shared" si="80"/>
        <v>0</v>
      </c>
      <c r="BV438" s="7">
        <f>+BT438-'Gen Fd BS'!AC438+BR438</f>
        <v>0</v>
      </c>
    </row>
    <row r="439" spans="1:74" hidden="1">
      <c r="A439" s="11" t="s">
        <v>820</v>
      </c>
      <c r="B439" s="11"/>
      <c r="C439" s="11" t="s">
        <v>41</v>
      </c>
      <c r="AJ439" s="11" t="s">
        <v>820</v>
      </c>
      <c r="AK439" s="11"/>
      <c r="AL439" s="11" t="s">
        <v>41</v>
      </c>
      <c r="AX439" s="6">
        <v>0</v>
      </c>
      <c r="AZ439" s="6">
        <f t="shared" si="74"/>
        <v>0</v>
      </c>
      <c r="BB439" s="6">
        <v>0</v>
      </c>
      <c r="BD439" s="6">
        <v>0</v>
      </c>
      <c r="BF439" s="6">
        <v>0</v>
      </c>
      <c r="BH439" s="6">
        <v>0</v>
      </c>
      <c r="BJ439" s="6">
        <f>+AZ439+BB439+BD439+BH439</f>
        <v>0</v>
      </c>
      <c r="BL439" s="6">
        <f>+'Gen Fd Rev'!AK439-'Gen Fd Exp'!BJ439</f>
        <v>0</v>
      </c>
      <c r="BP439" s="6">
        <v>0</v>
      </c>
      <c r="BR439" s="6">
        <v>0</v>
      </c>
      <c r="BT439" s="6">
        <f t="shared" si="80"/>
        <v>0</v>
      </c>
      <c r="BV439" s="7">
        <f>+BT439-'Gen Fd BS'!AC439+BR439</f>
        <v>0</v>
      </c>
    </row>
    <row r="440" spans="1:74" hidden="1">
      <c r="A440" s="11" t="s">
        <v>784</v>
      </c>
      <c r="B440" s="11"/>
      <c r="C440" s="11" t="s">
        <v>41</v>
      </c>
      <c r="AJ440" s="11" t="s">
        <v>784</v>
      </c>
      <c r="AK440" s="11"/>
      <c r="AL440" s="11" t="s">
        <v>41</v>
      </c>
      <c r="AX440" s="6">
        <v>0</v>
      </c>
      <c r="AZ440" s="6">
        <f t="shared" si="74"/>
        <v>0</v>
      </c>
      <c r="BB440" s="6">
        <v>0</v>
      </c>
      <c r="BD440" s="6">
        <v>0</v>
      </c>
      <c r="BF440" s="6">
        <v>0</v>
      </c>
      <c r="BH440" s="6">
        <v>0</v>
      </c>
      <c r="BJ440" s="6">
        <f t="shared" ref="BJ440:BJ485" si="81">+AZ440+BB440+BD440+BH440</f>
        <v>0</v>
      </c>
      <c r="BL440" s="6">
        <f>+'Gen Fd Rev'!AK440-'Gen Fd Exp'!BJ440</f>
        <v>0</v>
      </c>
      <c r="BP440" s="6">
        <v>0</v>
      </c>
      <c r="BR440" s="6">
        <v>0</v>
      </c>
      <c r="BT440" s="6">
        <f t="shared" si="80"/>
        <v>0</v>
      </c>
      <c r="BV440" s="7">
        <f>+BT440-'Gen Fd BS'!AC440+BR440</f>
        <v>0</v>
      </c>
    </row>
    <row r="441" spans="1:74">
      <c r="A441" s="11" t="s">
        <v>475</v>
      </c>
      <c r="B441" s="11"/>
      <c r="C441" s="11" t="s">
        <v>58</v>
      </c>
      <c r="D441" s="9"/>
      <c r="E441" s="6">
        <v>4259527</v>
      </c>
      <c r="G441" s="6">
        <v>1001299</v>
      </c>
      <c r="I441" s="6">
        <v>3868</v>
      </c>
      <c r="K441" s="6">
        <v>0</v>
      </c>
      <c r="M441" s="6">
        <v>1109600</v>
      </c>
      <c r="O441" s="6">
        <v>347446</v>
      </c>
      <c r="Q441" s="6">
        <v>139088</v>
      </c>
      <c r="S441" s="6">
        <v>184713</v>
      </c>
      <c r="U441" s="6">
        <v>715389</v>
      </c>
      <c r="W441" s="6">
        <v>353046</v>
      </c>
      <c r="Y441" s="6">
        <v>0</v>
      </c>
      <c r="AA441" s="6">
        <v>883856</v>
      </c>
      <c r="AC441" s="6">
        <v>589405</v>
      </c>
      <c r="AE441" s="6">
        <v>17455</v>
      </c>
      <c r="AG441" s="6">
        <v>0</v>
      </c>
      <c r="AI441" s="6">
        <v>7708</v>
      </c>
      <c r="AJ441" s="11" t="s">
        <v>475</v>
      </c>
      <c r="AK441" s="11"/>
      <c r="AL441" s="11" t="s">
        <v>58</v>
      </c>
      <c r="AN441" s="6">
        <v>175865</v>
      </c>
      <c r="AP441" s="6">
        <v>0</v>
      </c>
      <c r="AT441" s="6">
        <v>37278</v>
      </c>
      <c r="AV441" s="6">
        <v>8420</v>
      </c>
      <c r="AX441" s="6">
        <v>0</v>
      </c>
      <c r="AZ441" s="6">
        <f t="shared" si="74"/>
        <v>9833963</v>
      </c>
      <c r="BB441" s="6">
        <v>877</v>
      </c>
      <c r="BD441" s="6">
        <v>0</v>
      </c>
      <c r="BF441" s="6">
        <v>0</v>
      </c>
      <c r="BH441" s="6">
        <v>0</v>
      </c>
      <c r="BJ441" s="6">
        <f t="shared" si="81"/>
        <v>9834840</v>
      </c>
      <c r="BL441" s="6">
        <f>+'Gen Fd Rev'!AK441-'Gen Fd Exp'!BJ441</f>
        <v>-495229</v>
      </c>
      <c r="BN441" s="6">
        <v>2544311</v>
      </c>
      <c r="BP441" s="6">
        <v>0</v>
      </c>
      <c r="BR441" s="6">
        <v>0</v>
      </c>
      <c r="BT441" s="6">
        <f t="shared" si="80"/>
        <v>2049082</v>
      </c>
      <c r="BV441" s="7">
        <f>+BT441-'Gen Fd BS'!AC441+BR441</f>
        <v>0</v>
      </c>
    </row>
    <row r="442" spans="1:74" hidden="1">
      <c r="A442" s="11" t="s">
        <v>686</v>
      </c>
      <c r="B442" s="11"/>
      <c r="C442" s="11" t="s">
        <v>467</v>
      </c>
      <c r="AJ442" s="11" t="s">
        <v>686</v>
      </c>
      <c r="AK442" s="11"/>
      <c r="AL442" s="11" t="s">
        <v>467</v>
      </c>
      <c r="AX442" s="6">
        <v>0</v>
      </c>
      <c r="AZ442" s="6">
        <f t="shared" si="74"/>
        <v>0</v>
      </c>
      <c r="BB442" s="6">
        <v>0</v>
      </c>
      <c r="BD442" s="6">
        <v>0</v>
      </c>
      <c r="BF442" s="6">
        <v>0</v>
      </c>
      <c r="BH442" s="6">
        <v>0</v>
      </c>
      <c r="BJ442" s="6">
        <f t="shared" si="81"/>
        <v>0</v>
      </c>
      <c r="BL442" s="6">
        <f>+'Gen Fd Rev'!AK442-'Gen Fd Exp'!BJ442</f>
        <v>0</v>
      </c>
      <c r="BP442" s="6">
        <v>0</v>
      </c>
      <c r="BR442" s="6">
        <v>0</v>
      </c>
      <c r="BT442" s="6">
        <f t="shared" si="80"/>
        <v>0</v>
      </c>
      <c r="BV442" s="7">
        <f>+BT442-'Gen Fd BS'!AC442+BR442</f>
        <v>0</v>
      </c>
    </row>
    <row r="443" spans="1:74" hidden="1">
      <c r="A443" s="11" t="s">
        <v>687</v>
      </c>
      <c r="B443" s="11"/>
      <c r="C443" s="11" t="s">
        <v>422</v>
      </c>
      <c r="AJ443" s="11" t="s">
        <v>687</v>
      </c>
      <c r="AK443" s="11"/>
      <c r="AL443" s="11" t="s">
        <v>422</v>
      </c>
      <c r="AX443" s="6">
        <v>0</v>
      </c>
      <c r="AZ443" s="6">
        <f t="shared" si="74"/>
        <v>0</v>
      </c>
      <c r="BB443" s="6">
        <v>0</v>
      </c>
      <c r="BD443" s="6">
        <v>0</v>
      </c>
      <c r="BF443" s="6">
        <v>0</v>
      </c>
      <c r="BH443" s="6">
        <v>0</v>
      </c>
      <c r="BJ443" s="6">
        <f t="shared" si="81"/>
        <v>0</v>
      </c>
      <c r="BL443" s="6">
        <f>+'Gen Fd Rev'!AK443-'Gen Fd Exp'!BJ443</f>
        <v>0</v>
      </c>
      <c r="BP443" s="6">
        <v>0</v>
      </c>
      <c r="BR443" s="6">
        <v>0</v>
      </c>
      <c r="BT443" s="6">
        <f t="shared" si="80"/>
        <v>0</v>
      </c>
      <c r="BV443" s="7">
        <f>+BT443-'Gen Fd BS'!AC443+BR443</f>
        <v>0</v>
      </c>
    </row>
    <row r="444" spans="1:74">
      <c r="A444" s="11" t="s">
        <v>275</v>
      </c>
      <c r="B444" s="11"/>
      <c r="C444" s="11" t="s">
        <v>20</v>
      </c>
      <c r="E444" s="6">
        <v>57108340</v>
      </c>
      <c r="G444" s="6">
        <v>18840226</v>
      </c>
      <c r="I444" s="6">
        <v>2843938</v>
      </c>
      <c r="K444" s="6">
        <v>8687</v>
      </c>
      <c r="M444" s="6">
        <v>234929</v>
      </c>
      <c r="O444" s="6">
        <v>9622182</v>
      </c>
      <c r="Q444" s="6">
        <v>6334553</v>
      </c>
      <c r="S444" s="6">
        <v>780878</v>
      </c>
      <c r="U444" s="6">
        <v>9308628</v>
      </c>
      <c r="W444" s="6">
        <v>2711570</v>
      </c>
      <c r="Y444" s="6">
        <v>857740</v>
      </c>
      <c r="AA444" s="6">
        <v>9484213</v>
      </c>
      <c r="AC444" s="6">
        <v>5447464</v>
      </c>
      <c r="AE444" s="6">
        <v>3001146</v>
      </c>
      <c r="AG444" s="6">
        <v>0</v>
      </c>
      <c r="AI444" s="6">
        <v>6078</v>
      </c>
      <c r="AJ444" s="11" t="s">
        <v>275</v>
      </c>
      <c r="AK444" s="11"/>
      <c r="AL444" s="11" t="s">
        <v>20</v>
      </c>
      <c r="AN444" s="6">
        <v>2615749</v>
      </c>
      <c r="AP444" s="6">
        <v>381015</v>
      </c>
      <c r="AT444" s="6">
        <v>1535222</v>
      </c>
      <c r="AV444" s="6">
        <v>614350</v>
      </c>
      <c r="AX444" s="6">
        <v>0</v>
      </c>
      <c r="AZ444" s="6">
        <f t="shared" si="74"/>
        <v>131736908</v>
      </c>
      <c r="BB444" s="6">
        <v>16705</v>
      </c>
      <c r="BD444" s="6">
        <v>0</v>
      </c>
      <c r="BF444" s="6">
        <v>0</v>
      </c>
      <c r="BH444" s="6">
        <v>0</v>
      </c>
      <c r="BJ444" s="6">
        <f t="shared" si="81"/>
        <v>131753613</v>
      </c>
      <c r="BL444" s="6">
        <f>+'Gen Fd Rev'!AK444-'Gen Fd Exp'!BJ444</f>
        <v>5973788</v>
      </c>
      <c r="BN444" s="6">
        <v>11763841</v>
      </c>
      <c r="BP444" s="6">
        <v>0</v>
      </c>
      <c r="BR444" s="6">
        <v>0</v>
      </c>
      <c r="BT444" s="6">
        <f t="shared" si="80"/>
        <v>17737629</v>
      </c>
      <c r="BV444" s="7">
        <f>+BT444-'Gen Fd BS'!AC444+BR444</f>
        <v>0</v>
      </c>
    </row>
    <row r="445" spans="1:74">
      <c r="A445" s="11" t="s">
        <v>347</v>
      </c>
      <c r="B445" s="11"/>
      <c r="C445" s="11" t="s">
        <v>34</v>
      </c>
      <c r="E445" s="6">
        <v>3750612</v>
      </c>
      <c r="G445" s="6">
        <v>660405</v>
      </c>
      <c r="I445" s="6">
        <v>51231</v>
      </c>
      <c r="K445" s="6">
        <v>0</v>
      </c>
      <c r="M445" s="6">
        <f>714+527901</f>
        <v>528615</v>
      </c>
      <c r="O445" s="6">
        <v>505725</v>
      </c>
      <c r="Q445" s="6">
        <v>696703</v>
      </c>
      <c r="S445" s="6">
        <v>37395</v>
      </c>
      <c r="U445" s="6">
        <v>1185932</v>
      </c>
      <c r="W445" s="6">
        <v>319861</v>
      </c>
      <c r="Y445" s="6">
        <v>232117</v>
      </c>
      <c r="AA445" s="6">
        <v>748107</v>
      </c>
      <c r="AC445" s="6">
        <v>659498</v>
      </c>
      <c r="AE445" s="6">
        <v>214480</v>
      </c>
      <c r="AG445" s="6">
        <v>0</v>
      </c>
      <c r="AI445" s="6">
        <v>2514</v>
      </c>
      <c r="AJ445" s="11" t="s">
        <v>347</v>
      </c>
      <c r="AK445" s="11"/>
      <c r="AL445" s="11" t="s">
        <v>34</v>
      </c>
      <c r="AN445" s="6">
        <v>237443</v>
      </c>
      <c r="AP445" s="6">
        <v>0</v>
      </c>
      <c r="AT445" s="6">
        <v>31000</v>
      </c>
      <c r="AV445" s="6">
        <v>0</v>
      </c>
      <c r="AX445" s="6">
        <v>0</v>
      </c>
      <c r="AZ445" s="6">
        <f t="shared" si="74"/>
        <v>9861638</v>
      </c>
      <c r="BB445" s="6">
        <v>67335</v>
      </c>
      <c r="BD445" s="6">
        <v>0</v>
      </c>
      <c r="BF445" s="6">
        <v>0</v>
      </c>
      <c r="BH445" s="6">
        <v>0</v>
      </c>
      <c r="BJ445" s="6">
        <f t="shared" si="81"/>
        <v>9928973</v>
      </c>
      <c r="BL445" s="6">
        <f>+'Gen Fd Rev'!AK445-'Gen Fd Exp'!BJ445</f>
        <v>116407</v>
      </c>
      <c r="BN445" s="6">
        <v>738423</v>
      </c>
      <c r="BP445" s="6">
        <v>0</v>
      </c>
      <c r="BR445" s="6">
        <v>0</v>
      </c>
      <c r="BT445" s="6">
        <f t="shared" si="80"/>
        <v>854830</v>
      </c>
      <c r="BV445" s="7">
        <f>+BT445-'Gen Fd BS'!AC445+BR445</f>
        <v>0</v>
      </c>
    </row>
    <row r="446" spans="1:74" hidden="1">
      <c r="A446" s="11" t="s">
        <v>775</v>
      </c>
      <c r="B446" s="11"/>
      <c r="C446" s="11" t="s">
        <v>450</v>
      </c>
      <c r="AJ446" s="11" t="s">
        <v>775</v>
      </c>
      <c r="AK446" s="11"/>
      <c r="AL446" s="11" t="s">
        <v>450</v>
      </c>
      <c r="AX446" s="6">
        <v>0</v>
      </c>
      <c r="AZ446" s="6">
        <f t="shared" si="74"/>
        <v>0</v>
      </c>
      <c r="BB446" s="6">
        <v>0</v>
      </c>
      <c r="BD446" s="6">
        <v>0</v>
      </c>
      <c r="BF446" s="6">
        <v>0</v>
      </c>
      <c r="BH446" s="6">
        <v>0</v>
      </c>
      <c r="BJ446" s="6">
        <f t="shared" si="81"/>
        <v>0</v>
      </c>
      <c r="BL446" s="6">
        <f>+'Gen Fd Rev'!AK446-'Gen Fd Exp'!BJ446</f>
        <v>0</v>
      </c>
      <c r="BR446" s="6">
        <v>0</v>
      </c>
      <c r="BT446" s="6">
        <f t="shared" si="80"/>
        <v>0</v>
      </c>
      <c r="BV446" s="7">
        <f>+BT446-'Gen Fd BS'!AC446+BR446</f>
        <v>0</v>
      </c>
    </row>
    <row r="447" spans="1:74">
      <c r="A447" s="11" t="s">
        <v>289</v>
      </c>
      <c r="B447" s="11"/>
      <c r="C447" s="11" t="s">
        <v>24</v>
      </c>
      <c r="E447" s="6">
        <v>10497314</v>
      </c>
      <c r="G447" s="6">
        <v>2528434</v>
      </c>
      <c r="I447" s="6">
        <v>190671</v>
      </c>
      <c r="K447" s="6">
        <v>0</v>
      </c>
      <c r="M447" s="6">
        <v>762357</v>
      </c>
      <c r="O447" s="6">
        <v>1782576</v>
      </c>
      <c r="Q447" s="6">
        <v>1609737</v>
      </c>
      <c r="S447" s="6">
        <v>75565</v>
      </c>
      <c r="U447" s="6">
        <v>1549501</v>
      </c>
      <c r="W447" s="6">
        <v>535695</v>
      </c>
      <c r="Y447" s="6">
        <v>1433</v>
      </c>
      <c r="AA447" s="6">
        <v>1821900</v>
      </c>
      <c r="AC447" s="6">
        <v>912944</v>
      </c>
      <c r="AE447" s="6">
        <v>128103</v>
      </c>
      <c r="AG447" s="6">
        <v>0</v>
      </c>
      <c r="AI447" s="6">
        <v>52303</v>
      </c>
      <c r="AJ447" s="11" t="s">
        <v>289</v>
      </c>
      <c r="AK447" s="11"/>
      <c r="AL447" s="11" t="s">
        <v>24</v>
      </c>
      <c r="AN447" s="6">
        <v>516750</v>
      </c>
      <c r="AP447" s="6">
        <f>26879+1479280</f>
        <v>1506159</v>
      </c>
      <c r="AT447" s="6">
        <v>0</v>
      </c>
      <c r="AV447" s="6">
        <v>0</v>
      </c>
      <c r="AX447" s="6">
        <v>0</v>
      </c>
      <c r="AZ447" s="6">
        <f t="shared" si="74"/>
        <v>24471442</v>
      </c>
      <c r="BB447" s="6">
        <v>3014</v>
      </c>
      <c r="BD447" s="6">
        <v>0</v>
      </c>
      <c r="BF447" s="6">
        <v>0</v>
      </c>
      <c r="BH447" s="6">
        <v>0</v>
      </c>
      <c r="BJ447" s="6">
        <f t="shared" si="81"/>
        <v>24474456</v>
      </c>
      <c r="BL447" s="6">
        <f>+'Gen Fd Rev'!AK447-'Gen Fd Exp'!BJ447</f>
        <v>-2293543</v>
      </c>
      <c r="BN447" s="6">
        <v>5142363</v>
      </c>
      <c r="BP447" s="6">
        <v>-12892</v>
      </c>
      <c r="BR447" s="6">
        <v>0</v>
      </c>
      <c r="BT447" s="6">
        <f t="shared" si="80"/>
        <v>2861712</v>
      </c>
      <c r="BV447" s="7">
        <f>+BT447-'Gen Fd BS'!AC447+BR447</f>
        <v>0</v>
      </c>
    </row>
    <row r="448" spans="1:74" hidden="1">
      <c r="A448" s="11" t="s">
        <v>688</v>
      </c>
      <c r="B448" s="11"/>
      <c r="C448" s="11" t="s">
        <v>10</v>
      </c>
      <c r="AJ448" s="11" t="s">
        <v>688</v>
      </c>
      <c r="AK448" s="11"/>
      <c r="AL448" s="11" t="s">
        <v>10</v>
      </c>
      <c r="AX448" s="6">
        <v>0</v>
      </c>
      <c r="AZ448" s="6">
        <f t="shared" si="74"/>
        <v>0</v>
      </c>
      <c r="BB448" s="6">
        <v>0</v>
      </c>
      <c r="BD448" s="6">
        <v>0</v>
      </c>
      <c r="BF448" s="6">
        <v>0</v>
      </c>
      <c r="BH448" s="6">
        <v>0</v>
      </c>
      <c r="BJ448" s="6">
        <f t="shared" si="81"/>
        <v>0</v>
      </c>
      <c r="BL448" s="6">
        <f>+'Gen Fd Rev'!AK448-'Gen Fd Exp'!BJ448</f>
        <v>0</v>
      </c>
      <c r="BR448" s="6">
        <v>0</v>
      </c>
      <c r="BT448" s="6">
        <f t="shared" si="80"/>
        <v>0</v>
      </c>
      <c r="BV448" s="7">
        <f>+BT448-'Gen Fd BS'!AC448+BR448</f>
        <v>0</v>
      </c>
    </row>
    <row r="449" spans="1:74">
      <c r="A449" s="11" t="s">
        <v>202</v>
      </c>
      <c r="B449" s="11"/>
      <c r="C449" s="11" t="s">
        <v>41</v>
      </c>
      <c r="E449" s="6">
        <v>9868130</v>
      </c>
      <c r="G449" s="6">
        <v>344131</v>
      </c>
      <c r="I449" s="6">
        <v>202928</v>
      </c>
      <c r="K449" s="6">
        <v>0</v>
      </c>
      <c r="M449" s="6">
        <v>1694792</v>
      </c>
      <c r="O449" s="6">
        <v>1539970</v>
      </c>
      <c r="Q449" s="6">
        <v>1381920</v>
      </c>
      <c r="S449" s="6">
        <v>89755</v>
      </c>
      <c r="U449" s="6">
        <v>1390665</v>
      </c>
      <c r="W449" s="6">
        <v>667818</v>
      </c>
      <c r="Y449" s="6">
        <v>249617</v>
      </c>
      <c r="AA449" s="6">
        <v>3275594</v>
      </c>
      <c r="AC449" s="6">
        <v>1154129</v>
      </c>
      <c r="AE449" s="6">
        <v>22819</v>
      </c>
      <c r="AG449" s="6">
        <v>0</v>
      </c>
      <c r="AI449" s="6">
        <f>2499+4832</f>
        <v>7331</v>
      </c>
      <c r="AJ449" s="11" t="s">
        <v>202</v>
      </c>
      <c r="AK449" s="11"/>
      <c r="AL449" s="11" t="s">
        <v>41</v>
      </c>
      <c r="AN449" s="6">
        <v>1083808</v>
      </c>
      <c r="AP449" s="6">
        <v>0</v>
      </c>
      <c r="AT449" s="6">
        <v>0</v>
      </c>
      <c r="AV449" s="6">
        <v>0</v>
      </c>
      <c r="AX449" s="6">
        <v>0</v>
      </c>
      <c r="AZ449" s="6">
        <f t="shared" si="74"/>
        <v>22973407</v>
      </c>
      <c r="BB449" s="6">
        <v>2123000</v>
      </c>
      <c r="BD449" s="6">
        <v>0</v>
      </c>
      <c r="BF449" s="6">
        <v>0</v>
      </c>
      <c r="BH449" s="6">
        <v>0</v>
      </c>
      <c r="BJ449" s="6">
        <f t="shared" si="81"/>
        <v>25096407</v>
      </c>
      <c r="BL449" s="6">
        <f>+'Gen Fd Rev'!AK449-'Gen Fd Exp'!BJ449</f>
        <v>243562</v>
      </c>
      <c r="BN449" s="6">
        <v>20685899</v>
      </c>
      <c r="BP449" s="6">
        <v>0</v>
      </c>
      <c r="BR449" s="6">
        <v>0</v>
      </c>
      <c r="BT449" s="6">
        <f t="shared" si="80"/>
        <v>20929461</v>
      </c>
      <c r="BV449" s="7">
        <f>+BT449-'Gen Fd BS'!AC449+BR449</f>
        <v>0</v>
      </c>
    </row>
    <row r="450" spans="1:74">
      <c r="A450" s="11" t="s">
        <v>202</v>
      </c>
      <c r="B450" s="11"/>
      <c r="C450" s="11" t="s">
        <v>62</v>
      </c>
      <c r="E450" s="6">
        <v>18942468</v>
      </c>
      <c r="G450" s="6">
        <v>3049054</v>
      </c>
      <c r="I450" s="6">
        <v>1934088</v>
      </c>
      <c r="K450" s="6">
        <v>9216</v>
      </c>
      <c r="M450" s="6">
        <v>164442</v>
      </c>
      <c r="O450" s="6">
        <v>2655469</v>
      </c>
      <c r="Q450" s="6">
        <v>1126321</v>
      </c>
      <c r="S450" s="6">
        <v>146958</v>
      </c>
      <c r="U450" s="6">
        <v>2774083</v>
      </c>
      <c r="W450" s="6">
        <v>751078</v>
      </c>
      <c r="Y450" s="6">
        <v>203648</v>
      </c>
      <c r="AA450" s="6">
        <v>4380536</v>
      </c>
      <c r="AC450" s="6">
        <v>2041031</v>
      </c>
      <c r="AE450" s="6">
        <v>694168</v>
      </c>
      <c r="AG450" s="6">
        <v>0</v>
      </c>
      <c r="AI450" s="6">
        <v>243069</v>
      </c>
      <c r="AJ450" s="11" t="s">
        <v>202</v>
      </c>
      <c r="AK450" s="11"/>
      <c r="AL450" s="11" t="s">
        <v>62</v>
      </c>
      <c r="AN450" s="6">
        <v>976330</v>
      </c>
      <c r="AP450" s="6">
        <v>655594</v>
      </c>
      <c r="AT450" s="6">
        <v>214390</v>
      </c>
      <c r="AV450" s="6">
        <v>139091</v>
      </c>
      <c r="AX450" s="6">
        <v>0</v>
      </c>
      <c r="AZ450" s="6">
        <f t="shared" si="74"/>
        <v>41101034</v>
      </c>
      <c r="BB450" s="6">
        <v>0</v>
      </c>
      <c r="BD450" s="6">
        <v>0</v>
      </c>
      <c r="BF450" s="6">
        <v>0</v>
      </c>
      <c r="BH450" s="6">
        <v>0</v>
      </c>
      <c r="BJ450" s="6">
        <f t="shared" si="81"/>
        <v>41101034</v>
      </c>
      <c r="BL450" s="6">
        <f>+'Gen Fd Rev'!AK450-'Gen Fd Exp'!BJ450</f>
        <v>-2700682</v>
      </c>
      <c r="BN450" s="6">
        <v>21606521</v>
      </c>
      <c r="BP450" s="6">
        <v>0</v>
      </c>
      <c r="BR450" s="6">
        <v>0</v>
      </c>
      <c r="BT450" s="6">
        <f t="shared" si="80"/>
        <v>18905839</v>
      </c>
      <c r="BV450" s="7">
        <f>+BT450-'Gen Fd BS'!AC450+BR450</f>
        <v>0</v>
      </c>
    </row>
    <row r="451" spans="1:74">
      <c r="A451" s="11" t="s">
        <v>776</v>
      </c>
      <c r="B451" s="11"/>
      <c r="C451" s="11" t="s">
        <v>72</v>
      </c>
      <c r="E451" s="6">
        <v>22133548</v>
      </c>
      <c r="G451" s="6">
        <v>3764861</v>
      </c>
      <c r="I451" s="6">
        <v>87067</v>
      </c>
      <c r="K451" s="6">
        <v>0</v>
      </c>
      <c r="M451" s="6">
        <v>0</v>
      </c>
      <c r="O451" s="6">
        <v>2159610</v>
      </c>
      <c r="Q451" s="6">
        <v>530172</v>
      </c>
      <c r="S451" s="6">
        <v>31928</v>
      </c>
      <c r="U451" s="6">
        <v>3015082</v>
      </c>
      <c r="W451" s="6">
        <v>860266</v>
      </c>
      <c r="Y451" s="6">
        <v>46182</v>
      </c>
      <c r="AA451" s="6">
        <v>3785872</v>
      </c>
      <c r="AC451" s="6">
        <v>1493991</v>
      </c>
      <c r="AE451" s="6">
        <v>433737</v>
      </c>
      <c r="AG451" s="6">
        <v>0</v>
      </c>
      <c r="AI451" s="6">
        <v>12945</v>
      </c>
      <c r="AJ451" s="11" t="s">
        <v>776</v>
      </c>
      <c r="AK451" s="11"/>
      <c r="AL451" s="11" t="s">
        <v>72</v>
      </c>
      <c r="AN451" s="6">
        <v>1026957</v>
      </c>
      <c r="AP451" s="6">
        <v>0</v>
      </c>
      <c r="AT451" s="6">
        <v>0</v>
      </c>
      <c r="AV451" s="6">
        <v>0</v>
      </c>
      <c r="AX451" s="6">
        <v>0</v>
      </c>
      <c r="AZ451" s="6">
        <f>SUM(E451:AX451)</f>
        <v>39382218</v>
      </c>
      <c r="BB451" s="6">
        <v>0</v>
      </c>
      <c r="BD451" s="6">
        <v>0</v>
      </c>
      <c r="BF451" s="6">
        <v>0</v>
      </c>
      <c r="BH451" s="6">
        <v>0</v>
      </c>
      <c r="BJ451" s="6">
        <f t="shared" si="81"/>
        <v>39382218</v>
      </c>
      <c r="BL451" s="6">
        <f>+'Gen Fd Rev'!AK451-'Gen Fd Exp'!BJ451</f>
        <v>-2938299</v>
      </c>
      <c r="BN451" s="6">
        <v>3047190</v>
      </c>
      <c r="BP451" s="6">
        <v>0</v>
      </c>
      <c r="BR451" s="6">
        <v>0</v>
      </c>
      <c r="BT451" s="6">
        <f t="shared" si="80"/>
        <v>108891</v>
      </c>
      <c r="BV451" s="7">
        <f>+BT451-'Gen Fd BS'!AC451+BR451</f>
        <v>0</v>
      </c>
    </row>
    <row r="452" spans="1:74" hidden="1">
      <c r="A452" s="11" t="s">
        <v>896</v>
      </c>
      <c r="B452" s="11"/>
      <c r="C452" s="11" t="s">
        <v>28</v>
      </c>
      <c r="AJ452" s="11" t="s">
        <v>896</v>
      </c>
      <c r="AK452" s="11"/>
      <c r="AL452" s="11" t="s">
        <v>28</v>
      </c>
      <c r="AX452" s="6">
        <v>0</v>
      </c>
      <c r="AZ452" s="6">
        <f t="shared" si="74"/>
        <v>0</v>
      </c>
      <c r="BB452" s="6">
        <v>0</v>
      </c>
      <c r="BD452" s="6">
        <v>0</v>
      </c>
      <c r="BF452" s="6">
        <v>0</v>
      </c>
      <c r="BH452" s="6">
        <v>0</v>
      </c>
      <c r="BJ452" s="6">
        <f t="shared" si="81"/>
        <v>0</v>
      </c>
      <c r="BL452" s="6">
        <f>+'Gen Fd Rev'!AK452-'Gen Fd Exp'!BJ452</f>
        <v>0</v>
      </c>
      <c r="BP452" s="6">
        <v>0</v>
      </c>
      <c r="BR452" s="6">
        <v>0</v>
      </c>
      <c r="BT452" s="6">
        <f t="shared" si="80"/>
        <v>0</v>
      </c>
      <c r="BV452" s="7">
        <f>+BT452-'Gen Fd BS'!AC452+BR452</f>
        <v>0</v>
      </c>
    </row>
    <row r="453" spans="1:74">
      <c r="A453" s="11" t="s">
        <v>296</v>
      </c>
      <c r="B453" s="11"/>
      <c r="C453" s="11" t="s">
        <v>25</v>
      </c>
      <c r="E453" s="6">
        <v>39772620</v>
      </c>
      <c r="G453" s="6">
        <v>7143148</v>
      </c>
      <c r="I453" s="6">
        <v>336314</v>
      </c>
      <c r="K453" s="6">
        <v>0</v>
      </c>
      <c r="M453" s="6">
        <v>3410655</v>
      </c>
      <c r="O453" s="6">
        <v>4617989</v>
      </c>
      <c r="Q453" s="6">
        <v>4569537</v>
      </c>
      <c r="S453" s="6">
        <v>517810</v>
      </c>
      <c r="U453" s="6">
        <v>7811741</v>
      </c>
      <c r="W453" s="6">
        <v>1606064</v>
      </c>
      <c r="Y453" s="6">
        <v>535471</v>
      </c>
      <c r="AA453" s="6">
        <v>9377361</v>
      </c>
      <c r="AC453" s="6">
        <v>5368336</v>
      </c>
      <c r="AE453" s="6">
        <v>153586</v>
      </c>
      <c r="AG453" s="6">
        <v>0</v>
      </c>
      <c r="AI453" s="6">
        <v>36358</v>
      </c>
      <c r="AJ453" s="11" t="s">
        <v>296</v>
      </c>
      <c r="AK453" s="11"/>
      <c r="AL453" s="11" t="s">
        <v>25</v>
      </c>
      <c r="AN453" s="6">
        <v>1526803</v>
      </c>
      <c r="AP453" s="6">
        <v>71120</v>
      </c>
      <c r="AT453" s="6">
        <v>80591</v>
      </c>
      <c r="AV453" s="6">
        <v>73316</v>
      </c>
      <c r="AX453" s="6">
        <v>0</v>
      </c>
      <c r="AZ453" s="6">
        <f t="shared" si="74"/>
        <v>87008820</v>
      </c>
      <c r="BB453" s="6">
        <v>0</v>
      </c>
      <c r="BD453" s="6">
        <v>0</v>
      </c>
      <c r="BF453" s="6">
        <v>0</v>
      </c>
      <c r="BH453" s="6">
        <v>0</v>
      </c>
      <c r="BJ453" s="6">
        <f t="shared" si="81"/>
        <v>87008820</v>
      </c>
      <c r="BL453" s="6">
        <f>+'Gen Fd Rev'!AK453-'Gen Fd Exp'!BJ453</f>
        <v>5564803</v>
      </c>
      <c r="BN453" s="6">
        <v>3182199</v>
      </c>
      <c r="BP453" s="6">
        <v>0</v>
      </c>
      <c r="BR453" s="6">
        <v>0</v>
      </c>
      <c r="BT453" s="6">
        <f t="shared" si="80"/>
        <v>8747002</v>
      </c>
      <c r="BV453" s="7">
        <f>+BT453-'Gen Fd BS'!AC453+BR453</f>
        <v>0</v>
      </c>
    </row>
    <row r="454" spans="1:74" hidden="1">
      <c r="A454" s="11" t="s">
        <v>821</v>
      </c>
      <c r="B454" s="11"/>
      <c r="C454" s="11" t="s">
        <v>28</v>
      </c>
      <c r="AJ454" s="11" t="s">
        <v>821</v>
      </c>
      <c r="AK454" s="11"/>
      <c r="AL454" s="11" t="s">
        <v>28</v>
      </c>
      <c r="AX454" s="6">
        <v>0</v>
      </c>
      <c r="AZ454" s="6">
        <f t="shared" si="74"/>
        <v>0</v>
      </c>
      <c r="BB454" s="6">
        <v>0</v>
      </c>
      <c r="BD454" s="6">
        <v>0</v>
      </c>
      <c r="BF454" s="6">
        <v>0</v>
      </c>
      <c r="BH454" s="6">
        <v>0</v>
      </c>
      <c r="BJ454" s="6">
        <f t="shared" si="81"/>
        <v>0</v>
      </c>
      <c r="BL454" s="6">
        <f>+'Gen Fd Rev'!AK454-'Gen Fd Exp'!BJ454</f>
        <v>0</v>
      </c>
      <c r="BR454" s="6">
        <v>0</v>
      </c>
      <c r="BT454" s="6">
        <f t="shared" si="80"/>
        <v>0</v>
      </c>
      <c r="BV454" s="7">
        <f>+BT454-'Gen Fd BS'!AC454+BR454</f>
        <v>0</v>
      </c>
    </row>
    <row r="455" spans="1:74">
      <c r="A455" s="11" t="s">
        <v>425</v>
      </c>
      <c r="B455" s="11"/>
      <c r="C455" s="11" t="s">
        <v>48</v>
      </c>
      <c r="E455" s="6">
        <v>16960728</v>
      </c>
      <c r="G455" s="6">
        <v>0</v>
      </c>
      <c r="I455" s="6">
        <v>0</v>
      </c>
      <c r="K455" s="6">
        <v>0</v>
      </c>
      <c r="M455" s="6">
        <v>0</v>
      </c>
      <c r="O455" s="6">
        <v>1230031</v>
      </c>
      <c r="Q455" s="6">
        <v>1878697</v>
      </c>
      <c r="S455" s="6">
        <v>24845</v>
      </c>
      <c r="U455" s="6">
        <v>2281645</v>
      </c>
      <c r="W455" s="6">
        <v>603397</v>
      </c>
      <c r="Y455" s="6">
        <v>6432</v>
      </c>
      <c r="AA455" s="6">
        <v>2732303</v>
      </c>
      <c r="AC455" s="6">
        <v>1390766</v>
      </c>
      <c r="AE455" s="6">
        <v>278328</v>
      </c>
      <c r="AG455" s="6">
        <v>0</v>
      </c>
      <c r="AI455" s="6">
        <v>0</v>
      </c>
      <c r="AJ455" s="11" t="s">
        <v>425</v>
      </c>
      <c r="AK455" s="11"/>
      <c r="AL455" s="11" t="s">
        <v>48</v>
      </c>
      <c r="AN455" s="6">
        <v>376999</v>
      </c>
      <c r="AP455" s="6">
        <v>0</v>
      </c>
      <c r="AT455" s="6">
        <v>0</v>
      </c>
      <c r="AV455" s="6">
        <v>0</v>
      </c>
      <c r="AX455" s="6">
        <v>0</v>
      </c>
      <c r="AZ455" s="6">
        <f t="shared" si="74"/>
        <v>27764171</v>
      </c>
      <c r="BB455" s="6">
        <v>0</v>
      </c>
      <c r="BD455" s="6">
        <v>0</v>
      </c>
      <c r="BF455" s="6">
        <v>0</v>
      </c>
      <c r="BH455" s="6">
        <v>0</v>
      </c>
      <c r="BJ455" s="6">
        <f t="shared" si="81"/>
        <v>27764171</v>
      </c>
      <c r="BL455" s="6">
        <f>+'Gen Fd Rev'!AK455-'Gen Fd Exp'!BJ455</f>
        <v>887802</v>
      </c>
      <c r="BN455" s="6">
        <v>6909944</v>
      </c>
      <c r="BP455" s="6">
        <v>14943</v>
      </c>
      <c r="BR455" s="6">
        <v>0</v>
      </c>
      <c r="BT455" s="6">
        <f t="shared" si="80"/>
        <v>7782803</v>
      </c>
      <c r="BV455" s="7">
        <f>+BT455-'Gen Fd BS'!AC455+BR455</f>
        <v>0</v>
      </c>
    </row>
    <row r="456" spans="1:74">
      <c r="A456" s="11" t="s">
        <v>306</v>
      </c>
      <c r="B456" s="11"/>
      <c r="C456" s="11" t="s">
        <v>62</v>
      </c>
      <c r="E456" s="6">
        <v>23127101</v>
      </c>
      <c r="G456" s="6">
        <v>4956849</v>
      </c>
      <c r="I456" s="6">
        <v>1192495</v>
      </c>
      <c r="K456" s="6">
        <v>0</v>
      </c>
      <c r="M456" s="6">
        <v>219804</v>
      </c>
      <c r="O456" s="6">
        <v>2340847</v>
      </c>
      <c r="Q456" s="6">
        <v>2718766</v>
      </c>
      <c r="S456" s="6">
        <v>87365</v>
      </c>
      <c r="U456" s="6">
        <v>3203547</v>
      </c>
      <c r="W456" s="6">
        <v>982728</v>
      </c>
      <c r="Y456" s="6">
        <v>155803</v>
      </c>
      <c r="AA456" s="6">
        <v>5823780</v>
      </c>
      <c r="AC456" s="6">
        <v>2922283</v>
      </c>
      <c r="AE456" s="6">
        <v>209288</v>
      </c>
      <c r="AG456" s="6">
        <v>0</v>
      </c>
      <c r="AI456" s="6">
        <v>39</v>
      </c>
      <c r="AJ456" s="11" t="s">
        <v>306</v>
      </c>
      <c r="AK456" s="11"/>
      <c r="AL456" s="11" t="s">
        <v>62</v>
      </c>
      <c r="AN456" s="6">
        <v>974693</v>
      </c>
      <c r="AP456" s="6">
        <v>0</v>
      </c>
      <c r="AT456" s="6">
        <v>0</v>
      </c>
      <c r="AV456" s="6">
        <v>0</v>
      </c>
      <c r="AX456" s="6">
        <v>0</v>
      </c>
      <c r="AZ456" s="6">
        <f t="shared" si="74"/>
        <v>48915388</v>
      </c>
      <c r="BB456" s="6">
        <v>0</v>
      </c>
      <c r="BD456" s="6">
        <v>0</v>
      </c>
      <c r="BF456" s="6">
        <v>0</v>
      </c>
      <c r="BH456" s="6">
        <v>0</v>
      </c>
      <c r="BJ456" s="6">
        <f t="shared" si="81"/>
        <v>48915388</v>
      </c>
      <c r="BL456" s="6">
        <f>+'Gen Fd Rev'!AK456-'Gen Fd Exp'!BJ456</f>
        <v>-1475570</v>
      </c>
      <c r="BN456" s="6">
        <v>9087277</v>
      </c>
      <c r="BP456" s="6">
        <v>-12471</v>
      </c>
      <c r="BR456" s="6">
        <v>0</v>
      </c>
      <c r="BT456" s="6">
        <f t="shared" si="80"/>
        <v>7624178</v>
      </c>
      <c r="BV456" s="7">
        <f>+BT456-'Gen Fd BS'!AC456+BR456</f>
        <v>0</v>
      </c>
    </row>
    <row r="457" spans="1:74">
      <c r="A457" s="11" t="s">
        <v>411</v>
      </c>
      <c r="B457" s="11"/>
      <c r="C457" s="11" t="s">
        <v>46</v>
      </c>
      <c r="E457" s="6">
        <v>6954623</v>
      </c>
      <c r="G457" s="6">
        <v>716111</v>
      </c>
      <c r="I457" s="6">
        <v>118066</v>
      </c>
      <c r="K457" s="6">
        <v>0</v>
      </c>
      <c r="M457" s="6">
        <v>0</v>
      </c>
      <c r="O457" s="6">
        <v>132534</v>
      </c>
      <c r="Q457" s="6">
        <v>329829</v>
      </c>
      <c r="S457" s="6">
        <v>117339</v>
      </c>
      <c r="U457" s="6">
        <v>696523</v>
      </c>
      <c r="W457" s="6">
        <v>299071</v>
      </c>
      <c r="Y457" s="6">
        <v>0</v>
      </c>
      <c r="AA457" s="6">
        <v>850671</v>
      </c>
      <c r="AC457" s="6">
        <v>445711</v>
      </c>
      <c r="AE457" s="6">
        <v>0</v>
      </c>
      <c r="AG457" s="6">
        <v>0</v>
      </c>
      <c r="AI457" s="6">
        <v>59577</v>
      </c>
      <c r="AJ457" s="11" t="s">
        <v>411</v>
      </c>
      <c r="AK457" s="11"/>
      <c r="AL457" s="11" t="s">
        <v>46</v>
      </c>
      <c r="AN457" s="6">
        <v>242866</v>
      </c>
      <c r="AP457" s="6">
        <v>0</v>
      </c>
      <c r="AT457" s="6">
        <v>289039</v>
      </c>
      <c r="AV457" s="6">
        <v>12003</v>
      </c>
      <c r="AX457" s="6">
        <v>0</v>
      </c>
      <c r="AZ457" s="6">
        <f t="shared" ref="AZ457:AZ485" si="82">SUM(E457:AX457)</f>
        <v>11263963</v>
      </c>
      <c r="BB457" s="6">
        <v>13704</v>
      </c>
      <c r="BD457" s="6">
        <v>0</v>
      </c>
      <c r="BF457" s="6">
        <v>0</v>
      </c>
      <c r="BH457" s="6">
        <v>0</v>
      </c>
      <c r="BJ457" s="6">
        <f t="shared" si="81"/>
        <v>11277667</v>
      </c>
      <c r="BL457" s="6">
        <f>+'Gen Fd Rev'!AK457-'Gen Fd Exp'!BJ457</f>
        <v>-250438</v>
      </c>
      <c r="BN457" s="6">
        <v>3189541</v>
      </c>
      <c r="BP457" s="6">
        <v>0</v>
      </c>
      <c r="BR457" s="6">
        <v>0</v>
      </c>
      <c r="BT457" s="6">
        <f t="shared" si="80"/>
        <v>2939103</v>
      </c>
      <c r="BV457" s="7">
        <f>+BT457-'Gen Fd BS'!AC457+BR457</f>
        <v>0</v>
      </c>
    </row>
    <row r="458" spans="1:74" ht="12" customHeight="1">
      <c r="A458" s="11" t="s">
        <v>471</v>
      </c>
      <c r="B458" s="11"/>
      <c r="C458" s="11" t="s">
        <v>110</v>
      </c>
      <c r="D458" s="9"/>
      <c r="E458" s="6">
        <v>3122756</v>
      </c>
      <c r="G458" s="6">
        <v>802273</v>
      </c>
      <c r="I458" s="6">
        <v>152728</v>
      </c>
      <c r="K458" s="6">
        <v>0</v>
      </c>
      <c r="M458" s="6">
        <v>516517</v>
      </c>
      <c r="O458" s="6">
        <v>458534</v>
      </c>
      <c r="Q458" s="6">
        <v>237366</v>
      </c>
      <c r="S458" s="6">
        <v>17944</v>
      </c>
      <c r="U458" s="6">
        <v>662388</v>
      </c>
      <c r="W458" s="6">
        <v>223122</v>
      </c>
      <c r="Y458" s="6">
        <v>6545</v>
      </c>
      <c r="AA458" s="6">
        <v>861476</v>
      </c>
      <c r="AC458" s="6">
        <v>482357</v>
      </c>
      <c r="AE458" s="6">
        <v>48184</v>
      </c>
      <c r="AG458" s="6">
        <v>0</v>
      </c>
      <c r="AI458" s="6">
        <v>0</v>
      </c>
      <c r="AJ458" s="11" t="s">
        <v>471</v>
      </c>
      <c r="AK458" s="11"/>
      <c r="AL458" s="11" t="s">
        <v>110</v>
      </c>
      <c r="AN458" s="6">
        <v>241798</v>
      </c>
      <c r="AP458" s="6">
        <v>1847</v>
      </c>
      <c r="AT458" s="6">
        <v>37343</v>
      </c>
      <c r="AV458" s="6">
        <v>36048</v>
      </c>
      <c r="AX458" s="6">
        <v>0</v>
      </c>
      <c r="AZ458" s="6">
        <f t="shared" si="82"/>
        <v>7909226</v>
      </c>
      <c r="BB458" s="6">
        <v>16000</v>
      </c>
      <c r="BD458" s="6">
        <v>0</v>
      </c>
      <c r="BF458" s="6">
        <v>0</v>
      </c>
      <c r="BH458" s="6">
        <v>0</v>
      </c>
      <c r="BJ458" s="6">
        <f t="shared" si="81"/>
        <v>7925226</v>
      </c>
      <c r="BL458" s="6">
        <f>+'Gen Fd Rev'!AK458-'Gen Fd Exp'!BJ458</f>
        <v>43619</v>
      </c>
      <c r="BN458" s="6">
        <v>2572788</v>
      </c>
      <c r="BP458" s="6">
        <v>0</v>
      </c>
      <c r="BR458" s="6">
        <v>0</v>
      </c>
      <c r="BT458" s="6">
        <f t="shared" si="80"/>
        <v>2616407</v>
      </c>
      <c r="BV458" s="7">
        <f>+BT458-'Gen Fd BS'!AC458+BR458</f>
        <v>0</v>
      </c>
    </row>
    <row r="459" spans="1:74" ht="12" customHeight="1">
      <c r="A459" s="11" t="s">
        <v>724</v>
      </c>
      <c r="B459" s="11"/>
      <c r="C459" s="11" t="s">
        <v>45</v>
      </c>
      <c r="E459" s="6">
        <v>9773923</v>
      </c>
      <c r="G459" s="6">
        <v>1590050</v>
      </c>
      <c r="I459" s="6">
        <v>158462</v>
      </c>
      <c r="K459" s="6">
        <v>125658</v>
      </c>
      <c r="M459" s="6">
        <v>5977</v>
      </c>
      <c r="O459" s="6">
        <v>1208851</v>
      </c>
      <c r="Q459" s="6">
        <v>454326</v>
      </c>
      <c r="S459" s="6">
        <v>19729</v>
      </c>
      <c r="U459" s="6">
        <v>1400296</v>
      </c>
      <c r="W459" s="6">
        <v>559183</v>
      </c>
      <c r="Y459" s="6">
        <v>448</v>
      </c>
      <c r="AA459" s="6">
        <v>1790326</v>
      </c>
      <c r="AC459" s="6">
        <v>761587</v>
      </c>
      <c r="AE459" s="6">
        <v>6236</v>
      </c>
      <c r="AG459" s="6">
        <v>0</v>
      </c>
      <c r="AI459" s="6">
        <v>0</v>
      </c>
      <c r="AJ459" s="11" t="s">
        <v>724</v>
      </c>
      <c r="AK459" s="11"/>
      <c r="AL459" s="11" t="s">
        <v>45</v>
      </c>
      <c r="AN459" s="6">
        <v>529200</v>
      </c>
      <c r="AP459" s="6">
        <v>247515</v>
      </c>
      <c r="AT459" s="6">
        <v>96863</v>
      </c>
      <c r="AV459" s="6">
        <v>61072</v>
      </c>
      <c r="AX459" s="6">
        <v>0</v>
      </c>
      <c r="AZ459" s="6">
        <f t="shared" si="82"/>
        <v>18789702</v>
      </c>
      <c r="BB459" s="6">
        <v>4500</v>
      </c>
      <c r="BD459" s="6">
        <v>0</v>
      </c>
      <c r="BF459" s="6">
        <v>0</v>
      </c>
      <c r="BH459" s="6">
        <v>0</v>
      </c>
      <c r="BJ459" s="6">
        <f t="shared" si="81"/>
        <v>18794202</v>
      </c>
      <c r="BL459" s="6">
        <f>+'Gen Fd Rev'!AK459-'Gen Fd Exp'!BJ459</f>
        <v>-572031</v>
      </c>
      <c r="BN459" s="6">
        <v>316288</v>
      </c>
      <c r="BP459" s="6">
        <v>0</v>
      </c>
      <c r="BR459" s="6">
        <v>0</v>
      </c>
      <c r="BT459" s="6">
        <f t="shared" si="80"/>
        <v>-255743</v>
      </c>
      <c r="BV459" s="7">
        <f>+BT459-'Gen Fd BS'!AC459+BR459</f>
        <v>0</v>
      </c>
    </row>
    <row r="460" spans="1:74" ht="12" hidden="1" customHeight="1">
      <c r="A460" s="11" t="s">
        <v>822</v>
      </c>
      <c r="B460" s="11"/>
      <c r="C460" s="11" t="s">
        <v>53</v>
      </c>
      <c r="AJ460" s="11" t="s">
        <v>822</v>
      </c>
      <c r="AK460" s="11"/>
      <c r="AL460" s="11" t="s">
        <v>53</v>
      </c>
      <c r="AX460" s="6">
        <v>0</v>
      </c>
      <c r="AZ460" s="6">
        <f t="shared" si="82"/>
        <v>0</v>
      </c>
      <c r="BB460" s="6">
        <v>0</v>
      </c>
      <c r="BD460" s="6">
        <v>0</v>
      </c>
      <c r="BF460" s="6">
        <v>0</v>
      </c>
      <c r="BH460" s="6">
        <v>0</v>
      </c>
      <c r="BJ460" s="6">
        <f t="shared" si="81"/>
        <v>0</v>
      </c>
      <c r="BL460" s="6">
        <f>+'Gen Fd Rev'!AK460-'Gen Fd Exp'!BJ460</f>
        <v>0</v>
      </c>
      <c r="BP460" s="6">
        <v>0</v>
      </c>
      <c r="BR460" s="6">
        <v>0</v>
      </c>
      <c r="BT460" s="6">
        <f t="shared" si="80"/>
        <v>0</v>
      </c>
      <c r="BV460" s="7">
        <f>+BT460-'Gen Fd BS'!AC460+BR460</f>
        <v>0</v>
      </c>
    </row>
    <row r="461" spans="1:74" ht="12" customHeight="1">
      <c r="A461" s="11" t="s">
        <v>484</v>
      </c>
      <c r="B461" s="11"/>
      <c r="C461" s="11" t="s">
        <v>59</v>
      </c>
      <c r="E461" s="6">
        <v>12520754</v>
      </c>
      <c r="G461" s="6">
        <v>3626368</v>
      </c>
      <c r="I461" s="6">
        <v>422490</v>
      </c>
      <c r="K461" s="6">
        <v>0</v>
      </c>
      <c r="M461" s="6">
        <v>154840</v>
      </c>
      <c r="O461" s="6">
        <v>978020</v>
      </c>
      <c r="Q461" s="6">
        <v>1369924</v>
      </c>
      <c r="S461" s="6">
        <v>19937</v>
      </c>
      <c r="U461" s="6">
        <v>1427785</v>
      </c>
      <c r="W461" s="6">
        <v>542096</v>
      </c>
      <c r="Y461" s="6">
        <v>85285</v>
      </c>
      <c r="AA461" s="6">
        <v>2387074</v>
      </c>
      <c r="AC461" s="6">
        <v>535935</v>
      </c>
      <c r="AE461" s="6">
        <v>20284</v>
      </c>
      <c r="AG461" s="6">
        <v>0</v>
      </c>
      <c r="AI461" s="6">
        <v>328</v>
      </c>
      <c r="AJ461" s="11" t="s">
        <v>484</v>
      </c>
      <c r="AK461" s="11"/>
      <c r="AL461" s="11" t="s">
        <v>59</v>
      </c>
      <c r="AN461" s="6">
        <v>272265</v>
      </c>
      <c r="AP461" s="6">
        <v>0</v>
      </c>
      <c r="AT461" s="6">
        <v>57945</v>
      </c>
      <c r="AV461" s="6">
        <v>4944</v>
      </c>
      <c r="AX461" s="6">
        <v>0</v>
      </c>
      <c r="AZ461" s="6">
        <f t="shared" si="82"/>
        <v>24426274</v>
      </c>
      <c r="BB461" s="6">
        <v>3420</v>
      </c>
      <c r="BD461" s="6">
        <v>0</v>
      </c>
      <c r="BF461" s="6">
        <v>0</v>
      </c>
      <c r="BH461" s="6">
        <v>0</v>
      </c>
      <c r="BJ461" s="6">
        <f t="shared" si="81"/>
        <v>24429694</v>
      </c>
      <c r="BL461" s="6">
        <f>+'Gen Fd Rev'!AK461-'Gen Fd Exp'!BJ461</f>
        <v>-175401</v>
      </c>
      <c r="BN461" s="6">
        <v>1626684</v>
      </c>
      <c r="BP461" s="6">
        <v>0</v>
      </c>
      <c r="BR461" s="6">
        <v>0</v>
      </c>
      <c r="BT461" s="6">
        <f t="shared" si="80"/>
        <v>1451283</v>
      </c>
      <c r="BV461" s="7">
        <f>+BT461-'Gen Fd BS'!AC461+BR461</f>
        <v>0</v>
      </c>
    </row>
    <row r="462" spans="1:74" ht="12" hidden="1" customHeight="1">
      <c r="A462" s="11" t="s">
        <v>689</v>
      </c>
      <c r="B462" s="11"/>
      <c r="C462" s="11" t="s">
        <v>57</v>
      </c>
      <c r="AJ462" s="11" t="s">
        <v>689</v>
      </c>
      <c r="AK462" s="11"/>
      <c r="AL462" s="11" t="s">
        <v>57</v>
      </c>
      <c r="AX462" s="6">
        <v>0</v>
      </c>
      <c r="AZ462" s="6">
        <f t="shared" si="82"/>
        <v>0</v>
      </c>
      <c r="BB462" s="6">
        <v>0</v>
      </c>
      <c r="BD462" s="6">
        <v>0</v>
      </c>
      <c r="BF462" s="6">
        <v>0</v>
      </c>
      <c r="BH462" s="6">
        <v>0</v>
      </c>
      <c r="BJ462" s="6">
        <f t="shared" si="81"/>
        <v>0</v>
      </c>
      <c r="BL462" s="6">
        <f>+'Gen Fd Rev'!AK462-'Gen Fd Exp'!BJ462</f>
        <v>0</v>
      </c>
      <c r="BP462" s="6">
        <v>0</v>
      </c>
      <c r="BR462" s="6">
        <v>0</v>
      </c>
      <c r="BT462" s="6">
        <f t="shared" si="80"/>
        <v>0</v>
      </c>
      <c r="BV462" s="7">
        <f>+BT462-'Gen Fd BS'!AC462+BR462</f>
        <v>0</v>
      </c>
    </row>
    <row r="463" spans="1:74" ht="12" customHeight="1">
      <c r="A463" s="11" t="s">
        <v>329</v>
      </c>
      <c r="B463" s="11"/>
      <c r="C463" s="11" t="s">
        <v>32</v>
      </c>
      <c r="E463" s="6">
        <v>30117689</v>
      </c>
      <c r="G463" s="6">
        <v>8090539</v>
      </c>
      <c r="I463" s="6">
        <v>115408</v>
      </c>
      <c r="K463" s="6">
        <v>0</v>
      </c>
      <c r="M463" s="6">
        <v>2229522</v>
      </c>
      <c r="O463" s="6">
        <v>3347731</v>
      </c>
      <c r="Q463" s="6">
        <v>5532401</v>
      </c>
      <c r="S463" s="6">
        <v>224251</v>
      </c>
      <c r="U463" s="6">
        <v>5896104</v>
      </c>
      <c r="W463" s="6">
        <v>1941440</v>
      </c>
      <c r="Y463" s="6">
        <v>185583</v>
      </c>
      <c r="AA463" s="6">
        <v>7035074</v>
      </c>
      <c r="AC463" s="6">
        <v>4404135</v>
      </c>
      <c r="AE463" s="6">
        <v>1287582</v>
      </c>
      <c r="AG463" s="6">
        <v>0</v>
      </c>
      <c r="AI463" s="6">
        <v>246310</v>
      </c>
      <c r="AJ463" s="11" t="s">
        <v>329</v>
      </c>
      <c r="AK463" s="11"/>
      <c r="AL463" s="11" t="s">
        <v>32</v>
      </c>
      <c r="AN463" s="6">
        <v>251564</v>
      </c>
      <c r="AP463" s="6">
        <v>35224</v>
      </c>
      <c r="AT463" s="6">
        <v>0</v>
      </c>
      <c r="AV463" s="6">
        <v>0</v>
      </c>
      <c r="AX463" s="6">
        <v>0</v>
      </c>
      <c r="AZ463" s="6">
        <f t="shared" si="82"/>
        <v>70940557</v>
      </c>
      <c r="BB463" s="6">
        <v>1141801</v>
      </c>
      <c r="BD463" s="6">
        <v>0</v>
      </c>
      <c r="BF463" s="6">
        <v>0</v>
      </c>
      <c r="BH463" s="6">
        <v>0</v>
      </c>
      <c r="BJ463" s="6">
        <f t="shared" si="81"/>
        <v>72082358</v>
      </c>
      <c r="BL463" s="6">
        <f>+'Gen Fd Rev'!AK463-'Gen Fd Exp'!BJ463</f>
        <v>-2932134</v>
      </c>
      <c r="BN463" s="6">
        <v>19335422</v>
      </c>
      <c r="BP463" s="6">
        <v>0</v>
      </c>
      <c r="BR463" s="6">
        <v>0</v>
      </c>
      <c r="BT463" s="6">
        <f t="shared" si="80"/>
        <v>16403288</v>
      </c>
      <c r="BV463" s="7">
        <f>+BT463-'Gen Fd BS'!AC463+BR463</f>
        <v>0</v>
      </c>
    </row>
    <row r="464" spans="1:74" ht="12" hidden="1" customHeight="1">
      <c r="A464" s="11" t="s">
        <v>823</v>
      </c>
      <c r="B464" s="11"/>
      <c r="C464" s="11" t="s">
        <v>53</v>
      </c>
      <c r="AJ464" s="11" t="s">
        <v>823</v>
      </c>
      <c r="AK464" s="11"/>
      <c r="AL464" s="11" t="s">
        <v>53</v>
      </c>
      <c r="AX464" s="6">
        <v>0</v>
      </c>
      <c r="AZ464" s="6">
        <f t="shared" ref="AZ464" si="83">SUM(E464:AX464)</f>
        <v>0</v>
      </c>
      <c r="BB464" s="6">
        <v>0</v>
      </c>
      <c r="BD464" s="6">
        <v>0</v>
      </c>
      <c r="BF464" s="6">
        <v>0</v>
      </c>
      <c r="BH464" s="6">
        <v>0</v>
      </c>
      <c r="BJ464" s="6">
        <f t="shared" ref="BJ464" si="84">+AZ464+BB464+BD464+BH464</f>
        <v>0</v>
      </c>
      <c r="BL464" s="6">
        <f>+'Gen Fd Rev'!AK464-'Gen Fd Exp'!BJ464</f>
        <v>0</v>
      </c>
      <c r="BP464" s="6">
        <v>0</v>
      </c>
      <c r="BR464" s="6">
        <v>0</v>
      </c>
      <c r="BT464" s="6">
        <f t="shared" si="80"/>
        <v>0</v>
      </c>
      <c r="BV464" s="7">
        <f>+BT464-'Gen Fd BS'!AC464+BR464</f>
        <v>0</v>
      </c>
    </row>
    <row r="465" spans="1:74" ht="12" hidden="1" customHeight="1">
      <c r="A465" s="11" t="s">
        <v>824</v>
      </c>
      <c r="B465" s="11"/>
      <c r="C465" s="11" t="s">
        <v>12</v>
      </c>
      <c r="AJ465" s="11" t="s">
        <v>824</v>
      </c>
      <c r="AK465" s="11"/>
      <c r="AL465" s="11" t="s">
        <v>12</v>
      </c>
      <c r="AX465" s="6">
        <v>0</v>
      </c>
      <c r="AZ465" s="6">
        <f t="shared" si="82"/>
        <v>0</v>
      </c>
      <c r="BB465" s="6">
        <v>0</v>
      </c>
      <c r="BD465" s="6">
        <v>0</v>
      </c>
      <c r="BF465" s="6">
        <v>0</v>
      </c>
      <c r="BH465" s="6">
        <v>0</v>
      </c>
      <c r="BJ465" s="6">
        <f t="shared" si="81"/>
        <v>0</v>
      </c>
      <c r="BL465" s="6">
        <f>+'Gen Fd Rev'!AK465-'Gen Fd Exp'!BJ465</f>
        <v>0</v>
      </c>
      <c r="BP465" s="6">
        <v>0</v>
      </c>
      <c r="BR465" s="6">
        <v>0</v>
      </c>
      <c r="BT465" s="6">
        <f t="shared" si="80"/>
        <v>0</v>
      </c>
      <c r="BV465" s="7">
        <f>+BT465-'Gen Fd BS'!AC465+BR465</f>
        <v>0</v>
      </c>
    </row>
    <row r="466" spans="1:74" ht="12" customHeight="1">
      <c r="A466" s="11" t="s">
        <v>632</v>
      </c>
      <c r="B466" s="11"/>
      <c r="C466" s="11" t="s">
        <v>56</v>
      </c>
      <c r="E466" s="6">
        <v>11056300</v>
      </c>
      <c r="G466" s="6">
        <v>3899510</v>
      </c>
      <c r="I466" s="6">
        <v>360306</v>
      </c>
      <c r="K466" s="6">
        <v>0</v>
      </c>
      <c r="M466" s="6">
        <v>2014943</v>
      </c>
      <c r="O466" s="6">
        <v>1263083</v>
      </c>
      <c r="Q466" s="6">
        <v>707535</v>
      </c>
      <c r="S466" s="6">
        <v>44077</v>
      </c>
      <c r="U466" s="6">
        <v>2475028</v>
      </c>
      <c r="W466" s="6">
        <v>655369</v>
      </c>
      <c r="Y466" s="6">
        <v>270257</v>
      </c>
      <c r="AA466" s="6">
        <v>2591173</v>
      </c>
      <c r="AC466" s="6">
        <v>1271217</v>
      </c>
      <c r="AE466" s="6">
        <v>688133</v>
      </c>
      <c r="AG466" s="6">
        <v>0</v>
      </c>
      <c r="AI466" s="6">
        <v>238</v>
      </c>
      <c r="AJ466" s="11" t="s">
        <v>632</v>
      </c>
      <c r="AK466" s="11"/>
      <c r="AL466" s="11" t="s">
        <v>56</v>
      </c>
      <c r="AN466" s="6">
        <v>653574</v>
      </c>
      <c r="AP466" s="6">
        <v>0</v>
      </c>
      <c r="AT466" s="6">
        <v>0</v>
      </c>
      <c r="AV466" s="6">
        <v>0</v>
      </c>
      <c r="AX466" s="6">
        <v>0</v>
      </c>
      <c r="AZ466" s="6">
        <f t="shared" si="82"/>
        <v>27950743</v>
      </c>
      <c r="BB466" s="6">
        <v>246539</v>
      </c>
      <c r="BD466" s="6">
        <v>0</v>
      </c>
      <c r="BF466" s="6">
        <v>0</v>
      </c>
      <c r="BH466" s="6">
        <v>0</v>
      </c>
      <c r="BJ466" s="6">
        <f t="shared" si="81"/>
        <v>28197282</v>
      </c>
      <c r="BL466" s="6">
        <f>+'Gen Fd Rev'!AK466-'Gen Fd Exp'!BJ466</f>
        <v>-1933630</v>
      </c>
      <c r="BN466" s="6">
        <v>1588405</v>
      </c>
      <c r="BP466" s="6">
        <v>0</v>
      </c>
      <c r="BR466" s="6">
        <v>0</v>
      </c>
      <c r="BT466" s="6">
        <f t="shared" si="80"/>
        <v>-345225</v>
      </c>
      <c r="BV466" s="7">
        <f>+BT466-'Gen Fd BS'!AC466+BR466</f>
        <v>0</v>
      </c>
    </row>
    <row r="467" spans="1:74" ht="12" customHeight="1">
      <c r="A467" s="11" t="s">
        <v>330</v>
      </c>
      <c r="B467" s="11"/>
      <c r="C467" s="11" t="s">
        <v>32</v>
      </c>
      <c r="D467" s="9"/>
      <c r="E467" s="6">
        <v>6728020</v>
      </c>
      <c r="G467" s="6">
        <v>1827998</v>
      </c>
      <c r="I467" s="6">
        <v>262</v>
      </c>
      <c r="K467" s="6">
        <v>0</v>
      </c>
      <c r="M467" s="6">
        <v>576120</v>
      </c>
      <c r="O467" s="6">
        <v>902406</v>
      </c>
      <c r="Q467" s="6">
        <v>255153</v>
      </c>
      <c r="S467" s="6">
        <v>54443</v>
      </c>
      <c r="U467" s="6">
        <v>1384869</v>
      </c>
      <c r="W467" s="6">
        <v>297317</v>
      </c>
      <c r="Y467" s="6">
        <v>0</v>
      </c>
      <c r="AA467" s="6">
        <v>1039867</v>
      </c>
      <c r="AC467" s="6">
        <v>223373</v>
      </c>
      <c r="AE467" s="6">
        <v>293771</v>
      </c>
      <c r="AG467" s="6">
        <v>0</v>
      </c>
      <c r="AI467" s="6">
        <v>95329</v>
      </c>
      <c r="AJ467" s="11" t="s">
        <v>330</v>
      </c>
      <c r="AK467" s="11"/>
      <c r="AL467" s="11" t="s">
        <v>32</v>
      </c>
      <c r="AN467" s="6">
        <v>390912</v>
      </c>
      <c r="AP467" s="6">
        <v>70737</v>
      </c>
      <c r="AT467" s="6">
        <v>103227</v>
      </c>
      <c r="AV467" s="6">
        <v>14147</v>
      </c>
      <c r="AX467" s="6">
        <v>0</v>
      </c>
      <c r="AZ467" s="6">
        <f t="shared" si="82"/>
        <v>14257951</v>
      </c>
      <c r="BB467" s="6">
        <v>59300</v>
      </c>
      <c r="BD467" s="6">
        <v>0</v>
      </c>
      <c r="BF467" s="6">
        <v>0</v>
      </c>
      <c r="BH467" s="6">
        <v>0</v>
      </c>
      <c r="BJ467" s="6">
        <f t="shared" si="81"/>
        <v>14317251</v>
      </c>
      <c r="BL467" s="6">
        <f>+'Gen Fd Rev'!AK467-'Gen Fd Exp'!BJ467</f>
        <v>706665</v>
      </c>
      <c r="BN467" s="6">
        <v>3820750</v>
      </c>
      <c r="BP467" s="6">
        <v>0</v>
      </c>
      <c r="BR467" s="6">
        <v>0</v>
      </c>
      <c r="BT467" s="6">
        <f t="shared" si="80"/>
        <v>4527415</v>
      </c>
      <c r="BV467" s="7">
        <f>+BT467-'Gen Fd BS'!AC467+BR467</f>
        <v>0</v>
      </c>
    </row>
    <row r="468" spans="1:74" ht="12" customHeight="1">
      <c r="A468" s="11" t="s">
        <v>513</v>
      </c>
      <c r="B468" s="11"/>
      <c r="C468" s="11" t="s">
        <v>63</v>
      </c>
      <c r="E468" s="6">
        <v>14380572</v>
      </c>
      <c r="G468" s="6">
        <v>920742</v>
      </c>
      <c r="I468" s="6">
        <v>302521</v>
      </c>
      <c r="K468" s="6">
        <v>0</v>
      </c>
      <c r="M468" s="6">
        <f>1690896+797291</f>
        <v>2488187</v>
      </c>
      <c r="O468" s="6">
        <v>1401883</v>
      </c>
      <c r="Q468" s="6">
        <v>1025348</v>
      </c>
      <c r="S468" s="6">
        <v>370130</v>
      </c>
      <c r="U468" s="6">
        <v>2185696</v>
      </c>
      <c r="W468" s="6">
        <v>1222309</v>
      </c>
      <c r="Y468" s="6">
        <v>87240</v>
      </c>
      <c r="AA468" s="6">
        <v>3014736</v>
      </c>
      <c r="AC468" s="6">
        <v>2157511</v>
      </c>
      <c r="AE468" s="6">
        <v>333496</v>
      </c>
      <c r="AG468" s="6">
        <v>0</v>
      </c>
      <c r="AI468" s="6">
        <v>0</v>
      </c>
      <c r="AJ468" s="11" t="s">
        <v>513</v>
      </c>
      <c r="AK468" s="11"/>
      <c r="AL468" s="11" t="s">
        <v>63</v>
      </c>
      <c r="AN468" s="6">
        <v>910494</v>
      </c>
      <c r="AP468" s="6">
        <v>100</v>
      </c>
      <c r="AT468" s="6">
        <v>0</v>
      </c>
      <c r="AV468" s="6">
        <v>0</v>
      </c>
      <c r="AX468" s="6">
        <v>0</v>
      </c>
      <c r="AZ468" s="6">
        <f t="shared" si="82"/>
        <v>30800965</v>
      </c>
      <c r="BB468" s="6">
        <v>80000</v>
      </c>
      <c r="BD468" s="6">
        <v>0</v>
      </c>
      <c r="BF468" s="6">
        <v>0</v>
      </c>
      <c r="BH468" s="6">
        <v>0</v>
      </c>
      <c r="BJ468" s="6">
        <f t="shared" si="81"/>
        <v>30880965</v>
      </c>
      <c r="BL468" s="6">
        <f>+'Gen Fd Rev'!AK468-'Gen Fd Exp'!BJ468</f>
        <v>855780</v>
      </c>
      <c r="BN468" s="6">
        <v>13424030</v>
      </c>
      <c r="BP468" s="6">
        <v>0</v>
      </c>
      <c r="BR468" s="6">
        <v>0</v>
      </c>
      <c r="BT468" s="6">
        <f t="shared" si="80"/>
        <v>14279810</v>
      </c>
      <c r="BV468" s="7">
        <f>+BT468-'Gen Fd BS'!AC468+BR468</f>
        <v>0</v>
      </c>
    </row>
    <row r="469" spans="1:74" ht="12" hidden="1" customHeight="1">
      <c r="A469" s="11" t="s">
        <v>825</v>
      </c>
      <c r="B469" s="11"/>
      <c r="C469" s="11" t="s">
        <v>27</v>
      </c>
      <c r="AJ469" s="11" t="s">
        <v>825</v>
      </c>
      <c r="AK469" s="11"/>
      <c r="AL469" s="11" t="s">
        <v>27</v>
      </c>
      <c r="AX469" s="6">
        <v>0</v>
      </c>
      <c r="AZ469" s="6">
        <f t="shared" si="82"/>
        <v>0</v>
      </c>
      <c r="BB469" s="6">
        <v>0</v>
      </c>
      <c r="BD469" s="6">
        <v>0</v>
      </c>
      <c r="BF469" s="6">
        <v>0</v>
      </c>
      <c r="BH469" s="6">
        <v>0</v>
      </c>
      <c r="BJ469" s="6">
        <f t="shared" si="81"/>
        <v>0</v>
      </c>
      <c r="BL469" s="6">
        <f>+'Gen Fd Rev'!AK469-'Gen Fd Exp'!BJ469</f>
        <v>0</v>
      </c>
      <c r="BP469" s="6">
        <v>0</v>
      </c>
      <c r="BR469" s="6">
        <v>0</v>
      </c>
      <c r="BT469" s="6">
        <f t="shared" si="80"/>
        <v>0</v>
      </c>
      <c r="BV469" s="7">
        <f>+BT469-'Gen Fd BS'!AC469+BR469</f>
        <v>0</v>
      </c>
    </row>
    <row r="470" spans="1:74" ht="12" customHeight="1">
      <c r="A470" s="11" t="s">
        <v>276</v>
      </c>
      <c r="B470" s="11"/>
      <c r="C470" s="11" t="s">
        <v>20</v>
      </c>
      <c r="D470" s="9"/>
      <c r="E470" s="6">
        <v>5297805</v>
      </c>
      <c r="G470" s="6">
        <v>1828933</v>
      </c>
      <c r="I470" s="6">
        <v>134831</v>
      </c>
      <c r="K470" s="6">
        <v>0</v>
      </c>
      <c r="M470" s="6">
        <v>0</v>
      </c>
      <c r="O470" s="6">
        <v>735209</v>
      </c>
      <c r="Q470" s="6">
        <v>125866</v>
      </c>
      <c r="S470" s="6">
        <v>499173</v>
      </c>
      <c r="U470" s="6">
        <v>1046985</v>
      </c>
      <c r="W470" s="6">
        <v>447338</v>
      </c>
      <c r="Y470" s="6">
        <v>1643</v>
      </c>
      <c r="AA470" s="6">
        <v>933651</v>
      </c>
      <c r="AC470" s="6">
        <v>1069926</v>
      </c>
      <c r="AE470" s="6">
        <v>130286</v>
      </c>
      <c r="AG470" s="6">
        <v>0</v>
      </c>
      <c r="AI470" s="6">
        <v>0</v>
      </c>
      <c r="AJ470" s="11" t="s">
        <v>276</v>
      </c>
      <c r="AK470" s="11"/>
      <c r="AL470" s="11" t="s">
        <v>20</v>
      </c>
      <c r="AN470" s="6">
        <v>206977</v>
      </c>
      <c r="AP470" s="6">
        <v>0</v>
      </c>
      <c r="AT470" s="6">
        <v>17395</v>
      </c>
      <c r="AV470" s="6">
        <v>1363</v>
      </c>
      <c r="AX470" s="6">
        <v>0</v>
      </c>
      <c r="AZ470" s="6">
        <f t="shared" si="82"/>
        <v>12477381</v>
      </c>
      <c r="BB470" s="6">
        <v>139430</v>
      </c>
      <c r="BD470" s="6">
        <v>0</v>
      </c>
      <c r="BF470" s="6">
        <v>0</v>
      </c>
      <c r="BH470" s="6">
        <v>0</v>
      </c>
      <c r="BJ470" s="6">
        <f t="shared" si="81"/>
        <v>12616811</v>
      </c>
      <c r="BL470" s="6">
        <f>+'Gen Fd Rev'!AK470-'Gen Fd Exp'!BJ470</f>
        <v>-1601353</v>
      </c>
      <c r="BN470" s="6">
        <v>1619572</v>
      </c>
      <c r="BP470" s="6">
        <v>0</v>
      </c>
      <c r="BR470" s="6">
        <v>0</v>
      </c>
      <c r="BT470" s="6">
        <f t="shared" si="80"/>
        <v>18219</v>
      </c>
      <c r="BV470" s="7">
        <f>+BT470-'Gen Fd BS'!AC470+BR470</f>
        <v>0</v>
      </c>
    </row>
    <row r="471" spans="1:74" ht="12" customHeight="1">
      <c r="A471" s="11" t="s">
        <v>412</v>
      </c>
      <c r="B471" s="11"/>
      <c r="C471" s="11" t="s">
        <v>46</v>
      </c>
      <c r="E471" s="6">
        <v>2926450</v>
      </c>
      <c r="G471" s="6">
        <v>531841</v>
      </c>
      <c r="I471" s="6">
        <v>206691</v>
      </c>
      <c r="K471" s="6">
        <v>0</v>
      </c>
      <c r="M471" s="6">
        <v>1096063</v>
      </c>
      <c r="O471" s="6">
        <v>156790</v>
      </c>
      <c r="Q471" s="6">
        <v>266917</v>
      </c>
      <c r="S471" s="6">
        <v>38047</v>
      </c>
      <c r="U471" s="6">
        <v>666153</v>
      </c>
      <c r="W471" s="6">
        <v>229001</v>
      </c>
      <c r="Y471" s="6">
        <v>0</v>
      </c>
      <c r="AA471" s="6">
        <v>560606</v>
      </c>
      <c r="AC471" s="6">
        <v>416378</v>
      </c>
      <c r="AE471" s="6">
        <v>46015</v>
      </c>
      <c r="AG471" s="6">
        <v>0</v>
      </c>
      <c r="AI471" s="6">
        <v>0</v>
      </c>
      <c r="AJ471" s="11" t="s">
        <v>412</v>
      </c>
      <c r="AK471" s="11"/>
      <c r="AL471" s="11" t="s">
        <v>46</v>
      </c>
      <c r="AN471" s="6">
        <v>132001</v>
      </c>
      <c r="AP471" s="6">
        <v>0</v>
      </c>
      <c r="AT471" s="6">
        <v>66918</v>
      </c>
      <c r="AV471" s="6">
        <v>10993</v>
      </c>
      <c r="AX471" s="6">
        <v>0</v>
      </c>
      <c r="AZ471" s="6">
        <f t="shared" si="82"/>
        <v>7350864</v>
      </c>
      <c r="BB471" s="6">
        <v>0</v>
      </c>
      <c r="BD471" s="6">
        <v>0</v>
      </c>
      <c r="BF471" s="6">
        <v>0</v>
      </c>
      <c r="BH471" s="6">
        <v>0</v>
      </c>
      <c r="BJ471" s="6">
        <f t="shared" si="81"/>
        <v>7350864</v>
      </c>
      <c r="BL471" s="6">
        <f>+'Gen Fd Rev'!AK471-'Gen Fd Exp'!BJ471</f>
        <v>651659</v>
      </c>
      <c r="BN471" s="6">
        <v>2663923</v>
      </c>
      <c r="BP471" s="6">
        <v>0</v>
      </c>
      <c r="BR471" s="6">
        <v>0</v>
      </c>
      <c r="BT471" s="6">
        <f t="shared" si="80"/>
        <v>3315582</v>
      </c>
      <c r="BV471" s="7">
        <f>+BT471-'Gen Fd BS'!AC471+BR471</f>
        <v>0</v>
      </c>
    </row>
    <row r="472" spans="1:74" ht="12" hidden="1" customHeight="1">
      <c r="A472" s="11" t="s">
        <v>897</v>
      </c>
      <c r="B472" s="11"/>
      <c r="C472" s="11" t="s">
        <v>339</v>
      </c>
      <c r="E472" s="6">
        <v>0</v>
      </c>
      <c r="G472" s="6">
        <v>0</v>
      </c>
      <c r="I472" s="6">
        <v>0</v>
      </c>
      <c r="K472" s="6">
        <v>0</v>
      </c>
      <c r="M472" s="6">
        <v>0</v>
      </c>
      <c r="O472" s="6">
        <v>0</v>
      </c>
      <c r="Q472" s="6">
        <v>0</v>
      </c>
      <c r="S472" s="6">
        <v>0</v>
      </c>
      <c r="U472" s="6">
        <v>0</v>
      </c>
      <c r="W472" s="6">
        <v>0</v>
      </c>
      <c r="Y472" s="6">
        <v>0</v>
      </c>
      <c r="AA472" s="6">
        <v>0</v>
      </c>
      <c r="AC472" s="6">
        <v>0</v>
      </c>
      <c r="AE472" s="6">
        <v>0</v>
      </c>
      <c r="AG472" s="6">
        <v>0</v>
      </c>
      <c r="AI472" s="6">
        <v>0</v>
      </c>
      <c r="AJ472" s="11" t="s">
        <v>897</v>
      </c>
      <c r="AK472" s="11"/>
      <c r="AL472" s="11" t="s">
        <v>339</v>
      </c>
      <c r="AN472" s="6">
        <v>0</v>
      </c>
      <c r="AP472" s="6">
        <v>0</v>
      </c>
      <c r="AT472" s="6">
        <v>0</v>
      </c>
      <c r="AV472" s="6">
        <v>0</v>
      </c>
      <c r="AX472" s="6">
        <v>0</v>
      </c>
      <c r="AZ472" s="6">
        <f t="shared" si="82"/>
        <v>0</v>
      </c>
      <c r="BB472" s="6">
        <v>0</v>
      </c>
      <c r="BD472" s="6">
        <v>0</v>
      </c>
      <c r="BF472" s="6">
        <v>0</v>
      </c>
      <c r="BH472" s="6">
        <v>0</v>
      </c>
      <c r="BJ472" s="6">
        <f t="shared" si="81"/>
        <v>0</v>
      </c>
      <c r="BL472" s="6">
        <f>+'Gen Fd Rev'!AK472-'Gen Fd Exp'!BJ472</f>
        <v>0</v>
      </c>
      <c r="BP472" s="6">
        <v>0</v>
      </c>
      <c r="BR472" s="6">
        <v>0</v>
      </c>
      <c r="BT472" s="6">
        <f t="shared" si="80"/>
        <v>0</v>
      </c>
      <c r="BV472" s="7">
        <f>+BT472-'Gen Fd BS'!AC472+BR472</f>
        <v>0</v>
      </c>
    </row>
    <row r="473" spans="1:74" ht="12" customHeight="1">
      <c r="A473" s="11" t="s">
        <v>254</v>
      </c>
      <c r="B473" s="11"/>
      <c r="C473" s="11" t="s">
        <v>19</v>
      </c>
      <c r="E473" s="6">
        <v>4559886</v>
      </c>
      <c r="G473" s="6">
        <v>563418</v>
      </c>
      <c r="I473" s="6">
        <v>242044</v>
      </c>
      <c r="K473" s="6">
        <v>0</v>
      </c>
      <c r="M473" s="6">
        <v>50709</v>
      </c>
      <c r="O473" s="6">
        <v>574590</v>
      </c>
      <c r="Q473" s="6">
        <v>375377</v>
      </c>
      <c r="S473" s="6">
        <v>20297</v>
      </c>
      <c r="U473" s="6">
        <v>863151</v>
      </c>
      <c r="W473" s="6">
        <v>359233</v>
      </c>
      <c r="Y473" s="6">
        <v>15121</v>
      </c>
      <c r="AA473" s="6">
        <v>1255623</v>
      </c>
      <c r="AC473" s="6">
        <v>1041336</v>
      </c>
      <c r="AE473" s="6">
        <v>3102</v>
      </c>
      <c r="AG473" s="6">
        <v>5027</v>
      </c>
      <c r="AI473" s="6">
        <v>0</v>
      </c>
      <c r="AJ473" s="11" t="s">
        <v>254</v>
      </c>
      <c r="AK473" s="11"/>
      <c r="AL473" s="11" t="s">
        <v>19</v>
      </c>
      <c r="AN473" s="6">
        <v>288356</v>
      </c>
      <c r="AP473" s="6">
        <v>58640</v>
      </c>
      <c r="AT473" s="6">
        <v>22742</v>
      </c>
      <c r="AV473" s="6">
        <v>11258</v>
      </c>
      <c r="AX473" s="6">
        <v>0</v>
      </c>
      <c r="AZ473" s="6">
        <f t="shared" si="82"/>
        <v>10309910</v>
      </c>
      <c r="BB473" s="6">
        <v>0</v>
      </c>
      <c r="BD473" s="6">
        <v>0</v>
      </c>
      <c r="BF473" s="6">
        <v>0</v>
      </c>
      <c r="BH473" s="6">
        <v>0</v>
      </c>
      <c r="BJ473" s="6">
        <f t="shared" si="81"/>
        <v>10309910</v>
      </c>
      <c r="BL473" s="6">
        <f>+'Gen Fd Rev'!AK473-'Gen Fd Exp'!BJ473</f>
        <v>622061</v>
      </c>
      <c r="BN473" s="6">
        <v>2060436</v>
      </c>
      <c r="BP473" s="6">
        <v>0</v>
      </c>
      <c r="BR473" s="6">
        <v>0</v>
      </c>
      <c r="BT473" s="6">
        <f t="shared" si="80"/>
        <v>2682497</v>
      </c>
      <c r="BV473" s="7">
        <f>+BT473-'Gen Fd BS'!AC473+BR473</f>
        <v>0</v>
      </c>
    </row>
    <row r="474" spans="1:74" ht="12" hidden="1" customHeight="1">
      <c r="A474" s="11" t="s">
        <v>826</v>
      </c>
      <c r="B474" s="11"/>
      <c r="C474" s="11" t="s">
        <v>77</v>
      </c>
      <c r="AJ474" s="11" t="s">
        <v>826</v>
      </c>
      <c r="AK474" s="11"/>
      <c r="AL474" s="11" t="s">
        <v>77</v>
      </c>
      <c r="AX474" s="6">
        <v>0</v>
      </c>
      <c r="AZ474" s="6">
        <f t="shared" si="82"/>
        <v>0</v>
      </c>
      <c r="BB474" s="6">
        <v>0</v>
      </c>
      <c r="BD474" s="6">
        <v>0</v>
      </c>
      <c r="BF474" s="6">
        <v>0</v>
      </c>
      <c r="BH474" s="6">
        <v>0</v>
      </c>
      <c r="BJ474" s="6">
        <f t="shared" si="81"/>
        <v>0</v>
      </c>
      <c r="BL474" s="6">
        <f>+'Gen Fd Rev'!AK474-'Gen Fd Exp'!BJ474</f>
        <v>0</v>
      </c>
      <c r="BP474" s="6">
        <v>0</v>
      </c>
      <c r="BR474" s="6">
        <v>0</v>
      </c>
      <c r="BT474" s="6">
        <f t="shared" si="80"/>
        <v>0</v>
      </c>
      <c r="BV474" s="7">
        <f>+BT474-'Gen Fd BS'!AC474+BR474</f>
        <v>0</v>
      </c>
    </row>
    <row r="475" spans="1:74" ht="12" hidden="1" customHeight="1">
      <c r="A475" s="11" t="s">
        <v>827</v>
      </c>
      <c r="B475" s="11"/>
      <c r="C475" s="11" t="s">
        <v>71</v>
      </c>
      <c r="AJ475" s="11" t="s">
        <v>827</v>
      </c>
      <c r="AK475" s="11"/>
      <c r="AL475" s="11" t="s">
        <v>71</v>
      </c>
      <c r="AX475" s="6">
        <v>0</v>
      </c>
      <c r="AZ475" s="6">
        <f t="shared" si="82"/>
        <v>0</v>
      </c>
      <c r="BB475" s="6">
        <v>0</v>
      </c>
      <c r="BD475" s="6">
        <v>0</v>
      </c>
      <c r="BF475" s="6">
        <v>0</v>
      </c>
      <c r="BH475" s="6">
        <v>0</v>
      </c>
      <c r="BJ475" s="6">
        <f t="shared" si="81"/>
        <v>0</v>
      </c>
      <c r="BL475" s="6">
        <f>+'Gen Fd Rev'!AK475-'Gen Fd Exp'!BJ475</f>
        <v>0</v>
      </c>
      <c r="BP475" s="6">
        <v>0</v>
      </c>
      <c r="BR475" s="6">
        <v>0</v>
      </c>
      <c r="BT475" s="6">
        <f t="shared" si="80"/>
        <v>0</v>
      </c>
      <c r="BV475" s="7">
        <f>+BT475-'Gen Fd BS'!AC475+BR475</f>
        <v>0</v>
      </c>
    </row>
    <row r="476" spans="1:74" ht="12" customHeight="1">
      <c r="A476" s="11" t="s">
        <v>413</v>
      </c>
      <c r="B476" s="11"/>
      <c r="C476" s="11" t="s">
        <v>46</v>
      </c>
      <c r="E476" s="6">
        <v>7867236</v>
      </c>
      <c r="G476" s="6">
        <v>1199494</v>
      </c>
      <c r="I476" s="6">
        <v>256525</v>
      </c>
      <c r="K476" s="6">
        <v>0</v>
      </c>
      <c r="M476" s="6">
        <v>0</v>
      </c>
      <c r="O476" s="6">
        <v>416689</v>
      </c>
      <c r="Q476" s="6">
        <v>625008</v>
      </c>
      <c r="S476" s="6">
        <v>17974</v>
      </c>
      <c r="U476" s="6">
        <v>1344648</v>
      </c>
      <c r="W476" s="6">
        <v>418521</v>
      </c>
      <c r="Y476" s="6">
        <v>52255</v>
      </c>
      <c r="AA476" s="6">
        <v>1316950</v>
      </c>
      <c r="AC476" s="6">
        <v>1370662</v>
      </c>
      <c r="AE476" s="6">
        <v>81908</v>
      </c>
      <c r="AG476" s="6">
        <v>0</v>
      </c>
      <c r="AI476" s="6">
        <v>0</v>
      </c>
      <c r="AJ476" s="11" t="s">
        <v>413</v>
      </c>
      <c r="AK476" s="11"/>
      <c r="AL476" s="11" t="s">
        <v>46</v>
      </c>
      <c r="AN476" s="6">
        <v>14426</v>
      </c>
      <c r="AP476" s="6">
        <v>0</v>
      </c>
      <c r="AT476" s="6">
        <v>85395</v>
      </c>
      <c r="AV476" s="6">
        <v>0</v>
      </c>
      <c r="AX476" s="6">
        <v>0</v>
      </c>
      <c r="AZ476" s="6">
        <f t="shared" si="82"/>
        <v>15067691</v>
      </c>
      <c r="BB476" s="6">
        <v>45000</v>
      </c>
      <c r="BD476" s="6">
        <v>0</v>
      </c>
      <c r="BF476" s="6">
        <v>0</v>
      </c>
      <c r="BH476" s="6">
        <v>0</v>
      </c>
      <c r="BJ476" s="6">
        <f t="shared" si="81"/>
        <v>15112691</v>
      </c>
      <c r="BL476" s="6">
        <f>+'Gen Fd Rev'!AK476-'Gen Fd Exp'!BJ476</f>
        <v>546930</v>
      </c>
      <c r="BN476" s="6">
        <v>2387946</v>
      </c>
      <c r="BP476" s="6">
        <v>0</v>
      </c>
      <c r="BR476" s="6">
        <v>0</v>
      </c>
      <c r="BT476" s="6">
        <f t="shared" si="80"/>
        <v>2934876</v>
      </c>
      <c r="BV476" s="7">
        <f>+BT476-'Gen Fd BS'!AC476+BR476</f>
        <v>0</v>
      </c>
    </row>
    <row r="477" spans="1:74" ht="12" customHeight="1">
      <c r="A477" s="11" t="s">
        <v>255</v>
      </c>
      <c r="B477" s="11"/>
      <c r="C477" s="11" t="s">
        <v>19</v>
      </c>
      <c r="D477" s="9"/>
      <c r="E477" s="6">
        <v>9228301</v>
      </c>
      <c r="G477" s="6">
        <v>1719199</v>
      </c>
      <c r="I477" s="6">
        <v>353409</v>
      </c>
      <c r="K477" s="6">
        <v>0</v>
      </c>
      <c r="M477" s="6">
        <v>0</v>
      </c>
      <c r="O477" s="6">
        <v>709850</v>
      </c>
      <c r="Q477" s="6">
        <v>646391</v>
      </c>
      <c r="S477" s="6">
        <v>45265</v>
      </c>
      <c r="U477" s="6">
        <v>1252026</v>
      </c>
      <c r="W477" s="6">
        <v>672842</v>
      </c>
      <c r="Y477" s="6">
        <v>0</v>
      </c>
      <c r="AA477" s="6">
        <v>1762168</v>
      </c>
      <c r="AC477" s="6">
        <v>1513808</v>
      </c>
      <c r="AE477" s="6">
        <v>327800</v>
      </c>
      <c r="AG477" s="6">
        <v>0</v>
      </c>
      <c r="AI477" s="6">
        <v>0</v>
      </c>
      <c r="AJ477" s="11" t="s">
        <v>255</v>
      </c>
      <c r="AK477" s="11"/>
      <c r="AL477" s="11" t="s">
        <v>19</v>
      </c>
      <c r="AN477" s="6">
        <v>287918</v>
      </c>
      <c r="AP477" s="6">
        <v>0</v>
      </c>
      <c r="AT477" s="6">
        <v>167767</v>
      </c>
      <c r="AV477" s="6">
        <v>61138</v>
      </c>
      <c r="AX477" s="6">
        <v>0</v>
      </c>
      <c r="AZ477" s="6">
        <f t="shared" si="82"/>
        <v>18747882</v>
      </c>
      <c r="BB477" s="6">
        <v>0</v>
      </c>
      <c r="BD477" s="6">
        <v>0</v>
      </c>
      <c r="BF477" s="6">
        <v>0</v>
      </c>
      <c r="BH477" s="6">
        <v>0</v>
      </c>
      <c r="BJ477" s="6">
        <f t="shared" si="81"/>
        <v>18747882</v>
      </c>
      <c r="BL477" s="6">
        <f>+'Gen Fd Rev'!AK477-'Gen Fd Exp'!BJ477</f>
        <v>1110796</v>
      </c>
      <c r="BN477" s="6">
        <v>3799931</v>
      </c>
      <c r="BP477" s="6">
        <v>0</v>
      </c>
      <c r="BR477" s="6">
        <v>0</v>
      </c>
      <c r="BT477" s="6">
        <f t="shared" si="80"/>
        <v>4910727</v>
      </c>
      <c r="BV477" s="7">
        <f>+BT477-'Gen Fd BS'!AC477+BR477</f>
        <v>0</v>
      </c>
    </row>
    <row r="478" spans="1:74" hidden="1">
      <c r="A478" s="11" t="s">
        <v>828</v>
      </c>
      <c r="B478" s="11"/>
      <c r="C478" s="11" t="s">
        <v>339</v>
      </c>
      <c r="AJ478" s="11" t="s">
        <v>828</v>
      </c>
      <c r="AK478" s="11"/>
      <c r="AL478" s="11" t="s">
        <v>339</v>
      </c>
      <c r="AX478" s="6">
        <v>0</v>
      </c>
      <c r="AZ478" s="6">
        <f t="shared" si="82"/>
        <v>0</v>
      </c>
      <c r="BB478" s="6">
        <v>0</v>
      </c>
      <c r="BD478" s="6">
        <v>0</v>
      </c>
      <c r="BF478" s="6">
        <v>0</v>
      </c>
      <c r="BH478" s="6">
        <v>0</v>
      </c>
      <c r="BJ478" s="6">
        <f t="shared" si="81"/>
        <v>0</v>
      </c>
      <c r="BL478" s="6">
        <f>+'Gen Fd Rev'!AK478-'Gen Fd Exp'!BJ478</f>
        <v>0</v>
      </c>
      <c r="BR478" s="6">
        <v>0</v>
      </c>
      <c r="BT478" s="6">
        <f t="shared" si="80"/>
        <v>0</v>
      </c>
      <c r="BV478" s="7">
        <f>+BT478-'Gen Fd BS'!AC478+BR478</f>
        <v>0</v>
      </c>
    </row>
    <row r="479" spans="1:74" s="28" customFormat="1">
      <c r="A479" s="27" t="s">
        <v>379</v>
      </c>
      <c r="B479" s="27"/>
      <c r="C479" s="27" t="s">
        <v>41</v>
      </c>
      <c r="E479" s="28">
        <v>16715064</v>
      </c>
      <c r="G479" s="28">
        <v>3554873</v>
      </c>
      <c r="I479" s="28">
        <v>0</v>
      </c>
      <c r="K479" s="28">
        <v>0</v>
      </c>
      <c r="M479" s="28">
        <v>1821276</v>
      </c>
      <c r="O479" s="28">
        <v>1762744</v>
      </c>
      <c r="Q479" s="28">
        <v>958450</v>
      </c>
      <c r="S479" s="28">
        <v>20995</v>
      </c>
      <c r="U479" s="28">
        <v>3963321</v>
      </c>
      <c r="W479" s="28">
        <v>1083484</v>
      </c>
      <c r="Y479" s="28">
        <v>5331</v>
      </c>
      <c r="AA479" s="28">
        <v>3063205</v>
      </c>
      <c r="AC479" s="28">
        <v>3480900</v>
      </c>
      <c r="AE479" s="28">
        <v>32947</v>
      </c>
      <c r="AG479" s="28">
        <v>29114</v>
      </c>
      <c r="AI479" s="28">
        <v>2942</v>
      </c>
      <c r="AJ479" s="27" t="s">
        <v>379</v>
      </c>
      <c r="AK479" s="27"/>
      <c r="AL479" s="27" t="s">
        <v>41</v>
      </c>
      <c r="AN479" s="28">
        <v>378882</v>
      </c>
      <c r="AP479" s="28">
        <v>0</v>
      </c>
      <c r="AT479" s="28">
        <v>0</v>
      </c>
      <c r="AV479" s="28">
        <v>12833</v>
      </c>
      <c r="AX479" s="28">
        <v>0</v>
      </c>
      <c r="AZ479" s="28">
        <f t="shared" si="82"/>
        <v>36886361</v>
      </c>
      <c r="BB479" s="28">
        <v>20375</v>
      </c>
      <c r="BD479" s="28">
        <v>0</v>
      </c>
      <c r="BF479" s="28">
        <v>0</v>
      </c>
      <c r="BH479" s="28">
        <v>0</v>
      </c>
      <c r="BJ479" s="28">
        <f t="shared" si="81"/>
        <v>36906736</v>
      </c>
      <c r="BL479" s="28">
        <f>+'Gen Fd Rev'!AK479-'Gen Fd Exp'!BJ479</f>
        <v>-111292</v>
      </c>
      <c r="BN479" s="28">
        <v>-1457741</v>
      </c>
      <c r="BP479" s="28">
        <v>45832</v>
      </c>
      <c r="BR479" s="28">
        <v>0</v>
      </c>
      <c r="BT479" s="28">
        <f t="shared" si="80"/>
        <v>-1614865</v>
      </c>
      <c r="BV479" s="32">
        <f>+BT479-'Gen Fd BS'!AC479+BR479</f>
        <v>0</v>
      </c>
    </row>
    <row r="480" spans="1:74">
      <c r="A480" s="11" t="s">
        <v>379</v>
      </c>
      <c r="B480" s="11"/>
      <c r="C480" s="11" t="s">
        <v>43</v>
      </c>
      <c r="E480" s="6">
        <v>3430171</v>
      </c>
      <c r="G480" s="6">
        <v>798793</v>
      </c>
      <c r="I480" s="6">
        <v>136807</v>
      </c>
      <c r="K480" s="6">
        <v>0</v>
      </c>
      <c r="M480" s="6">
        <v>0</v>
      </c>
      <c r="O480" s="6">
        <v>153482</v>
      </c>
      <c r="Q480" s="6">
        <v>252052</v>
      </c>
      <c r="S480" s="6">
        <v>15298</v>
      </c>
      <c r="U480" s="6">
        <v>382477</v>
      </c>
      <c r="W480" s="6">
        <v>248173</v>
      </c>
      <c r="Y480" s="6">
        <v>21017</v>
      </c>
      <c r="AA480" s="6">
        <v>721111</v>
      </c>
      <c r="AC480" s="6">
        <v>400436</v>
      </c>
      <c r="AE480" s="6">
        <v>147832</v>
      </c>
      <c r="AG480" s="6">
        <v>0</v>
      </c>
      <c r="AI480" s="6">
        <v>500</v>
      </c>
      <c r="AJ480" s="11" t="s">
        <v>379</v>
      </c>
      <c r="AK480" s="11"/>
      <c r="AL480" s="11" t="s">
        <v>43</v>
      </c>
      <c r="AN480" s="6">
        <v>125944</v>
      </c>
      <c r="AP480" s="6">
        <v>0</v>
      </c>
      <c r="AT480" s="6">
        <v>3785</v>
      </c>
      <c r="AV480" s="6">
        <v>0</v>
      </c>
      <c r="AX480" s="6">
        <v>0</v>
      </c>
      <c r="AZ480" s="6">
        <f t="shared" si="82"/>
        <v>6837878</v>
      </c>
      <c r="BB480" s="6">
        <v>0</v>
      </c>
      <c r="BD480" s="6">
        <v>0</v>
      </c>
      <c r="BF480" s="6">
        <v>0</v>
      </c>
      <c r="BH480" s="6">
        <v>0</v>
      </c>
      <c r="BJ480" s="6">
        <f t="shared" si="81"/>
        <v>6837878</v>
      </c>
      <c r="BL480" s="6">
        <f>+'Gen Fd Rev'!AK480-'Gen Fd Exp'!BJ480</f>
        <v>-56433</v>
      </c>
      <c r="BN480" s="6">
        <v>430592</v>
      </c>
      <c r="BP480" s="6">
        <v>0</v>
      </c>
      <c r="BR480" s="6">
        <v>0</v>
      </c>
      <c r="BT480" s="6">
        <f t="shared" si="80"/>
        <v>374159</v>
      </c>
      <c r="BV480" s="7">
        <f>+BT480-'Gen Fd BS'!AC480+BR480</f>
        <v>0</v>
      </c>
    </row>
    <row r="481" spans="1:74">
      <c r="A481" s="11" t="s">
        <v>370</v>
      </c>
      <c r="B481" s="11"/>
      <c r="C481" s="11" t="s">
        <v>366</v>
      </c>
      <c r="E481" s="6">
        <v>6995772</v>
      </c>
      <c r="G481" s="6">
        <v>1973286</v>
      </c>
      <c r="I481" s="6">
        <v>247684</v>
      </c>
      <c r="K481" s="6">
        <v>0</v>
      </c>
      <c r="M481" s="6">
        <v>0</v>
      </c>
      <c r="O481" s="6">
        <v>582969</v>
      </c>
      <c r="Q481" s="6">
        <v>355281</v>
      </c>
      <c r="S481" s="6">
        <v>464276</v>
      </c>
      <c r="U481" s="6">
        <v>1031111</v>
      </c>
      <c r="W481" s="6">
        <v>360972</v>
      </c>
      <c r="Y481" s="6">
        <v>0</v>
      </c>
      <c r="AA481" s="6">
        <v>2284701</v>
      </c>
      <c r="AC481" s="6">
        <v>1078872</v>
      </c>
      <c r="AE481" s="6">
        <v>112121</v>
      </c>
      <c r="AG481" s="6">
        <v>0</v>
      </c>
      <c r="AI481" s="6">
        <v>0</v>
      </c>
      <c r="AJ481" s="11" t="s">
        <v>370</v>
      </c>
      <c r="AK481" s="11"/>
      <c r="AL481" s="11" t="s">
        <v>366</v>
      </c>
      <c r="AN481" s="6">
        <v>238409</v>
      </c>
      <c r="AP481" s="6">
        <v>0</v>
      </c>
      <c r="AT481" s="6">
        <v>0</v>
      </c>
      <c r="AV481" s="6">
        <v>0</v>
      </c>
      <c r="AX481" s="6">
        <v>0</v>
      </c>
      <c r="AZ481" s="6">
        <f t="shared" si="82"/>
        <v>15725454</v>
      </c>
      <c r="BB481" s="6">
        <v>140000</v>
      </c>
      <c r="BD481" s="6">
        <v>0</v>
      </c>
      <c r="BF481" s="6">
        <v>0</v>
      </c>
      <c r="BH481" s="6">
        <v>0</v>
      </c>
      <c r="BJ481" s="6">
        <f t="shared" si="81"/>
        <v>15865454</v>
      </c>
      <c r="BL481" s="6">
        <f>+'Gen Fd Rev'!AK481-'Gen Fd Exp'!BJ481</f>
        <v>1232363</v>
      </c>
      <c r="BN481" s="6">
        <v>180745</v>
      </c>
      <c r="BP481" s="6">
        <v>0</v>
      </c>
      <c r="BR481" s="6">
        <v>0</v>
      </c>
      <c r="BT481" s="6">
        <f t="shared" si="80"/>
        <v>1413108</v>
      </c>
      <c r="BV481" s="7">
        <f>+BT481-'Gen Fd BS'!AC481+BR481</f>
        <v>0</v>
      </c>
    </row>
    <row r="482" spans="1:74" ht="12" customHeight="1">
      <c r="A482" s="11" t="s">
        <v>713</v>
      </c>
      <c r="B482" s="11"/>
      <c r="C482" s="11" t="s">
        <v>20</v>
      </c>
      <c r="E482" s="6">
        <v>14450231</v>
      </c>
      <c r="G482" s="6">
        <v>3434460</v>
      </c>
      <c r="I482" s="6">
        <v>537264</v>
      </c>
      <c r="K482" s="6">
        <v>0</v>
      </c>
      <c r="M482" s="6">
        <v>40233</v>
      </c>
      <c r="O482" s="6">
        <v>1994062</v>
      </c>
      <c r="Q482" s="6">
        <v>1278592</v>
      </c>
      <c r="S482" s="6">
        <v>35785</v>
      </c>
      <c r="U482" s="6">
        <v>1817853</v>
      </c>
      <c r="W482" s="6">
        <v>926691</v>
      </c>
      <c r="Y482" s="6">
        <v>419786</v>
      </c>
      <c r="AA482" s="6">
        <v>3406352</v>
      </c>
      <c r="AC482" s="6">
        <v>1653813</v>
      </c>
      <c r="AE482" s="6">
        <v>742814</v>
      </c>
      <c r="AG482" s="6">
        <v>0</v>
      </c>
      <c r="AI482" s="6">
        <v>60070</v>
      </c>
      <c r="AJ482" s="11" t="s">
        <v>713</v>
      </c>
      <c r="AK482" s="11"/>
      <c r="AL482" s="11" t="s">
        <v>20</v>
      </c>
      <c r="AN482" s="6">
        <v>876760</v>
      </c>
      <c r="AP482" s="6">
        <v>0</v>
      </c>
      <c r="AT482" s="6">
        <v>60609</v>
      </c>
      <c r="AV482" s="6">
        <v>4630</v>
      </c>
      <c r="AX482" s="6">
        <v>0</v>
      </c>
      <c r="AZ482" s="6">
        <f t="shared" si="82"/>
        <v>31740005</v>
      </c>
      <c r="BB482" s="6">
        <v>50000</v>
      </c>
      <c r="BD482" s="6">
        <v>0</v>
      </c>
      <c r="BF482" s="6">
        <v>0</v>
      </c>
      <c r="BH482" s="6">
        <v>0</v>
      </c>
      <c r="BJ482" s="6">
        <f t="shared" si="81"/>
        <v>31790005</v>
      </c>
      <c r="BL482" s="6">
        <f>+'Gen Fd Rev'!AK482-'Gen Fd Exp'!BJ482</f>
        <v>363420</v>
      </c>
      <c r="BN482" s="6">
        <v>1645082</v>
      </c>
      <c r="BP482" s="6">
        <v>0</v>
      </c>
      <c r="BR482" s="6">
        <v>0</v>
      </c>
      <c r="BT482" s="6">
        <f t="shared" si="80"/>
        <v>2008502</v>
      </c>
      <c r="BV482" s="7">
        <f>+BT482-'Gen Fd BS'!AC482+BR482</f>
        <v>0</v>
      </c>
    </row>
    <row r="483" spans="1:74" ht="12" customHeight="1">
      <c r="A483" s="11" t="s">
        <v>321</v>
      </c>
      <c r="B483" s="11"/>
      <c r="C483" s="11" t="s">
        <v>31</v>
      </c>
      <c r="E483" s="6">
        <v>6465157</v>
      </c>
      <c r="G483" s="6">
        <v>1599543</v>
      </c>
      <c r="I483" s="6">
        <v>215274</v>
      </c>
      <c r="K483" s="6">
        <v>0</v>
      </c>
      <c r="M483" s="6">
        <v>1525803</v>
      </c>
      <c r="O483" s="6">
        <v>445433</v>
      </c>
      <c r="Q483" s="6">
        <v>404353</v>
      </c>
      <c r="S483" s="6">
        <v>27802</v>
      </c>
      <c r="U483" s="6">
        <v>1387737</v>
      </c>
      <c r="W483" s="6">
        <v>575438</v>
      </c>
      <c r="Y483" s="6">
        <v>0</v>
      </c>
      <c r="AA483" s="6">
        <v>1505259</v>
      </c>
      <c r="AC483" s="6">
        <v>975277</v>
      </c>
      <c r="AE483" s="6">
        <v>75793</v>
      </c>
      <c r="AG483" s="6">
        <v>0</v>
      </c>
      <c r="AI483" s="6">
        <v>3354</v>
      </c>
      <c r="AJ483" s="11" t="s">
        <v>321</v>
      </c>
      <c r="AK483" s="11"/>
      <c r="AL483" s="11" t="s">
        <v>31</v>
      </c>
      <c r="AN483" s="6">
        <v>31258</v>
      </c>
      <c r="AP483" s="6">
        <v>324514</v>
      </c>
      <c r="AT483" s="6">
        <v>0</v>
      </c>
      <c r="AV483" s="6">
        <v>0</v>
      </c>
      <c r="AX483" s="6">
        <v>0</v>
      </c>
      <c r="AZ483" s="6">
        <f t="shared" si="82"/>
        <v>15561995</v>
      </c>
      <c r="BB483" s="6">
        <v>85792</v>
      </c>
      <c r="BD483" s="6">
        <v>0</v>
      </c>
      <c r="BF483" s="6">
        <v>0</v>
      </c>
      <c r="BH483" s="6">
        <v>0</v>
      </c>
      <c r="BJ483" s="6">
        <f t="shared" si="81"/>
        <v>15647787</v>
      </c>
      <c r="BL483" s="6">
        <f>+'Gen Fd Rev'!AK483-'Gen Fd Exp'!BJ483</f>
        <v>1065700</v>
      </c>
      <c r="BN483" s="6">
        <v>2549396</v>
      </c>
      <c r="BP483" s="6">
        <v>0</v>
      </c>
      <c r="BR483" s="6">
        <v>0</v>
      </c>
      <c r="BT483" s="6">
        <f t="shared" si="80"/>
        <v>3615096</v>
      </c>
      <c r="BV483" s="7">
        <f>+BT483-'Gen Fd BS'!AC483+BR483</f>
        <v>0</v>
      </c>
    </row>
    <row r="484" spans="1:74" ht="12" customHeight="1">
      <c r="A484" s="11" t="s">
        <v>462</v>
      </c>
      <c r="B484" s="11"/>
      <c r="C484" s="11" t="s">
        <v>56</v>
      </c>
      <c r="E484" s="6">
        <v>4532538</v>
      </c>
      <c r="G484" s="6">
        <v>867003</v>
      </c>
      <c r="I484" s="6">
        <v>194374</v>
      </c>
      <c r="K484" s="6">
        <v>0</v>
      </c>
      <c r="M484" s="6">
        <f>2429+624981</f>
        <v>627410</v>
      </c>
      <c r="O484" s="6">
        <v>536565</v>
      </c>
      <c r="Q484" s="6">
        <v>369732</v>
      </c>
      <c r="S484" s="6">
        <v>25543</v>
      </c>
      <c r="U484" s="6">
        <v>845366</v>
      </c>
      <c r="W484" s="6">
        <v>360680</v>
      </c>
      <c r="Y484" s="6">
        <v>13631</v>
      </c>
      <c r="AA484" s="6">
        <v>988632</v>
      </c>
      <c r="AC484" s="6">
        <v>607677</v>
      </c>
      <c r="AE484" s="6">
        <v>811</v>
      </c>
      <c r="AG484" s="6">
        <v>0</v>
      </c>
      <c r="AI484" s="6">
        <v>0</v>
      </c>
      <c r="AJ484" s="11" t="s">
        <v>462</v>
      </c>
      <c r="AK484" s="11"/>
      <c r="AL484" s="11" t="s">
        <v>56</v>
      </c>
      <c r="AN484" s="6">
        <v>267159</v>
      </c>
      <c r="AP484" s="6">
        <v>0</v>
      </c>
      <c r="AT484" s="6">
        <v>0</v>
      </c>
      <c r="AV484" s="6">
        <v>0</v>
      </c>
      <c r="AX484" s="6">
        <v>0</v>
      </c>
      <c r="AZ484" s="6">
        <f>SUM(E484:AX484)</f>
        <v>10237121</v>
      </c>
      <c r="BB484" s="6">
        <v>0</v>
      </c>
      <c r="BD484" s="6">
        <v>0</v>
      </c>
      <c r="BF484" s="6">
        <v>0</v>
      </c>
      <c r="BH484" s="6">
        <v>0</v>
      </c>
      <c r="BJ484" s="6">
        <f t="shared" si="81"/>
        <v>10237121</v>
      </c>
      <c r="BL484" s="6">
        <f>+'Gen Fd Rev'!AK484-'Gen Fd Exp'!BJ484</f>
        <v>635072</v>
      </c>
      <c r="BN484" s="6">
        <v>25747</v>
      </c>
      <c r="BP484" s="6">
        <v>0</v>
      </c>
      <c r="BR484" s="6">
        <v>0</v>
      </c>
      <c r="BT484" s="6">
        <f>+BN484+BL484-BP484</f>
        <v>660819</v>
      </c>
      <c r="BV484" s="7">
        <f>+BT484-'Gen Fd BS'!AC484+BR484</f>
        <v>0</v>
      </c>
    </row>
    <row r="485" spans="1:74" ht="12" customHeight="1">
      <c r="A485" s="11" t="s">
        <v>714</v>
      </c>
      <c r="B485" s="11"/>
      <c r="C485" s="11" t="s">
        <v>221</v>
      </c>
      <c r="E485" s="6">
        <v>10965638</v>
      </c>
      <c r="G485" s="6">
        <v>1442599</v>
      </c>
      <c r="I485" s="6">
        <v>0</v>
      </c>
      <c r="K485" s="6">
        <v>0</v>
      </c>
      <c r="M485" s="6">
        <v>784868</v>
      </c>
      <c r="O485" s="6">
        <v>893991</v>
      </c>
      <c r="Q485" s="6">
        <v>838152</v>
      </c>
      <c r="S485" s="6">
        <v>21793</v>
      </c>
      <c r="U485" s="6">
        <v>1220106</v>
      </c>
      <c r="W485" s="6">
        <v>649197</v>
      </c>
      <c r="Y485" s="6">
        <v>0</v>
      </c>
      <c r="AA485" s="6">
        <v>1732118</v>
      </c>
      <c r="AC485" s="6">
        <v>1509789</v>
      </c>
      <c r="AE485" s="6">
        <v>0</v>
      </c>
      <c r="AG485" s="6">
        <v>0</v>
      </c>
      <c r="AI485" s="6">
        <v>446626</v>
      </c>
      <c r="AJ485" s="11" t="s">
        <v>714</v>
      </c>
      <c r="AK485" s="11"/>
      <c r="AL485" s="11" t="s">
        <v>221</v>
      </c>
      <c r="AN485" s="6">
        <v>0</v>
      </c>
      <c r="AP485" s="6">
        <v>140571</v>
      </c>
      <c r="AT485" s="6">
        <v>274577</v>
      </c>
      <c r="AV485" s="6">
        <v>20619</v>
      </c>
      <c r="AX485" s="6">
        <v>0</v>
      </c>
      <c r="AZ485" s="6">
        <f t="shared" si="82"/>
        <v>20940644</v>
      </c>
      <c r="BB485" s="6">
        <v>0</v>
      </c>
      <c r="BD485" s="6">
        <v>0</v>
      </c>
      <c r="BF485" s="6">
        <v>0</v>
      </c>
      <c r="BH485" s="6">
        <v>0</v>
      </c>
      <c r="BJ485" s="6">
        <f t="shared" si="81"/>
        <v>20940644</v>
      </c>
      <c r="BL485" s="6">
        <f>+'Gen Fd Rev'!AK485-'Gen Fd Exp'!BJ485</f>
        <v>1963612</v>
      </c>
      <c r="BN485" s="6">
        <v>3023425</v>
      </c>
      <c r="BP485" s="6">
        <v>0</v>
      </c>
      <c r="BR485" s="6">
        <v>0</v>
      </c>
      <c r="BT485" s="6">
        <f t="shared" si="80"/>
        <v>4987037</v>
      </c>
      <c r="BV485" s="7">
        <f>+BT485-'Gen Fd BS'!AC485+BR485</f>
        <v>0</v>
      </c>
    </row>
    <row r="486" spans="1:74" ht="12" customHeight="1">
      <c r="A486" s="11" t="s">
        <v>777</v>
      </c>
      <c r="B486" s="11"/>
      <c r="C486" s="11" t="s">
        <v>72</v>
      </c>
      <c r="D486" s="9"/>
      <c r="E486" s="6">
        <v>11111831</v>
      </c>
      <c r="G486" s="6">
        <v>2180279</v>
      </c>
      <c r="I486" s="6">
        <v>303254</v>
      </c>
      <c r="K486" s="6">
        <v>21328</v>
      </c>
      <c r="M486" s="6">
        <v>0</v>
      </c>
      <c r="O486" s="6">
        <v>1655075</v>
      </c>
      <c r="Q486" s="6">
        <v>1401360</v>
      </c>
      <c r="S486" s="6">
        <v>48582</v>
      </c>
      <c r="U486" s="6">
        <v>2145769</v>
      </c>
      <c r="W486" s="6">
        <v>450175</v>
      </c>
      <c r="Y486" s="6">
        <v>115407</v>
      </c>
      <c r="AA486" s="6">
        <v>2193986</v>
      </c>
      <c r="AC486" s="6">
        <v>960902</v>
      </c>
      <c r="AE486" s="6">
        <v>514777</v>
      </c>
      <c r="AG486" s="6">
        <v>0</v>
      </c>
      <c r="AI486" s="6">
        <v>28453</v>
      </c>
      <c r="AJ486" s="11" t="s">
        <v>777</v>
      </c>
      <c r="AK486" s="11"/>
      <c r="AL486" s="11" t="s">
        <v>72</v>
      </c>
      <c r="AN486" s="6">
        <v>525019</v>
      </c>
      <c r="AP486" s="6">
        <v>31039</v>
      </c>
      <c r="AT486" s="6">
        <v>0</v>
      </c>
      <c r="AV486" s="6">
        <v>0</v>
      </c>
      <c r="AX486" s="6">
        <v>0</v>
      </c>
      <c r="AZ486" s="6">
        <f>SUM(E486:AX486)</f>
        <v>23687236</v>
      </c>
      <c r="BB486" s="6">
        <v>72500</v>
      </c>
      <c r="BD486" s="6">
        <v>0</v>
      </c>
      <c r="BF486" s="6">
        <v>0</v>
      </c>
      <c r="BH486" s="6">
        <v>0</v>
      </c>
      <c r="BJ486" s="6">
        <f>+AZ486+BB486+BD486+BH486</f>
        <v>23759736</v>
      </c>
      <c r="BL486" s="6">
        <f>+'Gen Fd Rev'!AK486-'Gen Fd Exp'!BJ486</f>
        <v>-2316422</v>
      </c>
      <c r="BN486" s="6">
        <v>10582579</v>
      </c>
      <c r="BP486" s="6">
        <v>0</v>
      </c>
      <c r="BR486" s="6">
        <v>0</v>
      </c>
      <c r="BT486" s="6">
        <f>+BN486+BL486-BP486</f>
        <v>8266157</v>
      </c>
      <c r="BV486" s="7">
        <f>+BT486-'Gen Fd BS'!AC486+BR486</f>
        <v>0</v>
      </c>
    </row>
    <row r="487" spans="1:74">
      <c r="A487" s="11" t="s">
        <v>492</v>
      </c>
      <c r="B487" s="11"/>
      <c r="C487" s="11" t="s">
        <v>61</v>
      </c>
      <c r="E487" s="6">
        <v>1910140</v>
      </c>
      <c r="G487" s="6">
        <v>301631</v>
      </c>
      <c r="I487" s="6">
        <v>0</v>
      </c>
      <c r="K487" s="6">
        <v>0</v>
      </c>
      <c r="M487" s="6">
        <v>7016</v>
      </c>
      <c r="O487" s="6">
        <v>56658</v>
      </c>
      <c r="Q487" s="6">
        <v>39864</v>
      </c>
      <c r="S487" s="6">
        <v>6549</v>
      </c>
      <c r="U487" s="6">
        <v>350303</v>
      </c>
      <c r="W487" s="6">
        <v>134704</v>
      </c>
      <c r="Y487" s="6">
        <v>474</v>
      </c>
      <c r="AA487" s="6">
        <v>360408</v>
      </c>
      <c r="AC487" s="6">
        <v>172954</v>
      </c>
      <c r="AE487" s="6">
        <v>88622</v>
      </c>
      <c r="AG487" s="6">
        <v>0</v>
      </c>
      <c r="AI487" s="6">
        <v>8753</v>
      </c>
      <c r="AJ487" s="11" t="s">
        <v>492</v>
      </c>
      <c r="AK487" s="11"/>
      <c r="AL487" s="11" t="s">
        <v>61</v>
      </c>
      <c r="AN487" s="6">
        <v>129735</v>
      </c>
      <c r="AP487" s="6">
        <v>0</v>
      </c>
      <c r="AT487" s="6">
        <v>0</v>
      </c>
      <c r="AV487" s="6">
        <v>0</v>
      </c>
      <c r="AX487" s="6">
        <v>0</v>
      </c>
      <c r="AZ487" s="6">
        <f>SUM(E487:AX487)</f>
        <v>3567811</v>
      </c>
      <c r="BB487" s="6">
        <v>0</v>
      </c>
      <c r="BD487" s="6">
        <v>0</v>
      </c>
      <c r="BF487" s="6">
        <v>0</v>
      </c>
      <c r="BH487" s="6">
        <v>0</v>
      </c>
      <c r="BJ487" s="6">
        <f>+AZ487+BB487+BD487+BH487</f>
        <v>3567811</v>
      </c>
      <c r="BL487" s="6">
        <f>+'Gen Fd Rev'!AK487-'Gen Fd Exp'!BJ487</f>
        <v>385516</v>
      </c>
      <c r="BN487" s="6">
        <v>891426</v>
      </c>
      <c r="BP487" s="6">
        <v>0</v>
      </c>
      <c r="BR487" s="6">
        <v>0</v>
      </c>
      <c r="BT487" s="6">
        <f>+BN487+BL487-BP487</f>
        <v>1276942</v>
      </c>
      <c r="BV487" s="7">
        <f>+BT487-'Gen Fd BS'!AC487+BR487</f>
        <v>0</v>
      </c>
    </row>
    <row r="488" spans="1:74">
      <c r="A488" s="11" t="s">
        <v>607</v>
      </c>
      <c r="B488" s="11"/>
      <c r="C488" s="11" t="s">
        <v>112</v>
      </c>
      <c r="E488" s="6">
        <v>7861536</v>
      </c>
      <c r="G488" s="6">
        <v>1731503</v>
      </c>
      <c r="I488" s="6">
        <v>264795</v>
      </c>
      <c r="K488" s="6">
        <v>639373</v>
      </c>
      <c r="M488" s="6">
        <v>1835852</v>
      </c>
      <c r="O488" s="6">
        <v>1003218</v>
      </c>
      <c r="Q488" s="6">
        <v>566884</v>
      </c>
      <c r="S488" s="6">
        <v>39210</v>
      </c>
      <c r="U488" s="6">
        <v>1786486</v>
      </c>
      <c r="W488" s="6">
        <v>567035</v>
      </c>
      <c r="Y488" s="6">
        <v>12946</v>
      </c>
      <c r="AA488" s="6">
        <v>1585023</v>
      </c>
      <c r="AC488" s="6">
        <v>603115</v>
      </c>
      <c r="AE488" s="6">
        <v>160573</v>
      </c>
      <c r="AG488" s="6">
        <v>0</v>
      </c>
      <c r="AI488" s="6">
        <v>16675</v>
      </c>
      <c r="AJ488" s="11" t="s">
        <v>607</v>
      </c>
      <c r="AK488" s="11"/>
      <c r="AL488" s="11" t="s">
        <v>112</v>
      </c>
      <c r="AN488" s="6">
        <v>412379</v>
      </c>
      <c r="AP488" s="6">
        <v>191286</v>
      </c>
      <c r="AT488" s="6">
        <v>156082</v>
      </c>
      <c r="AV488" s="6">
        <v>102704</v>
      </c>
      <c r="AX488" s="6">
        <v>0</v>
      </c>
      <c r="AZ488" s="6">
        <f t="shared" ref="AZ488:AZ505" si="85">SUM(E488:AX488)</f>
        <v>19536675</v>
      </c>
      <c r="BB488" s="6">
        <v>2482</v>
      </c>
      <c r="BD488" s="6">
        <v>0</v>
      </c>
      <c r="BF488" s="6">
        <v>0</v>
      </c>
      <c r="BH488" s="6">
        <v>0</v>
      </c>
      <c r="BJ488" s="6">
        <f t="shared" ref="BJ488:BJ537" si="86">+AZ488+BB488+BD488+BH488</f>
        <v>19539157</v>
      </c>
      <c r="BL488" s="6">
        <f>+'Gen Fd Rev'!AK488-'Gen Fd Exp'!BJ488</f>
        <v>-57023</v>
      </c>
      <c r="BN488" s="6">
        <v>504845</v>
      </c>
      <c r="BP488" s="6">
        <v>0</v>
      </c>
      <c r="BR488" s="6">
        <v>0</v>
      </c>
      <c r="BT488" s="6">
        <f t="shared" ref="BT488:BT537" si="87">+BN488+BL488-BP488</f>
        <v>447822</v>
      </c>
      <c r="BV488" s="7">
        <f>+BT488-'Gen Fd BS'!AC488+BR488</f>
        <v>0</v>
      </c>
    </row>
    <row r="489" spans="1:74">
      <c r="A489" s="11" t="s">
        <v>290</v>
      </c>
      <c r="B489" s="11"/>
      <c r="C489" s="11" t="s">
        <v>24</v>
      </c>
      <c r="E489" s="6">
        <v>19759657</v>
      </c>
      <c r="G489" s="6">
        <v>5717120</v>
      </c>
      <c r="I489" s="6">
        <v>1394157</v>
      </c>
      <c r="K489" s="6">
        <v>825888</v>
      </c>
      <c r="M489" s="6">
        <v>382838</v>
      </c>
      <c r="O489" s="6">
        <v>1705117</v>
      </c>
      <c r="Q489" s="6">
        <v>2064739</v>
      </c>
      <c r="S489" s="6">
        <v>194969</v>
      </c>
      <c r="U489" s="6">
        <v>2610321</v>
      </c>
      <c r="W489" s="6">
        <v>747635</v>
      </c>
      <c r="Y489" s="6">
        <v>152069</v>
      </c>
      <c r="AA489" s="6">
        <v>3177557</v>
      </c>
      <c r="AC489" s="6">
        <v>1554611</v>
      </c>
      <c r="AE489" s="6">
        <v>794171</v>
      </c>
      <c r="AG489" s="6">
        <v>0</v>
      </c>
      <c r="AI489" s="6">
        <v>0</v>
      </c>
      <c r="AJ489" s="11" t="s">
        <v>290</v>
      </c>
      <c r="AK489" s="11"/>
      <c r="AL489" s="11" t="s">
        <v>24</v>
      </c>
      <c r="AN489" s="6">
        <v>786629</v>
      </c>
      <c r="AP489" s="6">
        <v>0</v>
      </c>
      <c r="AT489" s="6">
        <v>203714</v>
      </c>
      <c r="AV489" s="6">
        <v>49997</v>
      </c>
      <c r="AX489" s="6">
        <v>0</v>
      </c>
      <c r="AZ489" s="6">
        <f t="shared" si="85"/>
        <v>42121189</v>
      </c>
      <c r="BB489" s="6">
        <v>0</v>
      </c>
      <c r="BD489" s="6">
        <v>0</v>
      </c>
      <c r="BF489" s="6">
        <v>0</v>
      </c>
      <c r="BH489" s="6">
        <v>0</v>
      </c>
      <c r="BJ489" s="6">
        <f t="shared" si="86"/>
        <v>42121189</v>
      </c>
      <c r="BL489" s="6">
        <f>+'Gen Fd Rev'!AK489-'Gen Fd Exp'!BJ489</f>
        <v>-1424589</v>
      </c>
      <c r="BN489" s="6">
        <v>468531</v>
      </c>
      <c r="BP489" s="6">
        <v>0</v>
      </c>
      <c r="BR489" s="6">
        <v>0</v>
      </c>
      <c r="BT489" s="6">
        <f t="shared" si="87"/>
        <v>-956058</v>
      </c>
      <c r="BV489" s="7">
        <f>+BT489-'Gen Fd BS'!AC489+BR489</f>
        <v>0</v>
      </c>
    </row>
    <row r="490" spans="1:74">
      <c r="A490" s="11" t="s">
        <v>504</v>
      </c>
      <c r="B490" s="11"/>
      <c r="C490" s="11" t="s">
        <v>62</v>
      </c>
      <c r="E490" s="6">
        <v>4620445</v>
      </c>
      <c r="G490" s="6">
        <v>1605392</v>
      </c>
      <c r="I490" s="6">
        <v>777163</v>
      </c>
      <c r="K490" s="6">
        <v>0</v>
      </c>
      <c r="M490" s="6">
        <v>501882</v>
      </c>
      <c r="O490" s="6">
        <v>920041</v>
      </c>
      <c r="Q490" s="6">
        <v>117462</v>
      </c>
      <c r="S490" s="6">
        <v>13965</v>
      </c>
      <c r="U490" s="6">
        <v>1009465</v>
      </c>
      <c r="W490" s="6">
        <v>358161</v>
      </c>
      <c r="Y490" s="6">
        <v>116081</v>
      </c>
      <c r="AA490" s="6">
        <v>877226</v>
      </c>
      <c r="AC490" s="6">
        <v>848883</v>
      </c>
      <c r="AE490" s="6">
        <v>8168</v>
      </c>
      <c r="AG490" s="6">
        <v>0</v>
      </c>
      <c r="AI490" s="6">
        <v>0</v>
      </c>
      <c r="AJ490" s="11" t="s">
        <v>504</v>
      </c>
      <c r="AK490" s="11"/>
      <c r="AL490" s="11" t="s">
        <v>62</v>
      </c>
      <c r="AN490" s="6">
        <v>320451</v>
      </c>
      <c r="AP490" s="6">
        <v>0</v>
      </c>
      <c r="AT490" s="6">
        <v>0</v>
      </c>
      <c r="AV490" s="6">
        <v>0</v>
      </c>
      <c r="AX490" s="6">
        <v>0</v>
      </c>
      <c r="AZ490" s="6">
        <f t="shared" si="85"/>
        <v>12094785</v>
      </c>
      <c r="BB490" s="6">
        <v>0</v>
      </c>
      <c r="BD490" s="6">
        <v>0</v>
      </c>
      <c r="BF490" s="6">
        <v>0</v>
      </c>
      <c r="BH490" s="6">
        <v>0</v>
      </c>
      <c r="BJ490" s="6">
        <f t="shared" si="86"/>
        <v>12094785</v>
      </c>
      <c r="BL490" s="6">
        <f>+'Gen Fd Rev'!AK490-'Gen Fd Exp'!BJ490</f>
        <v>374855</v>
      </c>
      <c r="BN490" s="6">
        <v>1210580</v>
      </c>
      <c r="BP490" s="6">
        <v>0</v>
      </c>
      <c r="BR490" s="6">
        <v>0</v>
      </c>
      <c r="BT490" s="6">
        <f t="shared" si="87"/>
        <v>1585435</v>
      </c>
      <c r="BV490" s="7">
        <f>+BT490-'Gen Fd BS'!AC490+BR490</f>
        <v>0</v>
      </c>
    </row>
    <row r="491" spans="1:74">
      <c r="A491" s="11" t="s">
        <v>456</v>
      </c>
      <c r="B491" s="11"/>
      <c r="C491" s="11" t="s">
        <v>55</v>
      </c>
      <c r="E491" s="6">
        <v>5548436</v>
      </c>
      <c r="G491" s="6">
        <v>1282966</v>
      </c>
      <c r="I491" s="6">
        <v>0</v>
      </c>
      <c r="K491" s="6">
        <v>0</v>
      </c>
      <c r="M491" s="6">
        <v>22913</v>
      </c>
      <c r="O491" s="6">
        <v>709296</v>
      </c>
      <c r="Q491" s="6">
        <v>618807</v>
      </c>
      <c r="S491" s="6">
        <v>17415</v>
      </c>
      <c r="U491" s="6">
        <v>1818728</v>
      </c>
      <c r="W491" s="6">
        <v>337777</v>
      </c>
      <c r="Y491" s="6">
        <v>0</v>
      </c>
      <c r="AA491" s="6">
        <v>1418267</v>
      </c>
      <c r="AC491" s="6">
        <v>1127210</v>
      </c>
      <c r="AE491" s="6">
        <v>103595</v>
      </c>
      <c r="AG491" s="6">
        <v>0</v>
      </c>
      <c r="AI491" s="6">
        <v>0</v>
      </c>
      <c r="AJ491" s="11" t="s">
        <v>456</v>
      </c>
      <c r="AK491" s="11"/>
      <c r="AL491" s="11" t="s">
        <v>55</v>
      </c>
      <c r="AN491" s="6">
        <v>247190</v>
      </c>
      <c r="AP491" s="6">
        <v>45510</v>
      </c>
      <c r="AT491" s="6">
        <v>61931</v>
      </c>
      <c r="AV491" s="6">
        <v>17161</v>
      </c>
      <c r="AX491" s="6">
        <v>0</v>
      </c>
      <c r="AZ491" s="6">
        <f t="shared" si="85"/>
        <v>13377202</v>
      </c>
      <c r="BB491" s="6">
        <v>502627</v>
      </c>
      <c r="BD491" s="6">
        <v>0</v>
      </c>
      <c r="BF491" s="6">
        <v>0</v>
      </c>
      <c r="BH491" s="6">
        <v>0</v>
      </c>
      <c r="BJ491" s="6">
        <f t="shared" si="86"/>
        <v>13879829</v>
      </c>
      <c r="BL491" s="6">
        <f>+'Gen Fd Rev'!AK491-'Gen Fd Exp'!BJ491</f>
        <v>-87133</v>
      </c>
      <c r="BN491" s="6">
        <v>5847686</v>
      </c>
      <c r="BP491" s="6">
        <v>0</v>
      </c>
      <c r="BR491" s="6">
        <v>0</v>
      </c>
      <c r="BT491" s="6">
        <f t="shared" si="87"/>
        <v>5760553</v>
      </c>
      <c r="BV491" s="7">
        <f>+BT491-'Gen Fd BS'!AC491+BR491</f>
        <v>0</v>
      </c>
    </row>
    <row r="492" spans="1:74">
      <c r="A492" s="11" t="s">
        <v>405</v>
      </c>
      <c r="B492" s="11"/>
      <c r="C492" s="11" t="s">
        <v>45</v>
      </c>
      <c r="E492" s="6">
        <v>2330114</v>
      </c>
      <c r="G492" s="6">
        <v>1456707</v>
      </c>
      <c r="I492" s="6">
        <v>7181</v>
      </c>
      <c r="K492" s="6">
        <v>0</v>
      </c>
      <c r="M492" s="6">
        <v>0</v>
      </c>
      <c r="O492" s="6">
        <v>171769</v>
      </c>
      <c r="Q492" s="6">
        <v>179047</v>
      </c>
      <c r="S492" s="6">
        <v>12165</v>
      </c>
      <c r="U492" s="6">
        <v>690226</v>
      </c>
      <c r="W492" s="6">
        <v>260418</v>
      </c>
      <c r="Y492" s="6">
        <v>0</v>
      </c>
      <c r="AA492" s="6">
        <v>643931</v>
      </c>
      <c r="AC492" s="6">
        <v>158135</v>
      </c>
      <c r="AE492" s="6">
        <v>42</v>
      </c>
      <c r="AG492" s="6">
        <v>0</v>
      </c>
      <c r="AI492" s="6">
        <v>0</v>
      </c>
      <c r="AJ492" s="11" t="s">
        <v>405</v>
      </c>
      <c r="AK492" s="11"/>
      <c r="AL492" s="11" t="s">
        <v>45</v>
      </c>
      <c r="AN492" s="6">
        <v>164104</v>
      </c>
      <c r="AP492" s="6">
        <v>0</v>
      </c>
      <c r="AT492" s="6">
        <v>0</v>
      </c>
      <c r="AV492" s="6">
        <v>0</v>
      </c>
      <c r="AX492" s="6">
        <v>0</v>
      </c>
      <c r="AZ492" s="6">
        <f t="shared" si="85"/>
        <v>6073839</v>
      </c>
      <c r="BB492" s="6">
        <v>25000</v>
      </c>
      <c r="BD492" s="6">
        <v>0</v>
      </c>
      <c r="BF492" s="6">
        <v>0</v>
      </c>
      <c r="BH492" s="6">
        <v>0</v>
      </c>
      <c r="BJ492" s="6">
        <f>+AZ492+BB492+BD492+BH492</f>
        <v>6098839</v>
      </c>
      <c r="BL492" s="6">
        <f>+'Gen Fd Rev'!AK492-'Gen Fd Exp'!BJ492</f>
        <v>72691</v>
      </c>
      <c r="BN492" s="6">
        <v>214403</v>
      </c>
      <c r="BP492" s="6">
        <v>0</v>
      </c>
      <c r="BR492" s="6">
        <v>0</v>
      </c>
      <c r="BT492" s="6">
        <f t="shared" si="87"/>
        <v>287094</v>
      </c>
      <c r="BV492" s="7">
        <f>+BT492-'Gen Fd BS'!AC492+BR492</f>
        <v>0</v>
      </c>
    </row>
    <row r="493" spans="1:74">
      <c r="A493" s="11" t="s">
        <v>487</v>
      </c>
      <c r="B493" s="11"/>
      <c r="C493" s="11" t="s">
        <v>60</v>
      </c>
      <c r="E493" s="6">
        <v>4229421</v>
      </c>
      <c r="G493" s="6">
        <v>855844</v>
      </c>
      <c r="I493" s="6">
        <v>202976</v>
      </c>
      <c r="K493" s="6">
        <v>0</v>
      </c>
      <c r="M493" s="6">
        <v>0</v>
      </c>
      <c r="O493" s="6">
        <v>156427</v>
      </c>
      <c r="Q493" s="6">
        <v>345939</v>
      </c>
      <c r="S493" s="6">
        <v>43859</v>
      </c>
      <c r="U493" s="6">
        <v>564134</v>
      </c>
      <c r="W493" s="6">
        <v>292416</v>
      </c>
      <c r="Y493" s="6">
        <v>1495</v>
      </c>
      <c r="AA493" s="6">
        <v>987161</v>
      </c>
      <c r="AC493" s="6">
        <v>625532</v>
      </c>
      <c r="AE493" s="6">
        <v>0</v>
      </c>
      <c r="AG493" s="6">
        <v>0</v>
      </c>
      <c r="AI493" s="6">
        <v>2859</v>
      </c>
      <c r="AJ493" s="11" t="s">
        <v>487</v>
      </c>
      <c r="AK493" s="11"/>
      <c r="AL493" s="11" t="s">
        <v>60</v>
      </c>
      <c r="AN493" s="6">
        <v>205000</v>
      </c>
      <c r="AP493" s="6">
        <v>0</v>
      </c>
      <c r="AT493" s="6">
        <v>40942</v>
      </c>
      <c r="AV493" s="6">
        <v>13345</v>
      </c>
      <c r="AX493" s="6">
        <v>0</v>
      </c>
      <c r="AZ493" s="6">
        <f t="shared" si="85"/>
        <v>8567350</v>
      </c>
      <c r="BB493" s="6">
        <v>316250</v>
      </c>
      <c r="BD493" s="6">
        <v>0</v>
      </c>
      <c r="BF493" s="6">
        <v>0</v>
      </c>
      <c r="BH493" s="6">
        <v>0</v>
      </c>
      <c r="BJ493" s="6">
        <f t="shared" si="86"/>
        <v>8883600</v>
      </c>
      <c r="BL493" s="6">
        <f>+'Gen Fd Rev'!AK493-'Gen Fd Exp'!BJ493</f>
        <v>-1393311</v>
      </c>
      <c r="BN493" s="6">
        <v>2021264</v>
      </c>
      <c r="BP493" s="6">
        <v>0</v>
      </c>
      <c r="BR493" s="6">
        <v>0</v>
      </c>
      <c r="BT493" s="6">
        <f>+BN493+BL493-BP493</f>
        <v>627953</v>
      </c>
      <c r="BV493" s="7">
        <f>+BT493-'Gen Fd BS'!AC493+BR493</f>
        <v>0</v>
      </c>
    </row>
    <row r="494" spans="1:74">
      <c r="A494" s="11" t="s">
        <v>217</v>
      </c>
      <c r="B494" s="11"/>
      <c r="C494" s="11" t="s">
        <v>15</v>
      </c>
      <c r="E494" s="6">
        <v>3562927</v>
      </c>
      <c r="G494" s="6">
        <v>395108</v>
      </c>
      <c r="I494" s="6">
        <v>28715</v>
      </c>
      <c r="K494" s="6">
        <v>0</v>
      </c>
      <c r="M494" s="6">
        <v>0</v>
      </c>
      <c r="O494" s="6">
        <v>237278</v>
      </c>
      <c r="Q494" s="6">
        <v>131951</v>
      </c>
      <c r="S494" s="6">
        <v>34771</v>
      </c>
      <c r="U494" s="6">
        <v>676564</v>
      </c>
      <c r="W494" s="6">
        <v>274110</v>
      </c>
      <c r="Y494" s="6">
        <v>0</v>
      </c>
      <c r="AA494" s="6">
        <v>562748</v>
      </c>
      <c r="AC494" s="6">
        <v>212741</v>
      </c>
      <c r="AE494" s="6">
        <v>0</v>
      </c>
      <c r="AG494" s="6">
        <v>0</v>
      </c>
      <c r="AI494" s="6">
        <v>0</v>
      </c>
      <c r="AJ494" s="11" t="s">
        <v>217</v>
      </c>
      <c r="AK494" s="11"/>
      <c r="AL494" s="11" t="s">
        <v>15</v>
      </c>
      <c r="AN494" s="6">
        <v>108631</v>
      </c>
      <c r="AP494" s="6">
        <v>0</v>
      </c>
      <c r="AT494" s="6">
        <v>0</v>
      </c>
      <c r="AV494" s="6">
        <v>0</v>
      </c>
      <c r="AX494" s="6">
        <v>0</v>
      </c>
      <c r="AZ494" s="6">
        <f t="shared" si="85"/>
        <v>6225544</v>
      </c>
      <c r="BB494" s="6">
        <v>13432</v>
      </c>
      <c r="BD494" s="6">
        <v>0</v>
      </c>
      <c r="BF494" s="6">
        <v>0</v>
      </c>
      <c r="BH494" s="6">
        <v>0</v>
      </c>
      <c r="BJ494" s="6">
        <f t="shared" si="86"/>
        <v>6238976</v>
      </c>
      <c r="BL494" s="6">
        <f>+'Gen Fd Rev'!AK494-'Gen Fd Exp'!BJ494</f>
        <v>-147864</v>
      </c>
      <c r="BN494" s="6">
        <v>1259342</v>
      </c>
      <c r="BP494" s="6">
        <v>0</v>
      </c>
      <c r="BR494" s="6">
        <v>0</v>
      </c>
      <c r="BT494" s="6">
        <f t="shared" si="87"/>
        <v>1111478</v>
      </c>
      <c r="BV494" s="7">
        <f>+BT494-'Gen Fd BS'!AC494+BR494</f>
        <v>0</v>
      </c>
    </row>
    <row r="495" spans="1:74">
      <c r="A495" s="11" t="s">
        <v>715</v>
      </c>
      <c r="B495" s="11"/>
      <c r="C495" s="11" t="s">
        <v>20</v>
      </c>
      <c r="E495" s="6">
        <v>34646960</v>
      </c>
      <c r="G495" s="6">
        <v>11657551</v>
      </c>
      <c r="I495" s="6">
        <v>150353</v>
      </c>
      <c r="K495" s="6">
        <v>0</v>
      </c>
      <c r="M495" s="6">
        <v>792</v>
      </c>
      <c r="O495" s="6">
        <v>5798818</v>
      </c>
      <c r="Q495" s="6">
        <v>5668541</v>
      </c>
      <c r="S495" s="6">
        <v>18470</v>
      </c>
      <c r="U495" s="6">
        <v>5910874</v>
      </c>
      <c r="W495" s="6">
        <v>2568420</v>
      </c>
      <c r="Y495" s="6">
        <v>967837</v>
      </c>
      <c r="AA495" s="6">
        <v>11928804</v>
      </c>
      <c r="AC495" s="6">
        <v>4220679</v>
      </c>
      <c r="AE495" s="6">
        <v>1705672</v>
      </c>
      <c r="AG495" s="6">
        <v>0</v>
      </c>
      <c r="AI495" s="6">
        <v>47477</v>
      </c>
      <c r="AJ495" s="11" t="s">
        <v>715</v>
      </c>
      <c r="AK495" s="11"/>
      <c r="AL495" s="11" t="s">
        <v>20</v>
      </c>
      <c r="AN495" s="6">
        <v>1024365</v>
      </c>
      <c r="AP495" s="6">
        <v>141602</v>
      </c>
      <c r="AT495" s="6">
        <v>0</v>
      </c>
      <c r="AV495" s="6">
        <v>0</v>
      </c>
      <c r="AX495" s="6">
        <v>0</v>
      </c>
      <c r="AZ495" s="6">
        <f t="shared" si="85"/>
        <v>86457215</v>
      </c>
      <c r="BB495" s="6">
        <v>380000</v>
      </c>
      <c r="BD495" s="6">
        <v>0</v>
      </c>
      <c r="BF495" s="6">
        <v>0</v>
      </c>
      <c r="BH495" s="6">
        <v>0</v>
      </c>
      <c r="BJ495" s="6">
        <f t="shared" si="86"/>
        <v>86837215</v>
      </c>
      <c r="BL495" s="6">
        <f>+'Gen Fd Rev'!AK495-'Gen Fd Exp'!BJ495</f>
        <v>1687360</v>
      </c>
      <c r="BN495" s="6">
        <v>22013707</v>
      </c>
      <c r="BP495" s="6">
        <v>0</v>
      </c>
      <c r="BR495" s="6">
        <v>0</v>
      </c>
      <c r="BT495" s="6">
        <f t="shared" si="87"/>
        <v>23701067</v>
      </c>
      <c r="BV495" s="7">
        <f>+BT495-'Gen Fd BS'!AC495+BR495</f>
        <v>0</v>
      </c>
    </row>
    <row r="496" spans="1:74" hidden="1">
      <c r="A496" s="11" t="s">
        <v>700</v>
      </c>
      <c r="B496" s="11"/>
      <c r="C496" s="11" t="s">
        <v>10</v>
      </c>
      <c r="AJ496" s="11" t="s">
        <v>700</v>
      </c>
      <c r="AK496" s="11"/>
      <c r="AL496" s="11" t="s">
        <v>10</v>
      </c>
      <c r="AZ496" s="6">
        <f t="shared" si="85"/>
        <v>0</v>
      </c>
      <c r="BJ496" s="6">
        <f t="shared" si="86"/>
        <v>0</v>
      </c>
      <c r="BL496" s="6">
        <f>+'Gen Fd Rev'!AK496-'Gen Fd Exp'!BJ496</f>
        <v>0</v>
      </c>
      <c r="BR496" s="6">
        <v>0</v>
      </c>
      <c r="BT496" s="6">
        <f t="shared" si="87"/>
        <v>0</v>
      </c>
      <c r="BV496" s="7">
        <f>+BT496-'Gen Fd BS'!AC496+BR496</f>
        <v>0</v>
      </c>
    </row>
    <row r="497" spans="1:74">
      <c r="A497" s="11" t="s">
        <v>789</v>
      </c>
      <c r="B497" s="11"/>
      <c r="C497" s="11" t="s">
        <v>44</v>
      </c>
      <c r="E497" s="6">
        <v>9282573</v>
      </c>
      <c r="G497" s="6">
        <v>2475054</v>
      </c>
      <c r="I497" s="6">
        <v>140619</v>
      </c>
      <c r="K497" s="6">
        <v>0</v>
      </c>
      <c r="M497" s="6">
        <v>24167</v>
      </c>
      <c r="O497" s="6">
        <v>1036181</v>
      </c>
      <c r="Q497" s="6">
        <v>787307</v>
      </c>
      <c r="S497" s="6">
        <v>49812</v>
      </c>
      <c r="U497" s="6">
        <v>1453008</v>
      </c>
      <c r="W497" s="6">
        <v>588179</v>
      </c>
      <c r="Y497" s="6">
        <v>231723</v>
      </c>
      <c r="AA497" s="6">
        <v>1423827</v>
      </c>
      <c r="AC497" s="6">
        <v>1034963</v>
      </c>
      <c r="AE497" s="6">
        <v>212101</v>
      </c>
      <c r="AG497" s="6">
        <v>0</v>
      </c>
      <c r="AI497" s="6">
        <v>0</v>
      </c>
      <c r="AJ497" s="11" t="s">
        <v>789</v>
      </c>
      <c r="AK497" s="11"/>
      <c r="AL497" s="11" t="s">
        <v>44</v>
      </c>
      <c r="AN497" s="6">
        <v>444813</v>
      </c>
      <c r="AP497" s="6">
        <v>-59443</v>
      </c>
      <c r="AT497" s="6">
        <v>128381</v>
      </c>
      <c r="AV497" s="6">
        <v>13007</v>
      </c>
      <c r="AX497" s="6">
        <v>0</v>
      </c>
      <c r="AZ497" s="6">
        <f t="shared" si="85"/>
        <v>19266272</v>
      </c>
      <c r="BB497" s="6">
        <v>100000</v>
      </c>
      <c r="BD497" s="6">
        <v>0</v>
      </c>
      <c r="BF497" s="6">
        <v>0</v>
      </c>
      <c r="BH497" s="6">
        <v>0</v>
      </c>
      <c r="BJ497" s="6">
        <f t="shared" si="86"/>
        <v>19366272</v>
      </c>
      <c r="BL497" s="6">
        <f>+'Gen Fd Rev'!AK497-'Gen Fd Exp'!BJ497</f>
        <v>-872496</v>
      </c>
      <c r="BN497" s="6">
        <v>10598489</v>
      </c>
      <c r="BP497" s="6">
        <v>0</v>
      </c>
      <c r="BR497" s="6">
        <v>0</v>
      </c>
      <c r="BT497" s="6">
        <f t="shared" si="87"/>
        <v>9725993</v>
      </c>
      <c r="BV497" s="7">
        <f>+BT497-'Gen Fd BS'!AC497+BR497</f>
        <v>0</v>
      </c>
    </row>
    <row r="498" spans="1:74">
      <c r="A498" s="11" t="s">
        <v>472</v>
      </c>
      <c r="B498" s="11"/>
      <c r="C498" s="11" t="s">
        <v>110</v>
      </c>
      <c r="D498" s="9"/>
      <c r="E498" s="6">
        <v>8090377</v>
      </c>
      <c r="G498" s="6">
        <v>2019558</v>
      </c>
      <c r="I498" s="6">
        <v>219446</v>
      </c>
      <c r="K498" s="6">
        <v>0</v>
      </c>
      <c r="M498" s="6">
        <v>0</v>
      </c>
      <c r="O498" s="6">
        <v>888745</v>
      </c>
      <c r="Q498" s="6">
        <v>908456</v>
      </c>
      <c r="S498" s="6">
        <v>55949</v>
      </c>
      <c r="U498" s="6">
        <v>1409833</v>
      </c>
      <c r="W498" s="6">
        <v>666629</v>
      </c>
      <c r="Y498" s="6">
        <v>0</v>
      </c>
      <c r="AA498" s="6">
        <v>1715668</v>
      </c>
      <c r="AC498" s="6">
        <v>957997</v>
      </c>
      <c r="AE498" s="6">
        <v>336647</v>
      </c>
      <c r="AG498" s="6">
        <v>0</v>
      </c>
      <c r="AI498" s="6">
        <v>10969</v>
      </c>
      <c r="AJ498" s="11" t="s">
        <v>472</v>
      </c>
      <c r="AK498" s="11"/>
      <c r="AL498" s="11" t="s">
        <v>110</v>
      </c>
      <c r="AN498" s="6">
        <v>465599</v>
      </c>
      <c r="AP498" s="6">
        <v>0</v>
      </c>
      <c r="AT498" s="6">
        <v>152960</v>
      </c>
      <c r="AV498" s="6">
        <v>17694</v>
      </c>
      <c r="AX498" s="6">
        <v>17900</v>
      </c>
      <c r="AZ498" s="6">
        <f t="shared" si="85"/>
        <v>17934427</v>
      </c>
      <c r="BB498" s="6">
        <v>0</v>
      </c>
      <c r="BD498" s="6">
        <v>0</v>
      </c>
      <c r="BF498" s="6">
        <v>0</v>
      </c>
      <c r="BH498" s="6">
        <v>0</v>
      </c>
      <c r="BJ498" s="6">
        <f t="shared" si="86"/>
        <v>17934427</v>
      </c>
      <c r="BL498" s="6">
        <f>+'Gen Fd Rev'!AK498-'Gen Fd Exp'!BJ498</f>
        <v>-1061554</v>
      </c>
      <c r="BN498" s="6">
        <v>5671901</v>
      </c>
      <c r="BP498" s="6">
        <v>0</v>
      </c>
      <c r="BR498" s="6">
        <v>0</v>
      </c>
      <c r="BT498" s="6">
        <f t="shared" si="87"/>
        <v>4610347</v>
      </c>
      <c r="BV498" s="7">
        <f>+BT498-'Gen Fd BS'!AC498+BR498</f>
        <v>0</v>
      </c>
    </row>
    <row r="499" spans="1:74" hidden="1">
      <c r="A499" s="11" t="s">
        <v>833</v>
      </c>
      <c r="B499" s="11"/>
      <c r="C499" s="11" t="s">
        <v>61</v>
      </c>
      <c r="AJ499" s="11" t="s">
        <v>833</v>
      </c>
      <c r="AK499" s="11"/>
      <c r="AL499" s="11" t="s">
        <v>61</v>
      </c>
      <c r="AZ499" s="6">
        <f t="shared" si="85"/>
        <v>0</v>
      </c>
      <c r="BJ499" s="6">
        <f t="shared" si="86"/>
        <v>0</v>
      </c>
      <c r="BL499" s="6">
        <f>+'Gen Fd Rev'!AK499-'Gen Fd Exp'!BJ499</f>
        <v>0</v>
      </c>
      <c r="BR499" s="6">
        <v>0</v>
      </c>
      <c r="BT499" s="6">
        <f t="shared" si="87"/>
        <v>0</v>
      </c>
      <c r="BV499" s="7">
        <f>+BT499-'Gen Fd BS'!AC499+BR499</f>
        <v>0</v>
      </c>
    </row>
    <row r="500" spans="1:74">
      <c r="A500" s="11" t="s">
        <v>277</v>
      </c>
      <c r="B500" s="11"/>
      <c r="C500" s="11" t="s">
        <v>20</v>
      </c>
      <c r="D500" s="9"/>
      <c r="E500" s="6">
        <v>31138601</v>
      </c>
      <c r="G500" s="6">
        <v>6831979</v>
      </c>
      <c r="I500" s="6">
        <v>603326</v>
      </c>
      <c r="K500" s="6">
        <v>51906</v>
      </c>
      <c r="M500" s="6">
        <v>851638</v>
      </c>
      <c r="O500" s="6">
        <v>3104015</v>
      </c>
      <c r="Q500" s="6">
        <v>1435304</v>
      </c>
      <c r="S500" s="6">
        <v>36903</v>
      </c>
      <c r="U500" s="6">
        <v>3526352</v>
      </c>
      <c r="W500" s="6">
        <v>1608594</v>
      </c>
      <c r="Y500" s="6">
        <v>992284</v>
      </c>
      <c r="AA500" s="6">
        <v>6525030</v>
      </c>
      <c r="AC500" s="6">
        <v>3258357</v>
      </c>
      <c r="AE500" s="6">
        <v>1185192</v>
      </c>
      <c r="AG500" s="6">
        <v>0</v>
      </c>
      <c r="AI500" s="6">
        <v>48651</v>
      </c>
      <c r="AJ500" s="11" t="s">
        <v>277</v>
      </c>
      <c r="AK500" s="11"/>
      <c r="AL500" s="11" t="s">
        <v>20</v>
      </c>
      <c r="AN500" s="6">
        <v>1356665</v>
      </c>
      <c r="AP500" s="6">
        <v>57887</v>
      </c>
      <c r="AT500" s="6">
        <v>49164</v>
      </c>
      <c r="AV500" s="6">
        <v>7159</v>
      </c>
      <c r="AX500" s="6">
        <v>0</v>
      </c>
      <c r="AZ500" s="6">
        <f t="shared" si="85"/>
        <v>62669007</v>
      </c>
      <c r="BB500" s="6">
        <v>40000</v>
      </c>
      <c r="BD500" s="6">
        <v>0</v>
      </c>
      <c r="BF500" s="6">
        <v>0</v>
      </c>
      <c r="BH500" s="6">
        <v>0</v>
      </c>
      <c r="BJ500" s="6">
        <f t="shared" si="86"/>
        <v>62709007</v>
      </c>
      <c r="BL500" s="6">
        <f>+'Gen Fd Rev'!AK500-'Gen Fd Exp'!BJ500</f>
        <v>8037749</v>
      </c>
      <c r="BN500" s="6">
        <v>11271466</v>
      </c>
      <c r="BP500" s="6">
        <v>0</v>
      </c>
      <c r="BR500" s="6">
        <v>0</v>
      </c>
      <c r="BT500" s="6">
        <f t="shared" si="87"/>
        <v>19309215</v>
      </c>
      <c r="BV500" s="7">
        <f>+BT500-'Gen Fd BS'!AC500+BR500</f>
        <v>0</v>
      </c>
    </row>
    <row r="501" spans="1:74">
      <c r="A501" s="11" t="s">
        <v>633</v>
      </c>
      <c r="B501" s="11"/>
      <c r="C501" s="11" t="s">
        <v>37</v>
      </c>
      <c r="E501" s="6">
        <v>3582077</v>
      </c>
      <c r="G501" s="6">
        <v>281370</v>
      </c>
      <c r="I501" s="6">
        <v>182958</v>
      </c>
      <c r="K501" s="6">
        <v>0</v>
      </c>
      <c r="M501" s="6">
        <v>781252</v>
      </c>
      <c r="O501" s="6">
        <v>334674</v>
      </c>
      <c r="Q501" s="6">
        <v>285407</v>
      </c>
      <c r="S501" s="6">
        <v>24284</v>
      </c>
      <c r="U501" s="6">
        <v>748462</v>
      </c>
      <c r="W501" s="6">
        <v>228017</v>
      </c>
      <c r="Y501" s="6">
        <v>0</v>
      </c>
      <c r="AA501" s="6">
        <v>688424</v>
      </c>
      <c r="AC501" s="6">
        <v>665027</v>
      </c>
      <c r="AE501" s="6">
        <v>286</v>
      </c>
      <c r="AG501" s="6">
        <v>0</v>
      </c>
      <c r="AI501" s="6">
        <v>9500</v>
      </c>
      <c r="AJ501" s="11" t="s">
        <v>633</v>
      </c>
      <c r="AK501" s="11"/>
      <c r="AL501" s="11" t="s">
        <v>37</v>
      </c>
      <c r="AN501" s="6">
        <v>215895</v>
      </c>
      <c r="AP501" s="6">
        <v>0</v>
      </c>
      <c r="AT501" s="6">
        <v>6828</v>
      </c>
      <c r="AV501" s="6">
        <v>686</v>
      </c>
      <c r="AX501" s="6">
        <v>0</v>
      </c>
      <c r="AZ501" s="6">
        <f t="shared" si="85"/>
        <v>8035147</v>
      </c>
      <c r="BB501" s="6">
        <v>0</v>
      </c>
      <c r="BD501" s="6">
        <v>0</v>
      </c>
      <c r="BF501" s="6">
        <v>0</v>
      </c>
      <c r="BH501" s="6">
        <v>0</v>
      </c>
      <c r="BJ501" s="6">
        <f>+AZ501+BB501+BD501+BH501</f>
        <v>8035147</v>
      </c>
      <c r="BL501" s="6">
        <f>+'Gen Fd Rev'!AK501-'Gen Fd Exp'!BJ501</f>
        <v>-465865</v>
      </c>
      <c r="BN501" s="6">
        <v>2894483</v>
      </c>
      <c r="BP501" s="6">
        <v>0</v>
      </c>
      <c r="BR501" s="6">
        <v>0</v>
      </c>
      <c r="BT501" s="6">
        <f t="shared" si="87"/>
        <v>2428618</v>
      </c>
      <c r="BV501" s="7">
        <f>+BT501-'Gen Fd BS'!AC501+BR501</f>
        <v>0</v>
      </c>
    </row>
    <row r="502" spans="1:74">
      <c r="A502" s="11" t="s">
        <v>278</v>
      </c>
      <c r="B502" s="11"/>
      <c r="C502" s="11" t="s">
        <v>20</v>
      </c>
      <c r="E502" s="6">
        <v>22499426</v>
      </c>
      <c r="G502" s="6">
        <v>7639482</v>
      </c>
      <c r="I502" s="6">
        <v>2024855</v>
      </c>
      <c r="K502" s="6">
        <v>0</v>
      </c>
      <c r="M502" s="6">
        <v>1252324</v>
      </c>
      <c r="O502" s="6">
        <v>3952886</v>
      </c>
      <c r="Q502" s="6">
        <v>1041783</v>
      </c>
      <c r="S502" s="6">
        <v>245149</v>
      </c>
      <c r="U502" s="6">
        <v>3734321</v>
      </c>
      <c r="W502" s="6">
        <v>1868160</v>
      </c>
      <c r="Y502" s="6">
        <v>373691</v>
      </c>
      <c r="AA502" s="6">
        <v>6358975</v>
      </c>
      <c r="AC502" s="6">
        <v>2826493</v>
      </c>
      <c r="AE502" s="6">
        <v>1001980</v>
      </c>
      <c r="AG502" s="6">
        <v>0</v>
      </c>
      <c r="AI502" s="6">
        <v>25929</v>
      </c>
      <c r="AJ502" s="11" t="s">
        <v>278</v>
      </c>
      <c r="AK502" s="11"/>
      <c r="AL502" s="11" t="s">
        <v>20</v>
      </c>
      <c r="AN502" s="6">
        <v>992482</v>
      </c>
      <c r="AP502" s="6">
        <v>9575</v>
      </c>
      <c r="AT502" s="6">
        <v>0</v>
      </c>
      <c r="AV502" s="6">
        <v>0</v>
      </c>
      <c r="AX502" s="6">
        <v>0</v>
      </c>
      <c r="AZ502" s="6">
        <f t="shared" si="85"/>
        <v>55847511</v>
      </c>
      <c r="BB502" s="6">
        <v>448159</v>
      </c>
      <c r="BD502" s="6">
        <v>0</v>
      </c>
      <c r="BF502" s="6">
        <v>0</v>
      </c>
      <c r="BH502" s="6">
        <v>0</v>
      </c>
      <c r="BJ502" s="6">
        <f t="shared" si="86"/>
        <v>56295670</v>
      </c>
      <c r="BL502" s="6">
        <f>+'Gen Fd Rev'!AK502-'Gen Fd Exp'!BJ502</f>
        <v>-384282</v>
      </c>
      <c r="BN502" s="6">
        <v>8893759</v>
      </c>
      <c r="BP502" s="6">
        <v>0</v>
      </c>
      <c r="BR502" s="6">
        <v>0</v>
      </c>
      <c r="BT502" s="6">
        <f t="shared" si="87"/>
        <v>8509477</v>
      </c>
      <c r="BV502" s="7">
        <f>+BT502-'Gen Fd BS'!AC502+BR502</f>
        <v>0</v>
      </c>
    </row>
    <row r="503" spans="1:74">
      <c r="A503" s="11" t="s">
        <v>371</v>
      </c>
      <c r="B503" s="11"/>
      <c r="C503" s="11" t="s">
        <v>366</v>
      </c>
      <c r="E503" s="6">
        <v>6819323</v>
      </c>
      <c r="G503" s="6">
        <v>1329888</v>
      </c>
      <c r="I503" s="6">
        <v>239064</v>
      </c>
      <c r="K503" s="6">
        <v>0</v>
      </c>
      <c r="M503" s="6">
        <f>39699+7077</f>
        <v>46776</v>
      </c>
      <c r="O503" s="6">
        <v>519248</v>
      </c>
      <c r="Q503" s="6">
        <v>682305</v>
      </c>
      <c r="S503" s="6">
        <v>172179</v>
      </c>
      <c r="U503" s="6">
        <v>1000583</v>
      </c>
      <c r="W503" s="6">
        <v>378865</v>
      </c>
      <c r="Y503" s="6">
        <v>0</v>
      </c>
      <c r="AA503" s="6">
        <v>1556069</v>
      </c>
      <c r="AC503" s="6">
        <v>1069686</v>
      </c>
      <c r="AE503" s="6">
        <v>59196</v>
      </c>
      <c r="AG503" s="6">
        <v>0</v>
      </c>
      <c r="AI503" s="6">
        <v>0</v>
      </c>
      <c r="AJ503" s="11" t="s">
        <v>371</v>
      </c>
      <c r="AK503" s="11"/>
      <c r="AL503" s="11" t="s">
        <v>366</v>
      </c>
      <c r="AN503" s="6">
        <v>243728</v>
      </c>
      <c r="AP503" s="6">
        <v>4960</v>
      </c>
      <c r="AT503" s="6">
        <v>389280</v>
      </c>
      <c r="AV503" s="6">
        <v>48108</v>
      </c>
      <c r="AX503" s="6">
        <v>0</v>
      </c>
      <c r="AZ503" s="6">
        <f t="shared" si="85"/>
        <v>14559258</v>
      </c>
      <c r="BB503" s="6">
        <v>33500</v>
      </c>
      <c r="BD503" s="6">
        <v>0</v>
      </c>
      <c r="BF503" s="6">
        <v>0</v>
      </c>
      <c r="BH503" s="6">
        <v>0</v>
      </c>
      <c r="BJ503" s="6">
        <f t="shared" si="86"/>
        <v>14592758</v>
      </c>
      <c r="BL503" s="6">
        <f>+'Gen Fd Rev'!AK503-'Gen Fd Exp'!BJ503</f>
        <v>2038852</v>
      </c>
      <c r="BN503" s="6">
        <v>4419044</v>
      </c>
      <c r="BP503" s="6">
        <v>0</v>
      </c>
      <c r="BR503" s="6">
        <v>0</v>
      </c>
      <c r="BT503" s="6">
        <f t="shared" si="87"/>
        <v>6457896</v>
      </c>
      <c r="BV503" s="7">
        <f>+BT503-'Gen Fd BS'!AC503+BR503</f>
        <v>0</v>
      </c>
    </row>
    <row r="504" spans="1:74">
      <c r="A504" s="11" t="s">
        <v>406</v>
      </c>
      <c r="B504" s="11"/>
      <c r="C504" s="11" t="s">
        <v>45</v>
      </c>
      <c r="E504" s="6">
        <v>5257722</v>
      </c>
      <c r="G504" s="6">
        <v>1372158</v>
      </c>
      <c r="I504" s="6">
        <v>164101</v>
      </c>
      <c r="K504" s="6">
        <v>0</v>
      </c>
      <c r="M504" s="6">
        <v>316350</v>
      </c>
      <c r="O504" s="6">
        <v>318082</v>
      </c>
      <c r="Q504" s="6">
        <v>483773</v>
      </c>
      <c r="S504" s="6">
        <v>64408</v>
      </c>
      <c r="U504" s="6">
        <v>851360</v>
      </c>
      <c r="W504" s="6">
        <v>394667</v>
      </c>
      <c r="Y504" s="6">
        <v>0</v>
      </c>
      <c r="AA504" s="6">
        <v>1023527</v>
      </c>
      <c r="AC504" s="6">
        <v>961112</v>
      </c>
      <c r="AE504" s="6">
        <v>81422</v>
      </c>
      <c r="AG504" s="6">
        <v>0</v>
      </c>
      <c r="AI504" s="6">
        <v>1045</v>
      </c>
      <c r="AJ504" s="11" t="s">
        <v>406</v>
      </c>
      <c r="AK504" s="11"/>
      <c r="AL504" s="11" t="s">
        <v>45</v>
      </c>
      <c r="AN504" s="6">
        <v>357257</v>
      </c>
      <c r="AP504" s="6">
        <v>4322</v>
      </c>
      <c r="AT504" s="6">
        <v>26095</v>
      </c>
      <c r="AV504" s="6">
        <v>1054</v>
      </c>
      <c r="AX504" s="6">
        <v>0</v>
      </c>
      <c r="AZ504" s="6">
        <f t="shared" si="85"/>
        <v>11678455</v>
      </c>
      <c r="BB504" s="6">
        <v>36559</v>
      </c>
      <c r="BD504" s="6">
        <v>0</v>
      </c>
      <c r="BF504" s="6">
        <v>0</v>
      </c>
      <c r="BH504" s="6">
        <v>0</v>
      </c>
      <c r="BJ504" s="6">
        <f t="shared" si="86"/>
        <v>11715014</v>
      </c>
      <c r="BL504" s="6">
        <f>+'Gen Fd Rev'!AK504-'Gen Fd Exp'!BJ504</f>
        <v>-1240494</v>
      </c>
      <c r="BN504" s="6">
        <v>1567932</v>
      </c>
      <c r="BP504" s="6">
        <v>0</v>
      </c>
      <c r="BR504" s="6">
        <v>0</v>
      </c>
      <c r="BT504" s="6">
        <f t="shared" si="87"/>
        <v>327438</v>
      </c>
      <c r="BV504" s="7">
        <f>+BT504-'Gen Fd BS'!AC504+BR504</f>
        <v>0</v>
      </c>
    </row>
    <row r="505" spans="1:74">
      <c r="A505" s="11" t="s">
        <v>463</v>
      </c>
      <c r="B505" s="11"/>
      <c r="C505" s="11" t="s">
        <v>56</v>
      </c>
      <c r="E505" s="6">
        <v>6452920</v>
      </c>
      <c r="G505" s="6">
        <v>2163159</v>
      </c>
      <c r="I505" s="6">
        <v>101603</v>
      </c>
      <c r="K505" s="6">
        <v>0</v>
      </c>
      <c r="M505" s="6">
        <f>24862+945890</f>
        <v>970752</v>
      </c>
      <c r="O505" s="6">
        <v>1059332</v>
      </c>
      <c r="Q505" s="6">
        <v>356809</v>
      </c>
      <c r="S505" s="6">
        <v>174327</v>
      </c>
      <c r="U505" s="6">
        <v>1261562</v>
      </c>
      <c r="W505" s="6">
        <v>428968</v>
      </c>
      <c r="Y505" s="6">
        <v>85570</v>
      </c>
      <c r="AA505" s="6">
        <v>1292755</v>
      </c>
      <c r="AC505" s="6">
        <v>1566638</v>
      </c>
      <c r="AE505" s="6">
        <v>87523</v>
      </c>
      <c r="AG505" s="6">
        <v>0</v>
      </c>
      <c r="AI505" s="6">
        <v>0</v>
      </c>
      <c r="AJ505" s="11" t="s">
        <v>463</v>
      </c>
      <c r="AK505" s="11"/>
      <c r="AL505" s="11" t="s">
        <v>56</v>
      </c>
      <c r="AN505" s="6">
        <v>394116</v>
      </c>
      <c r="AP505" s="6">
        <v>0</v>
      </c>
      <c r="AT505" s="6">
        <v>15741</v>
      </c>
      <c r="AV505" s="6">
        <v>519</v>
      </c>
      <c r="AX505" s="6">
        <v>0</v>
      </c>
      <c r="AZ505" s="6">
        <f t="shared" si="85"/>
        <v>16412294</v>
      </c>
      <c r="BB505" s="6">
        <v>0</v>
      </c>
      <c r="BD505" s="6">
        <v>0</v>
      </c>
      <c r="BF505" s="6">
        <v>0</v>
      </c>
      <c r="BH505" s="6">
        <v>0</v>
      </c>
      <c r="BJ505" s="6">
        <f t="shared" si="86"/>
        <v>16412294</v>
      </c>
      <c r="BL505" s="6">
        <f>+'Gen Fd Rev'!AK505-'Gen Fd Exp'!BJ505</f>
        <v>1762715</v>
      </c>
      <c r="BN505" s="6">
        <v>6794739</v>
      </c>
      <c r="BP505" s="6">
        <v>0</v>
      </c>
      <c r="BR505" s="6">
        <v>0</v>
      </c>
      <c r="BT505" s="6">
        <f t="shared" si="87"/>
        <v>8557454</v>
      </c>
      <c r="BV505" s="7">
        <f>+BT505-'Gen Fd BS'!AC505+BR505</f>
        <v>0</v>
      </c>
    </row>
    <row r="506" spans="1:74">
      <c r="A506" s="11" t="s">
        <v>463</v>
      </c>
      <c r="B506" s="11"/>
      <c r="C506" s="11" t="s">
        <v>71</v>
      </c>
      <c r="E506" s="6">
        <v>6336079</v>
      </c>
      <c r="G506" s="6">
        <v>1306060</v>
      </c>
      <c r="I506" s="6">
        <v>248598</v>
      </c>
      <c r="K506" s="6">
        <v>0</v>
      </c>
      <c r="M506" s="6">
        <v>897745</v>
      </c>
      <c r="O506" s="6">
        <v>673917</v>
      </c>
      <c r="Q506" s="6">
        <v>389466</v>
      </c>
      <c r="S506" s="6">
        <v>31410</v>
      </c>
      <c r="U506" s="6">
        <v>1582070</v>
      </c>
      <c r="W506" s="6">
        <v>381449</v>
      </c>
      <c r="Y506" s="6">
        <v>0</v>
      </c>
      <c r="AA506" s="6">
        <v>1078619</v>
      </c>
      <c r="AC506" s="6">
        <v>1154984</v>
      </c>
      <c r="AE506" s="6">
        <v>191004</v>
      </c>
      <c r="AG506" s="6">
        <v>0</v>
      </c>
      <c r="AI506" s="6">
        <v>62382</v>
      </c>
      <c r="AJ506" s="11" t="s">
        <v>463</v>
      </c>
      <c r="AK506" s="11"/>
      <c r="AL506" s="11" t="s">
        <v>71</v>
      </c>
      <c r="AN506" s="6">
        <v>383060</v>
      </c>
      <c r="AP506" s="6">
        <v>0</v>
      </c>
      <c r="AT506" s="6">
        <v>57164</v>
      </c>
      <c r="AV506" s="6">
        <v>4250</v>
      </c>
      <c r="AX506" s="6">
        <v>0</v>
      </c>
      <c r="AZ506" s="6">
        <f t="shared" ref="AZ506:AZ537" si="88">SUM(E506:AX506)</f>
        <v>14778257</v>
      </c>
      <c r="BB506" s="6">
        <v>10349</v>
      </c>
      <c r="BD506" s="6">
        <v>0</v>
      </c>
      <c r="BF506" s="6">
        <v>0</v>
      </c>
      <c r="BH506" s="6">
        <v>0</v>
      </c>
      <c r="BJ506" s="6">
        <f t="shared" si="86"/>
        <v>14788606</v>
      </c>
      <c r="BL506" s="6">
        <f>+'Gen Fd Rev'!AK506-'Gen Fd Exp'!BJ506</f>
        <v>587968</v>
      </c>
      <c r="BN506" s="6">
        <v>8192</v>
      </c>
      <c r="BP506" s="6">
        <v>0</v>
      </c>
      <c r="BR506" s="6">
        <v>0</v>
      </c>
      <c r="BT506" s="6">
        <f t="shared" si="87"/>
        <v>596160</v>
      </c>
      <c r="BV506" s="7">
        <f>+BT506-'Gen Fd BS'!AC506+BR506</f>
        <v>0</v>
      </c>
    </row>
    <row r="507" spans="1:74">
      <c r="A507" s="11" t="s">
        <v>235</v>
      </c>
      <c r="B507" s="11"/>
      <c r="C507" s="11" t="s">
        <v>17</v>
      </c>
      <c r="D507" s="9"/>
      <c r="E507" s="6">
        <v>3406639</v>
      </c>
      <c r="G507" s="6">
        <v>521839</v>
      </c>
      <c r="I507" s="6">
        <v>239590</v>
      </c>
      <c r="K507" s="6">
        <v>0</v>
      </c>
      <c r="M507" s="6">
        <v>20322</v>
      </c>
      <c r="O507" s="6">
        <v>372114</v>
      </c>
      <c r="Q507" s="6">
        <v>289770</v>
      </c>
      <c r="S507" s="6">
        <v>25454</v>
      </c>
      <c r="U507" s="6">
        <v>582695</v>
      </c>
      <c r="W507" s="6">
        <v>284280</v>
      </c>
      <c r="Y507" s="6">
        <v>0</v>
      </c>
      <c r="AA507" s="6">
        <v>530798</v>
      </c>
      <c r="AC507" s="6">
        <v>484426</v>
      </c>
      <c r="AE507" s="6">
        <v>38529</v>
      </c>
      <c r="AG507" s="6">
        <v>0</v>
      </c>
      <c r="AI507" s="6">
        <v>0</v>
      </c>
      <c r="AJ507" s="11" t="s">
        <v>235</v>
      </c>
      <c r="AK507" s="11"/>
      <c r="AL507" s="11" t="s">
        <v>17</v>
      </c>
      <c r="AN507" s="6">
        <v>183844</v>
      </c>
      <c r="AP507" s="6">
        <v>3000</v>
      </c>
      <c r="AT507" s="6">
        <v>72300</v>
      </c>
      <c r="AV507" s="6">
        <v>2154</v>
      </c>
      <c r="AX507" s="6">
        <v>0</v>
      </c>
      <c r="AZ507" s="6">
        <f t="shared" si="88"/>
        <v>7057754</v>
      </c>
      <c r="BB507" s="6">
        <v>0</v>
      </c>
      <c r="BD507" s="6">
        <v>0</v>
      </c>
      <c r="BF507" s="6">
        <v>0</v>
      </c>
      <c r="BH507" s="6">
        <v>0</v>
      </c>
      <c r="BJ507" s="6">
        <f t="shared" si="86"/>
        <v>7057754</v>
      </c>
      <c r="BL507" s="6">
        <f>+'Gen Fd Rev'!AK507-'Gen Fd Exp'!BJ507</f>
        <v>-38758</v>
      </c>
      <c r="BN507" s="6">
        <v>5815126</v>
      </c>
      <c r="BP507" s="6">
        <v>0</v>
      </c>
      <c r="BR507" s="6">
        <v>0</v>
      </c>
      <c r="BT507" s="6">
        <f t="shared" si="87"/>
        <v>5776368</v>
      </c>
      <c r="BV507" s="7">
        <f>+BT507-'Gen Fd BS'!AC507+BR507</f>
        <v>0</v>
      </c>
    </row>
    <row r="508" spans="1:74">
      <c r="A508" s="11" t="s">
        <v>235</v>
      </c>
      <c r="B508" s="11"/>
      <c r="C508" s="11" t="s">
        <v>58</v>
      </c>
      <c r="E508" s="6">
        <v>4695394</v>
      </c>
      <c r="G508" s="6">
        <v>1055350</v>
      </c>
      <c r="I508" s="6">
        <v>0</v>
      </c>
      <c r="K508" s="6">
        <v>0</v>
      </c>
      <c r="M508" s="6">
        <v>0</v>
      </c>
      <c r="O508" s="6">
        <v>561811</v>
      </c>
      <c r="Q508" s="6">
        <v>203981</v>
      </c>
      <c r="S508" s="6">
        <v>0</v>
      </c>
      <c r="U508" s="6">
        <v>607125</v>
      </c>
      <c r="W508" s="6">
        <v>216908</v>
      </c>
      <c r="Y508" s="6">
        <v>149235</v>
      </c>
      <c r="AA508" s="6">
        <v>1057436</v>
      </c>
      <c r="AC508" s="6">
        <v>890466</v>
      </c>
      <c r="AE508" s="6">
        <v>109448</v>
      </c>
      <c r="AG508" s="6">
        <v>0</v>
      </c>
      <c r="AI508" s="6">
        <v>0</v>
      </c>
      <c r="AJ508" s="11" t="s">
        <v>235</v>
      </c>
      <c r="AK508" s="11"/>
      <c r="AL508" s="11" t="s">
        <v>58</v>
      </c>
      <c r="AN508" s="6">
        <v>189131</v>
      </c>
      <c r="AP508" s="6">
        <v>135432</v>
      </c>
      <c r="AT508" s="6">
        <v>37000</v>
      </c>
      <c r="AV508" s="6">
        <v>68714</v>
      </c>
      <c r="AX508" s="6">
        <v>0</v>
      </c>
      <c r="AZ508" s="6">
        <f t="shared" si="88"/>
        <v>9977431</v>
      </c>
      <c r="BB508" s="6">
        <v>0</v>
      </c>
      <c r="BD508" s="6">
        <v>0</v>
      </c>
      <c r="BF508" s="6">
        <v>0</v>
      </c>
      <c r="BH508" s="6">
        <v>0</v>
      </c>
      <c r="BJ508" s="6">
        <f t="shared" si="86"/>
        <v>9977431</v>
      </c>
      <c r="BL508" s="6">
        <f>+'Gen Fd Rev'!AK508-'Gen Fd Exp'!BJ508</f>
        <v>242272</v>
      </c>
      <c r="BN508" s="6">
        <v>6623179</v>
      </c>
      <c r="BP508" s="6">
        <v>0</v>
      </c>
      <c r="BR508" s="6">
        <v>0</v>
      </c>
      <c r="BT508" s="6">
        <f t="shared" si="87"/>
        <v>6865451</v>
      </c>
      <c r="BV508" s="7">
        <f>+BT508-'Gen Fd BS'!AC508+BR508</f>
        <v>0</v>
      </c>
    </row>
    <row r="509" spans="1:74">
      <c r="A509" s="11" t="s">
        <v>645</v>
      </c>
      <c r="B509" s="11"/>
      <c r="C509" s="11" t="s">
        <v>112</v>
      </c>
      <c r="E509" s="6">
        <v>3541532</v>
      </c>
      <c r="G509" s="6">
        <v>625382</v>
      </c>
      <c r="I509" s="6">
        <v>231045</v>
      </c>
      <c r="K509" s="6">
        <v>0</v>
      </c>
      <c r="M509" s="6">
        <v>37838</v>
      </c>
      <c r="O509" s="6">
        <v>467205</v>
      </c>
      <c r="Q509" s="6">
        <v>246403</v>
      </c>
      <c r="S509" s="6">
        <v>1187307</v>
      </c>
      <c r="U509" s="6">
        <v>546342</v>
      </c>
      <c r="W509" s="6">
        <v>235232</v>
      </c>
      <c r="Y509" s="6">
        <v>58281</v>
      </c>
      <c r="AA509" s="6">
        <v>899553</v>
      </c>
      <c r="AC509" s="6">
        <v>794446</v>
      </c>
      <c r="AE509" s="6">
        <v>31786</v>
      </c>
      <c r="AG509" s="6">
        <v>0</v>
      </c>
      <c r="AI509" s="6">
        <v>0</v>
      </c>
      <c r="AJ509" s="11" t="s">
        <v>645</v>
      </c>
      <c r="AK509" s="11"/>
      <c r="AL509" s="11" t="s">
        <v>112</v>
      </c>
      <c r="AN509" s="6">
        <v>172529</v>
      </c>
      <c r="AP509" s="6">
        <v>0</v>
      </c>
      <c r="AT509" s="6">
        <v>8572</v>
      </c>
      <c r="AV509" s="6">
        <v>2063</v>
      </c>
      <c r="AX509" s="6">
        <v>0</v>
      </c>
      <c r="AZ509" s="6">
        <f>SUM(E509:AX509)</f>
        <v>9085516</v>
      </c>
      <c r="BB509" s="6">
        <v>165000</v>
      </c>
      <c r="BD509" s="6">
        <v>0</v>
      </c>
      <c r="BF509" s="6">
        <v>0</v>
      </c>
      <c r="BH509" s="6">
        <v>0</v>
      </c>
      <c r="BJ509" s="6">
        <f>+AZ509+BB509+BD509+BH509</f>
        <v>9250516</v>
      </c>
      <c r="BL509" s="6">
        <f>+'Gen Fd Rev'!AK509-'Gen Fd Exp'!BJ509</f>
        <v>-197467</v>
      </c>
      <c r="BN509" s="6">
        <v>-119181</v>
      </c>
      <c r="BP509" s="6">
        <v>0</v>
      </c>
      <c r="BR509" s="6">
        <v>0</v>
      </c>
      <c r="BT509" s="6">
        <f>+BN509+BL509-BP509</f>
        <v>-316648</v>
      </c>
      <c r="BV509" s="7">
        <f>+BT509-'Gen Fd BS'!AC509+BR509</f>
        <v>0</v>
      </c>
    </row>
    <row r="510" spans="1:74">
      <c r="A510" s="11" t="s">
        <v>250</v>
      </c>
      <c r="B510" s="11"/>
      <c r="C510" s="11" t="s">
        <v>420</v>
      </c>
      <c r="E510" s="6">
        <v>2872393</v>
      </c>
      <c r="G510" s="6">
        <v>687654</v>
      </c>
      <c r="I510" s="6">
        <v>164769</v>
      </c>
      <c r="K510" s="6">
        <v>0</v>
      </c>
      <c r="M510" s="6">
        <v>63446</v>
      </c>
      <c r="O510" s="6">
        <v>271660</v>
      </c>
      <c r="Q510" s="6">
        <v>304431</v>
      </c>
      <c r="S510" s="6">
        <v>28410</v>
      </c>
      <c r="U510" s="6">
        <v>213014</v>
      </c>
      <c r="W510" s="6">
        <v>296419</v>
      </c>
      <c r="Y510" s="6">
        <v>0</v>
      </c>
      <c r="AA510" s="6">
        <v>552649</v>
      </c>
      <c r="AC510" s="6">
        <v>656447</v>
      </c>
      <c r="AE510" s="6">
        <v>202390</v>
      </c>
      <c r="AG510" s="6">
        <v>0</v>
      </c>
      <c r="AI510" s="6">
        <v>-10</v>
      </c>
      <c r="AJ510" s="11" t="s">
        <v>250</v>
      </c>
      <c r="AK510" s="11"/>
      <c r="AL510" s="11" t="s">
        <v>420</v>
      </c>
      <c r="AN510" s="6">
        <v>99448</v>
      </c>
      <c r="AP510" s="6">
        <v>0</v>
      </c>
      <c r="AT510" s="6">
        <v>0</v>
      </c>
      <c r="AV510" s="6">
        <v>0</v>
      </c>
      <c r="AX510" s="6">
        <v>0</v>
      </c>
      <c r="AZ510" s="6">
        <f t="shared" si="88"/>
        <v>6413120</v>
      </c>
      <c r="BB510" s="6">
        <v>476773</v>
      </c>
      <c r="BD510" s="6">
        <v>0</v>
      </c>
      <c r="BF510" s="6">
        <v>0</v>
      </c>
      <c r="BH510" s="6">
        <v>0</v>
      </c>
      <c r="BJ510" s="6">
        <f t="shared" si="86"/>
        <v>6889893</v>
      </c>
      <c r="BL510" s="6">
        <f>+'Gen Fd Rev'!AK510-'Gen Fd Exp'!BJ510</f>
        <v>193094</v>
      </c>
      <c r="BN510" s="6">
        <v>1756259</v>
      </c>
      <c r="BP510" s="6">
        <v>0</v>
      </c>
      <c r="BR510" s="6">
        <v>0</v>
      </c>
      <c r="BT510" s="6">
        <f t="shared" si="87"/>
        <v>1949353</v>
      </c>
      <c r="BV510" s="7">
        <f>+BT510-'Gen Fd BS'!AC510+BR510</f>
        <v>0</v>
      </c>
    </row>
    <row r="511" spans="1:74" hidden="1">
      <c r="A511" s="11" t="s">
        <v>701</v>
      </c>
      <c r="B511" s="11"/>
      <c r="C511" s="11" t="s">
        <v>451</v>
      </c>
      <c r="AJ511" s="11" t="s">
        <v>701</v>
      </c>
      <c r="AK511" s="11"/>
      <c r="AL511" s="11" t="s">
        <v>451</v>
      </c>
      <c r="AZ511" s="6">
        <f t="shared" si="88"/>
        <v>0</v>
      </c>
      <c r="BJ511" s="6">
        <f t="shared" si="86"/>
        <v>0</v>
      </c>
      <c r="BL511" s="6">
        <f>+'Gen Fd Rev'!AK511-'Gen Fd Exp'!BJ511</f>
        <v>0</v>
      </c>
      <c r="BR511" s="6">
        <v>0</v>
      </c>
      <c r="BT511" s="6">
        <f t="shared" si="87"/>
        <v>0</v>
      </c>
      <c r="BV511" s="7">
        <f>+BT511-'Gen Fd BS'!AC511+BR511</f>
        <v>0</v>
      </c>
    </row>
    <row r="512" spans="1:74">
      <c r="A512" s="11" t="s">
        <v>530</v>
      </c>
      <c r="B512" s="11"/>
      <c r="C512" s="11" t="s">
        <v>64</v>
      </c>
      <c r="E512" s="6">
        <v>2302895</v>
      </c>
      <c r="G512" s="6">
        <v>242632</v>
      </c>
      <c r="I512" s="6">
        <v>61</v>
      </c>
      <c r="K512" s="6">
        <v>0</v>
      </c>
      <c r="M512" s="6">
        <v>0</v>
      </c>
      <c r="O512" s="6">
        <v>591441</v>
      </c>
      <c r="Q512" s="6">
        <v>73229</v>
      </c>
      <c r="S512" s="6">
        <v>92079</v>
      </c>
      <c r="U512" s="6">
        <v>511285</v>
      </c>
      <c r="W512" s="6">
        <v>245399</v>
      </c>
      <c r="Y512" s="6">
        <v>27115</v>
      </c>
      <c r="AA512" s="6">
        <v>325320</v>
      </c>
      <c r="AC512" s="6">
        <v>357508</v>
      </c>
      <c r="AE512" s="6">
        <v>0</v>
      </c>
      <c r="AG512" s="6">
        <v>0</v>
      </c>
      <c r="AI512" s="6">
        <v>0</v>
      </c>
      <c r="AJ512" s="11" t="s">
        <v>530</v>
      </c>
      <c r="AK512" s="11"/>
      <c r="AL512" s="11" t="s">
        <v>64</v>
      </c>
      <c r="AN512" s="6">
        <v>89024</v>
      </c>
      <c r="AP512" s="6">
        <v>0</v>
      </c>
      <c r="AT512" s="6">
        <v>0</v>
      </c>
      <c r="AV512" s="6">
        <v>0</v>
      </c>
      <c r="AX512" s="6">
        <v>0</v>
      </c>
      <c r="AZ512" s="6">
        <f t="shared" si="88"/>
        <v>4857988</v>
      </c>
      <c r="BB512" s="6">
        <v>56921</v>
      </c>
      <c r="BD512" s="6">
        <v>0</v>
      </c>
      <c r="BF512" s="6">
        <v>0</v>
      </c>
      <c r="BH512" s="6">
        <v>0</v>
      </c>
      <c r="BJ512" s="6">
        <f t="shared" si="86"/>
        <v>4914909</v>
      </c>
      <c r="BL512" s="6">
        <f>+'Gen Fd Rev'!AK512-'Gen Fd Exp'!BJ512</f>
        <v>-112349</v>
      </c>
      <c r="BN512" s="6">
        <v>1129895</v>
      </c>
      <c r="BP512" s="6">
        <v>0</v>
      </c>
      <c r="BR512" s="6">
        <v>0</v>
      </c>
      <c r="BT512" s="6">
        <f t="shared" si="87"/>
        <v>1017546</v>
      </c>
      <c r="BV512" s="7">
        <f>+BT512-'Gen Fd BS'!AC512+BR512</f>
        <v>0</v>
      </c>
    </row>
    <row r="513" spans="1:74" hidden="1">
      <c r="A513" s="11" t="s">
        <v>829</v>
      </c>
      <c r="B513" s="11"/>
      <c r="C513" s="11" t="s">
        <v>42</v>
      </c>
      <c r="D513" s="9"/>
      <c r="AJ513" s="11" t="s">
        <v>829</v>
      </c>
      <c r="AK513" s="11"/>
      <c r="AL513" s="11" t="s">
        <v>42</v>
      </c>
      <c r="AZ513" s="6">
        <f t="shared" si="88"/>
        <v>0</v>
      </c>
      <c r="BJ513" s="6">
        <f t="shared" si="86"/>
        <v>0</v>
      </c>
      <c r="BL513" s="6">
        <f>+'Gen Fd Rev'!AK513-'Gen Fd Exp'!BJ513</f>
        <v>0</v>
      </c>
      <c r="BR513" s="6">
        <v>0</v>
      </c>
      <c r="BT513" s="6">
        <f t="shared" si="87"/>
        <v>0</v>
      </c>
      <c r="BV513" s="7">
        <f>+BT513-'Gen Fd BS'!AC513+BR513</f>
        <v>0</v>
      </c>
    </row>
    <row r="514" spans="1:74">
      <c r="A514" s="11" t="s">
        <v>331</v>
      </c>
      <c r="B514" s="11"/>
      <c r="C514" s="11" t="s">
        <v>32</v>
      </c>
      <c r="E514" s="6">
        <v>13010558</v>
      </c>
      <c r="G514" s="6">
        <v>3192940</v>
      </c>
      <c r="I514" s="6">
        <v>5597</v>
      </c>
      <c r="K514" s="6">
        <v>0</v>
      </c>
      <c r="M514" s="6">
        <v>588617</v>
      </c>
      <c r="O514" s="6">
        <v>1404192</v>
      </c>
      <c r="Q514" s="6">
        <v>904283</v>
      </c>
      <c r="S514" s="6">
        <v>0</v>
      </c>
      <c r="U514" s="6">
        <f>64259+2658059</f>
        <v>2722318</v>
      </c>
      <c r="W514" s="6">
        <v>850631</v>
      </c>
      <c r="Y514" s="6">
        <v>100</v>
      </c>
      <c r="AA514" s="6">
        <v>3003322</v>
      </c>
      <c r="AC514" s="6">
        <v>1359416</v>
      </c>
      <c r="AE514" s="6">
        <v>91889</v>
      </c>
      <c r="AG514" s="6">
        <v>0</v>
      </c>
      <c r="AI514" s="6">
        <v>0</v>
      </c>
      <c r="AJ514" s="11" t="s">
        <v>331</v>
      </c>
      <c r="AK514" s="11"/>
      <c r="AL514" s="11" t="s">
        <v>32</v>
      </c>
      <c r="AN514" s="6">
        <v>513825</v>
      </c>
      <c r="AP514" s="6">
        <v>0</v>
      </c>
      <c r="AT514" s="6">
        <v>0</v>
      </c>
      <c r="AV514" s="6">
        <v>7784</v>
      </c>
      <c r="AX514" s="6">
        <v>0</v>
      </c>
      <c r="AZ514" s="6">
        <f t="shared" si="88"/>
        <v>27655472</v>
      </c>
      <c r="BB514" s="6">
        <v>196608</v>
      </c>
      <c r="BD514" s="6">
        <v>0</v>
      </c>
      <c r="BF514" s="6">
        <v>0</v>
      </c>
      <c r="BH514" s="6">
        <v>0</v>
      </c>
      <c r="BJ514" s="6">
        <f t="shared" si="86"/>
        <v>27852080</v>
      </c>
      <c r="BL514" s="6">
        <f>+'Gen Fd Rev'!AK514-'Gen Fd Exp'!BJ514</f>
        <v>2898202</v>
      </c>
      <c r="BN514" s="6">
        <v>1114002</v>
      </c>
      <c r="BP514" s="6">
        <v>0</v>
      </c>
      <c r="BR514" s="6">
        <v>0</v>
      </c>
      <c r="BT514" s="6">
        <f t="shared" si="87"/>
        <v>4012204</v>
      </c>
      <c r="BV514" s="7">
        <f>+BT514-'Gen Fd BS'!AC514+BR514</f>
        <v>0</v>
      </c>
    </row>
    <row r="515" spans="1:74">
      <c r="A515" s="11" t="s">
        <v>307</v>
      </c>
      <c r="B515" s="11"/>
      <c r="C515" s="11" t="s">
        <v>27</v>
      </c>
      <c r="D515" s="9"/>
      <c r="E515" s="6">
        <v>94198062</v>
      </c>
      <c r="G515" s="6">
        <v>22168393</v>
      </c>
      <c r="I515" s="6">
        <v>4841662</v>
      </c>
      <c r="K515" s="6">
        <v>0</v>
      </c>
      <c r="M515" s="6">
        <v>649255</v>
      </c>
      <c r="O515" s="6">
        <v>7907457</v>
      </c>
      <c r="Q515" s="6">
        <v>9414928</v>
      </c>
      <c r="S515" s="6">
        <v>35875</v>
      </c>
      <c r="U515" s="6">
        <v>14115996</v>
      </c>
      <c r="W515" s="6">
        <v>3085940</v>
      </c>
      <c r="Y515" s="6">
        <v>766022</v>
      </c>
      <c r="AA515" s="6">
        <v>15367362</v>
      </c>
      <c r="AC515" s="6">
        <v>11454567</v>
      </c>
      <c r="AE515" s="6">
        <v>3133902</v>
      </c>
      <c r="AG515" s="6">
        <v>0</v>
      </c>
      <c r="AI515" s="6">
        <v>132105</v>
      </c>
      <c r="AJ515" s="11" t="s">
        <v>307</v>
      </c>
      <c r="AK515" s="11"/>
      <c r="AL515" s="11" t="s">
        <v>27</v>
      </c>
      <c r="AN515" s="6">
        <v>2666152</v>
      </c>
      <c r="AP515" s="6">
        <v>420778</v>
      </c>
      <c r="AT515" s="6">
        <v>0</v>
      </c>
      <c r="AV515" s="6">
        <v>0</v>
      </c>
      <c r="AX515" s="6">
        <v>0</v>
      </c>
      <c r="AZ515" s="6">
        <f t="shared" si="88"/>
        <v>190358456</v>
      </c>
      <c r="BB515" s="6">
        <v>1462976</v>
      </c>
      <c r="BD515" s="6">
        <v>0</v>
      </c>
      <c r="BF515" s="6">
        <v>0</v>
      </c>
      <c r="BH515" s="6">
        <v>0</v>
      </c>
      <c r="BJ515" s="6">
        <f t="shared" si="86"/>
        <v>191821432</v>
      </c>
      <c r="BL515" s="6">
        <f>+'Gen Fd Rev'!AK515-'Gen Fd Exp'!BJ515</f>
        <v>21003840</v>
      </c>
      <c r="BN515" s="6">
        <v>80088831</v>
      </c>
      <c r="BP515" s="6">
        <v>0</v>
      </c>
      <c r="BR515" s="6">
        <v>0</v>
      </c>
      <c r="BT515" s="6">
        <f t="shared" si="87"/>
        <v>101092671</v>
      </c>
      <c r="BV515" s="7">
        <f>+BT515-'Gen Fd BS'!AC515+BR515</f>
        <v>0</v>
      </c>
    </row>
    <row r="516" spans="1:74" hidden="1">
      <c r="A516" s="11" t="s">
        <v>702</v>
      </c>
      <c r="B516" s="11"/>
      <c r="C516" s="11" t="s">
        <v>10</v>
      </c>
      <c r="AJ516" s="11" t="s">
        <v>702</v>
      </c>
      <c r="AK516" s="11"/>
      <c r="AL516" s="11" t="s">
        <v>10</v>
      </c>
      <c r="AZ516" s="6">
        <f t="shared" si="88"/>
        <v>0</v>
      </c>
      <c r="BJ516" s="6">
        <f t="shared" si="86"/>
        <v>0</v>
      </c>
      <c r="BL516" s="6">
        <f>+'Gen Fd Rev'!AK516-'Gen Fd Exp'!BJ516</f>
        <v>0</v>
      </c>
      <c r="BR516" s="6">
        <v>0</v>
      </c>
      <c r="BT516" s="6">
        <f t="shared" si="87"/>
        <v>0</v>
      </c>
      <c r="BV516" s="7">
        <f>+BT516-'Gen Fd BS'!AC516+BR516</f>
        <v>0</v>
      </c>
    </row>
    <row r="517" spans="1:74">
      <c r="A517" s="10" t="s">
        <v>847</v>
      </c>
      <c r="B517" s="11"/>
      <c r="C517" s="11" t="s">
        <v>69</v>
      </c>
      <c r="E517" s="6">
        <v>19807300</v>
      </c>
      <c r="G517" s="6">
        <v>3470551</v>
      </c>
      <c r="I517" s="6">
        <v>299</v>
      </c>
      <c r="K517" s="6">
        <v>0</v>
      </c>
      <c r="M517" s="6">
        <v>636380</v>
      </c>
      <c r="O517" s="6">
        <v>2093521</v>
      </c>
      <c r="Q517" s="6">
        <v>3087288</v>
      </c>
      <c r="S517" s="6">
        <v>212827</v>
      </c>
      <c r="U517" s="6">
        <v>3150761</v>
      </c>
      <c r="W517" s="6">
        <v>855768</v>
      </c>
      <c r="Y517" s="6">
        <v>261887</v>
      </c>
      <c r="AA517" s="6">
        <v>3788455</v>
      </c>
      <c r="AC517" s="6">
        <v>2669956</v>
      </c>
      <c r="AE517" s="6">
        <v>231692</v>
      </c>
      <c r="AG517" s="6">
        <v>0</v>
      </c>
      <c r="AI517" s="6">
        <v>22013</v>
      </c>
      <c r="AJ517" s="10" t="s">
        <v>847</v>
      </c>
      <c r="AK517" s="11"/>
      <c r="AL517" s="11" t="s">
        <v>69</v>
      </c>
      <c r="AN517" s="6">
        <v>787094</v>
      </c>
      <c r="AP517" s="6">
        <v>80719</v>
      </c>
      <c r="AT517" s="6">
        <v>648865</v>
      </c>
      <c r="AV517" s="6">
        <v>800060</v>
      </c>
      <c r="AX517" s="6">
        <v>0</v>
      </c>
      <c r="AZ517" s="6">
        <f t="shared" si="88"/>
        <v>42605436</v>
      </c>
      <c r="BB517" s="6">
        <v>0</v>
      </c>
      <c r="BD517" s="6">
        <v>0</v>
      </c>
      <c r="BF517" s="6">
        <v>0</v>
      </c>
      <c r="BH517" s="6">
        <v>0</v>
      </c>
      <c r="BJ517" s="6">
        <f t="shared" si="86"/>
        <v>42605436</v>
      </c>
      <c r="BL517" s="6">
        <f>+'Gen Fd Rev'!AK517-'Gen Fd Exp'!BJ517</f>
        <v>980149</v>
      </c>
      <c r="BN517" s="6">
        <v>4916138</v>
      </c>
      <c r="BP517" s="6">
        <v>0</v>
      </c>
      <c r="BR517" s="6">
        <v>0</v>
      </c>
      <c r="BT517" s="6">
        <f t="shared" si="87"/>
        <v>5896287</v>
      </c>
      <c r="BV517" s="7">
        <f>+BT517-'Gen Fd BS'!AC517+BR517</f>
        <v>0</v>
      </c>
    </row>
    <row r="518" spans="1:74">
      <c r="A518" s="11" t="s">
        <v>629</v>
      </c>
      <c r="B518" s="11"/>
      <c r="C518" s="11" t="s">
        <v>17</v>
      </c>
      <c r="E518" s="6">
        <v>39586294</v>
      </c>
      <c r="G518" s="6">
        <v>8077521</v>
      </c>
      <c r="I518" s="6">
        <v>199176</v>
      </c>
      <c r="K518" s="6">
        <v>0</v>
      </c>
      <c r="M518" s="6">
        <v>236846</v>
      </c>
      <c r="O518" s="6">
        <v>5371899</v>
      </c>
      <c r="Q518" s="6">
        <v>2742788</v>
      </c>
      <c r="S518" s="6">
        <v>335410</v>
      </c>
      <c r="U518" s="6">
        <v>6485881</v>
      </c>
      <c r="W518" s="6">
        <v>1391382</v>
      </c>
      <c r="Y518" s="6">
        <v>400872</v>
      </c>
      <c r="AA518" s="6">
        <v>6365000</v>
      </c>
      <c r="AC518" s="6">
        <v>2629487</v>
      </c>
      <c r="AE518" s="6">
        <v>2375354</v>
      </c>
      <c r="AG518" s="6">
        <v>0</v>
      </c>
      <c r="AI518" s="6">
        <v>15471</v>
      </c>
      <c r="AJ518" s="11" t="s">
        <v>629</v>
      </c>
      <c r="AK518" s="11"/>
      <c r="AL518" s="11" t="s">
        <v>17</v>
      </c>
      <c r="AN518" s="6">
        <v>812355</v>
      </c>
      <c r="AP518" s="6">
        <v>0</v>
      </c>
      <c r="AT518" s="6">
        <v>73041</v>
      </c>
      <c r="AV518" s="6">
        <v>44323</v>
      </c>
      <c r="AX518" s="6">
        <v>0</v>
      </c>
      <c r="AZ518" s="6">
        <f t="shared" si="88"/>
        <v>77143100</v>
      </c>
      <c r="BB518" s="6">
        <v>0</v>
      </c>
      <c r="BD518" s="6">
        <v>0</v>
      </c>
      <c r="BF518" s="6">
        <v>0</v>
      </c>
      <c r="BH518" s="6">
        <v>0</v>
      </c>
      <c r="BJ518" s="6">
        <f t="shared" si="86"/>
        <v>77143100</v>
      </c>
      <c r="BL518" s="6">
        <f>+'Gen Fd Rev'!AK518-'Gen Fd Exp'!BJ518</f>
        <v>1624055</v>
      </c>
      <c r="BN518" s="6">
        <v>24267166</v>
      </c>
      <c r="BP518" s="6">
        <v>0</v>
      </c>
      <c r="BR518" s="6">
        <v>0</v>
      </c>
      <c r="BT518" s="6">
        <f t="shared" si="87"/>
        <v>25891221</v>
      </c>
      <c r="BV518" s="7">
        <f>+BT518-'Gen Fd BS'!AC518+BR518</f>
        <v>0</v>
      </c>
    </row>
    <row r="519" spans="1:74">
      <c r="A519" s="11" t="s">
        <v>716</v>
      </c>
      <c r="B519" s="11"/>
      <c r="C519" s="11" t="s">
        <v>115</v>
      </c>
      <c r="E519" s="6">
        <v>15785290</v>
      </c>
      <c r="G519" s="6">
        <v>4234903</v>
      </c>
      <c r="I519" s="6">
        <v>303545</v>
      </c>
      <c r="K519" s="6">
        <v>0</v>
      </c>
      <c r="M519" s="6">
        <v>2938612</v>
      </c>
      <c r="O519" s="6">
        <v>1300501</v>
      </c>
      <c r="Q519" s="6">
        <v>364750</v>
      </c>
      <c r="S519" s="6">
        <v>47218</v>
      </c>
      <c r="U519" s="6">
        <v>2466450</v>
      </c>
      <c r="W519" s="6">
        <v>728714</v>
      </c>
      <c r="Y519" s="6">
        <v>0</v>
      </c>
      <c r="AA519" s="6">
        <v>2720234</v>
      </c>
      <c r="AC519" s="6">
        <v>1867190</v>
      </c>
      <c r="AE519" s="6">
        <v>58391</v>
      </c>
      <c r="AG519" s="6">
        <v>0</v>
      </c>
      <c r="AI519" s="6">
        <v>0</v>
      </c>
      <c r="AJ519" s="11" t="s">
        <v>716</v>
      </c>
      <c r="AK519" s="11"/>
      <c r="AL519" s="11" t="s">
        <v>115</v>
      </c>
      <c r="AN519" s="6">
        <v>685955</v>
      </c>
      <c r="AP519" s="6">
        <v>0</v>
      </c>
      <c r="AT519" s="6">
        <v>0</v>
      </c>
      <c r="AV519" s="6">
        <v>0</v>
      </c>
      <c r="AX519" s="6">
        <v>0</v>
      </c>
      <c r="AZ519" s="6">
        <f t="shared" si="88"/>
        <v>33501753</v>
      </c>
      <c r="BB519" s="6">
        <v>0</v>
      </c>
      <c r="BD519" s="6">
        <v>0</v>
      </c>
      <c r="BF519" s="6">
        <v>0</v>
      </c>
      <c r="BH519" s="6">
        <v>0</v>
      </c>
      <c r="BJ519" s="6">
        <f t="shared" si="86"/>
        <v>33501753</v>
      </c>
      <c r="BL519" s="6">
        <f>+'Gen Fd Rev'!AK519-'Gen Fd Exp'!BJ519</f>
        <v>2186318</v>
      </c>
      <c r="BN519" s="6">
        <v>-1007759</v>
      </c>
      <c r="BP519" s="6">
        <v>0</v>
      </c>
      <c r="BR519" s="6">
        <v>0</v>
      </c>
      <c r="BT519" s="6">
        <f t="shared" si="87"/>
        <v>1178559</v>
      </c>
      <c r="BV519" s="7">
        <f>+BT519-'Gen Fd BS'!AC519+BR519</f>
        <v>0</v>
      </c>
    </row>
    <row r="520" spans="1:74">
      <c r="A520" s="11" t="s">
        <v>393</v>
      </c>
      <c r="B520" s="11"/>
      <c r="C520" s="11" t="s">
        <v>45</v>
      </c>
      <c r="E520" s="6">
        <v>4540975</v>
      </c>
      <c r="G520" s="6">
        <v>932145</v>
      </c>
      <c r="I520" s="6">
        <v>194844</v>
      </c>
      <c r="K520" s="6">
        <v>0</v>
      </c>
      <c r="M520" s="6">
        <v>55099</v>
      </c>
      <c r="O520" s="6">
        <v>356574</v>
      </c>
      <c r="Q520" s="6">
        <v>393008</v>
      </c>
      <c r="S520" s="6">
        <v>26721</v>
      </c>
      <c r="U520" s="6">
        <v>1229589</v>
      </c>
      <c r="W520" s="6">
        <v>321238</v>
      </c>
      <c r="Y520" s="6">
        <v>2394</v>
      </c>
      <c r="AA520" s="6">
        <v>843313</v>
      </c>
      <c r="AC520" s="6">
        <v>513351</v>
      </c>
      <c r="AE520" s="6">
        <v>24631</v>
      </c>
      <c r="AG520" s="6">
        <v>0</v>
      </c>
      <c r="AI520" s="6">
        <v>2230</v>
      </c>
      <c r="AJ520" s="11" t="s">
        <v>393</v>
      </c>
      <c r="AK520" s="11"/>
      <c r="AL520" s="11" t="s">
        <v>45</v>
      </c>
      <c r="AN520" s="6">
        <v>350800</v>
      </c>
      <c r="AP520" s="6">
        <v>424</v>
      </c>
      <c r="AT520" s="6">
        <v>1924</v>
      </c>
      <c r="AV520" s="6">
        <v>36</v>
      </c>
      <c r="AX520" s="6">
        <v>0</v>
      </c>
      <c r="AZ520" s="6">
        <f t="shared" si="88"/>
        <v>9789296</v>
      </c>
      <c r="BB520" s="6">
        <v>0</v>
      </c>
      <c r="BD520" s="6">
        <v>0</v>
      </c>
      <c r="BF520" s="6">
        <v>0</v>
      </c>
      <c r="BH520" s="6">
        <v>0</v>
      </c>
      <c r="BJ520" s="6">
        <f t="shared" si="86"/>
        <v>9789296</v>
      </c>
      <c r="BL520" s="6">
        <f>+'Gen Fd Rev'!AK520-'Gen Fd Exp'!BJ520</f>
        <v>14078</v>
      </c>
      <c r="BN520" s="6">
        <v>1134794</v>
      </c>
      <c r="BP520" s="6">
        <v>0</v>
      </c>
      <c r="BR520" s="6">
        <v>0</v>
      </c>
      <c r="BT520" s="6">
        <f t="shared" si="87"/>
        <v>1148872</v>
      </c>
      <c r="BV520" s="7">
        <f>+BT520-'Gen Fd BS'!AC520+BR520</f>
        <v>0</v>
      </c>
    </row>
    <row r="521" spans="1:74">
      <c r="A521" s="11" t="s">
        <v>393</v>
      </c>
      <c r="B521" s="11"/>
      <c r="C521" s="11" t="s">
        <v>63</v>
      </c>
      <c r="E521" s="6">
        <v>9856000</v>
      </c>
      <c r="G521" s="6">
        <v>1893976</v>
      </c>
      <c r="I521" s="6">
        <v>226373</v>
      </c>
      <c r="K521" s="6">
        <v>0</v>
      </c>
      <c r="M521" s="6">
        <v>2367043</v>
      </c>
      <c r="O521" s="6">
        <v>1028091</v>
      </c>
      <c r="Q521" s="6">
        <v>974785</v>
      </c>
      <c r="S521" s="6">
        <v>27561</v>
      </c>
      <c r="U521" s="6">
        <v>1513590</v>
      </c>
      <c r="W521" s="6">
        <v>649431</v>
      </c>
      <c r="Y521" s="6">
        <v>133723</v>
      </c>
      <c r="AA521" s="6">
        <v>1826286</v>
      </c>
      <c r="AC521" s="6">
        <v>1308732</v>
      </c>
      <c r="AE521" s="6">
        <v>57010</v>
      </c>
      <c r="AG521" s="6">
        <v>0</v>
      </c>
      <c r="AI521" s="6">
        <v>0</v>
      </c>
      <c r="AJ521" s="11" t="s">
        <v>393</v>
      </c>
      <c r="AK521" s="11"/>
      <c r="AL521" s="11" t="s">
        <v>63</v>
      </c>
      <c r="AN521" s="6">
        <v>580641</v>
      </c>
      <c r="AP521" s="6">
        <v>28656</v>
      </c>
      <c r="AT521" s="6">
        <v>21825</v>
      </c>
      <c r="AV521" s="6">
        <v>5943</v>
      </c>
      <c r="AX521" s="6">
        <v>0</v>
      </c>
      <c r="AZ521" s="6">
        <f t="shared" si="88"/>
        <v>22499666</v>
      </c>
      <c r="BB521" s="6">
        <v>0</v>
      </c>
      <c r="BD521" s="6">
        <v>0</v>
      </c>
      <c r="BF521" s="6">
        <v>0</v>
      </c>
      <c r="BH521" s="6">
        <v>0</v>
      </c>
      <c r="BJ521" s="6">
        <f t="shared" si="86"/>
        <v>22499666</v>
      </c>
      <c r="BL521" s="6">
        <f>+'Gen Fd Rev'!AK521-'Gen Fd Exp'!BJ521</f>
        <v>3205237</v>
      </c>
      <c r="BN521" s="6">
        <v>1912898</v>
      </c>
      <c r="BP521" s="6">
        <v>0</v>
      </c>
      <c r="BR521" s="6">
        <v>0</v>
      </c>
      <c r="BT521" s="6">
        <f t="shared" si="87"/>
        <v>5118135</v>
      </c>
      <c r="BV521" s="7">
        <f>+BT521-'Gen Fd BS'!AC521+BR521</f>
        <v>0</v>
      </c>
    </row>
    <row r="522" spans="1:74">
      <c r="A522" s="11" t="s">
        <v>786</v>
      </c>
      <c r="B522" s="11"/>
      <c r="C522" s="11" t="s">
        <v>32</v>
      </c>
      <c r="E522" s="6">
        <v>5606936</v>
      </c>
      <c r="G522" s="6">
        <v>1663772</v>
      </c>
      <c r="I522" s="6">
        <v>0</v>
      </c>
      <c r="K522" s="6">
        <v>0</v>
      </c>
      <c r="M522" s="6">
        <v>99423</v>
      </c>
      <c r="O522" s="6">
        <v>678232</v>
      </c>
      <c r="Q522" s="6">
        <v>316901</v>
      </c>
      <c r="S522" s="6">
        <v>0</v>
      </c>
      <c r="U522" s="6">
        <f>16926+984939</f>
        <v>1001865</v>
      </c>
      <c r="W522" s="6">
        <v>469300</v>
      </c>
      <c r="Y522" s="6">
        <v>0</v>
      </c>
      <c r="AA522" s="6">
        <v>1083162</v>
      </c>
      <c r="AC522" s="6">
        <v>386111</v>
      </c>
      <c r="AE522" s="6">
        <v>131066</v>
      </c>
      <c r="AG522" s="6">
        <v>0</v>
      </c>
      <c r="AI522" s="6">
        <v>0</v>
      </c>
      <c r="AJ522" s="11" t="s">
        <v>786</v>
      </c>
      <c r="AK522" s="11"/>
      <c r="AL522" s="11" t="s">
        <v>32</v>
      </c>
      <c r="AN522" s="6">
        <v>157536</v>
      </c>
      <c r="AP522" s="6">
        <v>0</v>
      </c>
      <c r="AT522" s="6">
        <v>0</v>
      </c>
      <c r="AV522" s="6">
        <v>0</v>
      </c>
      <c r="AX522" s="6">
        <v>0</v>
      </c>
      <c r="AZ522" s="6">
        <f t="shared" si="88"/>
        <v>11594304</v>
      </c>
      <c r="BB522" s="6">
        <v>486500</v>
      </c>
      <c r="BD522" s="6">
        <v>0</v>
      </c>
      <c r="BF522" s="6">
        <v>0</v>
      </c>
      <c r="BH522" s="6">
        <v>0</v>
      </c>
      <c r="BJ522" s="6">
        <f t="shared" si="86"/>
        <v>12080804</v>
      </c>
      <c r="BL522" s="6">
        <f>+'Gen Fd Rev'!AK522-'Gen Fd Exp'!BJ522</f>
        <v>789570</v>
      </c>
      <c r="BN522" s="6">
        <v>5567841</v>
      </c>
      <c r="BP522" s="6">
        <v>0</v>
      </c>
      <c r="BR522" s="6">
        <v>0</v>
      </c>
      <c r="BT522" s="6">
        <f t="shared" si="87"/>
        <v>6357411</v>
      </c>
      <c r="BV522" s="7">
        <f>+BT522-'Gen Fd BS'!AC522+BR522</f>
        <v>0</v>
      </c>
    </row>
    <row r="523" spans="1:74">
      <c r="A523" s="11" t="s">
        <v>787</v>
      </c>
      <c r="B523" s="11"/>
      <c r="C523" s="11" t="s">
        <v>15</v>
      </c>
      <c r="E523" s="6">
        <v>7427531</v>
      </c>
      <c r="G523" s="6">
        <v>1181591</v>
      </c>
      <c r="I523" s="6">
        <v>8219</v>
      </c>
      <c r="K523" s="6">
        <v>0</v>
      </c>
      <c r="M523" s="6">
        <v>0</v>
      </c>
      <c r="O523" s="6">
        <v>811843</v>
      </c>
      <c r="Q523" s="6">
        <v>295710</v>
      </c>
      <c r="S523" s="6">
        <v>17247</v>
      </c>
      <c r="U523" s="6">
        <v>779966</v>
      </c>
      <c r="W523" s="6">
        <v>491578</v>
      </c>
      <c r="Y523" s="6">
        <v>0</v>
      </c>
      <c r="AA523" s="6">
        <v>1174706</v>
      </c>
      <c r="AC523" s="6">
        <v>627608</v>
      </c>
      <c r="AE523" s="6">
        <v>246658</v>
      </c>
      <c r="AG523" s="6">
        <v>0</v>
      </c>
      <c r="AI523" s="6">
        <v>440</v>
      </c>
      <c r="AJ523" s="11" t="s">
        <v>787</v>
      </c>
      <c r="AK523" s="11"/>
      <c r="AL523" s="11" t="s">
        <v>15</v>
      </c>
      <c r="AN523" s="6">
        <v>309099</v>
      </c>
      <c r="AP523" s="6">
        <v>0</v>
      </c>
      <c r="AT523" s="6">
        <v>38281</v>
      </c>
      <c r="AV523" s="6">
        <v>12637</v>
      </c>
      <c r="AX523" s="6">
        <v>0</v>
      </c>
      <c r="AZ523" s="6">
        <f t="shared" si="88"/>
        <v>13423114</v>
      </c>
      <c r="BB523" s="6">
        <v>0</v>
      </c>
      <c r="BD523" s="6">
        <v>0</v>
      </c>
      <c r="BF523" s="6">
        <v>0</v>
      </c>
      <c r="BH523" s="6">
        <v>0</v>
      </c>
      <c r="BJ523" s="6">
        <f t="shared" si="86"/>
        <v>13423114</v>
      </c>
      <c r="BL523" s="6">
        <f>+'Gen Fd Rev'!AK523-'Gen Fd Exp'!BJ523</f>
        <v>-1035905</v>
      </c>
      <c r="BN523" s="6">
        <v>996160</v>
      </c>
      <c r="BP523" s="6">
        <v>0</v>
      </c>
      <c r="BR523" s="6">
        <v>0</v>
      </c>
      <c r="BT523" s="6">
        <f t="shared" si="87"/>
        <v>-39745</v>
      </c>
      <c r="BV523" s="7">
        <f>+BT523-'Gen Fd BS'!AC523+BR523</f>
        <v>0</v>
      </c>
    </row>
    <row r="524" spans="1:74" hidden="1">
      <c r="A524" s="11" t="s">
        <v>703</v>
      </c>
      <c r="B524" s="11"/>
      <c r="C524" s="11" t="s">
        <v>422</v>
      </c>
      <c r="AJ524" s="11" t="s">
        <v>703</v>
      </c>
      <c r="AK524" s="11"/>
      <c r="AL524" s="11" t="s">
        <v>422</v>
      </c>
      <c r="AZ524" s="6">
        <f t="shared" si="88"/>
        <v>0</v>
      </c>
      <c r="BJ524" s="6">
        <f t="shared" si="86"/>
        <v>0</v>
      </c>
      <c r="BL524" s="6">
        <f>+'Gen Fd Rev'!AK524-'Gen Fd Exp'!BJ524</f>
        <v>0</v>
      </c>
      <c r="BR524" s="6">
        <v>0</v>
      </c>
      <c r="BT524" s="6">
        <f t="shared" si="87"/>
        <v>0</v>
      </c>
      <c r="BV524" s="7">
        <f>+BT524-'Gen Fd BS'!AC524+BR524</f>
        <v>0</v>
      </c>
    </row>
    <row r="525" spans="1:74" hidden="1">
      <c r="A525" s="11" t="s">
        <v>704</v>
      </c>
      <c r="B525" s="11"/>
      <c r="C525" s="11" t="s">
        <v>14</v>
      </c>
      <c r="AJ525" s="11" t="s">
        <v>704</v>
      </c>
      <c r="AK525" s="11"/>
      <c r="AL525" s="11" t="s">
        <v>14</v>
      </c>
      <c r="AZ525" s="6">
        <f t="shared" si="88"/>
        <v>0</v>
      </c>
      <c r="BJ525" s="6">
        <f t="shared" si="86"/>
        <v>0</v>
      </c>
      <c r="BL525" s="6">
        <f>+'Gen Fd Rev'!AK525-'Gen Fd Exp'!BJ525</f>
        <v>0</v>
      </c>
      <c r="BR525" s="6">
        <v>0</v>
      </c>
      <c r="BT525" s="6">
        <f t="shared" si="87"/>
        <v>0</v>
      </c>
      <c r="BV525" s="7">
        <f>+BT525-'Gen Fd BS'!AC525+BR525</f>
        <v>0</v>
      </c>
    </row>
    <row r="526" spans="1:74">
      <c r="A526" s="11" t="s">
        <v>364</v>
      </c>
      <c r="B526" s="11"/>
      <c r="C526" s="11" t="s">
        <v>39</v>
      </c>
      <c r="E526" s="6">
        <v>9475141</v>
      </c>
      <c r="G526" s="6">
        <v>2354693</v>
      </c>
      <c r="I526" s="6">
        <v>682036</v>
      </c>
      <c r="K526" s="6">
        <v>0</v>
      </c>
      <c r="M526" s="6">
        <v>78660</v>
      </c>
      <c r="O526" s="6">
        <v>597280</v>
      </c>
      <c r="Q526" s="6">
        <v>296365</v>
      </c>
      <c r="S526" s="6">
        <v>46636</v>
      </c>
      <c r="U526" s="6">
        <v>1661871</v>
      </c>
      <c r="W526" s="6">
        <v>384488</v>
      </c>
      <c r="Y526" s="6">
        <v>251235</v>
      </c>
      <c r="AA526" s="6">
        <v>2636376</v>
      </c>
      <c r="AC526" s="6">
        <v>454499</v>
      </c>
      <c r="AE526" s="6">
        <v>2891</v>
      </c>
      <c r="AG526" s="6">
        <v>0</v>
      </c>
      <c r="AI526" s="6">
        <v>13925</v>
      </c>
      <c r="AJ526" s="11" t="s">
        <v>364</v>
      </c>
      <c r="AK526" s="11"/>
      <c r="AL526" s="11" t="s">
        <v>39</v>
      </c>
      <c r="AN526" s="6">
        <v>287200</v>
      </c>
      <c r="AP526" s="6">
        <v>5573</v>
      </c>
      <c r="AT526" s="6">
        <v>0</v>
      </c>
      <c r="AV526" s="6">
        <v>0</v>
      </c>
      <c r="AX526" s="6">
        <v>0</v>
      </c>
      <c r="AZ526" s="6">
        <f t="shared" si="88"/>
        <v>19228869</v>
      </c>
      <c r="BB526" s="6">
        <v>142742</v>
      </c>
      <c r="BD526" s="6">
        <v>0</v>
      </c>
      <c r="BF526" s="6">
        <v>0</v>
      </c>
      <c r="BH526" s="6">
        <v>0</v>
      </c>
      <c r="BJ526" s="6">
        <f t="shared" si="86"/>
        <v>19371611</v>
      </c>
      <c r="BL526" s="6">
        <f>+'Gen Fd Rev'!AK526-'Gen Fd Exp'!BJ526</f>
        <v>-357625</v>
      </c>
      <c r="BN526" s="6">
        <v>2602200</v>
      </c>
      <c r="BP526" s="6">
        <v>0</v>
      </c>
      <c r="BR526" s="6">
        <v>0</v>
      </c>
      <c r="BT526" s="6">
        <f t="shared" si="87"/>
        <v>2244575</v>
      </c>
      <c r="BV526" s="7">
        <f>+BT526-'Gen Fd BS'!AC526+BR526</f>
        <v>0</v>
      </c>
    </row>
    <row r="527" spans="1:74">
      <c r="A527" s="11" t="s">
        <v>514</v>
      </c>
      <c r="B527" s="11"/>
      <c r="C527" s="11" t="s">
        <v>63</v>
      </c>
      <c r="E527" s="6">
        <v>23638299</v>
      </c>
      <c r="G527" s="6">
        <v>4202059</v>
      </c>
      <c r="I527" s="6">
        <v>1567281</v>
      </c>
      <c r="K527" s="6">
        <v>0</v>
      </c>
      <c r="M527" s="6">
        <v>767879</v>
      </c>
      <c r="O527" s="6">
        <v>2614924</v>
      </c>
      <c r="Q527" s="6">
        <v>2040349</v>
      </c>
      <c r="S527" s="6">
        <v>554243</v>
      </c>
      <c r="U527" s="6">
        <v>3263766</v>
      </c>
      <c r="W527" s="6">
        <v>1472844</v>
      </c>
      <c r="Y527" s="6">
        <v>80341</v>
      </c>
      <c r="AA527" s="6">
        <v>4835545</v>
      </c>
      <c r="AC527" s="6">
        <v>3229801</v>
      </c>
      <c r="AE527" s="6">
        <v>629971</v>
      </c>
      <c r="AG527" s="6">
        <v>0</v>
      </c>
      <c r="AI527" s="6">
        <v>20850</v>
      </c>
      <c r="AJ527" s="11" t="s">
        <v>514</v>
      </c>
      <c r="AK527" s="11"/>
      <c r="AL527" s="11" t="s">
        <v>63</v>
      </c>
      <c r="AN527" s="6">
        <v>831016</v>
      </c>
      <c r="AP527" s="6">
        <v>73609</v>
      </c>
      <c r="AT527" s="6">
        <v>90000</v>
      </c>
      <c r="AV527" s="6">
        <v>51656</v>
      </c>
      <c r="AX527" s="6">
        <v>0</v>
      </c>
      <c r="AZ527" s="6">
        <f t="shared" si="88"/>
        <v>49964433</v>
      </c>
      <c r="BB527" s="6">
        <v>0</v>
      </c>
      <c r="BD527" s="6">
        <v>0</v>
      </c>
      <c r="BF527" s="6">
        <v>0</v>
      </c>
      <c r="BH527" s="6">
        <v>0</v>
      </c>
      <c r="BJ527" s="6">
        <f t="shared" si="86"/>
        <v>49964433</v>
      </c>
      <c r="BL527" s="6">
        <f>+'Gen Fd Rev'!AK527-'Gen Fd Exp'!BJ527</f>
        <v>2705169</v>
      </c>
      <c r="BN527" s="6">
        <v>12274737</v>
      </c>
      <c r="BP527" s="6">
        <v>0</v>
      </c>
      <c r="BR527" s="6">
        <v>0</v>
      </c>
      <c r="BT527" s="6">
        <f t="shared" si="87"/>
        <v>14979906</v>
      </c>
      <c r="BV527" s="7">
        <f>+BT527-'Gen Fd BS'!AC527+BR527</f>
        <v>0</v>
      </c>
    </row>
    <row r="528" spans="1:74" hidden="1">
      <c r="A528" s="11" t="s">
        <v>705</v>
      </c>
      <c r="B528" s="11"/>
      <c r="C528" s="11" t="s">
        <v>65</v>
      </c>
      <c r="AJ528" s="11" t="s">
        <v>705</v>
      </c>
      <c r="AK528" s="11"/>
      <c r="AL528" s="11" t="s">
        <v>65</v>
      </c>
      <c r="AZ528" s="6">
        <f t="shared" si="88"/>
        <v>0</v>
      </c>
      <c r="BJ528" s="6">
        <f t="shared" si="86"/>
        <v>0</v>
      </c>
      <c r="BL528" s="6">
        <f>+'Gen Fd Rev'!AK528-'Gen Fd Exp'!BJ528</f>
        <v>0</v>
      </c>
      <c r="BR528" s="6">
        <v>0</v>
      </c>
      <c r="BT528" s="6">
        <f t="shared" si="87"/>
        <v>0</v>
      </c>
      <c r="BV528" s="7">
        <f>+BT528-'Gen Fd BS'!AC528+BR528</f>
        <v>0</v>
      </c>
    </row>
    <row r="529" spans="1:74">
      <c r="A529" s="11" t="s">
        <v>464</v>
      </c>
      <c r="B529" s="11"/>
      <c r="C529" s="11" t="s">
        <v>56</v>
      </c>
      <c r="E529" s="6">
        <v>9362016</v>
      </c>
      <c r="G529" s="6">
        <v>1537954</v>
      </c>
      <c r="I529" s="6">
        <v>98850</v>
      </c>
      <c r="K529" s="6">
        <v>0</v>
      </c>
      <c r="M529" s="6">
        <f>95060+1020260</f>
        <v>1115320</v>
      </c>
      <c r="O529" s="6">
        <v>1330913</v>
      </c>
      <c r="Q529" s="6">
        <v>1227213</v>
      </c>
      <c r="S529" s="6">
        <v>189903</v>
      </c>
      <c r="U529" s="6">
        <v>1501496</v>
      </c>
      <c r="W529" s="6">
        <v>659584</v>
      </c>
      <c r="Y529" s="6">
        <v>198526</v>
      </c>
      <c r="AA529" s="6">
        <v>1617228</v>
      </c>
      <c r="AC529" s="6">
        <v>1198328</v>
      </c>
      <c r="AE529" s="6">
        <v>91555</v>
      </c>
      <c r="AG529" s="6">
        <v>31857</v>
      </c>
      <c r="AI529" s="6">
        <v>0</v>
      </c>
      <c r="AJ529" s="11" t="s">
        <v>464</v>
      </c>
      <c r="AK529" s="11"/>
      <c r="AL529" s="11" t="s">
        <v>56</v>
      </c>
      <c r="AN529" s="6">
        <v>472819</v>
      </c>
      <c r="AP529" s="6">
        <v>0</v>
      </c>
      <c r="AT529" s="6">
        <v>0</v>
      </c>
      <c r="AV529" s="6">
        <v>0</v>
      </c>
      <c r="AX529" s="6">
        <v>0</v>
      </c>
      <c r="AZ529" s="6">
        <f t="shared" si="88"/>
        <v>20633562</v>
      </c>
      <c r="BB529" s="6">
        <v>18000</v>
      </c>
      <c r="BD529" s="6">
        <v>0</v>
      </c>
      <c r="BF529" s="6">
        <v>0</v>
      </c>
      <c r="BH529" s="6">
        <v>0</v>
      </c>
      <c r="BJ529" s="6">
        <f>+AZ529+BB529+BD529+BH529</f>
        <v>20651562</v>
      </c>
      <c r="BL529" s="6">
        <f>+'Gen Fd Rev'!AK529-'Gen Fd Exp'!BJ529</f>
        <v>650076</v>
      </c>
      <c r="BN529" s="6">
        <v>1515920</v>
      </c>
      <c r="BP529" s="6">
        <v>0</v>
      </c>
      <c r="BR529" s="6">
        <v>0</v>
      </c>
      <c r="BT529" s="6">
        <f t="shared" si="87"/>
        <v>2165996</v>
      </c>
      <c r="BV529" s="7">
        <f>+BT529-'Gen Fd BS'!AC529+BR529</f>
        <v>0</v>
      </c>
    </row>
    <row r="530" spans="1:74">
      <c r="A530" s="11" t="s">
        <v>279</v>
      </c>
      <c r="B530" s="11"/>
      <c r="C530" s="11" t="s">
        <v>20</v>
      </c>
      <c r="E530" s="6">
        <v>36402049</v>
      </c>
      <c r="G530" s="6">
        <v>4845220</v>
      </c>
      <c r="I530" s="6">
        <v>279425</v>
      </c>
      <c r="K530" s="6">
        <v>0</v>
      </c>
      <c r="M530" s="6">
        <v>0</v>
      </c>
      <c r="O530" s="6">
        <v>2313619</v>
      </c>
      <c r="Q530" s="6">
        <v>3027568</v>
      </c>
      <c r="S530" s="6">
        <v>23599</v>
      </c>
      <c r="U530" s="6">
        <v>2361049</v>
      </c>
      <c r="W530" s="6">
        <v>6330918</v>
      </c>
      <c r="Y530" s="6">
        <v>462644</v>
      </c>
      <c r="AA530" s="6">
        <v>6260926</v>
      </c>
      <c r="AC530" s="6">
        <v>3476409</v>
      </c>
      <c r="AE530" s="6">
        <v>674893</v>
      </c>
      <c r="AG530" s="6">
        <v>0</v>
      </c>
      <c r="AI530" s="6">
        <v>1060</v>
      </c>
      <c r="AJ530" s="11" t="s">
        <v>279</v>
      </c>
      <c r="AK530" s="11"/>
      <c r="AL530" s="11" t="s">
        <v>20</v>
      </c>
      <c r="AN530" s="6">
        <v>207987</v>
      </c>
      <c r="AP530" s="6">
        <v>0</v>
      </c>
      <c r="AT530" s="6">
        <v>604680</v>
      </c>
      <c r="AV530" s="6">
        <v>273682</v>
      </c>
      <c r="AX530" s="6">
        <v>0</v>
      </c>
      <c r="AZ530" s="6">
        <f t="shared" si="88"/>
        <v>67545728</v>
      </c>
      <c r="BB530" s="6">
        <v>76239</v>
      </c>
      <c r="BD530" s="6">
        <v>0</v>
      </c>
      <c r="BF530" s="6">
        <v>0</v>
      </c>
      <c r="BH530" s="6">
        <v>0</v>
      </c>
      <c r="BJ530" s="6">
        <f t="shared" si="86"/>
        <v>67621967</v>
      </c>
      <c r="BL530" s="6">
        <f>+'Gen Fd Rev'!AK530-'Gen Fd Exp'!BJ530</f>
        <v>4785866</v>
      </c>
      <c r="BN530" s="6">
        <v>-2233003</v>
      </c>
      <c r="BP530" s="6">
        <v>0</v>
      </c>
      <c r="BR530" s="6">
        <v>0</v>
      </c>
      <c r="BT530" s="6">
        <f t="shared" si="87"/>
        <v>2552863</v>
      </c>
      <c r="BV530" s="7">
        <f>+BT530-'Gen Fd BS'!AC530+BR530</f>
        <v>0</v>
      </c>
    </row>
    <row r="531" spans="1:74">
      <c r="A531" s="11" t="s">
        <v>407</v>
      </c>
      <c r="B531" s="11"/>
      <c r="C531" s="11" t="s">
        <v>45</v>
      </c>
      <c r="D531" s="9"/>
      <c r="E531" s="6">
        <v>7510003</v>
      </c>
      <c r="G531" s="6">
        <v>2667725</v>
      </c>
      <c r="I531" s="6">
        <v>378412</v>
      </c>
      <c r="K531" s="6">
        <v>0</v>
      </c>
      <c r="M531" s="6">
        <v>1197986</v>
      </c>
      <c r="O531" s="6">
        <v>681923</v>
      </c>
      <c r="Q531" s="6">
        <v>107584</v>
      </c>
      <c r="S531" s="6">
        <v>172692</v>
      </c>
      <c r="U531" s="6">
        <v>1122614</v>
      </c>
      <c r="W531" s="6">
        <v>811456</v>
      </c>
      <c r="Y531" s="6">
        <v>68215</v>
      </c>
      <c r="AA531" s="6">
        <v>1456558</v>
      </c>
      <c r="AC531" s="6">
        <v>377043</v>
      </c>
      <c r="AE531" s="6">
        <v>50177</v>
      </c>
      <c r="AG531" s="6">
        <v>0</v>
      </c>
      <c r="AI531" s="6">
        <v>5070</v>
      </c>
      <c r="AJ531" s="11" t="s">
        <v>407</v>
      </c>
      <c r="AK531" s="11"/>
      <c r="AL531" s="11" t="s">
        <v>45</v>
      </c>
      <c r="AN531" s="6">
        <v>457165</v>
      </c>
      <c r="AP531" s="6">
        <v>33160</v>
      </c>
      <c r="AT531" s="6">
        <v>0</v>
      </c>
      <c r="AV531" s="6">
        <v>0</v>
      </c>
      <c r="AX531" s="6">
        <v>0</v>
      </c>
      <c r="AZ531" s="6">
        <f t="shared" si="88"/>
        <v>17097783</v>
      </c>
      <c r="BB531" s="6">
        <v>534403</v>
      </c>
      <c r="BD531" s="6">
        <v>0</v>
      </c>
      <c r="BF531" s="6">
        <v>0</v>
      </c>
      <c r="BH531" s="6">
        <v>0</v>
      </c>
      <c r="BJ531" s="6">
        <f t="shared" si="86"/>
        <v>17632186</v>
      </c>
      <c r="BL531" s="6">
        <f>+'Gen Fd Rev'!AK531-'Gen Fd Exp'!BJ531</f>
        <v>-799668</v>
      </c>
      <c r="BN531" s="6">
        <v>5597906</v>
      </c>
      <c r="BP531" s="6">
        <v>0</v>
      </c>
      <c r="BR531" s="6">
        <v>0</v>
      </c>
      <c r="BT531" s="6">
        <f t="shared" si="87"/>
        <v>4798238</v>
      </c>
      <c r="BV531" s="7">
        <f>+BT531-'Gen Fd BS'!AC531+BR531</f>
        <v>0</v>
      </c>
    </row>
    <row r="532" spans="1:74" hidden="1">
      <c r="A532" s="11" t="s">
        <v>898</v>
      </c>
      <c r="B532" s="11"/>
      <c r="C532" s="11" t="s">
        <v>552</v>
      </c>
      <c r="E532" s="6">
        <v>0</v>
      </c>
      <c r="G532" s="6">
        <v>0</v>
      </c>
      <c r="I532" s="6">
        <v>0</v>
      </c>
      <c r="K532" s="6">
        <v>0</v>
      </c>
      <c r="M532" s="6">
        <v>0</v>
      </c>
      <c r="O532" s="6">
        <v>0</v>
      </c>
      <c r="Q532" s="6">
        <v>0</v>
      </c>
      <c r="S532" s="6">
        <v>0</v>
      </c>
      <c r="U532" s="6">
        <v>0</v>
      </c>
      <c r="W532" s="6">
        <v>0</v>
      </c>
      <c r="Y532" s="6">
        <v>0</v>
      </c>
      <c r="AA532" s="6">
        <v>0</v>
      </c>
      <c r="AC532" s="6">
        <v>0</v>
      </c>
      <c r="AE532" s="6">
        <v>0</v>
      </c>
      <c r="AG532" s="6">
        <v>0</v>
      </c>
      <c r="AI532" s="6">
        <v>0</v>
      </c>
      <c r="AJ532" s="11" t="s">
        <v>553</v>
      </c>
      <c r="AK532" s="11"/>
      <c r="AL532" s="11" t="s">
        <v>552</v>
      </c>
      <c r="AN532" s="6">
        <v>0</v>
      </c>
      <c r="AP532" s="6">
        <v>0</v>
      </c>
      <c r="AT532" s="6">
        <v>0</v>
      </c>
      <c r="AV532" s="6">
        <v>0</v>
      </c>
      <c r="AX532" s="6">
        <v>0</v>
      </c>
      <c r="AZ532" s="6">
        <f t="shared" si="88"/>
        <v>0</v>
      </c>
      <c r="BB532" s="6">
        <v>0</v>
      </c>
      <c r="BD532" s="6">
        <v>0</v>
      </c>
      <c r="BF532" s="6">
        <v>0</v>
      </c>
      <c r="BH532" s="6">
        <v>0</v>
      </c>
      <c r="BJ532" s="6">
        <f t="shared" si="86"/>
        <v>0</v>
      </c>
      <c r="BL532" s="6">
        <f>+'Gen Fd Rev'!AK532-'Gen Fd Exp'!BJ532</f>
        <v>0</v>
      </c>
      <c r="BP532" s="6">
        <v>0</v>
      </c>
      <c r="BR532" s="6">
        <v>0</v>
      </c>
      <c r="BT532" s="6">
        <f t="shared" si="87"/>
        <v>0</v>
      </c>
      <c r="BV532" s="7">
        <f>+BT532-'Gen Fd BS'!AC532+BR532</f>
        <v>0</v>
      </c>
    </row>
    <row r="533" spans="1:74" hidden="1">
      <c r="A533" s="11" t="s">
        <v>899</v>
      </c>
      <c r="B533" s="11"/>
      <c r="C533" s="11" t="s">
        <v>28</v>
      </c>
      <c r="E533" s="6">
        <v>0</v>
      </c>
      <c r="G533" s="6">
        <v>0</v>
      </c>
      <c r="I533" s="6">
        <v>0</v>
      </c>
      <c r="K533" s="6">
        <v>0</v>
      </c>
      <c r="M533" s="6">
        <v>0</v>
      </c>
      <c r="O533" s="6">
        <v>0</v>
      </c>
      <c r="Q533" s="6">
        <v>0</v>
      </c>
      <c r="S533" s="6">
        <v>0</v>
      </c>
      <c r="U533" s="6">
        <v>0</v>
      </c>
      <c r="W533" s="6">
        <v>0</v>
      </c>
      <c r="Y533" s="6">
        <v>0</v>
      </c>
      <c r="AA533" s="6">
        <v>0</v>
      </c>
      <c r="AC533" s="6">
        <v>0</v>
      </c>
      <c r="AE533" s="6">
        <v>0</v>
      </c>
      <c r="AG533" s="6">
        <v>0</v>
      </c>
      <c r="AI533" s="6">
        <v>0</v>
      </c>
      <c r="AJ533" s="11" t="s">
        <v>312</v>
      </c>
      <c r="AK533" s="11"/>
      <c r="AL533" s="11" t="s">
        <v>28</v>
      </c>
      <c r="AN533" s="6">
        <v>0</v>
      </c>
      <c r="AP533" s="6">
        <v>0</v>
      </c>
      <c r="AT533" s="6">
        <v>0</v>
      </c>
      <c r="AV533" s="6">
        <v>0</v>
      </c>
      <c r="AX533" s="6">
        <v>0</v>
      </c>
      <c r="AZ533" s="6">
        <f t="shared" si="88"/>
        <v>0</v>
      </c>
      <c r="BB533" s="6">
        <v>0</v>
      </c>
      <c r="BD533" s="6">
        <v>0</v>
      </c>
      <c r="BF533" s="6">
        <v>0</v>
      </c>
      <c r="BH533" s="6">
        <v>0</v>
      </c>
      <c r="BJ533" s="6">
        <f t="shared" si="86"/>
        <v>0</v>
      </c>
      <c r="BL533" s="6">
        <f>+'Gen Fd Rev'!AK533-'Gen Fd Exp'!BJ533</f>
        <v>0</v>
      </c>
      <c r="BP533" s="6">
        <v>0</v>
      </c>
      <c r="BR533" s="6">
        <v>0</v>
      </c>
      <c r="BT533" s="6">
        <f t="shared" si="87"/>
        <v>0</v>
      </c>
      <c r="BV533" s="7">
        <f>+BT533-'Gen Fd BS'!AC533+BR533</f>
        <v>0</v>
      </c>
    </row>
    <row r="534" spans="1:74">
      <c r="A534" s="11" t="s">
        <v>628</v>
      </c>
      <c r="B534" s="11"/>
      <c r="C534" s="11" t="s">
        <v>49</v>
      </c>
      <c r="E534" s="6">
        <v>10305253</v>
      </c>
      <c r="G534" s="6">
        <v>2344748</v>
      </c>
      <c r="I534" s="6">
        <v>2150244</v>
      </c>
      <c r="K534" s="6">
        <v>0</v>
      </c>
      <c r="M534" s="6">
        <v>0</v>
      </c>
      <c r="O534" s="6">
        <v>931908</v>
      </c>
      <c r="Q534" s="6">
        <v>505419</v>
      </c>
      <c r="S534" s="6">
        <v>50934</v>
      </c>
      <c r="U534" s="6">
        <v>1862503</v>
      </c>
      <c r="W534" s="6">
        <v>769932</v>
      </c>
      <c r="Y534" s="6">
        <v>0</v>
      </c>
      <c r="AA534" s="6">
        <v>2347957</v>
      </c>
      <c r="AC534" s="6">
        <v>2823011</v>
      </c>
      <c r="AE534" s="6">
        <v>81327</v>
      </c>
      <c r="AG534" s="6">
        <v>0</v>
      </c>
      <c r="AI534" s="6">
        <v>0</v>
      </c>
      <c r="AJ534" s="11" t="s">
        <v>628</v>
      </c>
      <c r="AK534" s="11"/>
      <c r="AL534" s="11" t="s">
        <v>49</v>
      </c>
      <c r="AN534" s="6">
        <v>351161</v>
      </c>
      <c r="AP534" s="6">
        <v>0</v>
      </c>
      <c r="AT534" s="6">
        <v>0</v>
      </c>
      <c r="AV534" s="6">
        <v>0</v>
      </c>
      <c r="AX534" s="6">
        <v>0</v>
      </c>
      <c r="AZ534" s="6">
        <f t="shared" si="88"/>
        <v>24524397</v>
      </c>
      <c r="BB534" s="6">
        <v>164252</v>
      </c>
      <c r="BD534" s="6">
        <v>0</v>
      </c>
      <c r="BF534" s="6">
        <v>0</v>
      </c>
      <c r="BH534" s="6">
        <v>0</v>
      </c>
      <c r="BJ534" s="6">
        <f t="shared" si="86"/>
        <v>24688649</v>
      </c>
      <c r="BL534" s="6">
        <f>+'Gen Fd Rev'!AK534-'Gen Fd Exp'!BJ534</f>
        <v>-47862</v>
      </c>
      <c r="BN534" s="6">
        <v>-1441911</v>
      </c>
      <c r="BP534" s="6">
        <v>0</v>
      </c>
      <c r="BR534" s="6">
        <v>0</v>
      </c>
      <c r="BT534" s="6">
        <f t="shared" si="87"/>
        <v>-1489773</v>
      </c>
      <c r="BV534" s="7">
        <f>+BT534-'Gen Fd BS'!AC534+BR534</f>
        <v>0</v>
      </c>
    </row>
    <row r="535" spans="1:74">
      <c r="A535" s="10" t="s">
        <v>834</v>
      </c>
      <c r="B535" s="11"/>
      <c r="C535" s="11" t="s">
        <v>32</v>
      </c>
      <c r="E535" s="6">
        <v>33051577</v>
      </c>
      <c r="G535" s="6">
        <v>7593009</v>
      </c>
      <c r="I535" s="6">
        <v>0</v>
      </c>
      <c r="K535" s="6">
        <v>0</v>
      </c>
      <c r="M535" s="6">
        <v>493505</v>
      </c>
      <c r="O535" s="6">
        <v>4316435</v>
      </c>
      <c r="Q535" s="6">
        <v>4462488</v>
      </c>
      <c r="S535" s="6">
        <v>0</v>
      </c>
      <c r="U535" s="6">
        <f>34905+5302600</f>
        <v>5337505</v>
      </c>
      <c r="W535" s="6">
        <v>1733426</v>
      </c>
      <c r="Y535" s="6">
        <v>71019</v>
      </c>
      <c r="AA535" s="6">
        <v>7012189</v>
      </c>
      <c r="AC535" s="6">
        <v>4492694</v>
      </c>
      <c r="AE535" s="6">
        <v>1666057</v>
      </c>
      <c r="AG535" s="6">
        <v>0</v>
      </c>
      <c r="AI535" s="6">
        <v>3672</v>
      </c>
      <c r="AJ535" s="10" t="s">
        <v>834</v>
      </c>
      <c r="AK535" s="11"/>
      <c r="AL535" s="11" t="s">
        <v>32</v>
      </c>
      <c r="AN535" s="6">
        <v>858810</v>
      </c>
      <c r="AP535" s="6">
        <v>0</v>
      </c>
      <c r="AT535" s="6">
        <v>660000</v>
      </c>
      <c r="AV535" s="6">
        <v>364766</v>
      </c>
      <c r="AX535" s="6">
        <v>0</v>
      </c>
      <c r="AZ535" s="6">
        <f t="shared" si="88"/>
        <v>72117152</v>
      </c>
      <c r="BB535" s="6">
        <v>3048364</v>
      </c>
      <c r="BH535" s="6">
        <v>0</v>
      </c>
      <c r="BJ535" s="6">
        <f t="shared" si="86"/>
        <v>75165516</v>
      </c>
      <c r="BL535" s="6">
        <f>+'Gen Fd Rev'!AK535-'Gen Fd Exp'!BJ535</f>
        <v>-141873</v>
      </c>
      <c r="BN535" s="6">
        <v>53781523</v>
      </c>
      <c r="BP535" s="6">
        <v>0</v>
      </c>
      <c r="BR535" s="6">
        <v>0</v>
      </c>
      <c r="BT535" s="6">
        <f t="shared" si="87"/>
        <v>53639650</v>
      </c>
      <c r="BV535" s="7">
        <f>+BT535-'Gen Fd BS'!AC535+BR535</f>
        <v>0</v>
      </c>
    </row>
    <row r="536" spans="1:74">
      <c r="A536" s="11" t="s">
        <v>394</v>
      </c>
      <c r="B536" s="11"/>
      <c r="C536" s="11" t="s">
        <v>115</v>
      </c>
      <c r="D536" s="9"/>
      <c r="E536" s="6">
        <v>31744600</v>
      </c>
      <c r="G536" s="6">
        <v>7407690</v>
      </c>
      <c r="I536" s="6">
        <v>1451603</v>
      </c>
      <c r="K536" s="6">
        <v>0</v>
      </c>
      <c r="M536" s="6">
        <v>1723810</v>
      </c>
      <c r="O536" s="6">
        <v>5087750</v>
      </c>
      <c r="Q536" s="6">
        <v>2478646</v>
      </c>
      <c r="S536" s="6">
        <v>28371</v>
      </c>
      <c r="U536" s="6">
        <v>8427686</v>
      </c>
      <c r="W536" s="6">
        <v>1688291</v>
      </c>
      <c r="Y536" s="6">
        <v>209414</v>
      </c>
      <c r="AA536" s="6">
        <v>8211638</v>
      </c>
      <c r="AC536" s="6">
        <v>4413880</v>
      </c>
      <c r="AE536" s="6">
        <v>944964</v>
      </c>
      <c r="AG536" s="6">
        <v>0</v>
      </c>
      <c r="AI536" s="6">
        <v>140515</v>
      </c>
      <c r="AJ536" s="11" t="s">
        <v>394</v>
      </c>
      <c r="AK536" s="11"/>
      <c r="AL536" s="11" t="s">
        <v>115</v>
      </c>
      <c r="AN536" s="6">
        <v>1605086</v>
      </c>
      <c r="AP536" s="6">
        <v>51023</v>
      </c>
      <c r="AT536" s="6">
        <v>141112</v>
      </c>
      <c r="AV536" s="6">
        <v>1610</v>
      </c>
      <c r="AX536" s="6">
        <v>0</v>
      </c>
      <c r="AZ536" s="6">
        <f t="shared" si="88"/>
        <v>75757689</v>
      </c>
      <c r="BB536" s="6">
        <v>930</v>
      </c>
      <c r="BD536" s="6">
        <v>0</v>
      </c>
      <c r="BF536" s="6">
        <v>0</v>
      </c>
      <c r="BH536" s="6">
        <v>0</v>
      </c>
      <c r="BJ536" s="6">
        <f t="shared" si="86"/>
        <v>75758619</v>
      </c>
      <c r="BL536" s="6">
        <f>+'Gen Fd Rev'!AK536-'Gen Fd Exp'!BJ536</f>
        <v>2412352</v>
      </c>
      <c r="BN536" s="6">
        <v>-3394984</v>
      </c>
      <c r="BP536" s="6">
        <v>0</v>
      </c>
      <c r="BR536" s="6">
        <v>0</v>
      </c>
      <c r="BT536" s="6">
        <f t="shared" si="87"/>
        <v>-982632</v>
      </c>
      <c r="BV536" s="7">
        <f>+BT536-'Gen Fd BS'!AC536+BR536</f>
        <v>0</v>
      </c>
    </row>
    <row r="537" spans="1:74">
      <c r="A537" s="11" t="s">
        <v>372</v>
      </c>
      <c r="B537" s="11"/>
      <c r="C537" s="11" t="s">
        <v>366</v>
      </c>
      <c r="E537" s="6">
        <v>3463064</v>
      </c>
      <c r="G537" s="6">
        <v>618527</v>
      </c>
      <c r="I537" s="6">
        <v>169241</v>
      </c>
      <c r="K537" s="6">
        <v>0</v>
      </c>
      <c r="M537" s="6">
        <v>0</v>
      </c>
      <c r="O537" s="6">
        <v>278127</v>
      </c>
      <c r="Q537" s="6">
        <v>245390</v>
      </c>
      <c r="S537" s="6">
        <v>119283</v>
      </c>
      <c r="U537" s="6">
        <v>551641</v>
      </c>
      <c r="W537" s="6">
        <v>359718</v>
      </c>
      <c r="Y537" s="6">
        <v>0</v>
      </c>
      <c r="AA537" s="6">
        <v>880326</v>
      </c>
      <c r="AC537" s="6">
        <v>922267</v>
      </c>
      <c r="AE537" s="6">
        <v>84326</v>
      </c>
      <c r="AG537" s="6">
        <v>0</v>
      </c>
      <c r="AI537" s="6">
        <v>176031</v>
      </c>
      <c r="AJ537" s="11" t="s">
        <v>372</v>
      </c>
      <c r="AK537" s="11"/>
      <c r="AL537" s="11" t="s">
        <v>366</v>
      </c>
      <c r="AN537" s="6">
        <v>0</v>
      </c>
      <c r="AP537" s="6">
        <v>0</v>
      </c>
      <c r="AT537" s="6">
        <v>0</v>
      </c>
      <c r="AV537" s="6">
        <v>0</v>
      </c>
      <c r="AX537" s="6">
        <v>0</v>
      </c>
      <c r="AZ537" s="6">
        <f t="shared" si="88"/>
        <v>7867941</v>
      </c>
      <c r="BB537" s="6">
        <v>4411</v>
      </c>
      <c r="BD537" s="6">
        <v>0</v>
      </c>
      <c r="BF537" s="6">
        <v>0</v>
      </c>
      <c r="BH537" s="6">
        <v>0</v>
      </c>
      <c r="BJ537" s="6">
        <f t="shared" si="86"/>
        <v>7872352</v>
      </c>
      <c r="BL537" s="6">
        <f>+'Gen Fd Rev'!AK537-'Gen Fd Exp'!BJ537</f>
        <v>-99387</v>
      </c>
      <c r="BN537" s="6">
        <v>2595877</v>
      </c>
      <c r="BP537" s="6">
        <v>0</v>
      </c>
      <c r="BR537" s="6">
        <v>0</v>
      </c>
      <c r="BT537" s="6">
        <f t="shared" si="87"/>
        <v>2496490</v>
      </c>
      <c r="BV537" s="7">
        <f>+BT537-'Gen Fd BS'!AC537+BR537</f>
        <v>0</v>
      </c>
    </row>
    <row r="538" spans="1:74">
      <c r="A538" s="11" t="s">
        <v>717</v>
      </c>
      <c r="B538" s="11"/>
      <c r="C538" s="11" t="s">
        <v>221</v>
      </c>
      <c r="D538" s="9"/>
      <c r="E538" s="6">
        <v>13318595</v>
      </c>
      <c r="G538" s="6">
        <v>1917326</v>
      </c>
      <c r="I538" s="6">
        <v>0</v>
      </c>
      <c r="K538" s="6">
        <v>0</v>
      </c>
      <c r="M538" s="6">
        <v>1127097</v>
      </c>
      <c r="O538" s="6">
        <v>1452273</v>
      </c>
      <c r="Q538" s="6">
        <v>2150794</v>
      </c>
      <c r="S538" s="6">
        <v>62036</v>
      </c>
      <c r="U538" s="6">
        <v>2074651</v>
      </c>
      <c r="W538" s="6">
        <v>1223330</v>
      </c>
      <c r="Y538" s="6">
        <v>858</v>
      </c>
      <c r="AA538" s="6">
        <v>2320533</v>
      </c>
      <c r="AC538" s="6">
        <v>2547993</v>
      </c>
      <c r="AE538" s="6">
        <v>206188</v>
      </c>
      <c r="AG538" s="6">
        <v>0</v>
      </c>
      <c r="AI538" s="6">
        <v>40537</v>
      </c>
      <c r="AJ538" s="11" t="s">
        <v>717</v>
      </c>
      <c r="AK538" s="11"/>
      <c r="AL538" s="11" t="s">
        <v>221</v>
      </c>
      <c r="AN538" s="6">
        <v>581728</v>
      </c>
      <c r="AP538" s="6">
        <v>2000</v>
      </c>
      <c r="AT538" s="6">
        <v>0</v>
      </c>
      <c r="AV538" s="6">
        <v>0</v>
      </c>
      <c r="AX538" s="6">
        <v>0</v>
      </c>
      <c r="AZ538" s="6">
        <f t="shared" ref="AZ538:AZ571" si="89">SUM(E538:AX538)</f>
        <v>29025939</v>
      </c>
      <c r="BB538" s="6">
        <v>0</v>
      </c>
      <c r="BD538" s="6">
        <v>0</v>
      </c>
      <c r="BF538" s="6">
        <v>0</v>
      </c>
      <c r="BH538" s="6">
        <v>0</v>
      </c>
      <c r="BJ538" s="6">
        <f t="shared" ref="BJ538:BJ552" si="90">+AZ538+BB538+BD538+BH538</f>
        <v>29025939</v>
      </c>
      <c r="BL538" s="6">
        <f>+'Gen Fd Rev'!AK538-'Gen Fd Exp'!BJ538</f>
        <v>2318962</v>
      </c>
      <c r="BN538" s="6">
        <v>17186417</v>
      </c>
      <c r="BP538" s="6">
        <v>0</v>
      </c>
      <c r="BR538" s="6">
        <v>0</v>
      </c>
      <c r="BT538" s="6">
        <f t="shared" ref="BT538:BT553" si="91">+BN538+BL538-BP538</f>
        <v>19505379</v>
      </c>
      <c r="BV538" s="7">
        <f>+BT538-'Gen Fd BS'!AC538+BR538</f>
        <v>0</v>
      </c>
    </row>
    <row r="539" spans="1:74">
      <c r="A539" s="11" t="s">
        <v>515</v>
      </c>
      <c r="B539" s="11"/>
      <c r="C539" s="11" t="s">
        <v>63</v>
      </c>
      <c r="E539" s="6">
        <v>13897503</v>
      </c>
      <c r="G539" s="6">
        <v>2418849</v>
      </c>
      <c r="I539" s="6">
        <v>731616</v>
      </c>
      <c r="K539" s="6">
        <v>55412</v>
      </c>
      <c r="M539" s="6">
        <v>0</v>
      </c>
      <c r="O539" s="6">
        <v>1132053</v>
      </c>
      <c r="Q539" s="6">
        <v>472338</v>
      </c>
      <c r="S539" s="6">
        <v>35511</v>
      </c>
      <c r="U539" s="6">
        <v>1747085</v>
      </c>
      <c r="W539" s="6">
        <v>803334</v>
      </c>
      <c r="Y539" s="6">
        <v>130750</v>
      </c>
      <c r="AA539" s="6">
        <v>1746641</v>
      </c>
      <c r="AC539" s="6">
        <v>1914671</v>
      </c>
      <c r="AE539" s="6">
        <v>510254</v>
      </c>
      <c r="AG539" s="6">
        <v>0</v>
      </c>
      <c r="AI539" s="6">
        <v>0</v>
      </c>
      <c r="AJ539" s="11" t="s">
        <v>515</v>
      </c>
      <c r="AK539" s="11"/>
      <c r="AL539" s="11" t="s">
        <v>63</v>
      </c>
      <c r="AN539" s="6">
        <v>749349</v>
      </c>
      <c r="AP539" s="6">
        <v>0</v>
      </c>
      <c r="AT539" s="6">
        <v>0</v>
      </c>
      <c r="AV539" s="6">
        <v>0</v>
      </c>
      <c r="AX539" s="6">
        <v>0</v>
      </c>
      <c r="AZ539" s="6">
        <f t="shared" si="89"/>
        <v>26345366</v>
      </c>
      <c r="BB539" s="6">
        <v>0</v>
      </c>
      <c r="BD539" s="6">
        <v>0</v>
      </c>
      <c r="BF539" s="6">
        <v>0</v>
      </c>
      <c r="BH539" s="6">
        <v>0</v>
      </c>
      <c r="BJ539" s="6">
        <f t="shared" si="90"/>
        <v>26345366</v>
      </c>
      <c r="BL539" s="6">
        <f>+'Gen Fd Rev'!AK539-'Gen Fd Exp'!BJ539</f>
        <v>-836324</v>
      </c>
      <c r="BN539" s="6">
        <v>3510448</v>
      </c>
      <c r="BP539" s="6">
        <v>0</v>
      </c>
      <c r="BR539" s="6">
        <v>0</v>
      </c>
      <c r="BT539" s="6">
        <f t="shared" si="91"/>
        <v>2674124</v>
      </c>
      <c r="BV539" s="7">
        <f>+BT539-'Gen Fd BS'!AC539+BR539</f>
        <v>0</v>
      </c>
    </row>
    <row r="540" spans="1:74">
      <c r="A540" s="11" t="s">
        <v>454</v>
      </c>
      <c r="B540" s="11"/>
      <c r="C540" s="11" t="s">
        <v>54</v>
      </c>
      <c r="E540" s="6">
        <v>14088157</v>
      </c>
      <c r="G540" s="6">
        <v>2821280</v>
      </c>
      <c r="I540" s="6">
        <v>547539</v>
      </c>
      <c r="K540" s="6">
        <v>0</v>
      </c>
      <c r="M540" s="6">
        <v>113677</v>
      </c>
      <c r="O540" s="6">
        <v>1150156</v>
      </c>
      <c r="Q540" s="6">
        <v>1151061</v>
      </c>
      <c r="S540" s="6">
        <v>193675</v>
      </c>
      <c r="U540" s="6">
        <v>3009052</v>
      </c>
      <c r="W540" s="6">
        <v>809599</v>
      </c>
      <c r="Y540" s="6">
        <v>178162</v>
      </c>
      <c r="AA540" s="6">
        <v>2885921</v>
      </c>
      <c r="AC540" s="6">
        <v>1803905</v>
      </c>
      <c r="AE540" s="6">
        <v>277420</v>
      </c>
      <c r="AG540" s="6">
        <v>0</v>
      </c>
      <c r="AI540" s="6">
        <v>30450</v>
      </c>
      <c r="AJ540" s="11" t="s">
        <v>454</v>
      </c>
      <c r="AK540" s="11"/>
      <c r="AL540" s="11" t="s">
        <v>54</v>
      </c>
      <c r="AN540" s="6">
        <v>498157</v>
      </c>
      <c r="AP540" s="6">
        <v>396229</v>
      </c>
      <c r="AT540" s="6">
        <v>50782</v>
      </c>
      <c r="AV540" s="6">
        <v>11104</v>
      </c>
      <c r="AX540" s="6">
        <v>0</v>
      </c>
      <c r="AZ540" s="6">
        <f t="shared" si="89"/>
        <v>30016326</v>
      </c>
      <c r="BB540" s="6">
        <v>0</v>
      </c>
      <c r="BD540" s="6">
        <v>0</v>
      </c>
      <c r="BF540" s="6">
        <v>0</v>
      </c>
      <c r="BH540" s="6">
        <v>0</v>
      </c>
      <c r="BJ540" s="6">
        <f t="shared" si="90"/>
        <v>30016326</v>
      </c>
      <c r="BL540" s="6">
        <f>+'Gen Fd Rev'!AK540-'Gen Fd Exp'!BJ540</f>
        <v>-2447535</v>
      </c>
      <c r="BN540" s="6">
        <v>5986653</v>
      </c>
      <c r="BP540" s="6">
        <v>10647</v>
      </c>
      <c r="BR540" s="6">
        <v>0</v>
      </c>
      <c r="BT540" s="6">
        <f t="shared" si="91"/>
        <v>3528471</v>
      </c>
      <c r="BV540" s="7">
        <f>+BT540-'Gen Fd BS'!AC540+BR540</f>
        <v>0</v>
      </c>
    </row>
    <row r="541" spans="1:74" ht="12.75" customHeight="1">
      <c r="A541" s="11" t="s">
        <v>236</v>
      </c>
      <c r="B541" s="11"/>
      <c r="C541" s="11" t="s">
        <v>17</v>
      </c>
      <c r="E541" s="6">
        <v>11621277</v>
      </c>
      <c r="G541" s="6">
        <v>2796346</v>
      </c>
      <c r="I541" s="6">
        <v>365693</v>
      </c>
      <c r="K541" s="6">
        <v>0</v>
      </c>
      <c r="M541" s="6">
        <f>21997+1186766</f>
        <v>1208763</v>
      </c>
      <c r="O541" s="6">
        <v>1514215</v>
      </c>
      <c r="Q541" s="6">
        <v>727338</v>
      </c>
      <c r="S541" s="6">
        <v>66774</v>
      </c>
      <c r="U541" s="6">
        <v>2330242</v>
      </c>
      <c r="W541" s="6">
        <v>517369</v>
      </c>
      <c r="Y541" s="6">
        <v>55427</v>
      </c>
      <c r="AA541" s="6">
        <v>2960288</v>
      </c>
      <c r="AC541" s="6">
        <v>1382861</v>
      </c>
      <c r="AE541" s="6">
        <v>163236</v>
      </c>
      <c r="AG541" s="6">
        <v>0</v>
      </c>
      <c r="AI541" s="6">
        <v>95911</v>
      </c>
      <c r="AJ541" s="11" t="s">
        <v>236</v>
      </c>
      <c r="AK541" s="11"/>
      <c r="AL541" s="11" t="s">
        <v>17</v>
      </c>
      <c r="AN541" s="6">
        <v>379736</v>
      </c>
      <c r="AP541" s="6">
        <v>0</v>
      </c>
      <c r="AT541" s="6">
        <v>0</v>
      </c>
      <c r="AV541" s="6">
        <v>0</v>
      </c>
      <c r="AX541" s="6">
        <v>0</v>
      </c>
      <c r="AZ541" s="6">
        <f t="shared" si="89"/>
        <v>26185476</v>
      </c>
      <c r="BB541" s="6">
        <v>0</v>
      </c>
      <c r="BD541" s="6">
        <v>0</v>
      </c>
      <c r="BF541" s="6">
        <v>0</v>
      </c>
      <c r="BH541" s="6">
        <v>632263</v>
      </c>
      <c r="BJ541" s="6">
        <f t="shared" si="90"/>
        <v>26817739</v>
      </c>
      <c r="BL541" s="6">
        <f>+'Gen Fd Rev'!AK541-'Gen Fd Exp'!BJ541</f>
        <v>-1592558</v>
      </c>
      <c r="BN541" s="6">
        <v>3049965</v>
      </c>
      <c r="BP541" s="6">
        <v>0</v>
      </c>
      <c r="BR541" s="6">
        <v>0</v>
      </c>
      <c r="BT541" s="6">
        <f t="shared" si="91"/>
        <v>1457407</v>
      </c>
      <c r="BV541" s="7">
        <f>+BT541-'Gen Fd BS'!AC541+BR541</f>
        <v>0</v>
      </c>
    </row>
    <row r="542" spans="1:74">
      <c r="A542" s="11" t="s">
        <v>725</v>
      </c>
      <c r="B542" s="11"/>
      <c r="C542" s="11" t="s">
        <v>32</v>
      </c>
      <c r="E542" s="6">
        <v>8112883</v>
      </c>
      <c r="G542" s="6">
        <v>3023484</v>
      </c>
      <c r="I542" s="6">
        <v>0</v>
      </c>
      <c r="K542" s="6">
        <v>0</v>
      </c>
      <c r="M542" s="6">
        <v>522787</v>
      </c>
      <c r="O542" s="6">
        <v>1230499</v>
      </c>
      <c r="Q542" s="6">
        <v>480904</v>
      </c>
      <c r="S542" s="6">
        <v>48024</v>
      </c>
      <c r="U542" s="6">
        <v>1602305</v>
      </c>
      <c r="W542" s="6">
        <v>519453</v>
      </c>
      <c r="Y542" s="6">
        <v>0</v>
      </c>
      <c r="AA542" s="6">
        <v>1466706</v>
      </c>
      <c r="AC542" s="6">
        <v>1377860</v>
      </c>
      <c r="AE542" s="6">
        <v>567242</v>
      </c>
      <c r="AG542" s="6">
        <v>0</v>
      </c>
      <c r="AI542" s="6">
        <v>92019</v>
      </c>
      <c r="AJ542" s="11" t="s">
        <v>725</v>
      </c>
      <c r="AK542" s="11"/>
      <c r="AL542" s="11" t="s">
        <v>32</v>
      </c>
      <c r="AN542" s="6">
        <v>377184</v>
      </c>
      <c r="AP542" s="6">
        <v>0</v>
      </c>
      <c r="AT542" s="6">
        <v>57852</v>
      </c>
      <c r="AV542" s="6">
        <v>60135</v>
      </c>
      <c r="AX542" s="6">
        <v>0</v>
      </c>
      <c r="AZ542" s="6">
        <f t="shared" si="89"/>
        <v>19539337</v>
      </c>
      <c r="BB542" s="6">
        <v>21000</v>
      </c>
      <c r="BD542" s="6">
        <v>0</v>
      </c>
      <c r="BF542" s="6">
        <v>0</v>
      </c>
      <c r="BH542" s="6">
        <v>0</v>
      </c>
      <c r="BJ542" s="6">
        <f t="shared" si="90"/>
        <v>19560337</v>
      </c>
      <c r="BL542" s="6">
        <f>+'Gen Fd Rev'!AK542-'Gen Fd Exp'!BJ542</f>
        <v>608730</v>
      </c>
      <c r="BN542" s="6">
        <v>11107034</v>
      </c>
      <c r="BP542" s="6">
        <v>0</v>
      </c>
      <c r="BR542" s="6">
        <v>0</v>
      </c>
      <c r="BT542" s="6">
        <f t="shared" si="91"/>
        <v>11715764</v>
      </c>
      <c r="BV542" s="7">
        <f>+BT542-'Gen Fd BS'!AC542+BR542</f>
        <v>0</v>
      </c>
    </row>
    <row r="543" spans="1:74">
      <c r="A543" s="11" t="s">
        <v>488</v>
      </c>
      <c r="B543" s="11"/>
      <c r="C543" s="11" t="s">
        <v>60</v>
      </c>
      <c r="E543" s="6">
        <v>10636100</v>
      </c>
      <c r="G543" s="6">
        <v>2930943</v>
      </c>
      <c r="I543" s="6">
        <v>131203</v>
      </c>
      <c r="K543" s="6">
        <v>0</v>
      </c>
      <c r="M543" s="6">
        <v>24471</v>
      </c>
      <c r="O543" s="6">
        <v>1069783</v>
      </c>
      <c r="Q543" s="6">
        <v>674067</v>
      </c>
      <c r="S543" s="6">
        <v>27995</v>
      </c>
      <c r="U543" s="6">
        <v>2053849</v>
      </c>
      <c r="W543" s="6">
        <v>510521</v>
      </c>
      <c r="Y543" s="6">
        <v>50562</v>
      </c>
      <c r="AA543" s="6">
        <v>2067274</v>
      </c>
      <c r="AC543" s="6">
        <v>835905</v>
      </c>
      <c r="AE543" s="6">
        <v>31440</v>
      </c>
      <c r="AG543" s="6">
        <v>0</v>
      </c>
      <c r="AI543" s="6">
        <v>163</v>
      </c>
      <c r="AJ543" s="11" t="s">
        <v>488</v>
      </c>
      <c r="AK543" s="11"/>
      <c r="AL543" s="11" t="s">
        <v>60</v>
      </c>
      <c r="AN543" s="6">
        <v>335590</v>
      </c>
      <c r="AP543" s="6">
        <v>0</v>
      </c>
      <c r="AT543" s="6">
        <v>116562</v>
      </c>
      <c r="AV543" s="6">
        <v>28666</v>
      </c>
      <c r="AX543" s="6">
        <v>0</v>
      </c>
      <c r="AZ543" s="6">
        <f t="shared" si="89"/>
        <v>21525094</v>
      </c>
      <c r="BB543" s="6">
        <v>0</v>
      </c>
      <c r="BD543" s="6">
        <v>0</v>
      </c>
      <c r="BF543" s="6">
        <v>0</v>
      </c>
      <c r="BH543" s="6">
        <v>0</v>
      </c>
      <c r="BJ543" s="6">
        <f t="shared" si="90"/>
        <v>21525094</v>
      </c>
      <c r="BL543" s="6">
        <f>+'Gen Fd Rev'!AK543-'Gen Fd Exp'!BJ543</f>
        <v>-143494</v>
      </c>
      <c r="BN543" s="6">
        <v>4271549</v>
      </c>
      <c r="BP543" s="6">
        <v>0</v>
      </c>
      <c r="BR543" s="6">
        <v>0</v>
      </c>
      <c r="BT543" s="6">
        <f t="shared" si="91"/>
        <v>4128055</v>
      </c>
      <c r="BV543" s="7">
        <f>+BT543-'Gen Fd BS'!AC543+BR543</f>
        <v>0</v>
      </c>
    </row>
    <row r="544" spans="1:74">
      <c r="A544" s="11" t="s">
        <v>778</v>
      </c>
      <c r="B544" s="11"/>
      <c r="C544" s="11" t="s">
        <v>48</v>
      </c>
      <c r="E544" s="6">
        <v>12927270</v>
      </c>
      <c r="G544" s="6">
        <v>0</v>
      </c>
      <c r="I544" s="6">
        <v>0</v>
      </c>
      <c r="K544" s="6">
        <v>0</v>
      </c>
      <c r="M544" s="6">
        <v>0</v>
      </c>
      <c r="O544" s="6">
        <v>947627</v>
      </c>
      <c r="Q544" s="6">
        <v>1145038</v>
      </c>
      <c r="S544" s="6">
        <v>22477</v>
      </c>
      <c r="U544" s="6">
        <v>1633643</v>
      </c>
      <c r="W544" s="6">
        <v>628292</v>
      </c>
      <c r="Y544" s="6">
        <v>135062</v>
      </c>
      <c r="AA544" s="6">
        <v>2055559</v>
      </c>
      <c r="AC544" s="6">
        <v>924014</v>
      </c>
      <c r="AE544" s="6">
        <v>239130</v>
      </c>
      <c r="AG544" s="6">
        <v>0</v>
      </c>
      <c r="AI544" s="6">
        <v>9134</v>
      </c>
      <c r="AJ544" s="11" t="s">
        <v>778</v>
      </c>
      <c r="AK544" s="11"/>
      <c r="AL544" s="11" t="s">
        <v>48</v>
      </c>
      <c r="AN544" s="6">
        <v>706063</v>
      </c>
      <c r="AP544" s="6">
        <v>0</v>
      </c>
      <c r="AT544" s="6">
        <v>62789</v>
      </c>
      <c r="AV544" s="6">
        <v>13166</v>
      </c>
      <c r="AX544" s="6">
        <v>0</v>
      </c>
      <c r="AZ544" s="6">
        <f t="shared" si="89"/>
        <v>21449264</v>
      </c>
      <c r="BB544" s="6">
        <v>0</v>
      </c>
      <c r="BD544" s="6">
        <v>0</v>
      </c>
      <c r="BF544" s="6">
        <v>0</v>
      </c>
      <c r="BH544" s="6">
        <v>0</v>
      </c>
      <c r="BJ544" s="6">
        <f t="shared" si="90"/>
        <v>21449264</v>
      </c>
      <c r="BL544" s="6">
        <f>+'Gen Fd Rev'!AK544-'Gen Fd Exp'!BJ544</f>
        <v>-504804</v>
      </c>
      <c r="BN544" s="6">
        <v>683192</v>
      </c>
      <c r="BP544" s="6">
        <v>0</v>
      </c>
      <c r="BR544" s="6">
        <v>0</v>
      </c>
      <c r="BT544" s="6">
        <f t="shared" si="91"/>
        <v>178388</v>
      </c>
      <c r="BV544" s="7">
        <f>+BT544-'Gen Fd BS'!AC544+BR544</f>
        <v>0</v>
      </c>
    </row>
    <row r="545" spans="1:74">
      <c r="A545" s="11" t="s">
        <v>395</v>
      </c>
      <c r="B545" s="11"/>
      <c r="C545" s="11" t="s">
        <v>115</v>
      </c>
      <c r="E545" s="6">
        <v>191919663</v>
      </c>
      <c r="G545" s="6">
        <v>0</v>
      </c>
      <c r="I545" s="6">
        <v>0</v>
      </c>
      <c r="K545" s="6">
        <v>0</v>
      </c>
      <c r="M545" s="6">
        <v>0</v>
      </c>
      <c r="O545" s="6">
        <v>91133393</v>
      </c>
      <c r="Q545" s="6">
        <v>0</v>
      </c>
      <c r="S545" s="6">
        <v>0</v>
      </c>
      <c r="U545" s="6">
        <v>0</v>
      </c>
      <c r="W545" s="6">
        <v>0</v>
      </c>
      <c r="Y545" s="6">
        <v>0</v>
      </c>
      <c r="AA545" s="6">
        <v>0</v>
      </c>
      <c r="AC545" s="6">
        <v>0</v>
      </c>
      <c r="AE545" s="6">
        <v>0</v>
      </c>
      <c r="AG545" s="6">
        <v>0</v>
      </c>
      <c r="AI545" s="6">
        <v>12790440</v>
      </c>
      <c r="AJ545" s="11" t="s">
        <v>395</v>
      </c>
      <c r="AK545" s="11"/>
      <c r="AL545" s="11" t="s">
        <v>115</v>
      </c>
      <c r="AN545" s="6">
        <v>1833162</v>
      </c>
      <c r="AP545" s="6">
        <v>283498</v>
      </c>
      <c r="AT545" s="6">
        <v>0</v>
      </c>
      <c r="AV545" s="6">
        <v>0</v>
      </c>
      <c r="AX545" s="6">
        <v>0</v>
      </c>
      <c r="AZ545" s="6">
        <f t="shared" si="89"/>
        <v>297960156</v>
      </c>
      <c r="BB545" s="6">
        <v>977109</v>
      </c>
      <c r="BD545" s="6">
        <v>0</v>
      </c>
      <c r="BF545" s="6">
        <v>0</v>
      </c>
      <c r="BH545" s="6">
        <v>0</v>
      </c>
      <c r="BJ545" s="6">
        <f t="shared" si="90"/>
        <v>298937265</v>
      </c>
      <c r="BL545" s="6">
        <f>+'Gen Fd Rev'!AK545-'Gen Fd Exp'!BJ545</f>
        <v>12608537</v>
      </c>
      <c r="BN545" s="6">
        <v>-10805316</v>
      </c>
      <c r="BP545" s="6">
        <v>0</v>
      </c>
      <c r="BR545" s="6">
        <v>0</v>
      </c>
      <c r="BT545" s="6">
        <f t="shared" si="91"/>
        <v>1803221</v>
      </c>
      <c r="BV545" s="7">
        <f>+BT545-'Gen Fd BS'!AC545+BR545</f>
        <v>0</v>
      </c>
    </row>
    <row r="546" spans="1:74" hidden="1">
      <c r="A546" s="11" t="s">
        <v>894</v>
      </c>
      <c r="B546" s="11"/>
      <c r="C546" s="11" t="s">
        <v>115</v>
      </c>
      <c r="AJ546" s="11" t="s">
        <v>894</v>
      </c>
      <c r="AK546" s="11"/>
      <c r="AL546" s="11" t="s">
        <v>115</v>
      </c>
      <c r="AZ546" s="6">
        <f t="shared" si="89"/>
        <v>0</v>
      </c>
      <c r="BJ546" s="6">
        <f t="shared" si="90"/>
        <v>0</v>
      </c>
      <c r="BL546" s="6">
        <f>+'Gen Fd Rev'!AK546-'Gen Fd Exp'!BJ546</f>
        <v>0</v>
      </c>
      <c r="BR546" s="6">
        <v>0</v>
      </c>
      <c r="BT546" s="6">
        <f t="shared" si="91"/>
        <v>0</v>
      </c>
      <c r="BV546" s="7">
        <f>+BT546-'Gen Fd BS'!AC546+BR546</f>
        <v>0</v>
      </c>
    </row>
    <row r="547" spans="1:74">
      <c r="A547" s="11" t="s">
        <v>726</v>
      </c>
      <c r="B547" s="11"/>
      <c r="C547" s="11" t="s">
        <v>39</v>
      </c>
      <c r="E547" s="6">
        <v>2830631</v>
      </c>
      <c r="G547" s="6">
        <v>582453</v>
      </c>
      <c r="I547" s="6">
        <v>101736</v>
      </c>
      <c r="K547" s="6">
        <v>0</v>
      </c>
      <c r="M547" s="6">
        <f>77417+655504</f>
        <v>732921</v>
      </c>
      <c r="O547" s="6">
        <v>273164</v>
      </c>
      <c r="Q547" s="6">
        <v>187243</v>
      </c>
      <c r="S547" s="6">
        <v>10318</v>
      </c>
      <c r="U547" s="6">
        <v>895619</v>
      </c>
      <c r="W547" s="6">
        <v>318473</v>
      </c>
      <c r="Y547" s="6">
        <v>73599</v>
      </c>
      <c r="AA547" s="6">
        <v>766119</v>
      </c>
      <c r="AC547" s="6">
        <v>127283</v>
      </c>
      <c r="AE547" s="6">
        <v>10274</v>
      </c>
      <c r="AG547" s="6">
        <v>0</v>
      </c>
      <c r="AI547" s="6">
        <v>0</v>
      </c>
      <c r="AJ547" s="11" t="s">
        <v>726</v>
      </c>
      <c r="AK547" s="11"/>
      <c r="AL547" s="11" t="s">
        <v>39</v>
      </c>
      <c r="AN547" s="6">
        <v>179100</v>
      </c>
      <c r="AP547" s="6">
        <v>0</v>
      </c>
      <c r="AT547" s="6">
        <v>9954</v>
      </c>
      <c r="AV547" s="6">
        <v>1113</v>
      </c>
      <c r="AX547" s="6">
        <v>507</v>
      </c>
      <c r="AZ547" s="6">
        <f t="shared" si="89"/>
        <v>7100507</v>
      </c>
      <c r="BB547" s="6">
        <v>10000</v>
      </c>
      <c r="BD547" s="6">
        <v>0</v>
      </c>
      <c r="BF547" s="6">
        <v>0</v>
      </c>
      <c r="BH547" s="6">
        <v>0</v>
      </c>
      <c r="BJ547" s="6">
        <f t="shared" si="90"/>
        <v>7110507</v>
      </c>
      <c r="BL547" s="6">
        <f>+'Gen Fd Rev'!AK547-'Gen Fd Exp'!BJ547</f>
        <v>-493785</v>
      </c>
      <c r="BN547" s="6">
        <v>1449242</v>
      </c>
      <c r="BP547" s="6">
        <v>0</v>
      </c>
      <c r="BR547" s="6">
        <v>0</v>
      </c>
      <c r="BT547" s="6">
        <f t="shared" si="91"/>
        <v>955457</v>
      </c>
      <c r="BV547" s="7">
        <f>+BT547-'Gen Fd BS'!AC547+BR547</f>
        <v>0</v>
      </c>
    </row>
    <row r="548" spans="1:74">
      <c r="A548" s="11" t="s">
        <v>229</v>
      </c>
      <c r="B548" s="11"/>
      <c r="C548" s="11" t="s">
        <v>228</v>
      </c>
      <c r="E548" s="6">
        <v>4450111</v>
      </c>
      <c r="G548" s="6">
        <v>952388</v>
      </c>
      <c r="I548" s="6">
        <v>151228</v>
      </c>
      <c r="K548" s="6">
        <v>0</v>
      </c>
      <c r="M548" s="6">
        <v>0</v>
      </c>
      <c r="O548" s="6">
        <v>360332</v>
      </c>
      <c r="Q548" s="6">
        <v>228035</v>
      </c>
      <c r="S548" s="6">
        <v>43620</v>
      </c>
      <c r="U548" s="6">
        <v>876405</v>
      </c>
      <c r="W548" s="6">
        <v>294547</v>
      </c>
      <c r="Y548" s="6">
        <v>8388</v>
      </c>
      <c r="AA548" s="6">
        <v>919466</v>
      </c>
      <c r="AC548" s="6">
        <v>644280</v>
      </c>
      <c r="AE548" s="6">
        <v>205643</v>
      </c>
      <c r="AG548" s="6">
        <v>0</v>
      </c>
      <c r="AI548" s="6">
        <v>0</v>
      </c>
      <c r="AJ548" s="11" t="s">
        <v>229</v>
      </c>
      <c r="AK548" s="11"/>
      <c r="AL548" s="11" t="s">
        <v>228</v>
      </c>
      <c r="AN548" s="6">
        <v>277201</v>
      </c>
      <c r="AP548" s="6">
        <v>249000</v>
      </c>
      <c r="AT548" s="6">
        <v>33951</v>
      </c>
      <c r="AV548" s="6">
        <v>7732</v>
      </c>
      <c r="AX548" s="6">
        <v>0</v>
      </c>
      <c r="AZ548" s="6">
        <f t="shared" si="89"/>
        <v>9702327</v>
      </c>
      <c r="BB548" s="6">
        <v>219778</v>
      </c>
      <c r="BD548" s="6">
        <v>0</v>
      </c>
      <c r="BF548" s="6">
        <v>0</v>
      </c>
      <c r="BH548" s="6">
        <v>0</v>
      </c>
      <c r="BJ548" s="6">
        <f t="shared" si="90"/>
        <v>9922105</v>
      </c>
      <c r="BL548" s="6">
        <f>+'Gen Fd Rev'!AK548-'Gen Fd Exp'!BJ548</f>
        <v>-396637</v>
      </c>
      <c r="BN548" s="6">
        <v>950670</v>
      </c>
      <c r="BP548" s="6">
        <v>0</v>
      </c>
      <c r="BR548" s="6">
        <v>0</v>
      </c>
      <c r="BT548" s="6">
        <f t="shared" si="91"/>
        <v>554033</v>
      </c>
      <c r="BV548" s="7">
        <f>+BT548-'Gen Fd BS'!AC548+BR548</f>
        <v>0</v>
      </c>
    </row>
    <row r="549" spans="1:74">
      <c r="A549" s="11" t="s">
        <v>466</v>
      </c>
      <c r="B549" s="11"/>
      <c r="C549" s="11" t="s">
        <v>57</v>
      </c>
      <c r="D549" s="9"/>
      <c r="E549" s="6">
        <v>5024757</v>
      </c>
      <c r="G549" s="6">
        <v>928646</v>
      </c>
      <c r="I549" s="6">
        <v>65774</v>
      </c>
      <c r="K549" s="6">
        <v>0</v>
      </c>
      <c r="M549" s="6">
        <v>0</v>
      </c>
      <c r="O549" s="6">
        <v>365067</v>
      </c>
      <c r="Q549" s="6">
        <v>547828</v>
      </c>
      <c r="S549" s="6">
        <v>18892</v>
      </c>
      <c r="U549" s="6">
        <v>1038051</v>
      </c>
      <c r="W549" s="6">
        <v>191142</v>
      </c>
      <c r="Y549" s="6">
        <v>0</v>
      </c>
      <c r="AA549" s="6">
        <v>661142</v>
      </c>
      <c r="AC549" s="6">
        <v>620333</v>
      </c>
      <c r="AE549" s="6">
        <v>21648</v>
      </c>
      <c r="AG549" s="6">
        <v>0</v>
      </c>
      <c r="AI549" s="6">
        <v>0</v>
      </c>
      <c r="AJ549" s="11" t="s">
        <v>466</v>
      </c>
      <c r="AK549" s="11"/>
      <c r="AL549" s="11" t="s">
        <v>57</v>
      </c>
      <c r="AN549" s="6">
        <v>340701</v>
      </c>
      <c r="AP549" s="6">
        <v>0</v>
      </c>
      <c r="AT549" s="6">
        <v>0</v>
      </c>
      <c r="AV549" s="6">
        <v>0</v>
      </c>
      <c r="AX549" s="6">
        <v>0</v>
      </c>
      <c r="AZ549" s="6">
        <f t="shared" si="89"/>
        <v>9823981</v>
      </c>
      <c r="BB549" s="6">
        <v>24700</v>
      </c>
      <c r="BD549" s="6">
        <v>0</v>
      </c>
      <c r="BF549" s="6">
        <v>0</v>
      </c>
      <c r="BH549" s="6">
        <v>0</v>
      </c>
      <c r="BJ549" s="6">
        <f t="shared" si="90"/>
        <v>9848681</v>
      </c>
      <c r="BL549" s="6">
        <f>+'Gen Fd Rev'!AK549-'Gen Fd Exp'!BJ549</f>
        <v>-1547809</v>
      </c>
      <c r="BN549" s="6">
        <v>2859356</v>
      </c>
      <c r="BP549" s="6">
        <v>0</v>
      </c>
      <c r="BR549" s="6">
        <v>0</v>
      </c>
      <c r="BT549" s="6">
        <f t="shared" si="91"/>
        <v>1311547</v>
      </c>
      <c r="BV549" s="7">
        <f>+BT549-'Gen Fd BS'!AC549+BR549</f>
        <v>0</v>
      </c>
    </row>
    <row r="550" spans="1:74">
      <c r="A550" s="11" t="s">
        <v>212</v>
      </c>
      <c r="B550" s="11"/>
      <c r="C550" s="11" t="s">
        <v>13</v>
      </c>
      <c r="E550" s="6">
        <v>2884554</v>
      </c>
      <c r="G550" s="6">
        <v>962714</v>
      </c>
      <c r="I550" s="6">
        <v>0</v>
      </c>
      <c r="K550" s="6">
        <v>0</v>
      </c>
      <c r="M550" s="6">
        <f>72777+842708</f>
        <v>915485</v>
      </c>
      <c r="O550" s="6">
        <v>290008</v>
      </c>
      <c r="Q550" s="6">
        <v>185279</v>
      </c>
      <c r="S550" s="6">
        <v>61175</v>
      </c>
      <c r="U550" s="6">
        <v>353908</v>
      </c>
      <c r="W550" s="6">
        <v>250993</v>
      </c>
      <c r="Y550" s="6">
        <v>0</v>
      </c>
      <c r="AA550" s="6">
        <v>807764</v>
      </c>
      <c r="AC550" s="6">
        <v>637545</v>
      </c>
      <c r="AE550" s="6">
        <v>19728</v>
      </c>
      <c r="AG550" s="6">
        <v>0</v>
      </c>
      <c r="AI550" s="6">
        <v>186</v>
      </c>
      <c r="AJ550" s="11" t="s">
        <v>212</v>
      </c>
      <c r="AK550" s="11"/>
      <c r="AL550" s="11" t="s">
        <v>13</v>
      </c>
      <c r="AN550" s="6">
        <v>92506</v>
      </c>
      <c r="AP550" s="6">
        <v>0</v>
      </c>
      <c r="AT550" s="6">
        <v>7287</v>
      </c>
      <c r="AV550" s="6">
        <v>109</v>
      </c>
      <c r="AX550" s="6">
        <v>0</v>
      </c>
      <c r="AZ550" s="6">
        <f t="shared" si="89"/>
        <v>7469241</v>
      </c>
      <c r="BB550" s="6">
        <v>10494</v>
      </c>
      <c r="BD550" s="6">
        <v>0</v>
      </c>
      <c r="BF550" s="6">
        <v>0</v>
      </c>
      <c r="BH550" s="6">
        <v>0</v>
      </c>
      <c r="BJ550" s="6">
        <f t="shared" si="90"/>
        <v>7479735</v>
      </c>
      <c r="BL550" s="6">
        <f>+'Gen Fd Rev'!AK550-'Gen Fd Exp'!BJ550</f>
        <v>1149939</v>
      </c>
      <c r="BN550" s="6">
        <v>326387</v>
      </c>
      <c r="BP550" s="6">
        <v>0</v>
      </c>
      <c r="BR550" s="6">
        <v>0</v>
      </c>
      <c r="BT550" s="6">
        <f t="shared" si="91"/>
        <v>1476326</v>
      </c>
      <c r="BV550" s="7">
        <f>+BT550-'Gen Fd BS'!AC550+BR550</f>
        <v>0</v>
      </c>
    </row>
    <row r="551" spans="1:74">
      <c r="A551" s="11" t="s">
        <v>446</v>
      </c>
      <c r="B551" s="11"/>
      <c r="C551" s="11" t="s">
        <v>51</v>
      </c>
      <c r="D551" s="9"/>
      <c r="E551" s="6">
        <v>11431310</v>
      </c>
      <c r="G551" s="6">
        <v>2655357</v>
      </c>
      <c r="I551" s="6">
        <v>288382</v>
      </c>
      <c r="K551" s="6">
        <v>0</v>
      </c>
      <c r="M551" s="6">
        <v>43279</v>
      </c>
      <c r="O551" s="6">
        <v>570173</v>
      </c>
      <c r="Q551" s="6">
        <v>881288</v>
      </c>
      <c r="S551" s="6">
        <v>530402</v>
      </c>
      <c r="U551" s="6">
        <v>2226517</v>
      </c>
      <c r="W551" s="6">
        <v>434854</v>
      </c>
      <c r="Y551" s="6">
        <v>0</v>
      </c>
      <c r="AA551" s="6">
        <v>1960808</v>
      </c>
      <c r="AC551" s="6">
        <v>1808585</v>
      </c>
      <c r="AE551" s="6">
        <v>507227</v>
      </c>
      <c r="AG551" s="6">
        <v>0</v>
      </c>
      <c r="AI551" s="6">
        <v>0</v>
      </c>
      <c r="AJ551" s="11" t="s">
        <v>446</v>
      </c>
      <c r="AK551" s="11"/>
      <c r="AL551" s="11" t="s">
        <v>51</v>
      </c>
      <c r="AN551" s="6">
        <v>12796</v>
      </c>
      <c r="AP551" s="6">
        <v>43462</v>
      </c>
      <c r="AT551" s="6">
        <v>4009</v>
      </c>
      <c r="AV551" s="6">
        <v>35</v>
      </c>
      <c r="AX551" s="6">
        <v>0</v>
      </c>
      <c r="AZ551" s="6">
        <f t="shared" si="89"/>
        <v>23398484</v>
      </c>
      <c r="BB551" s="6">
        <v>0</v>
      </c>
      <c r="BD551" s="6">
        <v>0</v>
      </c>
      <c r="BF551" s="6">
        <v>0</v>
      </c>
      <c r="BH551" s="6">
        <v>0</v>
      </c>
      <c r="BJ551" s="6">
        <f t="shared" si="90"/>
        <v>23398484</v>
      </c>
      <c r="BL551" s="6">
        <f>+'Gen Fd Rev'!AK551-'Gen Fd Exp'!BJ551</f>
        <v>3276760</v>
      </c>
      <c r="BN551" s="6">
        <v>267090</v>
      </c>
      <c r="BP551" s="6">
        <v>0</v>
      </c>
      <c r="BR551" s="6">
        <v>0</v>
      </c>
      <c r="BT551" s="6">
        <f t="shared" si="91"/>
        <v>3543850</v>
      </c>
      <c r="BV551" s="7">
        <f>+BT551-'Gen Fd BS'!AC551+BR551</f>
        <v>0</v>
      </c>
    </row>
    <row r="552" spans="1:74" hidden="1">
      <c r="A552" s="11" t="s">
        <v>690</v>
      </c>
      <c r="B552" s="11"/>
      <c r="C552" s="11" t="s">
        <v>21</v>
      </c>
      <c r="AJ552" s="11" t="s">
        <v>690</v>
      </c>
      <c r="AK552" s="11"/>
      <c r="AL552" s="11" t="s">
        <v>21</v>
      </c>
      <c r="AZ552" s="6">
        <f t="shared" si="89"/>
        <v>0</v>
      </c>
      <c r="BJ552" s="6">
        <f t="shared" si="90"/>
        <v>0</v>
      </c>
      <c r="BL552" s="6">
        <f>+'Gen Fd Rev'!AK552-'Gen Fd Exp'!BJ552</f>
        <v>0</v>
      </c>
      <c r="BR552" s="6">
        <v>0</v>
      </c>
      <c r="BT552" s="6">
        <f t="shared" si="91"/>
        <v>0</v>
      </c>
      <c r="BV552" s="7">
        <f>+BT552-'Gen Fd BS'!AC552+BR552</f>
        <v>0</v>
      </c>
    </row>
    <row r="553" spans="1:74" hidden="1">
      <c r="A553" s="10" t="s">
        <v>835</v>
      </c>
      <c r="B553" s="11"/>
      <c r="C553" s="11" t="s">
        <v>71</v>
      </c>
      <c r="AJ553" s="10" t="s">
        <v>835</v>
      </c>
      <c r="AK553" s="11"/>
      <c r="AL553" s="11" t="s">
        <v>71</v>
      </c>
      <c r="AZ553" s="6">
        <f t="shared" si="89"/>
        <v>0</v>
      </c>
      <c r="BJ553" s="6">
        <f t="shared" ref="BJ553:BJ570" si="92">+AZ553+BB553+BD553+BH553</f>
        <v>0</v>
      </c>
      <c r="BL553" s="6">
        <f>+'Gen Fd Rev'!AK553-'Gen Fd Exp'!BJ553</f>
        <v>0</v>
      </c>
      <c r="BR553" s="6">
        <v>0</v>
      </c>
      <c r="BT553" s="6">
        <f t="shared" si="91"/>
        <v>0</v>
      </c>
      <c r="BV553" s="7">
        <f>+BT553-'Gen Fd BS'!AC553+BR553</f>
        <v>0</v>
      </c>
    </row>
    <row r="554" spans="1:74">
      <c r="A554" s="11" t="s">
        <v>436</v>
      </c>
      <c r="B554" s="11"/>
      <c r="C554" s="11" t="s">
        <v>50</v>
      </c>
      <c r="E554" s="6">
        <v>8199569</v>
      </c>
      <c r="G554" s="6">
        <v>2954289</v>
      </c>
      <c r="I554" s="6">
        <v>0</v>
      </c>
      <c r="K554" s="6">
        <v>0</v>
      </c>
      <c r="M554" s="6">
        <v>1791</v>
      </c>
      <c r="O554" s="6">
        <v>1735366</v>
      </c>
      <c r="Q554" s="6">
        <v>911840</v>
      </c>
      <c r="S554" s="6">
        <v>63178</v>
      </c>
      <c r="U554" s="6">
        <v>2243388</v>
      </c>
      <c r="W554" s="6">
        <v>5761742</v>
      </c>
      <c r="Y554" s="6">
        <v>479879</v>
      </c>
      <c r="AA554" s="6">
        <v>2861780</v>
      </c>
      <c r="AC554" s="6">
        <v>1656926</v>
      </c>
      <c r="AE554" s="6">
        <v>1012603</v>
      </c>
      <c r="AG554" s="6">
        <v>0</v>
      </c>
      <c r="AI554" s="6">
        <v>10539</v>
      </c>
      <c r="AJ554" s="11" t="s">
        <v>436</v>
      </c>
      <c r="AK554" s="11"/>
      <c r="AL554" s="11" t="s">
        <v>50</v>
      </c>
      <c r="AN554" s="6">
        <v>497697</v>
      </c>
      <c r="AP554" s="6">
        <v>1134371</v>
      </c>
      <c r="AT554" s="6">
        <v>93786</v>
      </c>
      <c r="AV554" s="6">
        <v>14743</v>
      </c>
      <c r="AX554" s="6">
        <v>0</v>
      </c>
      <c r="AZ554" s="6">
        <f t="shared" si="89"/>
        <v>29633487</v>
      </c>
      <c r="BB554" s="6">
        <v>280150</v>
      </c>
      <c r="BD554" s="6">
        <v>0</v>
      </c>
      <c r="BF554" s="6">
        <v>0</v>
      </c>
      <c r="BH554" s="6">
        <v>0</v>
      </c>
      <c r="BJ554" s="6">
        <f t="shared" si="92"/>
        <v>29913637</v>
      </c>
      <c r="BL554" s="6">
        <f>+'Gen Fd Rev'!AK554-'Gen Fd Exp'!BJ554</f>
        <v>2284269</v>
      </c>
      <c r="BN554" s="6">
        <v>12428172</v>
      </c>
      <c r="BP554" s="6">
        <v>0</v>
      </c>
      <c r="BR554" s="6">
        <v>0</v>
      </c>
      <c r="BT554" s="6">
        <f t="shared" ref="BT554:BT575" si="93">+BN554+BL554-BP554</f>
        <v>14712441</v>
      </c>
      <c r="BV554" s="7">
        <f>+BT554-'Gen Fd BS'!AC554+BR554</f>
        <v>0</v>
      </c>
    </row>
    <row r="555" spans="1:74">
      <c r="A555" s="11" t="s">
        <v>426</v>
      </c>
      <c r="B555" s="11"/>
      <c r="C555" s="11" t="s">
        <v>48</v>
      </c>
      <c r="D555" s="9"/>
      <c r="E555" s="6">
        <v>20802447</v>
      </c>
      <c r="G555" s="6">
        <v>5009626</v>
      </c>
      <c r="I555" s="6">
        <v>19682</v>
      </c>
      <c r="K555" s="6">
        <v>0</v>
      </c>
      <c r="M555" s="6">
        <v>2345371</v>
      </c>
      <c r="O555" s="6">
        <v>2111645</v>
      </c>
      <c r="Q555" s="6">
        <v>1040662</v>
      </c>
      <c r="S555" s="6">
        <v>653928</v>
      </c>
      <c r="U555" s="6">
        <v>3114993</v>
      </c>
      <c r="W555" s="6">
        <v>503833</v>
      </c>
      <c r="Y555" s="6">
        <v>529215</v>
      </c>
      <c r="AA555" s="6">
        <v>3354552</v>
      </c>
      <c r="AC555" s="6">
        <v>1750323</v>
      </c>
      <c r="AE555" s="6">
        <v>57636</v>
      </c>
      <c r="AG555" s="6">
        <v>0</v>
      </c>
      <c r="AI555" s="6">
        <v>0</v>
      </c>
      <c r="AJ555" s="11" t="s">
        <v>426</v>
      </c>
      <c r="AK555" s="11"/>
      <c r="AL555" s="11" t="s">
        <v>48</v>
      </c>
      <c r="AN555" s="6">
        <v>16288</v>
      </c>
      <c r="AP555" s="6">
        <v>171817</v>
      </c>
      <c r="AT555" s="6">
        <v>75964</v>
      </c>
      <c r="AV555" s="6">
        <v>0</v>
      </c>
      <c r="AX555" s="6">
        <v>0</v>
      </c>
      <c r="AZ555" s="6">
        <f t="shared" si="89"/>
        <v>41557982</v>
      </c>
      <c r="BB555" s="6">
        <v>150000</v>
      </c>
      <c r="BD555" s="6">
        <v>0</v>
      </c>
      <c r="BF555" s="6">
        <v>0</v>
      </c>
      <c r="BH555" s="6">
        <v>0</v>
      </c>
      <c r="BJ555" s="6">
        <f t="shared" si="92"/>
        <v>41707982</v>
      </c>
      <c r="BL555" s="6">
        <f>+'Gen Fd Rev'!AK555-'Gen Fd Exp'!BJ555</f>
        <v>-1065135</v>
      </c>
      <c r="BN555" s="6">
        <v>12656365</v>
      </c>
      <c r="BP555" s="6">
        <v>0</v>
      </c>
      <c r="BR555" s="6">
        <v>0</v>
      </c>
      <c r="BT555" s="6">
        <f t="shared" si="93"/>
        <v>11591230</v>
      </c>
      <c r="BV555" s="7">
        <f>+BT555-'Gen Fd BS'!AC555+BR555</f>
        <v>0</v>
      </c>
    </row>
    <row r="556" spans="1:74">
      <c r="A556" s="11" t="s">
        <v>538</v>
      </c>
      <c r="B556" s="11"/>
      <c r="C556" s="11" t="s">
        <v>65</v>
      </c>
      <c r="E556" s="6">
        <v>5130395</v>
      </c>
      <c r="G556" s="6">
        <v>516087</v>
      </c>
      <c r="I556" s="6">
        <v>138206</v>
      </c>
      <c r="K556" s="6">
        <v>0</v>
      </c>
      <c r="M556" s="6">
        <v>1134441</v>
      </c>
      <c r="O556" s="6">
        <v>341609</v>
      </c>
      <c r="Q556" s="6">
        <v>332846</v>
      </c>
      <c r="S556" s="6">
        <v>24466</v>
      </c>
      <c r="U556" s="6">
        <v>1212798</v>
      </c>
      <c r="W556" s="6">
        <v>358100</v>
      </c>
      <c r="Y556" s="6">
        <v>0</v>
      </c>
      <c r="AA556" s="6">
        <v>928606</v>
      </c>
      <c r="AC556" s="6">
        <v>862102</v>
      </c>
      <c r="AE556" s="6">
        <v>73740</v>
      </c>
      <c r="AG556" s="6">
        <v>0</v>
      </c>
      <c r="AI556" s="6">
        <v>0</v>
      </c>
      <c r="AJ556" s="11" t="s">
        <v>538</v>
      </c>
      <c r="AK556" s="11"/>
      <c r="AL556" s="11" t="s">
        <v>65</v>
      </c>
      <c r="AN556" s="6">
        <v>267129</v>
      </c>
      <c r="AP556" s="6">
        <f>87396+561314</f>
        <v>648710</v>
      </c>
      <c r="AT556" s="6">
        <v>20069</v>
      </c>
      <c r="AV556" s="6">
        <v>4608</v>
      </c>
      <c r="AX556" s="6">
        <v>0</v>
      </c>
      <c r="AZ556" s="6">
        <f t="shared" si="89"/>
        <v>11993912</v>
      </c>
      <c r="BB556" s="6">
        <v>45141</v>
      </c>
      <c r="BD556" s="6">
        <v>0</v>
      </c>
      <c r="BF556" s="6">
        <v>0</v>
      </c>
      <c r="BH556" s="6">
        <v>0</v>
      </c>
      <c r="BJ556" s="6">
        <f t="shared" si="92"/>
        <v>12039053</v>
      </c>
      <c r="BL556" s="6">
        <f>+'Gen Fd Rev'!AK556-'Gen Fd Exp'!BJ556</f>
        <v>239664</v>
      </c>
      <c r="BN556" s="6">
        <v>1606613</v>
      </c>
      <c r="BP556" s="6">
        <v>-7423</v>
      </c>
      <c r="BR556" s="6">
        <v>0</v>
      </c>
      <c r="BT556" s="6">
        <f t="shared" si="93"/>
        <v>1853700</v>
      </c>
      <c r="BV556" s="7">
        <f>+BT556-'Gen Fd BS'!AC556+BR556</f>
        <v>0</v>
      </c>
    </row>
    <row r="557" spans="1:74">
      <c r="A557" s="11" t="s">
        <v>505</v>
      </c>
      <c r="B557" s="11"/>
      <c r="C557" s="11" t="s">
        <v>62</v>
      </c>
      <c r="E557" s="6">
        <v>5047170</v>
      </c>
      <c r="G557" s="6">
        <v>1325129</v>
      </c>
      <c r="I557" s="6">
        <v>143926</v>
      </c>
      <c r="K557" s="6">
        <v>0</v>
      </c>
      <c r="M557" s="6">
        <v>3594</v>
      </c>
      <c r="O557" s="6">
        <v>673296</v>
      </c>
      <c r="Q557" s="6">
        <v>416524</v>
      </c>
      <c r="S557" s="6">
        <v>12384</v>
      </c>
      <c r="U557" s="6">
        <v>977292</v>
      </c>
      <c r="W557" s="6">
        <v>338862</v>
      </c>
      <c r="Y557" s="6">
        <v>41794</v>
      </c>
      <c r="AA557" s="6">
        <v>991473</v>
      </c>
      <c r="AC557" s="6">
        <v>773239</v>
      </c>
      <c r="AE557" s="6">
        <v>32597</v>
      </c>
      <c r="AG557" s="6">
        <v>0</v>
      </c>
      <c r="AI557" s="6">
        <v>36677</v>
      </c>
      <c r="AJ557" s="11" t="s">
        <v>505</v>
      </c>
      <c r="AK557" s="11"/>
      <c r="AL557" s="11" t="s">
        <v>62</v>
      </c>
      <c r="AN557" s="6">
        <v>521083</v>
      </c>
      <c r="AP557" s="6">
        <v>0</v>
      </c>
      <c r="AT557" s="6">
        <v>51817</v>
      </c>
      <c r="AV557" s="6">
        <v>17241</v>
      </c>
      <c r="AX557" s="6">
        <v>0</v>
      </c>
      <c r="AZ557" s="6">
        <f t="shared" si="89"/>
        <v>11404098</v>
      </c>
      <c r="BB557" s="6">
        <v>91054</v>
      </c>
      <c r="BD557" s="6">
        <v>0</v>
      </c>
      <c r="BF557" s="6">
        <v>0</v>
      </c>
      <c r="BH557" s="6">
        <v>0</v>
      </c>
      <c r="BJ557" s="6">
        <f t="shared" si="92"/>
        <v>11495152</v>
      </c>
      <c r="BL557" s="6">
        <f>+'Gen Fd Rev'!AK557-'Gen Fd Exp'!BJ557</f>
        <v>437662</v>
      </c>
      <c r="BN557" s="6">
        <v>1161586</v>
      </c>
      <c r="BP557" s="6">
        <v>0</v>
      </c>
      <c r="BR557" s="6">
        <v>0</v>
      </c>
      <c r="BT557" s="6">
        <f t="shared" si="93"/>
        <v>1599248</v>
      </c>
      <c r="BV557" s="7">
        <f>+BT557-'Gen Fd BS'!AC557+BR557</f>
        <v>0</v>
      </c>
    </row>
    <row r="558" spans="1:74" hidden="1">
      <c r="A558" s="11" t="s">
        <v>695</v>
      </c>
      <c r="B558" s="11"/>
      <c r="C558" s="11" t="s">
        <v>57</v>
      </c>
      <c r="AJ558" s="11" t="s">
        <v>695</v>
      </c>
      <c r="AK558" s="11"/>
      <c r="AL558" s="11" t="s">
        <v>57</v>
      </c>
      <c r="AZ558" s="6">
        <f t="shared" si="89"/>
        <v>0</v>
      </c>
      <c r="BJ558" s="6">
        <f t="shared" si="92"/>
        <v>0</v>
      </c>
      <c r="BL558" s="6">
        <f>+'Gen Fd Rev'!AK558-'Gen Fd Exp'!BJ558</f>
        <v>0</v>
      </c>
      <c r="BR558" s="6">
        <v>0</v>
      </c>
      <c r="BT558" s="6">
        <f t="shared" si="93"/>
        <v>0</v>
      </c>
      <c r="BV558" s="7">
        <f>+BT558-'Gen Fd BS'!AC558+BR558</f>
        <v>0</v>
      </c>
    </row>
    <row r="559" spans="1:74">
      <c r="A559" s="11" t="s">
        <v>516</v>
      </c>
      <c r="B559" s="11"/>
      <c r="C559" s="11" t="s">
        <v>63</v>
      </c>
      <c r="E559" s="6">
        <v>20898477</v>
      </c>
      <c r="G559" s="6">
        <v>2853045</v>
      </c>
      <c r="I559" s="6">
        <v>223833</v>
      </c>
      <c r="K559" s="6">
        <v>0</v>
      </c>
      <c r="M559" s="6">
        <f>8499+7987</f>
        <v>16486</v>
      </c>
      <c r="O559" s="6">
        <v>2317395</v>
      </c>
      <c r="Q559" s="6">
        <v>1746611</v>
      </c>
      <c r="S559" s="6">
        <v>384137</v>
      </c>
      <c r="U559" s="6">
        <v>2883918</v>
      </c>
      <c r="W559" s="6">
        <v>1057323</v>
      </c>
      <c r="Y559" s="6">
        <v>99556</v>
      </c>
      <c r="AA559" s="6">
        <v>3205518</v>
      </c>
      <c r="AC559" s="6">
        <v>2684695</v>
      </c>
      <c r="AE559" s="6">
        <v>637711</v>
      </c>
      <c r="AG559" s="6">
        <v>0</v>
      </c>
      <c r="AI559" s="6">
        <v>0</v>
      </c>
      <c r="AJ559" s="11" t="s">
        <v>516</v>
      </c>
      <c r="AK559" s="11"/>
      <c r="AL559" s="11" t="s">
        <v>63</v>
      </c>
      <c r="AN559" s="6">
        <v>918373</v>
      </c>
      <c r="AP559" s="6">
        <v>0</v>
      </c>
      <c r="AT559" s="6">
        <v>252394</v>
      </c>
      <c r="AV559" s="6">
        <v>159231</v>
      </c>
      <c r="AX559" s="6">
        <v>0</v>
      </c>
      <c r="AZ559" s="6">
        <f t="shared" si="89"/>
        <v>40338703</v>
      </c>
      <c r="BB559" s="6">
        <v>0</v>
      </c>
      <c r="BD559" s="6">
        <v>0</v>
      </c>
      <c r="BF559" s="6">
        <v>0</v>
      </c>
      <c r="BH559" s="6">
        <v>0</v>
      </c>
      <c r="BJ559" s="6">
        <f t="shared" si="92"/>
        <v>40338703</v>
      </c>
      <c r="BL559" s="6">
        <f>+'Gen Fd Rev'!AK559-'Gen Fd Exp'!BJ559</f>
        <v>-1706763</v>
      </c>
      <c r="BN559" s="6">
        <v>26416490</v>
      </c>
      <c r="BP559" s="6">
        <v>0</v>
      </c>
      <c r="BR559" s="6">
        <v>0</v>
      </c>
      <c r="BT559" s="6">
        <f t="shared" si="93"/>
        <v>24709727</v>
      </c>
      <c r="BV559" s="7">
        <f>+BT559-'Gen Fd BS'!AC559+BR559</f>
        <v>0</v>
      </c>
    </row>
    <row r="560" spans="1:74" hidden="1">
      <c r="A560" s="10" t="s">
        <v>836</v>
      </c>
      <c r="B560" s="11"/>
      <c r="C560" s="11" t="s">
        <v>15</v>
      </c>
      <c r="AJ560" s="10" t="s">
        <v>836</v>
      </c>
      <c r="AK560" s="11"/>
      <c r="AL560" s="11" t="s">
        <v>15</v>
      </c>
      <c r="AZ560" s="6">
        <f t="shared" si="89"/>
        <v>0</v>
      </c>
      <c r="BJ560" s="6">
        <f t="shared" si="92"/>
        <v>0</v>
      </c>
      <c r="BL560" s="6">
        <f>+'Gen Fd Rev'!AK560-'Gen Fd Exp'!BJ560</f>
        <v>0</v>
      </c>
      <c r="BR560" s="6">
        <v>0</v>
      </c>
      <c r="BT560" s="6">
        <f t="shared" si="93"/>
        <v>0</v>
      </c>
      <c r="BV560" s="7">
        <f>+BT560-'Gen Fd BS'!AC560+BR560</f>
        <v>0</v>
      </c>
    </row>
    <row r="561" spans="1:74">
      <c r="A561" s="11" t="s">
        <v>476</v>
      </c>
      <c r="B561" s="11"/>
      <c r="C561" s="11" t="s">
        <v>58</v>
      </c>
      <c r="E561" s="6">
        <v>9478357</v>
      </c>
      <c r="G561" s="6">
        <v>984965</v>
      </c>
      <c r="I561" s="6">
        <v>20195</v>
      </c>
      <c r="K561" s="6">
        <v>0</v>
      </c>
      <c r="M561" s="6">
        <v>0</v>
      </c>
      <c r="O561" s="6">
        <v>502973</v>
      </c>
      <c r="Q561" s="6">
        <v>672786</v>
      </c>
      <c r="S561" s="6">
        <v>827382</v>
      </c>
      <c r="U561" s="6">
        <v>1003724</v>
      </c>
      <c r="W561" s="6">
        <v>444448</v>
      </c>
      <c r="Y561" s="6">
        <v>19470</v>
      </c>
      <c r="AA561" s="6">
        <v>1433006</v>
      </c>
      <c r="AC561" s="6">
        <v>904587</v>
      </c>
      <c r="AE561" s="6">
        <v>0</v>
      </c>
      <c r="AG561" s="6">
        <v>0</v>
      </c>
      <c r="AI561" s="6">
        <v>4673</v>
      </c>
      <c r="AJ561" s="11" t="s">
        <v>476</v>
      </c>
      <c r="AK561" s="11"/>
      <c r="AL561" s="11" t="s">
        <v>58</v>
      </c>
      <c r="AN561" s="6">
        <v>140817</v>
      </c>
      <c r="AP561" s="6">
        <v>0</v>
      </c>
      <c r="AT561" s="6">
        <v>216449</v>
      </c>
      <c r="AV561" s="6">
        <v>26981</v>
      </c>
      <c r="AX561" s="6">
        <v>0</v>
      </c>
      <c r="AZ561" s="6">
        <f t="shared" si="89"/>
        <v>16680813</v>
      </c>
      <c r="BB561" s="6">
        <v>287349</v>
      </c>
      <c r="BD561" s="6">
        <v>0</v>
      </c>
      <c r="BF561" s="6">
        <v>0</v>
      </c>
      <c r="BH561" s="6">
        <v>0</v>
      </c>
      <c r="BJ561" s="6">
        <f t="shared" si="92"/>
        <v>16968162</v>
      </c>
      <c r="BL561" s="6">
        <f>+'Gen Fd Rev'!AK561-'Gen Fd Exp'!BJ561</f>
        <v>493592</v>
      </c>
      <c r="BN561" s="6">
        <v>10873376</v>
      </c>
      <c r="BP561" s="6">
        <v>0</v>
      </c>
      <c r="BR561" s="6">
        <v>0</v>
      </c>
      <c r="BT561" s="6">
        <f t="shared" si="93"/>
        <v>11366968</v>
      </c>
      <c r="BV561" s="7">
        <f>+BT561-'Gen Fd BS'!AC561+BR561</f>
        <v>0</v>
      </c>
    </row>
    <row r="562" spans="1:74">
      <c r="A562" s="11" t="s">
        <v>251</v>
      </c>
      <c r="B562" s="11"/>
      <c r="C562" s="11" t="s">
        <v>112</v>
      </c>
      <c r="E562" s="6">
        <v>4789892</v>
      </c>
      <c r="G562" s="6">
        <v>1306936</v>
      </c>
      <c r="I562" s="6">
        <v>202187</v>
      </c>
      <c r="K562" s="6">
        <v>9320</v>
      </c>
      <c r="M562" s="6">
        <v>22449</v>
      </c>
      <c r="O562" s="6">
        <v>387084</v>
      </c>
      <c r="Q562" s="6">
        <v>494156</v>
      </c>
      <c r="S562" s="6">
        <v>91862</v>
      </c>
      <c r="U562" s="6">
        <v>913035</v>
      </c>
      <c r="W562" s="6">
        <v>288165</v>
      </c>
      <c r="Y562" s="6">
        <v>0</v>
      </c>
      <c r="AA562" s="6">
        <v>867544</v>
      </c>
      <c r="AC562" s="6">
        <v>719034</v>
      </c>
      <c r="AE562" s="6">
        <v>18389</v>
      </c>
      <c r="AG562" s="6">
        <v>0</v>
      </c>
      <c r="AI562" s="6">
        <v>1029</v>
      </c>
      <c r="AJ562" s="11" t="s">
        <v>251</v>
      </c>
      <c r="AK562" s="11"/>
      <c r="AL562" s="11" t="s">
        <v>112</v>
      </c>
      <c r="AN562" s="6">
        <v>374946</v>
      </c>
      <c r="AP562" s="6">
        <f>199+98292</f>
        <v>98491</v>
      </c>
      <c r="AT562" s="6">
        <v>16173</v>
      </c>
      <c r="AV562" s="6">
        <v>1053</v>
      </c>
      <c r="AX562" s="6">
        <v>0</v>
      </c>
      <c r="AZ562" s="6">
        <f t="shared" si="89"/>
        <v>10601745</v>
      </c>
      <c r="BB562" s="6">
        <v>0</v>
      </c>
      <c r="BD562" s="6">
        <v>0</v>
      </c>
      <c r="BF562" s="6">
        <v>0</v>
      </c>
      <c r="BH562" s="6">
        <v>0</v>
      </c>
      <c r="BJ562" s="6">
        <f t="shared" si="92"/>
        <v>10601745</v>
      </c>
      <c r="BL562" s="6">
        <f>+'Gen Fd Rev'!AK562-'Gen Fd Exp'!BJ562</f>
        <v>826221</v>
      </c>
      <c r="BN562" s="6">
        <v>3005137</v>
      </c>
      <c r="BP562" s="6">
        <v>0</v>
      </c>
      <c r="BR562" s="6">
        <v>0</v>
      </c>
      <c r="BT562" s="6">
        <f t="shared" si="93"/>
        <v>3831358</v>
      </c>
      <c r="BV562" s="7">
        <f>+BT562-'Gen Fd BS'!AC562+BR562</f>
        <v>0</v>
      </c>
    </row>
    <row r="563" spans="1:74" s="28" customFormat="1">
      <c r="A563" s="27" t="s">
        <v>308</v>
      </c>
      <c r="B563" s="27"/>
      <c r="C563" s="27" t="s">
        <v>27</v>
      </c>
      <c r="E563" s="28">
        <v>40752284</v>
      </c>
      <c r="G563" s="28">
        <v>8610354</v>
      </c>
      <c r="I563" s="28">
        <v>85864</v>
      </c>
      <c r="K563" s="28">
        <v>0</v>
      </c>
      <c r="M563" s="28">
        <v>0</v>
      </c>
      <c r="O563" s="28">
        <v>4530797</v>
      </c>
      <c r="Q563" s="28">
        <v>6270945</v>
      </c>
      <c r="S563" s="28">
        <v>46605</v>
      </c>
      <c r="U563" s="28">
        <v>4345628</v>
      </c>
      <c r="W563" s="28">
        <v>1464855</v>
      </c>
      <c r="Y563" s="28">
        <v>623809</v>
      </c>
      <c r="AA563" s="28">
        <v>7171947</v>
      </c>
      <c r="AC563" s="28">
        <v>1663415</v>
      </c>
      <c r="AE563" s="28">
        <v>1912796</v>
      </c>
      <c r="AG563" s="28">
        <v>0</v>
      </c>
      <c r="AI563" s="28">
        <v>4293</v>
      </c>
      <c r="AJ563" s="27" t="s">
        <v>308</v>
      </c>
      <c r="AK563" s="27"/>
      <c r="AL563" s="27" t="s">
        <v>27</v>
      </c>
      <c r="AN563" s="28">
        <v>1372997</v>
      </c>
      <c r="AP563" s="28">
        <v>10000</v>
      </c>
      <c r="AT563" s="28">
        <v>0</v>
      </c>
      <c r="AV563" s="28">
        <v>0</v>
      </c>
      <c r="AX563" s="28">
        <v>0</v>
      </c>
      <c r="AZ563" s="28">
        <f t="shared" si="89"/>
        <v>78866589</v>
      </c>
      <c r="BB563" s="28">
        <v>222330</v>
      </c>
      <c r="BD563" s="28">
        <v>0</v>
      </c>
      <c r="BF563" s="28">
        <v>0</v>
      </c>
      <c r="BH563" s="28">
        <v>0</v>
      </c>
      <c r="BJ563" s="28">
        <f t="shared" si="92"/>
        <v>79088919</v>
      </c>
      <c r="BL563" s="28">
        <f>+'Gen Fd Rev'!AK563-'Gen Fd Exp'!BJ563</f>
        <v>-1793574</v>
      </c>
      <c r="BN563" s="28">
        <v>52977246</v>
      </c>
      <c r="BP563" s="28">
        <v>0</v>
      </c>
      <c r="BR563" s="28">
        <v>0</v>
      </c>
      <c r="BT563" s="28">
        <f t="shared" si="93"/>
        <v>51183672</v>
      </c>
      <c r="BV563" s="32">
        <f>+BT563-'Gen Fd BS'!AC563+BR563</f>
        <v>0</v>
      </c>
    </row>
    <row r="564" spans="1:74" hidden="1">
      <c r="A564" s="11" t="s">
        <v>779</v>
      </c>
      <c r="B564" s="11"/>
      <c r="C564" s="11" t="s">
        <v>558</v>
      </c>
      <c r="AJ564" s="11" t="s">
        <v>779</v>
      </c>
      <c r="AK564" s="11"/>
      <c r="AL564" s="11" t="s">
        <v>558</v>
      </c>
      <c r="AZ564" s="6">
        <f t="shared" si="89"/>
        <v>0</v>
      </c>
      <c r="BJ564" s="6">
        <f t="shared" si="92"/>
        <v>0</v>
      </c>
      <c r="BL564" s="6">
        <f>+'Gen Fd Rev'!AK564-'Gen Fd Exp'!BJ564</f>
        <v>0</v>
      </c>
      <c r="BR564" s="6">
        <v>0</v>
      </c>
      <c r="BT564" s="6">
        <f t="shared" si="93"/>
        <v>0</v>
      </c>
      <c r="BV564" s="7">
        <f>+BT564-'Gen Fd BS'!AC564+BR564</f>
        <v>0</v>
      </c>
    </row>
    <row r="565" spans="1:74" hidden="1">
      <c r="A565" s="11" t="s">
        <v>696</v>
      </c>
      <c r="B565" s="11"/>
      <c r="C565" s="11" t="s">
        <v>339</v>
      </c>
      <c r="AJ565" s="11" t="s">
        <v>696</v>
      </c>
      <c r="AK565" s="11"/>
      <c r="AL565" s="11" t="s">
        <v>339</v>
      </c>
      <c r="AZ565" s="6">
        <f t="shared" si="89"/>
        <v>0</v>
      </c>
      <c r="BJ565" s="6">
        <f t="shared" si="92"/>
        <v>0</v>
      </c>
      <c r="BL565" s="6">
        <f>+'Gen Fd Rev'!AK565-'Gen Fd Exp'!BJ565</f>
        <v>0</v>
      </c>
      <c r="BR565" s="6">
        <v>0</v>
      </c>
      <c r="BT565" s="6">
        <f t="shared" si="93"/>
        <v>0</v>
      </c>
      <c r="BV565" s="7">
        <f>+BT565-'Gen Fd BS'!AC565+BR565</f>
        <v>0</v>
      </c>
    </row>
    <row r="566" spans="1:74" hidden="1">
      <c r="A566" s="11" t="s">
        <v>895</v>
      </c>
      <c r="B566" s="11"/>
      <c r="C566" s="11" t="s">
        <v>228</v>
      </c>
      <c r="E566" s="6">
        <v>0</v>
      </c>
      <c r="G566" s="6">
        <v>0</v>
      </c>
      <c r="I566" s="6">
        <v>0</v>
      </c>
      <c r="K566" s="6">
        <v>0</v>
      </c>
      <c r="M566" s="6">
        <v>0</v>
      </c>
      <c r="O566" s="6">
        <v>0</v>
      </c>
      <c r="Q566" s="6">
        <v>0</v>
      </c>
      <c r="S566" s="6">
        <v>0</v>
      </c>
      <c r="U566" s="6">
        <v>0</v>
      </c>
      <c r="W566" s="6">
        <v>0</v>
      </c>
      <c r="Y566" s="6">
        <v>0</v>
      </c>
      <c r="AA566" s="6">
        <v>0</v>
      </c>
      <c r="AC566" s="6">
        <v>0</v>
      </c>
      <c r="AE566" s="6">
        <v>0</v>
      </c>
      <c r="AG566" s="6">
        <v>0</v>
      </c>
      <c r="AI566" s="6">
        <v>0</v>
      </c>
      <c r="AJ566" s="11" t="s">
        <v>895</v>
      </c>
      <c r="AK566" s="11"/>
      <c r="AL566" s="11" t="s">
        <v>228</v>
      </c>
      <c r="AN566" s="6">
        <v>0</v>
      </c>
      <c r="AP566" s="6">
        <v>0</v>
      </c>
      <c r="AT566" s="6">
        <v>0</v>
      </c>
      <c r="AV566" s="6">
        <v>0</v>
      </c>
      <c r="AX566" s="6">
        <v>0</v>
      </c>
      <c r="AZ566" s="6">
        <f t="shared" si="89"/>
        <v>0</v>
      </c>
      <c r="BB566" s="6">
        <v>0</v>
      </c>
      <c r="BD566" s="6">
        <v>0</v>
      </c>
      <c r="BF566" s="6">
        <v>0</v>
      </c>
      <c r="BH566" s="6">
        <v>0</v>
      </c>
      <c r="BJ566" s="6">
        <f t="shared" si="92"/>
        <v>0</v>
      </c>
      <c r="BL566" s="6">
        <f>+'Gen Fd Rev'!AK566-'Gen Fd Exp'!BJ566</f>
        <v>0</v>
      </c>
      <c r="BP566" s="6">
        <v>0</v>
      </c>
      <c r="BR566" s="6">
        <v>0</v>
      </c>
      <c r="BT566" s="6">
        <f t="shared" si="93"/>
        <v>0</v>
      </c>
      <c r="BV566" s="7">
        <f>+BT566-'Gen Fd BS'!AC566+BR566</f>
        <v>0</v>
      </c>
    </row>
    <row r="567" spans="1:74" hidden="1">
      <c r="A567" s="11" t="s">
        <v>697</v>
      </c>
      <c r="B567" s="11"/>
      <c r="C567" s="11" t="s">
        <v>59</v>
      </c>
      <c r="AJ567" s="11" t="s">
        <v>697</v>
      </c>
      <c r="AK567" s="11"/>
      <c r="AL567" s="11" t="s">
        <v>59</v>
      </c>
      <c r="AZ567" s="6">
        <f t="shared" si="89"/>
        <v>0</v>
      </c>
      <c r="BJ567" s="6">
        <f t="shared" si="92"/>
        <v>0</v>
      </c>
      <c r="BL567" s="6">
        <f>+'Gen Fd Rev'!AK567-'Gen Fd Exp'!BJ567</f>
        <v>0</v>
      </c>
      <c r="BR567" s="6">
        <v>0</v>
      </c>
      <c r="BT567" s="6">
        <f t="shared" si="93"/>
        <v>0</v>
      </c>
      <c r="BV567" s="7">
        <f>+BT567-'Gen Fd BS'!AC567+BR567</f>
        <v>0</v>
      </c>
    </row>
    <row r="568" spans="1:74">
      <c r="A568" s="11" t="s">
        <v>437</v>
      </c>
      <c r="B568" s="11"/>
      <c r="C568" s="11" t="s">
        <v>50</v>
      </c>
      <c r="E568" s="6">
        <v>8019060</v>
      </c>
      <c r="G568" s="6">
        <v>1024207</v>
      </c>
      <c r="I568" s="6">
        <v>314717</v>
      </c>
      <c r="K568" s="6">
        <v>0</v>
      </c>
      <c r="M568" s="6">
        <v>617388</v>
      </c>
      <c r="O568" s="6">
        <v>1141197</v>
      </c>
      <c r="Q568" s="6">
        <v>2030190</v>
      </c>
      <c r="S568" s="6">
        <v>92618</v>
      </c>
      <c r="U568" s="6">
        <v>1036087</v>
      </c>
      <c r="W568" s="6">
        <v>322825</v>
      </c>
      <c r="Y568" s="6">
        <v>10158</v>
      </c>
      <c r="AA568" s="6">
        <v>1360754</v>
      </c>
      <c r="AC568" s="6">
        <v>947148</v>
      </c>
      <c r="AE568" s="6">
        <v>270019</v>
      </c>
      <c r="AG568" s="6">
        <v>0</v>
      </c>
      <c r="AI568" s="6">
        <v>0</v>
      </c>
      <c r="AJ568" s="11" t="s">
        <v>437</v>
      </c>
      <c r="AK568" s="11"/>
      <c r="AL568" s="11" t="s">
        <v>50</v>
      </c>
      <c r="AN568" s="6">
        <v>461636</v>
      </c>
      <c r="AP568" s="6">
        <v>8018</v>
      </c>
      <c r="AT568" s="6">
        <v>137023</v>
      </c>
      <c r="AV568" s="6">
        <v>37412</v>
      </c>
      <c r="AX568" s="6">
        <v>0</v>
      </c>
      <c r="AZ568" s="6">
        <f t="shared" si="89"/>
        <v>17830457</v>
      </c>
      <c r="BB568" s="6">
        <v>11620</v>
      </c>
      <c r="BD568" s="6">
        <v>0</v>
      </c>
      <c r="BF568" s="6">
        <v>0</v>
      </c>
      <c r="BH568" s="6">
        <v>0</v>
      </c>
      <c r="BJ568" s="6">
        <f t="shared" si="92"/>
        <v>17842077</v>
      </c>
      <c r="BL568" s="6">
        <f>+'Gen Fd Rev'!AK568-'Gen Fd Exp'!BJ568</f>
        <v>-1272658</v>
      </c>
      <c r="BN568" s="6">
        <v>1929514</v>
      </c>
      <c r="BP568" s="6">
        <v>0</v>
      </c>
      <c r="BR568" s="6">
        <v>0</v>
      </c>
      <c r="BT568" s="6">
        <f t="shared" si="93"/>
        <v>656856</v>
      </c>
      <c r="BV568" s="7">
        <f>+BT568-'Gen Fd BS'!AC568+BR568</f>
        <v>0</v>
      </c>
    </row>
    <row r="569" spans="1:74">
      <c r="A569" s="11" t="s">
        <v>338</v>
      </c>
      <c r="B569" s="11"/>
      <c r="C569" s="11" t="s">
        <v>33</v>
      </c>
      <c r="E569" s="6">
        <v>4851429</v>
      </c>
      <c r="G569" s="6">
        <v>1009898</v>
      </c>
      <c r="I569" s="6">
        <v>153220</v>
      </c>
      <c r="K569" s="6">
        <v>0</v>
      </c>
      <c r="M569" s="6">
        <v>0</v>
      </c>
      <c r="O569" s="6">
        <v>186145</v>
      </c>
      <c r="Q569" s="6">
        <v>336711</v>
      </c>
      <c r="S569" s="6">
        <v>70721</v>
      </c>
      <c r="U569" s="6">
        <v>795005</v>
      </c>
      <c r="W569" s="6">
        <v>441680</v>
      </c>
      <c r="Y569" s="6">
        <v>0</v>
      </c>
      <c r="AA569" s="6">
        <v>1141096</v>
      </c>
      <c r="AC569" s="6">
        <v>595312</v>
      </c>
      <c r="AE569" s="6">
        <v>27033</v>
      </c>
      <c r="AG569" s="6">
        <v>0</v>
      </c>
      <c r="AI569" s="6">
        <v>278</v>
      </c>
      <c r="AJ569" s="11" t="s">
        <v>338</v>
      </c>
      <c r="AK569" s="11"/>
      <c r="AL569" s="11" t="s">
        <v>33</v>
      </c>
      <c r="AN569" s="6">
        <v>286606</v>
      </c>
      <c r="AP569" s="6">
        <v>1410</v>
      </c>
      <c r="AT569" s="6">
        <v>0</v>
      </c>
      <c r="AV569" s="6">
        <v>0</v>
      </c>
      <c r="AX569" s="6">
        <v>0</v>
      </c>
      <c r="AZ569" s="6">
        <f t="shared" si="89"/>
        <v>9896544</v>
      </c>
      <c r="BB569" s="6">
        <v>28391</v>
      </c>
      <c r="BD569" s="6">
        <v>0</v>
      </c>
      <c r="BF569" s="6">
        <v>0</v>
      </c>
      <c r="BH569" s="6">
        <v>0</v>
      </c>
      <c r="BJ569" s="6">
        <f t="shared" si="92"/>
        <v>9924935</v>
      </c>
      <c r="BL569" s="6">
        <f>+'Gen Fd Rev'!AK569-'Gen Fd Exp'!BJ569</f>
        <v>579927</v>
      </c>
      <c r="BN569" s="6">
        <v>6908066</v>
      </c>
      <c r="BP569" s="6">
        <v>0</v>
      </c>
      <c r="BR569" s="6">
        <v>0</v>
      </c>
      <c r="BT569" s="6">
        <f t="shared" si="93"/>
        <v>7487993</v>
      </c>
      <c r="BV569" s="7">
        <f>+BT569-'Gen Fd BS'!AC569+BR569</f>
        <v>0</v>
      </c>
    </row>
    <row r="570" spans="1:74" hidden="1">
      <c r="A570" s="11" t="s">
        <v>830</v>
      </c>
      <c r="B570" s="11"/>
      <c r="C570" s="11" t="s">
        <v>67</v>
      </c>
      <c r="AJ570" s="10" t="s">
        <v>830</v>
      </c>
      <c r="AK570" s="11"/>
      <c r="AL570" s="11" t="s">
        <v>67</v>
      </c>
      <c r="AZ570" s="6">
        <f t="shared" si="89"/>
        <v>0</v>
      </c>
      <c r="BJ570" s="6">
        <f t="shared" si="92"/>
        <v>0</v>
      </c>
      <c r="BL570" s="6">
        <f>+'Gen Fd Rev'!AK570-'Gen Fd Exp'!BJ570</f>
        <v>0</v>
      </c>
      <c r="BR570" s="6">
        <v>0</v>
      </c>
      <c r="BT570" s="6">
        <f t="shared" si="93"/>
        <v>0</v>
      </c>
      <c r="BV570" s="7">
        <f>+BT570-'Gen Fd BS'!AC570+BR570</f>
        <v>0</v>
      </c>
    </row>
    <row r="571" spans="1:74">
      <c r="A571" s="11" t="s">
        <v>438</v>
      </c>
      <c r="B571" s="11"/>
      <c r="C571" s="11" t="s">
        <v>50</v>
      </c>
      <c r="E571" s="6">
        <v>14836102</v>
      </c>
      <c r="G571" s="6">
        <v>3636894</v>
      </c>
      <c r="I571" s="6">
        <v>353800</v>
      </c>
      <c r="K571" s="6">
        <v>0</v>
      </c>
      <c r="M571" s="6">
        <v>2290890</v>
      </c>
      <c r="O571" s="6">
        <v>2843490</v>
      </c>
      <c r="Q571" s="6">
        <v>2820914</v>
      </c>
      <c r="S571" s="6">
        <v>74555</v>
      </c>
      <c r="U571" s="6">
        <v>2055576</v>
      </c>
      <c r="W571" s="6">
        <v>973196</v>
      </c>
      <c r="Y571" s="6">
        <v>257583</v>
      </c>
      <c r="AA571" s="6">
        <v>2204082</v>
      </c>
      <c r="AC571" s="6">
        <v>1426123</v>
      </c>
      <c r="AE571" s="6">
        <v>431519</v>
      </c>
      <c r="AG571" s="6">
        <v>0</v>
      </c>
      <c r="AI571" s="6">
        <v>280739</v>
      </c>
      <c r="AJ571" s="11" t="s">
        <v>438</v>
      </c>
      <c r="AK571" s="11"/>
      <c r="AL571" s="11" t="s">
        <v>50</v>
      </c>
      <c r="AN571" s="6">
        <v>376106</v>
      </c>
      <c r="AP571" s="6">
        <v>0</v>
      </c>
      <c r="AT571" s="6">
        <v>304039</v>
      </c>
      <c r="AV571" s="6">
        <v>195872</v>
      </c>
      <c r="AX571" s="6">
        <v>0</v>
      </c>
      <c r="AZ571" s="6">
        <f t="shared" si="89"/>
        <v>35361480</v>
      </c>
      <c r="BB571" s="6">
        <v>114468</v>
      </c>
      <c r="BD571" s="6">
        <v>0</v>
      </c>
      <c r="BF571" s="6">
        <v>0</v>
      </c>
      <c r="BH571" s="6">
        <v>0</v>
      </c>
      <c r="BJ571" s="6">
        <f>+AZ571+BB571+BD571+BH571</f>
        <v>35475948</v>
      </c>
      <c r="BL571" s="6">
        <f>+'Gen Fd Rev'!AK571-'Gen Fd Exp'!BJ571</f>
        <v>-5241250</v>
      </c>
      <c r="BN571" s="6">
        <v>8246774</v>
      </c>
      <c r="BP571" s="6">
        <v>0</v>
      </c>
      <c r="BR571" s="6">
        <v>0</v>
      </c>
      <c r="BT571" s="6">
        <f t="shared" si="93"/>
        <v>3005524</v>
      </c>
      <c r="BV571" s="7">
        <f>+BT571-'Gen Fd BS'!AC571+BR571</f>
        <v>0</v>
      </c>
    </row>
    <row r="572" spans="1:74" hidden="1">
      <c r="A572" s="11" t="s">
        <v>698</v>
      </c>
      <c r="B572" s="11"/>
      <c r="C572" s="11" t="s">
        <v>33</v>
      </c>
      <c r="AJ572" s="11" t="s">
        <v>698</v>
      </c>
      <c r="AK572" s="11"/>
      <c r="AL572" s="11" t="s">
        <v>33</v>
      </c>
      <c r="AZ572" s="6">
        <f>SUM(E572:AX572)</f>
        <v>0</v>
      </c>
      <c r="BJ572" s="6">
        <f>+AZ572+BB572+BD572+BH572</f>
        <v>0</v>
      </c>
      <c r="BL572" s="6">
        <f>+'Gen Fd Rev'!AK572-'Gen Fd Exp'!BJ572</f>
        <v>0</v>
      </c>
      <c r="BR572" s="6">
        <v>0</v>
      </c>
      <c r="BT572" s="6">
        <f t="shared" si="93"/>
        <v>0</v>
      </c>
      <c r="BV572" s="7">
        <f>+BT572-'Gen Fd BS'!AC572+BR572</f>
        <v>0</v>
      </c>
    </row>
    <row r="573" spans="1:74">
      <c r="A573" s="11" t="s">
        <v>291</v>
      </c>
      <c r="B573" s="11"/>
      <c r="C573" s="11" t="s">
        <v>24</v>
      </c>
      <c r="E573" s="6">
        <v>8628163</v>
      </c>
      <c r="G573" s="6">
        <v>1632896</v>
      </c>
      <c r="I573" s="6">
        <v>259452</v>
      </c>
      <c r="K573" s="6">
        <v>0</v>
      </c>
      <c r="M573" s="6">
        <v>1286950</v>
      </c>
      <c r="O573" s="6">
        <v>1208193</v>
      </c>
      <c r="Q573" s="6">
        <v>1450713</v>
      </c>
      <c r="S573" s="6">
        <v>176402</v>
      </c>
      <c r="U573" s="6">
        <v>1466502</v>
      </c>
      <c r="W573" s="6">
        <v>571331</v>
      </c>
      <c r="Y573" s="6">
        <v>113837</v>
      </c>
      <c r="AA573" s="6">
        <v>1984237</v>
      </c>
      <c r="AC573" s="6">
        <v>1374592</v>
      </c>
      <c r="AE573" s="6">
        <v>49355</v>
      </c>
      <c r="AG573" s="6">
        <v>0</v>
      </c>
      <c r="AI573" s="6">
        <v>0</v>
      </c>
      <c r="AJ573" s="11" t="s">
        <v>291</v>
      </c>
      <c r="AK573" s="11"/>
      <c r="AL573" s="11" t="s">
        <v>24</v>
      </c>
      <c r="AN573" s="6">
        <v>501423</v>
      </c>
      <c r="AP573" s="6">
        <v>0</v>
      </c>
      <c r="AT573" s="6">
        <v>1122879</v>
      </c>
      <c r="AV573" s="6">
        <v>149576</v>
      </c>
      <c r="AX573" s="6">
        <v>0</v>
      </c>
      <c r="AZ573" s="6">
        <f>SUM(E573:AX573)</f>
        <v>21976501</v>
      </c>
      <c r="BB573" s="6">
        <v>25871</v>
      </c>
      <c r="BD573" s="6">
        <v>0</v>
      </c>
      <c r="BF573" s="6">
        <v>0</v>
      </c>
      <c r="BH573" s="6">
        <v>0</v>
      </c>
      <c r="BJ573" s="6">
        <f>+AZ573+BB573+BD573+BH573</f>
        <v>22002372</v>
      </c>
      <c r="BL573" s="6">
        <f>+'Gen Fd Rev'!AK573-'Gen Fd Exp'!BJ573</f>
        <v>1312428</v>
      </c>
      <c r="BN573" s="6">
        <v>14301518</v>
      </c>
      <c r="BP573" s="6">
        <v>-8934</v>
      </c>
      <c r="BR573" s="6">
        <v>0</v>
      </c>
      <c r="BT573" s="6">
        <f t="shared" si="93"/>
        <v>15622880</v>
      </c>
      <c r="BV573" s="7">
        <f>+BT573-'Gen Fd BS'!AC573+BR573</f>
        <v>0</v>
      </c>
    </row>
    <row r="574" spans="1:74" hidden="1">
      <c r="A574" s="11" t="s">
        <v>699</v>
      </c>
      <c r="B574" s="11"/>
      <c r="C574" s="11" t="s">
        <v>21</v>
      </c>
      <c r="AJ574" s="11" t="s">
        <v>699</v>
      </c>
      <c r="AK574" s="11"/>
      <c r="AL574" s="11" t="s">
        <v>21</v>
      </c>
      <c r="AZ574" s="6">
        <f>SUM(E574:AX574)</f>
        <v>0</v>
      </c>
      <c r="BJ574" s="6">
        <f>+AZ574+BB574+BD574+BH574</f>
        <v>0</v>
      </c>
      <c r="BL574" s="6">
        <f>+'Gen Fd Rev'!AK574-'Gen Fd Exp'!BJ574</f>
        <v>0</v>
      </c>
      <c r="BR574" s="6">
        <v>0</v>
      </c>
      <c r="BT574" s="6">
        <f t="shared" si="93"/>
        <v>0</v>
      </c>
      <c r="BV574" s="7">
        <f>+BT574-'Gen Fd BS'!AC574+BR574</f>
        <v>0</v>
      </c>
    </row>
    <row r="575" spans="1:74">
      <c r="A575" s="11" t="s">
        <v>542</v>
      </c>
      <c r="B575" s="11"/>
      <c r="C575" s="11" t="s">
        <v>68</v>
      </c>
      <c r="E575" s="6">
        <v>8767870</v>
      </c>
      <c r="G575" s="6">
        <v>1952482</v>
      </c>
      <c r="I575" s="6">
        <v>273323</v>
      </c>
      <c r="K575" s="6">
        <v>0</v>
      </c>
      <c r="M575" s="6">
        <v>1161596</v>
      </c>
      <c r="O575" s="6">
        <v>871386</v>
      </c>
      <c r="Q575" s="6">
        <v>812413</v>
      </c>
      <c r="S575" s="6">
        <v>321331</v>
      </c>
      <c r="U575" s="6">
        <v>2018866</v>
      </c>
      <c r="W575" s="6">
        <v>443879</v>
      </c>
      <c r="Y575" s="6">
        <v>0</v>
      </c>
      <c r="AA575" s="6">
        <v>1944252</v>
      </c>
      <c r="AC575" s="6">
        <v>2164741</v>
      </c>
      <c r="AE575" s="6">
        <v>382058</v>
      </c>
      <c r="AG575" s="6">
        <v>0</v>
      </c>
      <c r="AI575" s="6">
        <v>124362</v>
      </c>
      <c r="AJ575" s="11" t="s">
        <v>542</v>
      </c>
      <c r="AK575" s="11"/>
      <c r="AL575" s="11" t="s">
        <v>68</v>
      </c>
      <c r="AN575" s="6">
        <v>145754</v>
      </c>
      <c r="AP575" s="6">
        <v>237916</v>
      </c>
      <c r="AT575" s="6">
        <v>113967</v>
      </c>
      <c r="AV575" s="6">
        <v>29527</v>
      </c>
      <c r="AX575" s="6">
        <v>0</v>
      </c>
      <c r="AZ575" s="6">
        <f>SUM(E575:AX575)</f>
        <v>21765723</v>
      </c>
      <c r="BB575" s="6">
        <v>0</v>
      </c>
      <c r="BD575" s="6">
        <v>0</v>
      </c>
      <c r="BF575" s="6">
        <v>0</v>
      </c>
      <c r="BH575" s="6">
        <v>0</v>
      </c>
      <c r="BJ575" s="6">
        <f>+AZ575+BB575+BD575+BH575</f>
        <v>21765723</v>
      </c>
      <c r="BL575" s="6">
        <f>+'Gen Fd Rev'!AK575-'Gen Fd Exp'!BJ575</f>
        <v>255662</v>
      </c>
      <c r="BN575" s="6">
        <v>12042329</v>
      </c>
      <c r="BP575" s="6">
        <v>0</v>
      </c>
      <c r="BR575" s="6">
        <v>0</v>
      </c>
      <c r="BT575" s="6">
        <f t="shared" si="93"/>
        <v>12297991</v>
      </c>
      <c r="BV575" s="7">
        <f>+BT575-'Gen Fd BS'!AC575+BR575</f>
        <v>0</v>
      </c>
    </row>
    <row r="576" spans="1:74">
      <c r="A576" s="11" t="s">
        <v>419</v>
      </c>
      <c r="B576" s="11"/>
      <c r="C576" s="11" t="s">
        <v>47</v>
      </c>
      <c r="E576" s="6">
        <v>16833512</v>
      </c>
      <c r="G576" s="6">
        <v>2132321</v>
      </c>
      <c r="I576" s="6">
        <v>1534497</v>
      </c>
      <c r="K576" s="6">
        <v>36245</v>
      </c>
      <c r="M576" s="6">
        <v>1337720</v>
      </c>
      <c r="O576" s="6">
        <v>2667130</v>
      </c>
      <c r="Q576" s="6">
        <v>968133</v>
      </c>
      <c r="S576" s="6">
        <v>265566</v>
      </c>
      <c r="U576" s="6">
        <v>3290771</v>
      </c>
      <c r="W576" s="6">
        <v>766733</v>
      </c>
      <c r="Y576" s="6">
        <v>0</v>
      </c>
      <c r="AA576" s="6">
        <v>3394108</v>
      </c>
      <c r="AC576" s="6">
        <v>1568507</v>
      </c>
      <c r="AE576" s="6">
        <v>658659</v>
      </c>
      <c r="AG576" s="6">
        <v>0</v>
      </c>
      <c r="AI576" s="6">
        <v>0</v>
      </c>
      <c r="AJ576" s="11" t="s">
        <v>419</v>
      </c>
      <c r="AK576" s="11"/>
      <c r="AL576" s="11" t="s">
        <v>47</v>
      </c>
      <c r="AN576" s="6">
        <v>631990</v>
      </c>
      <c r="AP576" s="6">
        <v>18184</v>
      </c>
      <c r="AT576" s="6">
        <v>0</v>
      </c>
      <c r="AV576" s="6">
        <v>0</v>
      </c>
      <c r="AX576" s="6">
        <v>81347</v>
      </c>
      <c r="AZ576" s="6">
        <f t="shared" ref="AZ576:AZ597" si="94">SUM(E576:AX576)</f>
        <v>36185423</v>
      </c>
      <c r="BB576" s="6">
        <v>0</v>
      </c>
      <c r="BD576" s="6">
        <v>0</v>
      </c>
      <c r="BF576" s="6">
        <v>0</v>
      </c>
      <c r="BH576" s="6">
        <v>0</v>
      </c>
      <c r="BJ576" s="6">
        <f t="shared" ref="BJ576:BJ630" si="95">+AZ576+BB576+BD576+BH576</f>
        <v>36185423</v>
      </c>
      <c r="BL576" s="6">
        <f>+'Gen Fd Rev'!AK576-'Gen Fd Exp'!BJ576</f>
        <v>1460657</v>
      </c>
      <c r="BN576" s="6">
        <v>4544461</v>
      </c>
      <c r="BP576" s="6">
        <v>0</v>
      </c>
      <c r="BR576" s="6">
        <v>0</v>
      </c>
      <c r="BT576" s="6">
        <f t="shared" ref="BT576:BT630" si="96">+BN576+BL576-BP576</f>
        <v>6005118</v>
      </c>
      <c r="BV576" s="7">
        <f>+BT576-'Gen Fd BS'!AC576+BR576</f>
        <v>0</v>
      </c>
    </row>
    <row r="577" spans="1:74" hidden="1">
      <c r="A577" s="11" t="s">
        <v>875</v>
      </c>
      <c r="B577" s="11"/>
      <c r="C577" s="11" t="s">
        <v>25</v>
      </c>
      <c r="E577" s="6">
        <v>0</v>
      </c>
      <c r="G577" s="6">
        <v>0</v>
      </c>
      <c r="I577" s="6">
        <v>0</v>
      </c>
      <c r="K577" s="6">
        <v>0</v>
      </c>
      <c r="M577" s="6">
        <v>0</v>
      </c>
      <c r="O577" s="6">
        <v>0</v>
      </c>
      <c r="Q577" s="6">
        <v>0</v>
      </c>
      <c r="S577" s="6">
        <v>0</v>
      </c>
      <c r="U577" s="6">
        <v>0</v>
      </c>
      <c r="W577" s="6">
        <v>0</v>
      </c>
      <c r="Y577" s="6">
        <v>0</v>
      </c>
      <c r="AA577" s="6">
        <v>0</v>
      </c>
      <c r="AC577" s="6">
        <v>0</v>
      </c>
      <c r="AE577" s="6">
        <v>0</v>
      </c>
      <c r="AG577" s="6">
        <v>0</v>
      </c>
      <c r="AI577" s="6">
        <v>0</v>
      </c>
      <c r="AJ577" s="11" t="s">
        <v>875</v>
      </c>
      <c r="AK577" s="11"/>
      <c r="AL577" s="11" t="s">
        <v>25</v>
      </c>
      <c r="AN577" s="6">
        <v>0</v>
      </c>
      <c r="AP577" s="6">
        <v>0</v>
      </c>
      <c r="AT577" s="6">
        <v>0</v>
      </c>
      <c r="AV577" s="6">
        <v>0</v>
      </c>
      <c r="AX577" s="6">
        <v>0</v>
      </c>
      <c r="AZ577" s="6">
        <f t="shared" ref="AZ577:AZ579" si="97">SUM(E577:AX577)</f>
        <v>0</v>
      </c>
      <c r="BB577" s="6">
        <v>0</v>
      </c>
      <c r="BD577" s="6">
        <v>0</v>
      </c>
      <c r="BF577" s="6">
        <v>0</v>
      </c>
      <c r="BH577" s="6">
        <v>0</v>
      </c>
      <c r="BJ577" s="6">
        <f t="shared" ref="BJ577:BJ579" si="98">+AZ577+BB577+BD577+BH577</f>
        <v>0</v>
      </c>
      <c r="BL577" s="6">
        <f>+'Gen Fd Rev'!AK577-'Gen Fd Exp'!BJ577</f>
        <v>0</v>
      </c>
      <c r="BP577" s="6">
        <v>0</v>
      </c>
      <c r="BR577" s="6">
        <v>0</v>
      </c>
      <c r="BT577" s="6">
        <f t="shared" ref="BT577:BT579" si="99">+BN577+BL577-BP577</f>
        <v>0</v>
      </c>
      <c r="BV577" s="7">
        <f>+BT577-'Gen Fd BS'!AC577+BR577</f>
        <v>0</v>
      </c>
    </row>
    <row r="578" spans="1:74" hidden="1">
      <c r="A578" s="11" t="s">
        <v>876</v>
      </c>
      <c r="B578" s="11"/>
      <c r="C578" s="11" t="s">
        <v>14</v>
      </c>
      <c r="E578" s="6">
        <v>0</v>
      </c>
      <c r="G578" s="6">
        <v>0</v>
      </c>
      <c r="I578" s="6">
        <v>0</v>
      </c>
      <c r="K578" s="6">
        <v>0</v>
      </c>
      <c r="M578" s="6">
        <v>0</v>
      </c>
      <c r="O578" s="6">
        <v>0</v>
      </c>
      <c r="Q578" s="6">
        <v>0</v>
      </c>
      <c r="S578" s="6">
        <v>0</v>
      </c>
      <c r="U578" s="6">
        <v>0</v>
      </c>
      <c r="W578" s="6">
        <v>0</v>
      </c>
      <c r="Y578" s="6">
        <v>0</v>
      </c>
      <c r="AA578" s="6">
        <v>0</v>
      </c>
      <c r="AC578" s="6">
        <v>0</v>
      </c>
      <c r="AE578" s="6">
        <v>0</v>
      </c>
      <c r="AG578" s="6">
        <v>0</v>
      </c>
      <c r="AI578" s="6">
        <v>0</v>
      </c>
      <c r="AJ578" s="11" t="s">
        <v>876</v>
      </c>
      <c r="AK578" s="11"/>
      <c r="AL578" s="11" t="s">
        <v>14</v>
      </c>
      <c r="AN578" s="6">
        <v>0</v>
      </c>
      <c r="AP578" s="6">
        <v>0</v>
      </c>
      <c r="AT578" s="6">
        <v>0</v>
      </c>
      <c r="AV578" s="6">
        <v>0</v>
      </c>
      <c r="AX578" s="6">
        <v>0</v>
      </c>
      <c r="AZ578" s="6">
        <f t="shared" si="97"/>
        <v>0</v>
      </c>
      <c r="BB578" s="6">
        <v>0</v>
      </c>
      <c r="BD578" s="6">
        <v>0</v>
      </c>
      <c r="BF578" s="6">
        <v>0</v>
      </c>
      <c r="BH578" s="6">
        <v>0</v>
      </c>
      <c r="BJ578" s="6">
        <f t="shared" si="98"/>
        <v>0</v>
      </c>
      <c r="BL578" s="6">
        <f>+'Gen Fd Rev'!AK578-'Gen Fd Exp'!BJ578</f>
        <v>0</v>
      </c>
      <c r="BP578" s="6">
        <v>0</v>
      </c>
      <c r="BR578" s="6">
        <v>0</v>
      </c>
      <c r="BT578" s="6">
        <f t="shared" si="99"/>
        <v>0</v>
      </c>
      <c r="BV578" s="7">
        <f>+BT578-'Gen Fd BS'!AC578+BR578</f>
        <v>0</v>
      </c>
    </row>
    <row r="579" spans="1:74" hidden="1">
      <c r="A579" s="10" t="s">
        <v>877</v>
      </c>
      <c r="B579" s="10"/>
      <c r="C579" s="10" t="s">
        <v>63</v>
      </c>
      <c r="E579" s="6">
        <v>0</v>
      </c>
      <c r="G579" s="6">
        <v>0</v>
      </c>
      <c r="I579" s="6">
        <v>0</v>
      </c>
      <c r="K579" s="6">
        <v>0</v>
      </c>
      <c r="M579" s="6">
        <v>0</v>
      </c>
      <c r="O579" s="6">
        <v>0</v>
      </c>
      <c r="Q579" s="6">
        <v>0</v>
      </c>
      <c r="S579" s="6">
        <v>0</v>
      </c>
      <c r="U579" s="6">
        <v>0</v>
      </c>
      <c r="W579" s="6">
        <v>0</v>
      </c>
      <c r="Y579" s="6">
        <v>0</v>
      </c>
      <c r="AA579" s="6">
        <v>0</v>
      </c>
      <c r="AC579" s="6">
        <v>0</v>
      </c>
      <c r="AE579" s="6">
        <v>0</v>
      </c>
      <c r="AG579" s="6">
        <v>0</v>
      </c>
      <c r="AI579" s="6">
        <v>0</v>
      </c>
      <c r="AJ579" s="10" t="s">
        <v>877</v>
      </c>
      <c r="AK579" s="10"/>
      <c r="AL579" s="10" t="s">
        <v>63</v>
      </c>
      <c r="AN579" s="6">
        <v>0</v>
      </c>
      <c r="AP579" s="6">
        <v>0</v>
      </c>
      <c r="AT579" s="6">
        <v>0</v>
      </c>
      <c r="AV579" s="6">
        <v>0</v>
      </c>
      <c r="AX579" s="6">
        <v>0</v>
      </c>
      <c r="AZ579" s="6">
        <f t="shared" si="97"/>
        <v>0</v>
      </c>
      <c r="BB579" s="6">
        <v>0</v>
      </c>
      <c r="BD579" s="6">
        <v>0</v>
      </c>
      <c r="BF579" s="6">
        <v>0</v>
      </c>
      <c r="BH579" s="6">
        <v>0</v>
      </c>
      <c r="BJ579" s="6">
        <f t="shared" si="98"/>
        <v>0</v>
      </c>
      <c r="BL579" s="6">
        <f>+'Gen Fd Rev'!AK579-'Gen Fd Exp'!BJ579</f>
        <v>0</v>
      </c>
      <c r="BP579" s="6">
        <v>0</v>
      </c>
      <c r="BR579" s="6">
        <v>0</v>
      </c>
      <c r="BT579" s="6">
        <f t="shared" si="99"/>
        <v>0</v>
      </c>
      <c r="BV579" s="7">
        <f>+BT579-'Gen Fd BS'!AC579+BR579</f>
        <v>0</v>
      </c>
    </row>
    <row r="580" spans="1:74">
      <c r="A580" s="11" t="s">
        <v>531</v>
      </c>
      <c r="B580" s="11"/>
      <c r="C580" s="11" t="s">
        <v>64</v>
      </c>
      <c r="E580" s="6">
        <v>24923848</v>
      </c>
      <c r="G580" s="6">
        <v>6818264</v>
      </c>
      <c r="I580" s="6">
        <v>206416</v>
      </c>
      <c r="K580" s="6">
        <v>0</v>
      </c>
      <c r="M580" s="6">
        <v>2824280</v>
      </c>
      <c r="O580" s="6">
        <v>3686126</v>
      </c>
      <c r="Q580" s="6">
        <v>2723114</v>
      </c>
      <c r="S580" s="6">
        <v>52384</v>
      </c>
      <c r="U580" s="6">
        <v>5243580</v>
      </c>
      <c r="W580" s="6">
        <v>948153</v>
      </c>
      <c r="Y580" s="6">
        <v>815127</v>
      </c>
      <c r="AA580" s="6">
        <v>7241814</v>
      </c>
      <c r="AC580" s="6">
        <v>2582068</v>
      </c>
      <c r="AE580" s="6">
        <v>1258302</v>
      </c>
      <c r="AG580" s="6">
        <v>0</v>
      </c>
      <c r="AI580" s="6">
        <v>2220</v>
      </c>
      <c r="AJ580" s="11" t="s">
        <v>531</v>
      </c>
      <c r="AK580" s="11"/>
      <c r="AL580" s="11" t="s">
        <v>64</v>
      </c>
      <c r="AN580" s="6">
        <v>815908</v>
      </c>
      <c r="AP580" s="6">
        <v>13326</v>
      </c>
      <c r="AT580" s="6">
        <v>0</v>
      </c>
      <c r="AV580" s="6">
        <v>0</v>
      </c>
      <c r="AX580" s="6">
        <v>0</v>
      </c>
      <c r="AZ580" s="6">
        <f t="shared" si="94"/>
        <v>60154930</v>
      </c>
      <c r="BB580" s="6">
        <v>24900</v>
      </c>
      <c r="BD580" s="6">
        <v>0</v>
      </c>
      <c r="BF580" s="6">
        <v>0</v>
      </c>
      <c r="BH580" s="6">
        <v>0</v>
      </c>
      <c r="BJ580" s="6">
        <f t="shared" si="95"/>
        <v>60179830</v>
      </c>
      <c r="BL580" s="6">
        <f>+'Gen Fd Rev'!AK580-'Gen Fd Exp'!BJ580</f>
        <v>11791</v>
      </c>
      <c r="BN580" s="6">
        <v>10761260</v>
      </c>
      <c r="BP580" s="6">
        <v>0</v>
      </c>
      <c r="BR580" s="6">
        <v>0</v>
      </c>
      <c r="BT580" s="6">
        <f t="shared" si="96"/>
        <v>10773051</v>
      </c>
      <c r="BV580" s="7">
        <f>+BT580-'Gen Fd BS'!AC580+BR580</f>
        <v>0</v>
      </c>
    </row>
    <row r="581" spans="1:74">
      <c r="A581" s="11" t="s">
        <v>549</v>
      </c>
      <c r="B581" s="11"/>
      <c r="C581" s="11" t="s">
        <v>70</v>
      </c>
      <c r="E581" s="6">
        <v>10381309</v>
      </c>
      <c r="G581" s="6">
        <v>1152488</v>
      </c>
      <c r="I581" s="6">
        <v>60120</v>
      </c>
      <c r="K581" s="6">
        <v>0</v>
      </c>
      <c r="M581" s="6">
        <v>10649</v>
      </c>
      <c r="O581" s="6">
        <v>521608</v>
      </c>
      <c r="Q581" s="6">
        <v>761278</v>
      </c>
      <c r="S581" s="6">
        <v>43423</v>
      </c>
      <c r="U581" s="6">
        <v>1373029</v>
      </c>
      <c r="W581" s="6">
        <v>508429</v>
      </c>
      <c r="Y581" s="6">
        <v>8954</v>
      </c>
      <c r="AA581" s="6">
        <v>1737455</v>
      </c>
      <c r="AC581" s="6">
        <v>1491047</v>
      </c>
      <c r="AE581" s="6">
        <v>31349</v>
      </c>
      <c r="AG581" s="6">
        <v>0</v>
      </c>
      <c r="AI581" s="6">
        <v>0</v>
      </c>
      <c r="AJ581" s="11" t="s">
        <v>549</v>
      </c>
      <c r="AK581" s="11"/>
      <c r="AL581" s="11" t="s">
        <v>70</v>
      </c>
      <c r="AN581" s="6">
        <v>245756</v>
      </c>
      <c r="AP581" s="6">
        <v>460299</v>
      </c>
      <c r="AT581" s="6">
        <v>0</v>
      </c>
      <c r="AV581" s="6">
        <v>0</v>
      </c>
      <c r="AX581" s="6">
        <v>0</v>
      </c>
      <c r="AZ581" s="6">
        <f t="shared" si="94"/>
        <v>18787193</v>
      </c>
      <c r="BB581" s="6">
        <v>0</v>
      </c>
      <c r="BD581" s="6">
        <v>0</v>
      </c>
      <c r="BF581" s="6">
        <v>0</v>
      </c>
      <c r="BH581" s="6">
        <v>0</v>
      </c>
      <c r="BJ581" s="6">
        <f t="shared" si="95"/>
        <v>18787193</v>
      </c>
      <c r="BL581" s="6">
        <f>+'Gen Fd Rev'!AK581-'Gen Fd Exp'!BJ581</f>
        <v>1157639</v>
      </c>
      <c r="BN581" s="6">
        <v>3476509</v>
      </c>
      <c r="BP581" s="6">
        <v>0</v>
      </c>
      <c r="BR581" s="6">
        <v>0</v>
      </c>
      <c r="BT581" s="6">
        <f t="shared" si="96"/>
        <v>4634148</v>
      </c>
      <c r="BV581" s="7">
        <f>+BT581-'Gen Fd BS'!AC581+BR581</f>
        <v>0</v>
      </c>
    </row>
    <row r="582" spans="1:74">
      <c r="A582" s="11" t="s">
        <v>280</v>
      </c>
      <c r="B582" s="11"/>
      <c r="C582" s="11" t="s">
        <v>20</v>
      </c>
      <c r="D582" s="9"/>
      <c r="E582" s="6">
        <v>12192896</v>
      </c>
      <c r="G582" s="6">
        <v>3031094</v>
      </c>
      <c r="I582" s="6">
        <v>126541</v>
      </c>
      <c r="K582" s="6">
        <v>0</v>
      </c>
      <c r="M582" s="6">
        <v>0</v>
      </c>
      <c r="O582" s="6">
        <v>1312815</v>
      </c>
      <c r="Q582" s="6">
        <v>1749139</v>
      </c>
      <c r="S582" s="6">
        <v>76908</v>
      </c>
      <c r="U582" s="6">
        <v>2436655</v>
      </c>
      <c r="W582" s="6">
        <v>1280692</v>
      </c>
      <c r="Y582" s="6">
        <v>1265055</v>
      </c>
      <c r="AA582" s="6">
        <v>3294979</v>
      </c>
      <c r="AC582" s="6">
        <v>1084417</v>
      </c>
      <c r="AE582" s="6">
        <v>295572</v>
      </c>
      <c r="AG582" s="6">
        <v>557</v>
      </c>
      <c r="AI582" s="6">
        <v>3273</v>
      </c>
      <c r="AJ582" s="11" t="s">
        <v>280</v>
      </c>
      <c r="AK582" s="11"/>
      <c r="AL582" s="11" t="s">
        <v>20</v>
      </c>
      <c r="AN582" s="6">
        <v>124525</v>
      </c>
      <c r="AP582" s="6">
        <v>2078</v>
      </c>
      <c r="AT582" s="6">
        <v>0</v>
      </c>
      <c r="AV582" s="6">
        <v>0</v>
      </c>
      <c r="AX582" s="6">
        <v>0</v>
      </c>
      <c r="AZ582" s="6">
        <f>SUM(E582:AX582)</f>
        <v>28277196</v>
      </c>
      <c r="BB582" s="6">
        <v>105000</v>
      </c>
      <c r="BD582" s="6">
        <v>0</v>
      </c>
      <c r="BF582" s="6">
        <v>0</v>
      </c>
      <c r="BH582" s="6">
        <v>0</v>
      </c>
      <c r="BJ582" s="6">
        <f>+AZ582+BB582+BD582+BH582</f>
        <v>28382196</v>
      </c>
      <c r="BL582" s="6">
        <f>+'Gen Fd Rev'!AK582-'Gen Fd Exp'!BJ582</f>
        <v>3371960</v>
      </c>
      <c r="BN582" s="6">
        <v>7212059</v>
      </c>
      <c r="BP582" s="6">
        <v>0</v>
      </c>
      <c r="BR582" s="6">
        <v>0</v>
      </c>
      <c r="BT582" s="6">
        <f>+BN582+BL582-BP582</f>
        <v>10584019</v>
      </c>
      <c r="BV582" s="7">
        <f>+BT582-'Gen Fd BS'!AC582+BR582</f>
        <v>0</v>
      </c>
    </row>
    <row r="583" spans="1:74">
      <c r="A583" s="11" t="s">
        <v>298</v>
      </c>
      <c r="B583" s="11"/>
      <c r="C583" s="11" t="s">
        <v>26</v>
      </c>
      <c r="E583" s="6">
        <v>9337309</v>
      </c>
      <c r="G583" s="6">
        <v>1945488</v>
      </c>
      <c r="I583" s="6">
        <v>0</v>
      </c>
      <c r="K583" s="6">
        <v>0</v>
      </c>
      <c r="M583" s="6">
        <v>23121</v>
      </c>
      <c r="O583" s="6">
        <v>567575</v>
      </c>
      <c r="Q583" s="6">
        <v>378257</v>
      </c>
      <c r="S583" s="6">
        <v>27294</v>
      </c>
      <c r="U583" s="6">
        <v>1551364</v>
      </c>
      <c r="W583" s="6">
        <v>471795</v>
      </c>
      <c r="Y583" s="6">
        <v>0</v>
      </c>
      <c r="AA583" s="6">
        <v>1421217</v>
      </c>
      <c r="AC583" s="6">
        <v>610192</v>
      </c>
      <c r="AE583" s="6">
        <v>254230</v>
      </c>
      <c r="AG583" s="6">
        <v>0</v>
      </c>
      <c r="AI583" s="6">
        <v>0</v>
      </c>
      <c r="AJ583" s="11" t="s">
        <v>298</v>
      </c>
      <c r="AK583" s="11"/>
      <c r="AL583" s="11" t="s">
        <v>26</v>
      </c>
      <c r="AN583" s="6">
        <v>293431</v>
      </c>
      <c r="AP583" s="6">
        <v>5200</v>
      </c>
      <c r="AT583" s="6">
        <v>12021</v>
      </c>
      <c r="AV583" s="6">
        <v>3499</v>
      </c>
      <c r="AX583" s="6">
        <v>0</v>
      </c>
      <c r="AZ583" s="6">
        <f t="shared" si="94"/>
        <v>16901993</v>
      </c>
      <c r="BB583" s="6">
        <v>150027</v>
      </c>
      <c r="BD583" s="6">
        <v>0</v>
      </c>
      <c r="BF583" s="6">
        <v>0</v>
      </c>
      <c r="BH583" s="6">
        <v>0</v>
      </c>
      <c r="BJ583" s="6">
        <f t="shared" si="95"/>
        <v>17052020</v>
      </c>
      <c r="BL583" s="6">
        <f>+'Gen Fd Rev'!AK583-'Gen Fd Exp'!BJ583</f>
        <v>666974</v>
      </c>
      <c r="BN583" s="6">
        <v>1649569</v>
      </c>
      <c r="BP583" s="6">
        <v>0</v>
      </c>
      <c r="BR583" s="6">
        <v>0</v>
      </c>
      <c r="BT583" s="6">
        <f t="shared" si="96"/>
        <v>2316543</v>
      </c>
      <c r="BV583" s="7">
        <f>+BT583-'Gen Fd BS'!AC583+BR583</f>
        <v>0</v>
      </c>
    </row>
    <row r="584" spans="1:74">
      <c r="A584" s="11" t="s">
        <v>396</v>
      </c>
      <c r="B584" s="11"/>
      <c r="C584" s="11" t="s">
        <v>115</v>
      </c>
      <c r="E584" s="6">
        <v>29939266</v>
      </c>
      <c r="G584" s="6">
        <v>6698953</v>
      </c>
      <c r="I584" s="6">
        <v>2730754</v>
      </c>
      <c r="K584" s="6">
        <v>0</v>
      </c>
      <c r="M584" s="6">
        <v>3440120</v>
      </c>
      <c r="O584" s="6">
        <v>2704338</v>
      </c>
      <c r="Q584" s="6">
        <v>3068995</v>
      </c>
      <c r="S584" s="6">
        <v>142095</v>
      </c>
      <c r="U584" s="6">
        <v>5077756</v>
      </c>
      <c r="W584" s="6">
        <v>1520516</v>
      </c>
      <c r="Y584" s="6">
        <v>617916</v>
      </c>
      <c r="AA584" s="6">
        <v>7867187</v>
      </c>
      <c r="AC584" s="6">
        <v>3209703</v>
      </c>
      <c r="AE584" s="6">
        <v>1791570</v>
      </c>
      <c r="AG584" s="6">
        <v>0</v>
      </c>
      <c r="AI584" s="6">
        <v>38881</v>
      </c>
      <c r="AJ584" s="11" t="s">
        <v>396</v>
      </c>
      <c r="AK584" s="11"/>
      <c r="AL584" s="11" t="s">
        <v>115</v>
      </c>
      <c r="AN584" s="6">
        <v>935245</v>
      </c>
      <c r="AP584" s="6">
        <v>14754</v>
      </c>
      <c r="AT584" s="6">
        <v>0</v>
      </c>
      <c r="AV584" s="6">
        <v>0</v>
      </c>
      <c r="AX584" s="6">
        <v>0</v>
      </c>
      <c r="AZ584" s="6">
        <f t="shared" si="94"/>
        <v>69798049</v>
      </c>
      <c r="BB584" s="6">
        <v>13500</v>
      </c>
      <c r="BD584" s="6">
        <v>0</v>
      </c>
      <c r="BF584" s="6">
        <v>0</v>
      </c>
      <c r="BH584" s="6">
        <v>0</v>
      </c>
      <c r="BJ584" s="6">
        <f t="shared" si="95"/>
        <v>69811549</v>
      </c>
      <c r="BL584" s="6">
        <f>+'Gen Fd Rev'!AK584-'Gen Fd Exp'!BJ584</f>
        <v>967488</v>
      </c>
      <c r="BN584" s="6">
        <v>24598737</v>
      </c>
      <c r="BP584" s="6">
        <v>0</v>
      </c>
      <c r="BR584" s="6">
        <v>0</v>
      </c>
      <c r="BT584" s="6">
        <f t="shared" si="96"/>
        <v>25566225</v>
      </c>
      <c r="BV584" s="7">
        <f>+BT584-'Gen Fd BS'!AC584+BR584</f>
        <v>0</v>
      </c>
    </row>
    <row r="585" spans="1:74">
      <c r="A585" s="11" t="s">
        <v>485</v>
      </c>
      <c r="B585" s="11"/>
      <c r="C585" s="11" t="s">
        <v>59</v>
      </c>
      <c r="D585" s="9"/>
      <c r="E585" s="6">
        <v>5468662</v>
      </c>
      <c r="G585" s="6">
        <v>1431047</v>
      </c>
      <c r="I585" s="6">
        <v>101834</v>
      </c>
      <c r="K585" s="6">
        <v>0</v>
      </c>
      <c r="M585" s="6">
        <v>80049</v>
      </c>
      <c r="O585" s="6">
        <v>748464</v>
      </c>
      <c r="Q585" s="6">
        <v>620630</v>
      </c>
      <c r="S585" s="6">
        <v>47556</v>
      </c>
      <c r="U585" s="6">
        <v>1095400</v>
      </c>
      <c r="W585" s="6">
        <v>333445</v>
      </c>
      <c r="Y585" s="6">
        <v>0</v>
      </c>
      <c r="AA585" s="6">
        <v>1601888</v>
      </c>
      <c r="AC585" s="6">
        <v>812766</v>
      </c>
      <c r="AE585" s="6">
        <v>0</v>
      </c>
      <c r="AG585" s="6">
        <v>386</v>
      </c>
      <c r="AI585" s="6">
        <v>0</v>
      </c>
      <c r="AJ585" s="11" t="s">
        <v>485</v>
      </c>
      <c r="AK585" s="11"/>
      <c r="AL585" s="11" t="s">
        <v>59</v>
      </c>
      <c r="AN585" s="6">
        <v>146747</v>
      </c>
      <c r="AP585" s="6">
        <v>102886</v>
      </c>
      <c r="AT585" s="6">
        <v>0</v>
      </c>
      <c r="AV585" s="6">
        <v>0</v>
      </c>
      <c r="AX585" s="6">
        <v>0</v>
      </c>
      <c r="AZ585" s="6">
        <f t="shared" si="94"/>
        <v>12591760</v>
      </c>
      <c r="BB585" s="6">
        <v>225000</v>
      </c>
      <c r="BD585" s="6">
        <v>0</v>
      </c>
      <c r="BF585" s="6">
        <v>0</v>
      </c>
      <c r="BH585" s="6">
        <v>0</v>
      </c>
      <c r="BJ585" s="6">
        <f t="shared" si="95"/>
        <v>12816760</v>
      </c>
      <c r="BL585" s="6">
        <f>+'Gen Fd Rev'!AK585-'Gen Fd Exp'!BJ585</f>
        <v>424926</v>
      </c>
      <c r="BN585" s="6">
        <v>1515683</v>
      </c>
      <c r="BP585" s="6">
        <v>0</v>
      </c>
      <c r="BR585" s="6">
        <v>0</v>
      </c>
      <c r="BT585" s="6">
        <f t="shared" si="96"/>
        <v>1940609</v>
      </c>
      <c r="BV585" s="7">
        <f>+BT585-'Gen Fd BS'!AC585+BR585</f>
        <v>0</v>
      </c>
    </row>
    <row r="586" spans="1:74">
      <c r="A586" s="11" t="s">
        <v>465</v>
      </c>
      <c r="B586" s="11"/>
      <c r="C586" s="11" t="s">
        <v>56</v>
      </c>
      <c r="E586" s="6">
        <v>4670085</v>
      </c>
      <c r="G586" s="6">
        <v>1222581</v>
      </c>
      <c r="I586" s="6">
        <v>0</v>
      </c>
      <c r="K586" s="6">
        <v>0</v>
      </c>
      <c r="M586" s="6">
        <v>17669</v>
      </c>
      <c r="O586" s="6">
        <v>368968</v>
      </c>
      <c r="Q586" s="6">
        <v>282109</v>
      </c>
      <c r="S586" s="6">
        <v>22725</v>
      </c>
      <c r="U586" s="6">
        <v>854153</v>
      </c>
      <c r="W586" s="6">
        <v>297247</v>
      </c>
      <c r="Y586" s="6">
        <v>20652</v>
      </c>
      <c r="AA586" s="6">
        <v>750399</v>
      </c>
      <c r="AC586" s="6">
        <v>711431</v>
      </c>
      <c r="AE586" s="6">
        <v>15741</v>
      </c>
      <c r="AG586" s="6">
        <v>0</v>
      </c>
      <c r="AI586" s="6">
        <v>0</v>
      </c>
      <c r="AJ586" s="11" t="s">
        <v>465</v>
      </c>
      <c r="AK586" s="11"/>
      <c r="AL586" s="11" t="s">
        <v>56</v>
      </c>
      <c r="AN586" s="6">
        <v>200464</v>
      </c>
      <c r="AP586" s="6">
        <v>0</v>
      </c>
      <c r="AT586" s="6">
        <v>0</v>
      </c>
      <c r="AV586" s="6">
        <v>0</v>
      </c>
      <c r="AX586" s="6">
        <v>0</v>
      </c>
      <c r="AZ586" s="6">
        <f t="shared" si="94"/>
        <v>9434224</v>
      </c>
      <c r="BB586" s="6">
        <v>0</v>
      </c>
      <c r="BD586" s="6">
        <v>0</v>
      </c>
      <c r="BF586" s="6">
        <v>0</v>
      </c>
      <c r="BH586" s="6">
        <v>0</v>
      </c>
      <c r="BJ586" s="6">
        <f t="shared" si="95"/>
        <v>9434224</v>
      </c>
      <c r="BL586" s="6">
        <f>+'Gen Fd Rev'!AK586-'Gen Fd Exp'!BJ586</f>
        <v>310640</v>
      </c>
      <c r="BN586" s="6">
        <v>236798</v>
      </c>
      <c r="BP586" s="6">
        <v>3252</v>
      </c>
      <c r="BR586" s="6">
        <v>0</v>
      </c>
      <c r="BT586" s="6">
        <f t="shared" si="96"/>
        <v>544186</v>
      </c>
      <c r="BV586" s="7">
        <f>+BT586-'Gen Fd BS'!AC586+BR586</f>
        <v>0</v>
      </c>
    </row>
    <row r="587" spans="1:74">
      <c r="A587" s="11" t="s">
        <v>780</v>
      </c>
      <c r="B587" s="11"/>
      <c r="C587" s="11" t="s">
        <v>28</v>
      </c>
      <c r="E587" s="6">
        <v>7322530</v>
      </c>
      <c r="G587" s="6">
        <v>1602306</v>
      </c>
      <c r="I587" s="6">
        <v>243444</v>
      </c>
      <c r="K587" s="6">
        <v>0</v>
      </c>
      <c r="M587" s="6">
        <v>959687</v>
      </c>
      <c r="O587" s="6">
        <v>592431</v>
      </c>
      <c r="Q587" s="6">
        <v>698053</v>
      </c>
      <c r="S587" s="6">
        <v>42579</v>
      </c>
      <c r="U587" s="6">
        <v>1322774</v>
      </c>
      <c r="W587" s="6">
        <v>360417</v>
      </c>
      <c r="Y587" s="6">
        <v>67364</v>
      </c>
      <c r="AA587" s="6">
        <v>1192504</v>
      </c>
      <c r="AC587" s="6">
        <v>716094</v>
      </c>
      <c r="AE587" s="6">
        <v>97100</v>
      </c>
      <c r="AG587" s="6">
        <v>0</v>
      </c>
      <c r="AI587" s="6">
        <v>0</v>
      </c>
      <c r="AJ587" s="11" t="s">
        <v>780</v>
      </c>
      <c r="AK587" s="11"/>
      <c r="AL587" s="11" t="s">
        <v>28</v>
      </c>
      <c r="AN587" s="6">
        <v>507239</v>
      </c>
      <c r="AP587" s="6">
        <v>0</v>
      </c>
      <c r="AT587" s="6">
        <v>0</v>
      </c>
      <c r="AV587" s="6">
        <v>0</v>
      </c>
      <c r="AX587" s="6">
        <v>0</v>
      </c>
      <c r="AZ587" s="6">
        <f t="shared" si="94"/>
        <v>15724522</v>
      </c>
      <c r="BB587" s="6">
        <v>0</v>
      </c>
      <c r="BD587" s="6">
        <v>0</v>
      </c>
      <c r="BF587" s="6">
        <v>0</v>
      </c>
      <c r="BH587" s="6">
        <v>0</v>
      </c>
      <c r="BJ587" s="6">
        <f t="shared" si="95"/>
        <v>15724522</v>
      </c>
      <c r="BL587" s="6">
        <f>+'Gen Fd Rev'!AK587-'Gen Fd Exp'!BJ587</f>
        <v>-1043801</v>
      </c>
      <c r="BN587" s="6">
        <v>2560077</v>
      </c>
      <c r="BP587" s="6">
        <v>0</v>
      </c>
      <c r="BR587" s="6">
        <v>0</v>
      </c>
      <c r="BT587" s="6">
        <f t="shared" si="96"/>
        <v>1516276</v>
      </c>
      <c r="BV587" s="7">
        <f>+BT587-'Gen Fd BS'!AC587+BR587</f>
        <v>0</v>
      </c>
    </row>
    <row r="588" spans="1:74">
      <c r="A588" s="11" t="s">
        <v>457</v>
      </c>
      <c r="B588" s="11"/>
      <c r="C588" s="11" t="s">
        <v>55</v>
      </c>
      <c r="E588" s="6">
        <v>6804862</v>
      </c>
      <c r="G588" s="6">
        <v>1496309</v>
      </c>
      <c r="I588" s="6">
        <v>196773</v>
      </c>
      <c r="K588" s="6">
        <v>0</v>
      </c>
      <c r="M588" s="6">
        <v>18519</v>
      </c>
      <c r="O588" s="6">
        <v>573680</v>
      </c>
      <c r="Q588" s="6">
        <v>850467</v>
      </c>
      <c r="S588" s="6">
        <v>46407</v>
      </c>
      <c r="U588" s="6">
        <v>1112837</v>
      </c>
      <c r="W588" s="6">
        <v>462235</v>
      </c>
      <c r="Y588" s="6">
        <v>0</v>
      </c>
      <c r="AA588" s="6">
        <v>1711964</v>
      </c>
      <c r="AC588" s="6">
        <v>1065801</v>
      </c>
      <c r="AE588" s="6">
        <v>31317</v>
      </c>
      <c r="AG588" s="6">
        <v>0</v>
      </c>
      <c r="AI588" s="6">
        <v>7988</v>
      </c>
      <c r="AJ588" s="11" t="s">
        <v>457</v>
      </c>
      <c r="AK588" s="11"/>
      <c r="AL588" s="11" t="s">
        <v>55</v>
      </c>
      <c r="AN588" s="6">
        <v>273692</v>
      </c>
      <c r="AP588" s="6">
        <v>44206</v>
      </c>
      <c r="AT588" s="6">
        <v>75138</v>
      </c>
      <c r="AV588" s="6">
        <v>64634</v>
      </c>
      <c r="AX588" s="6">
        <v>0</v>
      </c>
      <c r="AZ588" s="6">
        <f t="shared" si="94"/>
        <v>14836829</v>
      </c>
      <c r="BB588" s="6">
        <v>95041</v>
      </c>
      <c r="BD588" s="6">
        <v>0</v>
      </c>
      <c r="BF588" s="6">
        <v>0</v>
      </c>
      <c r="BH588" s="6">
        <v>0</v>
      </c>
      <c r="BJ588" s="6">
        <f t="shared" si="95"/>
        <v>14931870</v>
      </c>
      <c r="BL588" s="6">
        <f>+'Gen Fd Rev'!AK588-'Gen Fd Exp'!BJ588</f>
        <v>613680</v>
      </c>
      <c r="BN588" s="6">
        <v>637244</v>
      </c>
      <c r="BP588" s="6">
        <v>0</v>
      </c>
      <c r="BR588" s="6">
        <v>0</v>
      </c>
      <c r="BT588" s="6">
        <f t="shared" si="96"/>
        <v>1250924</v>
      </c>
      <c r="BV588" s="7">
        <f>+BT588-'Gen Fd BS'!AC588+BR588</f>
        <v>0</v>
      </c>
    </row>
    <row r="589" spans="1:74" hidden="1">
      <c r="A589" s="11" t="s">
        <v>708</v>
      </c>
      <c r="B589" s="11"/>
      <c r="C589" s="11" t="s">
        <v>69</v>
      </c>
      <c r="D589" s="9"/>
      <c r="AJ589" s="11" t="s">
        <v>708</v>
      </c>
      <c r="AK589" s="11"/>
      <c r="AL589" s="11" t="s">
        <v>69</v>
      </c>
      <c r="AZ589" s="6">
        <f t="shared" si="94"/>
        <v>0</v>
      </c>
      <c r="BD589" s="6">
        <v>0</v>
      </c>
      <c r="BF589" s="6">
        <v>0</v>
      </c>
      <c r="BJ589" s="6">
        <f t="shared" si="95"/>
        <v>0</v>
      </c>
      <c r="BL589" s="6">
        <f>+'Gen Fd Rev'!AK589-'Gen Fd Exp'!BJ589</f>
        <v>0</v>
      </c>
      <c r="BR589" s="6">
        <v>0</v>
      </c>
      <c r="BT589" s="6">
        <f t="shared" si="96"/>
        <v>0</v>
      </c>
      <c r="BV589" s="7">
        <f>+BT589-'Gen Fd BS'!AC589+BR589</f>
        <v>0</v>
      </c>
    </row>
    <row r="590" spans="1:74" hidden="1">
      <c r="A590" s="11" t="s">
        <v>803</v>
      </c>
      <c r="B590" s="11"/>
      <c r="C590" s="11" t="s">
        <v>450</v>
      </c>
      <c r="AJ590" s="11" t="s">
        <v>803</v>
      </c>
      <c r="AK590" s="11"/>
      <c r="AL590" s="11" t="s">
        <v>450</v>
      </c>
      <c r="AZ590" s="6">
        <f t="shared" si="94"/>
        <v>0</v>
      </c>
      <c r="BD590" s="6">
        <v>0</v>
      </c>
      <c r="BF590" s="6">
        <v>0</v>
      </c>
      <c r="BJ590" s="6">
        <f t="shared" si="95"/>
        <v>0</v>
      </c>
      <c r="BL590" s="6">
        <f>+'Gen Fd Rev'!AK590-'Gen Fd Exp'!BJ590</f>
        <v>0</v>
      </c>
      <c r="BR590" s="6">
        <v>0</v>
      </c>
      <c r="BT590" s="6">
        <f t="shared" si="96"/>
        <v>0</v>
      </c>
      <c r="BV590" s="7">
        <f>+BT590-'Gen Fd BS'!AC590+BR590</f>
        <v>0</v>
      </c>
    </row>
    <row r="591" spans="1:74" hidden="1">
      <c r="A591" s="11" t="s">
        <v>646</v>
      </c>
      <c r="B591" s="11"/>
      <c r="C591" s="11" t="s">
        <v>14</v>
      </c>
      <c r="AJ591" s="11" t="s">
        <v>646</v>
      </c>
      <c r="AK591" s="11"/>
      <c r="AL591" s="11" t="s">
        <v>14</v>
      </c>
      <c r="AZ591" s="6">
        <f t="shared" si="94"/>
        <v>0</v>
      </c>
      <c r="BD591" s="6">
        <v>0</v>
      </c>
      <c r="BF591" s="6">
        <v>0</v>
      </c>
      <c r="BJ591" s="6">
        <f t="shared" si="95"/>
        <v>0</v>
      </c>
      <c r="BL591" s="6">
        <f>+'Gen Fd Rev'!AK591-'Gen Fd Exp'!BJ591</f>
        <v>0</v>
      </c>
      <c r="BR591" s="6">
        <v>0</v>
      </c>
      <c r="BT591" s="6">
        <f t="shared" si="96"/>
        <v>0</v>
      </c>
      <c r="BV591" s="7">
        <f>+BT591-'Gen Fd BS'!AC591+BR591</f>
        <v>0</v>
      </c>
    </row>
    <row r="592" spans="1:74">
      <c r="A592" s="11" t="s">
        <v>532</v>
      </c>
      <c r="B592" s="11"/>
      <c r="C592" s="11" t="s">
        <v>64</v>
      </c>
      <c r="E592" s="6">
        <v>3603553</v>
      </c>
      <c r="G592" s="6">
        <v>625002</v>
      </c>
      <c r="I592" s="6">
        <v>0</v>
      </c>
      <c r="K592" s="6">
        <v>0</v>
      </c>
      <c r="M592" s="6">
        <v>442435</v>
      </c>
      <c r="O592" s="6">
        <v>444208</v>
      </c>
      <c r="Q592" s="6">
        <v>157385</v>
      </c>
      <c r="S592" s="6">
        <v>19804</v>
      </c>
      <c r="U592" s="6">
        <v>781982</v>
      </c>
      <c r="W592" s="6">
        <v>298968</v>
      </c>
      <c r="Y592" s="6">
        <v>8624</v>
      </c>
      <c r="AA592" s="6">
        <v>1091910</v>
      </c>
      <c r="AC592" s="6">
        <v>329308</v>
      </c>
      <c r="AE592" s="6">
        <v>2268</v>
      </c>
      <c r="AG592" s="6">
        <v>0</v>
      </c>
      <c r="AI592" s="6">
        <v>0</v>
      </c>
      <c r="AJ592" s="11" t="s">
        <v>532</v>
      </c>
      <c r="AK592" s="11"/>
      <c r="AL592" s="11" t="s">
        <v>64</v>
      </c>
      <c r="AN592" s="6">
        <v>251246</v>
      </c>
      <c r="AP592" s="6">
        <v>0</v>
      </c>
      <c r="AT592" s="6">
        <v>74000</v>
      </c>
      <c r="AV592" s="6">
        <v>27553</v>
      </c>
      <c r="AX592" s="6">
        <v>0</v>
      </c>
      <c r="AZ592" s="6">
        <f t="shared" si="94"/>
        <v>8158246</v>
      </c>
      <c r="BB592" s="6">
        <v>68509</v>
      </c>
      <c r="BD592" s="6">
        <v>0</v>
      </c>
      <c r="BF592" s="6">
        <v>0</v>
      </c>
      <c r="BH592" s="6">
        <v>0</v>
      </c>
      <c r="BJ592" s="6">
        <f t="shared" si="95"/>
        <v>8226755</v>
      </c>
      <c r="BL592" s="6">
        <f>+'Gen Fd Rev'!AK592-'Gen Fd Exp'!BJ592</f>
        <v>-16379</v>
      </c>
      <c r="BN592" s="6">
        <v>971904</v>
      </c>
      <c r="BP592" s="6">
        <v>0</v>
      </c>
      <c r="BR592" s="6">
        <v>0</v>
      </c>
      <c r="BT592" s="6">
        <f t="shared" si="96"/>
        <v>955525</v>
      </c>
      <c r="BV592" s="7">
        <f>+BT592-'Gen Fd BS'!AC592+BR592</f>
        <v>0</v>
      </c>
    </row>
    <row r="593" spans="1:74">
      <c r="A593" s="11" t="s">
        <v>781</v>
      </c>
      <c r="B593" s="11"/>
      <c r="C593" s="11" t="s">
        <v>44</v>
      </c>
      <c r="E593" s="6">
        <v>6382483</v>
      </c>
      <c r="G593" s="6">
        <v>1193323</v>
      </c>
      <c r="I593" s="6">
        <v>91646</v>
      </c>
      <c r="K593" s="6">
        <v>0</v>
      </c>
      <c r="M593" s="6">
        <v>0</v>
      </c>
      <c r="O593" s="6">
        <v>504208</v>
      </c>
      <c r="Q593" s="6">
        <v>545449</v>
      </c>
      <c r="S593" s="6">
        <v>22806</v>
      </c>
      <c r="U593" s="6">
        <v>1213401</v>
      </c>
      <c r="W593" s="6">
        <v>367324</v>
      </c>
      <c r="Y593" s="6">
        <v>0</v>
      </c>
      <c r="AA593" s="6">
        <v>992956</v>
      </c>
      <c r="AC593" s="6">
        <v>489866</v>
      </c>
      <c r="AE593" s="6">
        <v>228040</v>
      </c>
      <c r="AG593" s="6">
        <v>0</v>
      </c>
      <c r="AI593" s="6">
        <v>32676</v>
      </c>
      <c r="AJ593" s="11" t="s">
        <v>781</v>
      </c>
      <c r="AK593" s="11"/>
      <c r="AL593" s="11" t="s">
        <v>44</v>
      </c>
      <c r="AN593" s="6">
        <v>226459</v>
      </c>
      <c r="AP593" s="6">
        <v>20255</v>
      </c>
      <c r="AT593" s="6">
        <v>0</v>
      </c>
      <c r="AV593" s="6">
        <v>0</v>
      </c>
      <c r="AX593" s="6">
        <v>0</v>
      </c>
      <c r="AZ593" s="6">
        <f t="shared" si="94"/>
        <v>12310892</v>
      </c>
      <c r="BB593" s="6">
        <v>378912</v>
      </c>
      <c r="BD593" s="6">
        <v>0</v>
      </c>
      <c r="BF593" s="6">
        <v>0</v>
      </c>
      <c r="BH593" s="6">
        <v>0</v>
      </c>
      <c r="BJ593" s="6">
        <f t="shared" si="95"/>
        <v>12689804</v>
      </c>
      <c r="BL593" s="6">
        <f>+'Gen Fd Rev'!AK593-'Gen Fd Exp'!BJ593</f>
        <v>17546</v>
      </c>
      <c r="BN593" s="6">
        <v>3787954</v>
      </c>
      <c r="BP593" s="6">
        <v>0</v>
      </c>
      <c r="BR593" s="6">
        <v>0</v>
      </c>
      <c r="BT593" s="6">
        <f t="shared" si="96"/>
        <v>3805500</v>
      </c>
      <c r="BV593" s="7">
        <f>+BT593-'Gen Fd BS'!AC593+BR593</f>
        <v>0</v>
      </c>
    </row>
    <row r="594" spans="1:74" ht="11.25" customHeight="1">
      <c r="A594" s="11" t="s">
        <v>361</v>
      </c>
      <c r="B594" s="11"/>
      <c r="C594" s="11" t="s">
        <v>38</v>
      </c>
      <c r="E594" s="6">
        <v>6017248</v>
      </c>
      <c r="G594" s="6">
        <v>1604287</v>
      </c>
      <c r="I594" s="6">
        <v>64357</v>
      </c>
      <c r="K594" s="6">
        <v>0</v>
      </c>
      <c r="M594" s="6">
        <v>12747</v>
      </c>
      <c r="O594" s="6">
        <v>510781</v>
      </c>
      <c r="Q594" s="6">
        <v>463208</v>
      </c>
      <c r="S594" s="6">
        <v>214489</v>
      </c>
      <c r="U594" s="6">
        <v>1139477</v>
      </c>
      <c r="W594" s="6">
        <v>445294</v>
      </c>
      <c r="Y594" s="6">
        <v>0</v>
      </c>
      <c r="AA594" s="6">
        <v>1216819</v>
      </c>
      <c r="AC594" s="6">
        <v>1028140</v>
      </c>
      <c r="AE594" s="6">
        <v>238038</v>
      </c>
      <c r="AG594" s="6">
        <v>0</v>
      </c>
      <c r="AI594" s="6">
        <v>4906</v>
      </c>
      <c r="AJ594" s="11" t="s">
        <v>361</v>
      </c>
      <c r="AK594" s="11"/>
      <c r="AL594" s="11" t="s">
        <v>38</v>
      </c>
      <c r="AN594" s="6">
        <v>182264</v>
      </c>
      <c r="AP594" s="6">
        <v>2646</v>
      </c>
      <c r="AT594" s="6">
        <v>110000</v>
      </c>
      <c r="AV594" s="6">
        <v>93154</v>
      </c>
      <c r="AX594" s="6">
        <v>0</v>
      </c>
      <c r="AZ594" s="6">
        <f t="shared" si="94"/>
        <v>13347855</v>
      </c>
      <c r="BB594" s="6">
        <v>0</v>
      </c>
      <c r="BD594" s="6">
        <v>0</v>
      </c>
      <c r="BF594" s="6">
        <v>0</v>
      </c>
      <c r="BH594" s="6">
        <v>0</v>
      </c>
      <c r="BJ594" s="6">
        <f t="shared" si="95"/>
        <v>13347855</v>
      </c>
      <c r="BL594" s="6">
        <f>+'Gen Fd Rev'!AK594-'Gen Fd Exp'!BJ594</f>
        <v>56779</v>
      </c>
      <c r="BN594" s="6">
        <v>6035871</v>
      </c>
      <c r="BP594" s="6">
        <v>0</v>
      </c>
      <c r="BR594" s="6">
        <v>0</v>
      </c>
      <c r="BT594" s="6">
        <f t="shared" si="96"/>
        <v>6092650</v>
      </c>
      <c r="BV594" s="7">
        <f>+BT594-'Gen Fd BS'!AC594+BR594</f>
        <v>0</v>
      </c>
    </row>
    <row r="595" spans="1:74">
      <c r="A595" s="11" t="s">
        <v>252</v>
      </c>
      <c r="B595" s="11"/>
      <c r="C595" s="11" t="s">
        <v>112</v>
      </c>
      <c r="E595" s="6">
        <v>3916156</v>
      </c>
      <c r="G595" s="6">
        <v>987092</v>
      </c>
      <c r="I595" s="6">
        <v>156250</v>
      </c>
      <c r="K595" s="6">
        <v>0</v>
      </c>
      <c r="M595" s="6">
        <v>114044</v>
      </c>
      <c r="O595" s="6">
        <v>251038</v>
      </c>
      <c r="Q595" s="6">
        <v>216310</v>
      </c>
      <c r="S595" s="6">
        <v>12914</v>
      </c>
      <c r="U595" s="6">
        <v>829561</v>
      </c>
      <c r="W595" s="6">
        <v>216519</v>
      </c>
      <c r="Y595" s="6">
        <v>0</v>
      </c>
      <c r="AA595" s="6">
        <v>811700</v>
      </c>
      <c r="AC595" s="6">
        <v>159813</v>
      </c>
      <c r="AE595" s="6">
        <v>61189</v>
      </c>
      <c r="AG595" s="6">
        <v>0</v>
      </c>
      <c r="AI595" s="6">
        <v>0</v>
      </c>
      <c r="AJ595" s="11" t="s">
        <v>252</v>
      </c>
      <c r="AK595" s="11"/>
      <c r="AL595" s="11" t="s">
        <v>112</v>
      </c>
      <c r="AN595" s="6">
        <v>178650</v>
      </c>
      <c r="AP595" s="6">
        <v>0</v>
      </c>
      <c r="AT595" s="6">
        <v>0</v>
      </c>
      <c r="AV595" s="6">
        <v>0</v>
      </c>
      <c r="AX595" s="6">
        <v>0</v>
      </c>
      <c r="AZ595" s="6">
        <f t="shared" si="94"/>
        <v>7911236</v>
      </c>
      <c r="BB595" s="6">
        <v>0</v>
      </c>
      <c r="BD595" s="6">
        <v>0</v>
      </c>
      <c r="BF595" s="6">
        <v>0</v>
      </c>
      <c r="BH595" s="6">
        <v>0</v>
      </c>
      <c r="BJ595" s="6">
        <f t="shared" si="95"/>
        <v>7911236</v>
      </c>
      <c r="BL595" s="6">
        <f>+'Gen Fd Rev'!AK595-'Gen Fd Exp'!BJ595</f>
        <v>-324454</v>
      </c>
      <c r="BN595" s="6">
        <v>1573613</v>
      </c>
      <c r="BP595" s="6">
        <v>0</v>
      </c>
      <c r="BR595" s="6">
        <v>0</v>
      </c>
      <c r="BT595" s="6">
        <f t="shared" si="96"/>
        <v>1249159</v>
      </c>
      <c r="BV595" s="7">
        <f>+BT595-'Gen Fd BS'!AC595+BR595</f>
        <v>0</v>
      </c>
    </row>
    <row r="596" spans="1:74">
      <c r="A596" s="11" t="s">
        <v>408</v>
      </c>
      <c r="B596" s="11"/>
      <c r="C596" s="11" t="s">
        <v>45</v>
      </c>
      <c r="E596" s="6">
        <v>8692696</v>
      </c>
      <c r="G596" s="6">
        <v>1926174</v>
      </c>
      <c r="I596" s="6">
        <v>399942</v>
      </c>
      <c r="K596" s="6">
        <v>0</v>
      </c>
      <c r="M596" s="6">
        <v>163439</v>
      </c>
      <c r="O596" s="6">
        <v>1208985</v>
      </c>
      <c r="Q596" s="6">
        <v>229083</v>
      </c>
      <c r="S596" s="6">
        <v>44727</v>
      </c>
      <c r="U596" s="6">
        <v>1670981</v>
      </c>
      <c r="W596" s="6">
        <v>457009</v>
      </c>
      <c r="Y596" s="6">
        <v>10360</v>
      </c>
      <c r="AA596" s="6">
        <v>1779161</v>
      </c>
      <c r="AC596" s="6">
        <v>1565430</v>
      </c>
      <c r="AE596" s="6">
        <v>260992</v>
      </c>
      <c r="AG596" s="6">
        <v>0</v>
      </c>
      <c r="AI596" s="6">
        <v>52618</v>
      </c>
      <c r="AJ596" s="11" t="s">
        <v>408</v>
      </c>
      <c r="AK596" s="11"/>
      <c r="AL596" s="11" t="s">
        <v>45</v>
      </c>
      <c r="AN596" s="6">
        <v>383299</v>
      </c>
      <c r="AP596" s="6">
        <v>6400</v>
      </c>
      <c r="AT596" s="6">
        <v>0</v>
      </c>
      <c r="AV596" s="6">
        <v>0</v>
      </c>
      <c r="AX596" s="6">
        <v>0</v>
      </c>
      <c r="AZ596" s="6">
        <f t="shared" si="94"/>
        <v>18851296</v>
      </c>
      <c r="BB596" s="6">
        <v>172670</v>
      </c>
      <c r="BD596" s="6">
        <v>0</v>
      </c>
      <c r="BF596" s="6">
        <v>0</v>
      </c>
      <c r="BH596" s="6">
        <v>0</v>
      </c>
      <c r="BJ596" s="6">
        <f t="shared" si="95"/>
        <v>19023966</v>
      </c>
      <c r="BL596" s="6">
        <f>+'Gen Fd Rev'!AK596-'Gen Fd Exp'!BJ596</f>
        <v>-504753</v>
      </c>
      <c r="BN596" s="6">
        <v>1480130</v>
      </c>
      <c r="BP596" s="6">
        <v>0</v>
      </c>
      <c r="BR596" s="6">
        <v>0</v>
      </c>
      <c r="BT596" s="6">
        <f t="shared" si="96"/>
        <v>975377</v>
      </c>
      <c r="BV596" s="7">
        <f>+BT596-'Gen Fd BS'!AC596+BR596</f>
        <v>0</v>
      </c>
    </row>
    <row r="597" spans="1:74">
      <c r="A597" s="11" t="s">
        <v>707</v>
      </c>
      <c r="B597" s="11"/>
      <c r="C597" s="11" t="s">
        <v>50</v>
      </c>
      <c r="E597" s="6">
        <v>15083241</v>
      </c>
      <c r="G597" s="6">
        <v>4051373</v>
      </c>
      <c r="I597" s="6">
        <v>229553</v>
      </c>
      <c r="K597" s="6">
        <v>0</v>
      </c>
      <c r="M597" s="6">
        <v>2160031</v>
      </c>
      <c r="O597" s="6">
        <v>2724522</v>
      </c>
      <c r="Q597" s="6">
        <v>2111556</v>
      </c>
      <c r="S597" s="6">
        <v>31131</v>
      </c>
      <c r="U597" s="6">
        <v>3060436</v>
      </c>
      <c r="W597" s="6">
        <v>699787</v>
      </c>
      <c r="Y597" s="6">
        <v>501550</v>
      </c>
      <c r="AA597" s="6">
        <v>3281839</v>
      </c>
      <c r="AC597" s="6">
        <v>2179594</v>
      </c>
      <c r="AE597" s="6">
        <v>230843</v>
      </c>
      <c r="AG597" s="6">
        <v>0</v>
      </c>
      <c r="AI597" s="6">
        <v>75535</v>
      </c>
      <c r="AJ597" s="11" t="s">
        <v>707</v>
      </c>
      <c r="AK597" s="11"/>
      <c r="AL597" s="11" t="s">
        <v>50</v>
      </c>
      <c r="AN597" s="6">
        <v>580806</v>
      </c>
      <c r="AP597" s="6">
        <v>0</v>
      </c>
      <c r="AT597" s="6">
        <v>1910930</v>
      </c>
      <c r="AV597" s="6">
        <v>139647</v>
      </c>
      <c r="AX597" s="6">
        <v>0</v>
      </c>
      <c r="AZ597" s="6">
        <f t="shared" si="94"/>
        <v>39052374</v>
      </c>
      <c r="BB597" s="6">
        <v>0</v>
      </c>
      <c r="BD597" s="6">
        <v>0</v>
      </c>
      <c r="BF597" s="6">
        <v>0</v>
      </c>
      <c r="BH597" s="6">
        <v>0</v>
      </c>
      <c r="BJ597" s="6">
        <f t="shared" si="95"/>
        <v>39052374</v>
      </c>
      <c r="BL597" s="6">
        <f>+'Gen Fd Rev'!AK597-'Gen Fd Exp'!BJ597</f>
        <v>-2542199</v>
      </c>
      <c r="BN597" s="6">
        <v>13529458</v>
      </c>
      <c r="BP597" s="6">
        <v>0</v>
      </c>
      <c r="BR597" s="6">
        <v>0</v>
      </c>
      <c r="BT597" s="6">
        <f t="shared" si="96"/>
        <v>10987259</v>
      </c>
      <c r="BV597" s="7">
        <f>+BT597-'Gen Fd BS'!AC597+BR597</f>
        <v>0</v>
      </c>
    </row>
    <row r="598" spans="1:74">
      <c r="A598" s="11" t="s">
        <v>241</v>
      </c>
      <c r="B598" s="11"/>
      <c r="C598" s="11" t="s">
        <v>113</v>
      </c>
      <c r="E598" s="6">
        <v>29283617</v>
      </c>
      <c r="G598" s="6">
        <v>11296626</v>
      </c>
      <c r="I598" s="6">
        <v>187416</v>
      </c>
      <c r="K598" s="6">
        <v>0</v>
      </c>
      <c r="M598" s="6">
        <v>0</v>
      </c>
      <c r="O598" s="6">
        <v>4214957</v>
      </c>
      <c r="Q598" s="6">
        <v>1130487</v>
      </c>
      <c r="S598" s="6">
        <v>122646</v>
      </c>
      <c r="U598" s="6">
        <v>4998858</v>
      </c>
      <c r="W598" s="6">
        <v>1514590</v>
      </c>
      <c r="Y598" s="6">
        <v>46744</v>
      </c>
      <c r="AA598" s="6">
        <v>4222932</v>
      </c>
      <c r="AC598" s="6">
        <v>5495499</v>
      </c>
      <c r="AE598" s="6">
        <v>441107</v>
      </c>
      <c r="AG598" s="6">
        <v>0</v>
      </c>
      <c r="AI598" s="6">
        <v>0</v>
      </c>
      <c r="AJ598" s="11" t="s">
        <v>241</v>
      </c>
      <c r="AK598" s="11"/>
      <c r="AL598" s="11" t="s">
        <v>113</v>
      </c>
      <c r="AN598" s="6">
        <v>336195</v>
      </c>
      <c r="AP598" s="6">
        <v>0</v>
      </c>
      <c r="AT598" s="6">
        <v>0</v>
      </c>
      <c r="AV598" s="6">
        <v>0</v>
      </c>
      <c r="AX598" s="6">
        <v>0</v>
      </c>
      <c r="AZ598" s="6">
        <f t="shared" ref="AZ598:AZ630" si="100">SUM(E598:AX598)</f>
        <v>63291674</v>
      </c>
      <c r="BB598" s="6">
        <v>114723</v>
      </c>
      <c r="BD598" s="6">
        <v>0</v>
      </c>
      <c r="BF598" s="6">
        <v>0</v>
      </c>
      <c r="BH598" s="6">
        <v>0</v>
      </c>
      <c r="BJ598" s="6">
        <f t="shared" si="95"/>
        <v>63406397</v>
      </c>
      <c r="BL598" s="6">
        <f>+'Gen Fd Rev'!AK598-'Gen Fd Exp'!BJ598</f>
        <v>-2461921</v>
      </c>
      <c r="BN598" s="6">
        <v>3165479</v>
      </c>
      <c r="BP598" s="6">
        <v>0</v>
      </c>
      <c r="BR598" s="6">
        <v>0</v>
      </c>
      <c r="BT598" s="6">
        <f t="shared" si="96"/>
        <v>703558</v>
      </c>
      <c r="BV598" s="7">
        <f>+BT598-'Gen Fd BS'!AC598+BR598</f>
        <v>0</v>
      </c>
    </row>
    <row r="599" spans="1:74">
      <c r="A599" s="11" t="s">
        <v>316</v>
      </c>
      <c r="B599" s="11"/>
      <c r="C599" s="11" t="s">
        <v>30</v>
      </c>
      <c r="E599" s="6">
        <v>10750401</v>
      </c>
      <c r="G599" s="6">
        <v>3711607</v>
      </c>
      <c r="I599" s="6">
        <v>332260</v>
      </c>
      <c r="K599" s="6">
        <v>0</v>
      </c>
      <c r="M599" s="6">
        <f>58986+406718</f>
        <v>465704</v>
      </c>
      <c r="O599" s="6">
        <v>1519640</v>
      </c>
      <c r="Q599" s="6">
        <v>986405</v>
      </c>
      <c r="S599" s="6">
        <v>117067</v>
      </c>
      <c r="U599" s="6">
        <v>1699078</v>
      </c>
      <c r="W599" s="6">
        <v>663602</v>
      </c>
      <c r="Y599" s="6">
        <v>318220</v>
      </c>
      <c r="AA599" s="6">
        <v>2124216</v>
      </c>
      <c r="AC599" s="6">
        <v>1880184</v>
      </c>
      <c r="AE599" s="6">
        <v>8897</v>
      </c>
      <c r="AG599" s="6">
        <v>0</v>
      </c>
      <c r="AI599" s="6">
        <f>5265+400</f>
        <v>5665</v>
      </c>
      <c r="AJ599" s="11" t="s">
        <v>316</v>
      </c>
      <c r="AK599" s="11"/>
      <c r="AL599" s="11" t="s">
        <v>30</v>
      </c>
      <c r="AN599" s="6">
        <v>586476</v>
      </c>
      <c r="AP599" s="6">
        <v>12110</v>
      </c>
      <c r="AT599" s="6">
        <v>0</v>
      </c>
      <c r="AV599" s="6">
        <v>0</v>
      </c>
      <c r="AX599" s="6">
        <v>0</v>
      </c>
      <c r="AZ599" s="6">
        <f t="shared" si="100"/>
        <v>25181532</v>
      </c>
      <c r="BB599" s="6">
        <v>154000</v>
      </c>
      <c r="BD599" s="6">
        <v>0</v>
      </c>
      <c r="BF599" s="6">
        <v>0</v>
      </c>
      <c r="BH599" s="6">
        <v>0</v>
      </c>
      <c r="BJ599" s="6">
        <f t="shared" si="95"/>
        <v>25335532</v>
      </c>
      <c r="BL599" s="6">
        <f>+'Gen Fd Rev'!AK599-'Gen Fd Exp'!BJ599</f>
        <v>938037</v>
      </c>
      <c r="BN599" s="6">
        <v>5805044</v>
      </c>
      <c r="BP599" s="6">
        <v>0</v>
      </c>
      <c r="BR599" s="6">
        <v>0</v>
      </c>
      <c r="BT599" s="6">
        <f t="shared" si="96"/>
        <v>6743081</v>
      </c>
      <c r="BV599" s="7">
        <f>+BT599-'Gen Fd BS'!AC599+BR599</f>
        <v>0</v>
      </c>
    </row>
    <row r="600" spans="1:74">
      <c r="A600" s="11" t="s">
        <v>354</v>
      </c>
      <c r="B600" s="11"/>
      <c r="C600" s="11" t="s">
        <v>36</v>
      </c>
      <c r="D600" s="9"/>
      <c r="E600" s="6">
        <v>10500923</v>
      </c>
      <c r="G600" s="6">
        <v>2185439</v>
      </c>
      <c r="I600" s="6">
        <v>251038</v>
      </c>
      <c r="K600" s="6">
        <v>0</v>
      </c>
      <c r="M600" s="6">
        <v>0</v>
      </c>
      <c r="O600" s="6">
        <v>718642</v>
      </c>
      <c r="Q600" s="6">
        <v>818884</v>
      </c>
      <c r="S600" s="6">
        <v>31808</v>
      </c>
      <c r="U600" s="6">
        <v>1866681</v>
      </c>
      <c r="W600" s="6">
        <v>537185</v>
      </c>
      <c r="Y600" s="6">
        <v>1440</v>
      </c>
      <c r="AA600" s="6">
        <v>2136133</v>
      </c>
      <c r="AC600" s="6">
        <v>1649094</v>
      </c>
      <c r="AE600" s="6">
        <v>61597</v>
      </c>
      <c r="AG600" s="6">
        <v>4383</v>
      </c>
      <c r="AI600" s="6">
        <v>36827</v>
      </c>
      <c r="AJ600" s="11" t="s">
        <v>354</v>
      </c>
      <c r="AK600" s="11"/>
      <c r="AL600" s="11" t="s">
        <v>36</v>
      </c>
      <c r="AN600" s="6">
        <v>342619</v>
      </c>
      <c r="AP600" s="6">
        <v>0</v>
      </c>
      <c r="AT600" s="6">
        <v>0</v>
      </c>
      <c r="AV600" s="6">
        <v>0</v>
      </c>
      <c r="AX600" s="6">
        <v>0</v>
      </c>
      <c r="AZ600" s="6">
        <f t="shared" si="100"/>
        <v>21142693</v>
      </c>
      <c r="BB600" s="6">
        <v>0</v>
      </c>
      <c r="BD600" s="6">
        <v>0</v>
      </c>
      <c r="BF600" s="6">
        <v>0</v>
      </c>
      <c r="BH600" s="6">
        <v>0</v>
      </c>
      <c r="BJ600" s="6">
        <f t="shared" si="95"/>
        <v>21142693</v>
      </c>
      <c r="BL600" s="6">
        <f>+'Gen Fd Rev'!AK600-'Gen Fd Exp'!BJ600</f>
        <v>-563679</v>
      </c>
      <c r="BN600" s="6">
        <v>9018876</v>
      </c>
      <c r="BP600" s="6">
        <v>0</v>
      </c>
      <c r="BR600" s="6">
        <v>0</v>
      </c>
      <c r="BT600" s="6">
        <f t="shared" si="96"/>
        <v>8455197</v>
      </c>
      <c r="BV600" s="7">
        <f>+BT600-'Gen Fd BS'!AC600+BR600</f>
        <v>0</v>
      </c>
    </row>
    <row r="601" spans="1:74">
      <c r="A601" s="11" t="s">
        <v>230</v>
      </c>
      <c r="B601" s="11"/>
      <c r="C601" s="11" t="s">
        <v>228</v>
      </c>
      <c r="E601" s="6">
        <v>4717223</v>
      </c>
      <c r="G601" s="6">
        <v>2250196</v>
      </c>
      <c r="I601" s="6">
        <v>182465</v>
      </c>
      <c r="K601" s="6">
        <v>0</v>
      </c>
      <c r="M601" s="6">
        <v>368516</v>
      </c>
      <c r="O601" s="6">
        <v>365292</v>
      </c>
      <c r="Q601" s="6">
        <v>587931</v>
      </c>
      <c r="S601" s="6">
        <v>24384</v>
      </c>
      <c r="U601" s="6">
        <v>832346</v>
      </c>
      <c r="W601" s="6">
        <v>420758</v>
      </c>
      <c r="Y601" s="6">
        <v>0</v>
      </c>
      <c r="AA601" s="6">
        <v>915826</v>
      </c>
      <c r="AC601" s="6">
        <v>757543</v>
      </c>
      <c r="AE601" s="6">
        <v>257312</v>
      </c>
      <c r="AG601" s="6">
        <v>0</v>
      </c>
      <c r="AI601" s="6">
        <v>0</v>
      </c>
      <c r="AJ601" s="11" t="s">
        <v>230</v>
      </c>
      <c r="AK601" s="11"/>
      <c r="AL601" s="11" t="s">
        <v>228</v>
      </c>
      <c r="AN601" s="6">
        <v>471596</v>
      </c>
      <c r="AP601" s="6">
        <v>0</v>
      </c>
      <c r="AT601" s="6">
        <v>19799</v>
      </c>
      <c r="AV601" s="6">
        <v>1141</v>
      </c>
      <c r="AX601" s="6">
        <v>0</v>
      </c>
      <c r="AZ601" s="6">
        <f t="shared" si="100"/>
        <v>12172328</v>
      </c>
      <c r="BB601" s="6">
        <v>1655</v>
      </c>
      <c r="BD601" s="6">
        <v>0</v>
      </c>
      <c r="BF601" s="6">
        <v>0</v>
      </c>
      <c r="BH601" s="6">
        <v>0</v>
      </c>
      <c r="BJ601" s="6">
        <f t="shared" si="95"/>
        <v>12173983</v>
      </c>
      <c r="BL601" s="6">
        <f>+'Gen Fd Rev'!AK601-'Gen Fd Exp'!BJ601</f>
        <v>-1272889</v>
      </c>
      <c r="BN601" s="6">
        <v>1499905</v>
      </c>
      <c r="BP601" s="6">
        <v>0</v>
      </c>
      <c r="BR601" s="6">
        <v>0</v>
      </c>
      <c r="BT601" s="6">
        <f t="shared" si="96"/>
        <v>227016</v>
      </c>
      <c r="BV601" s="7">
        <f>+BT601-'Gen Fd BS'!AC601+BR601</f>
        <v>0</v>
      </c>
    </row>
    <row r="602" spans="1:74">
      <c r="A602" s="11" t="s">
        <v>447</v>
      </c>
      <c r="B602" s="11"/>
      <c r="C602" s="11" t="s">
        <v>51</v>
      </c>
      <c r="D602" s="9"/>
      <c r="E602" s="6">
        <v>6972878</v>
      </c>
      <c r="G602" s="6">
        <v>1133794</v>
      </c>
      <c r="I602" s="6">
        <v>97091</v>
      </c>
      <c r="K602" s="6">
        <v>0</v>
      </c>
      <c r="M602" s="6">
        <v>98757</v>
      </c>
      <c r="O602" s="6">
        <v>379532</v>
      </c>
      <c r="Q602" s="6">
        <v>394958</v>
      </c>
      <c r="S602" s="6">
        <v>15889</v>
      </c>
      <c r="U602" s="6">
        <v>1149057</v>
      </c>
      <c r="W602" s="6">
        <v>369202</v>
      </c>
      <c r="Y602" s="6">
        <v>0</v>
      </c>
      <c r="AA602" s="6">
        <v>1432068</v>
      </c>
      <c r="AC602" s="6">
        <v>929801</v>
      </c>
      <c r="AE602" s="6">
        <v>45694</v>
      </c>
      <c r="AG602" s="6">
        <v>0</v>
      </c>
      <c r="AI602" s="6">
        <v>5870</v>
      </c>
      <c r="AJ602" s="11" t="s">
        <v>447</v>
      </c>
      <c r="AK602" s="11"/>
      <c r="AL602" s="11" t="s">
        <v>51</v>
      </c>
      <c r="AN602" s="6">
        <v>112061</v>
      </c>
      <c r="AP602" s="6">
        <v>0</v>
      </c>
      <c r="AT602" s="6">
        <v>75110</v>
      </c>
      <c r="AV602" s="6">
        <v>78930</v>
      </c>
      <c r="AX602" s="6">
        <v>0</v>
      </c>
      <c r="AZ602" s="6">
        <f t="shared" si="100"/>
        <v>13290692</v>
      </c>
      <c r="BB602" s="6">
        <v>35000</v>
      </c>
      <c r="BD602" s="6">
        <v>0</v>
      </c>
      <c r="BF602" s="6">
        <v>0</v>
      </c>
      <c r="BH602" s="6">
        <v>0</v>
      </c>
      <c r="BJ602" s="6">
        <f t="shared" si="95"/>
        <v>13325692</v>
      </c>
      <c r="BL602" s="6">
        <f>+'Gen Fd Rev'!AK602-'Gen Fd Exp'!BJ602</f>
        <v>2545978</v>
      </c>
      <c r="BN602" s="6">
        <v>-87853</v>
      </c>
      <c r="BP602" s="6">
        <v>0</v>
      </c>
      <c r="BR602" s="6">
        <v>0</v>
      </c>
      <c r="BT602" s="6">
        <f t="shared" si="96"/>
        <v>2458125</v>
      </c>
      <c r="BV602" s="7">
        <f>+BT602-'Gen Fd BS'!AC602+BR602</f>
        <v>0</v>
      </c>
    </row>
    <row r="603" spans="1:74">
      <c r="A603" s="11" t="s">
        <v>220</v>
      </c>
      <c r="B603" s="11"/>
      <c r="C603" s="11" t="s">
        <v>77</v>
      </c>
      <c r="E603" s="6">
        <v>13732231</v>
      </c>
      <c r="G603" s="6">
        <v>2947750</v>
      </c>
      <c r="I603" s="6">
        <v>208088</v>
      </c>
      <c r="K603" s="6">
        <v>0</v>
      </c>
      <c r="M603" s="6">
        <v>0</v>
      </c>
      <c r="O603" s="6">
        <v>645208</v>
      </c>
      <c r="Q603" s="6">
        <v>685050</v>
      </c>
      <c r="S603" s="6">
        <v>24927</v>
      </c>
      <c r="U603" s="6">
        <v>1798543</v>
      </c>
      <c r="W603" s="6">
        <v>553607</v>
      </c>
      <c r="Y603" s="6">
        <v>0</v>
      </c>
      <c r="AA603" s="6">
        <v>2715701</v>
      </c>
      <c r="AC603" s="6">
        <v>2216069</v>
      </c>
      <c r="AE603" s="6">
        <v>329580</v>
      </c>
      <c r="AG603" s="6">
        <v>0</v>
      </c>
      <c r="AI603" s="6">
        <v>0</v>
      </c>
      <c r="AJ603" s="11" t="s">
        <v>220</v>
      </c>
      <c r="AK603" s="11"/>
      <c r="AL603" s="11" t="s">
        <v>77</v>
      </c>
      <c r="AN603" s="6">
        <v>399145</v>
      </c>
      <c r="AP603" s="6">
        <v>66985</v>
      </c>
      <c r="AT603" s="6">
        <v>94000</v>
      </c>
      <c r="AV603" s="6">
        <v>24367</v>
      </c>
      <c r="AX603" s="6">
        <v>0</v>
      </c>
      <c r="AZ603" s="6">
        <f t="shared" si="100"/>
        <v>26441251</v>
      </c>
      <c r="BB603" s="6">
        <v>0</v>
      </c>
      <c r="BD603" s="6">
        <v>0</v>
      </c>
      <c r="BF603" s="6">
        <v>0</v>
      </c>
      <c r="BH603" s="6">
        <v>0</v>
      </c>
      <c r="BJ603" s="6">
        <f t="shared" si="95"/>
        <v>26441251</v>
      </c>
      <c r="BL603" s="6">
        <f>+'Gen Fd Rev'!AK603-'Gen Fd Exp'!BJ603</f>
        <v>40761</v>
      </c>
      <c r="BN603" s="6">
        <v>810294</v>
      </c>
      <c r="BP603" s="6">
        <v>0</v>
      </c>
      <c r="BR603" s="6">
        <v>0</v>
      </c>
      <c r="BT603" s="6">
        <f t="shared" si="96"/>
        <v>851055</v>
      </c>
      <c r="BV603" s="7">
        <f>+BT603-'Gen Fd BS'!AC603+BR603</f>
        <v>0</v>
      </c>
    </row>
    <row r="604" spans="1:74">
      <c r="A604" s="11" t="s">
        <v>458</v>
      </c>
      <c r="B604" s="11"/>
      <c r="C604" s="11" t="s">
        <v>55</v>
      </c>
      <c r="E604" s="6">
        <v>3277018</v>
      </c>
      <c r="G604" s="6">
        <v>798232</v>
      </c>
      <c r="I604" s="6">
        <v>0</v>
      </c>
      <c r="K604" s="6">
        <v>0</v>
      </c>
      <c r="M604" s="6">
        <v>714485</v>
      </c>
      <c r="O604" s="6">
        <v>318219</v>
      </c>
      <c r="Q604" s="6">
        <v>133396</v>
      </c>
      <c r="S604" s="6">
        <v>14877</v>
      </c>
      <c r="U604" s="6">
        <v>718657</v>
      </c>
      <c r="W604" s="6">
        <v>212292</v>
      </c>
      <c r="Y604" s="6">
        <v>0</v>
      </c>
      <c r="AA604" s="6">
        <v>807752</v>
      </c>
      <c r="AC604" s="6">
        <v>776016</v>
      </c>
      <c r="AE604" s="6">
        <v>7362</v>
      </c>
      <c r="AG604" s="6">
        <v>0</v>
      </c>
      <c r="AI604" s="6">
        <v>806</v>
      </c>
      <c r="AJ604" s="11" t="s">
        <v>458</v>
      </c>
      <c r="AK604" s="11"/>
      <c r="AL604" s="11" t="s">
        <v>55</v>
      </c>
      <c r="AN604" s="6">
        <v>139813</v>
      </c>
      <c r="AP604" s="6">
        <v>0</v>
      </c>
      <c r="AT604" s="6">
        <v>0</v>
      </c>
      <c r="AV604" s="6">
        <v>8700</v>
      </c>
      <c r="AX604" s="6">
        <v>0</v>
      </c>
      <c r="AZ604" s="6">
        <f t="shared" si="100"/>
        <v>7927625</v>
      </c>
      <c r="BB604" s="6">
        <v>120000</v>
      </c>
      <c r="BD604" s="6">
        <v>0</v>
      </c>
      <c r="BF604" s="6">
        <v>0</v>
      </c>
      <c r="BH604" s="6">
        <v>0</v>
      </c>
      <c r="BJ604" s="6">
        <f t="shared" si="95"/>
        <v>8047625</v>
      </c>
      <c r="BL604" s="6">
        <f>+'Gen Fd Rev'!AK604-'Gen Fd Exp'!BJ604</f>
        <v>-632116</v>
      </c>
      <c r="BN604" s="6">
        <v>2972124</v>
      </c>
      <c r="BP604" s="6">
        <v>0</v>
      </c>
      <c r="BR604" s="6">
        <v>0</v>
      </c>
      <c r="BT604" s="6">
        <f t="shared" si="96"/>
        <v>2340008</v>
      </c>
      <c r="BV604" s="7">
        <f>+BT604-'Gen Fd BS'!AC604+BR604</f>
        <v>0</v>
      </c>
    </row>
    <row r="605" spans="1:74">
      <c r="A605" s="11" t="s">
        <v>359</v>
      </c>
      <c r="B605" s="11"/>
      <c r="C605" s="11" t="s">
        <v>37</v>
      </c>
      <c r="E605" s="6">
        <v>5391559</v>
      </c>
      <c r="G605" s="6">
        <v>999106</v>
      </c>
      <c r="I605" s="6">
        <v>173020</v>
      </c>
      <c r="K605" s="6">
        <v>0</v>
      </c>
      <c r="M605" s="6">
        <v>259786</v>
      </c>
      <c r="O605" s="6">
        <v>216537</v>
      </c>
      <c r="Q605" s="6">
        <v>788693</v>
      </c>
      <c r="S605" s="6">
        <v>82531</v>
      </c>
      <c r="U605" s="6">
        <v>931661</v>
      </c>
      <c r="W605" s="6">
        <v>426464</v>
      </c>
      <c r="Y605" s="6">
        <v>37883</v>
      </c>
      <c r="AA605" s="6">
        <v>909023</v>
      </c>
      <c r="AC605" s="6">
        <v>703478</v>
      </c>
      <c r="AE605" s="6">
        <v>23993</v>
      </c>
      <c r="AG605" s="6">
        <v>0</v>
      </c>
      <c r="AI605" s="6">
        <v>203895</v>
      </c>
      <c r="AJ605" s="11" t="s">
        <v>359</v>
      </c>
      <c r="AK605" s="11"/>
      <c r="AL605" s="11" t="s">
        <v>37</v>
      </c>
      <c r="AN605" s="6">
        <v>264468</v>
      </c>
      <c r="AP605" s="6">
        <f>1761+76000</f>
        <v>77761</v>
      </c>
      <c r="AT605" s="6">
        <v>25410</v>
      </c>
      <c r="AV605" s="6">
        <v>187</v>
      </c>
      <c r="AX605" s="6">
        <v>0</v>
      </c>
      <c r="AZ605" s="6">
        <f t="shared" si="100"/>
        <v>11515455</v>
      </c>
      <c r="BB605" s="6">
        <v>0</v>
      </c>
      <c r="BD605" s="6">
        <v>0</v>
      </c>
      <c r="BF605" s="6">
        <v>0</v>
      </c>
      <c r="BH605" s="6">
        <v>0</v>
      </c>
      <c r="BJ605" s="6">
        <f t="shared" si="95"/>
        <v>11515455</v>
      </c>
      <c r="BL605" s="6">
        <f>+'Gen Fd Rev'!AK605-'Gen Fd Exp'!BJ605</f>
        <v>-194085</v>
      </c>
      <c r="BN605" s="6">
        <v>1144185</v>
      </c>
      <c r="BP605" s="6">
        <v>0</v>
      </c>
      <c r="BR605" s="6">
        <v>0</v>
      </c>
      <c r="BT605" s="6">
        <f t="shared" si="96"/>
        <v>950100</v>
      </c>
      <c r="BV605" s="7">
        <f>+BT605-'Gen Fd BS'!AC605+BR605</f>
        <v>0</v>
      </c>
    </row>
    <row r="606" spans="1:74">
      <c r="A606" s="11" t="s">
        <v>359</v>
      </c>
      <c r="B606" s="11"/>
      <c r="C606" s="11" t="s">
        <v>45</v>
      </c>
      <c r="E606" s="6">
        <v>2871085</v>
      </c>
      <c r="G606" s="6">
        <v>697546</v>
      </c>
      <c r="I606" s="6">
        <v>114661</v>
      </c>
      <c r="K606" s="6">
        <v>0</v>
      </c>
      <c r="M606" s="6">
        <v>0</v>
      </c>
      <c r="O606" s="6">
        <v>295277</v>
      </c>
      <c r="Q606" s="6">
        <v>255117</v>
      </c>
      <c r="S606" s="6">
        <v>22034</v>
      </c>
      <c r="U606" s="6">
        <v>668459</v>
      </c>
      <c r="W606" s="6">
        <v>284025</v>
      </c>
      <c r="Y606" s="6">
        <v>8054</v>
      </c>
      <c r="AA606" s="6">
        <v>619953</v>
      </c>
      <c r="AC606" s="6">
        <v>428085</v>
      </c>
      <c r="AE606" s="6">
        <v>20746</v>
      </c>
      <c r="AG606" s="6">
        <v>0</v>
      </c>
      <c r="AI606" s="6">
        <v>11581</v>
      </c>
      <c r="AJ606" s="11" t="s">
        <v>359</v>
      </c>
      <c r="AK606" s="11"/>
      <c r="AL606" s="11" t="s">
        <v>45</v>
      </c>
      <c r="AN606" s="6">
        <v>220103</v>
      </c>
      <c r="AP606" s="6">
        <v>35337</v>
      </c>
      <c r="AT606" s="6">
        <v>0</v>
      </c>
      <c r="AV606" s="6">
        <v>0</v>
      </c>
      <c r="AX606" s="6">
        <v>0</v>
      </c>
      <c r="AZ606" s="6">
        <f t="shared" si="100"/>
        <v>6552063</v>
      </c>
      <c r="BB606" s="6">
        <v>41831</v>
      </c>
      <c r="BD606" s="6">
        <v>0</v>
      </c>
      <c r="BF606" s="6">
        <v>0</v>
      </c>
      <c r="BH606" s="6">
        <v>0</v>
      </c>
      <c r="BJ606" s="6">
        <f t="shared" si="95"/>
        <v>6593894</v>
      </c>
      <c r="BL606" s="6">
        <f>+'Gen Fd Rev'!AK606-'Gen Fd Exp'!BJ606</f>
        <v>524</v>
      </c>
      <c r="BN606" s="6">
        <v>1177468</v>
      </c>
      <c r="BP606" s="6">
        <v>0</v>
      </c>
      <c r="BR606" s="6">
        <v>0</v>
      </c>
      <c r="BT606" s="6">
        <f t="shared" si="96"/>
        <v>1177992</v>
      </c>
      <c r="BV606" s="7">
        <f>+BT606-'Gen Fd BS'!AC606+BR606</f>
        <v>0</v>
      </c>
    </row>
    <row r="607" spans="1:74">
      <c r="A607" s="11" t="s">
        <v>309</v>
      </c>
      <c r="B607" s="11"/>
      <c r="C607" s="11" t="s">
        <v>27</v>
      </c>
      <c r="E607" s="6">
        <v>70112112</v>
      </c>
      <c r="G607" s="6">
        <v>16872003</v>
      </c>
      <c r="I607" s="6">
        <v>157997</v>
      </c>
      <c r="K607" s="6">
        <v>0</v>
      </c>
      <c r="M607" s="6">
        <v>552380</v>
      </c>
      <c r="O607" s="6">
        <v>12103569</v>
      </c>
      <c r="Q607" s="6">
        <v>7430607</v>
      </c>
      <c r="S607" s="6">
        <v>1424110</v>
      </c>
      <c r="U607" s="6">
        <v>11054502</v>
      </c>
      <c r="W607" s="6">
        <v>2392547</v>
      </c>
      <c r="Y607" s="6">
        <v>860314</v>
      </c>
      <c r="AA607" s="6">
        <v>12927669</v>
      </c>
      <c r="AC607" s="6">
        <v>8174272</v>
      </c>
      <c r="AE607" s="6">
        <v>2281001</v>
      </c>
      <c r="AG607" s="6">
        <v>0</v>
      </c>
      <c r="AI607" s="6">
        <v>115503</v>
      </c>
      <c r="AJ607" s="11" t="s">
        <v>309</v>
      </c>
      <c r="AK607" s="11"/>
      <c r="AL607" s="11" t="s">
        <v>27</v>
      </c>
      <c r="AN607" s="6">
        <v>2099518</v>
      </c>
      <c r="AP607" s="6">
        <v>0</v>
      </c>
      <c r="AT607" s="6">
        <v>0</v>
      </c>
      <c r="AV607" s="6">
        <v>0</v>
      </c>
      <c r="AX607" s="6">
        <v>0</v>
      </c>
      <c r="AZ607" s="6">
        <f t="shared" si="100"/>
        <v>148558104</v>
      </c>
      <c r="BB607" s="6">
        <v>0</v>
      </c>
      <c r="BD607" s="6">
        <v>0</v>
      </c>
      <c r="BF607" s="6">
        <v>0</v>
      </c>
      <c r="BH607" s="6">
        <v>0</v>
      </c>
      <c r="BJ607" s="6">
        <f t="shared" si="95"/>
        <v>148558104</v>
      </c>
      <c r="BL607" s="6">
        <f>+'Gen Fd Rev'!AK607-'Gen Fd Exp'!BJ607</f>
        <v>-4305219</v>
      </c>
      <c r="BN607" s="6">
        <v>24453341</v>
      </c>
      <c r="BP607" s="6">
        <v>0</v>
      </c>
      <c r="BR607" s="6">
        <v>0</v>
      </c>
      <c r="BT607" s="6">
        <f t="shared" si="96"/>
        <v>20148122</v>
      </c>
      <c r="BV607" s="7">
        <f>+BT607-'Gen Fd BS'!AC607+BR607</f>
        <v>0</v>
      </c>
    </row>
    <row r="608" spans="1:74">
      <c r="A608" s="11" t="s">
        <v>455</v>
      </c>
      <c r="B608" s="11"/>
      <c r="C608" s="11" t="s">
        <v>54</v>
      </c>
      <c r="E608" s="6">
        <v>6207427</v>
      </c>
      <c r="G608" s="6">
        <v>1107631</v>
      </c>
      <c r="I608" s="6">
        <v>29238</v>
      </c>
      <c r="K608" s="6">
        <v>0</v>
      </c>
      <c r="M608" s="6">
        <v>0</v>
      </c>
      <c r="O608" s="6">
        <v>201380</v>
      </c>
      <c r="Q608" s="6">
        <v>281108</v>
      </c>
      <c r="S608" s="6">
        <v>259500</v>
      </c>
      <c r="U608" s="6">
        <v>1401906</v>
      </c>
      <c r="W608" s="6">
        <v>396616</v>
      </c>
      <c r="Y608" s="6">
        <v>0</v>
      </c>
      <c r="AA608" s="6">
        <v>1003284</v>
      </c>
      <c r="AC608" s="6">
        <v>1054674</v>
      </c>
      <c r="AE608" s="6">
        <v>261404</v>
      </c>
      <c r="AG608" s="6">
        <v>0</v>
      </c>
      <c r="AI608" s="6">
        <v>375</v>
      </c>
      <c r="AJ608" s="11" t="s">
        <v>455</v>
      </c>
      <c r="AK608" s="11"/>
      <c r="AL608" s="11" t="s">
        <v>54</v>
      </c>
      <c r="AN608" s="6">
        <v>152292</v>
      </c>
      <c r="AP608" s="6">
        <v>0</v>
      </c>
      <c r="AT608" s="6">
        <v>0</v>
      </c>
      <c r="AV608" s="6">
        <v>0</v>
      </c>
      <c r="AX608" s="6">
        <v>0</v>
      </c>
      <c r="AZ608" s="6">
        <f t="shared" si="100"/>
        <v>12356835</v>
      </c>
      <c r="BB608" s="6">
        <v>18104</v>
      </c>
      <c r="BD608" s="6">
        <v>0</v>
      </c>
      <c r="BF608" s="6">
        <v>0</v>
      </c>
      <c r="BH608" s="6">
        <v>0</v>
      </c>
      <c r="BJ608" s="6">
        <f t="shared" si="95"/>
        <v>12374939</v>
      </c>
      <c r="BL608" s="6">
        <f>+'Gen Fd Rev'!AK608-'Gen Fd Exp'!BJ608</f>
        <v>1076832</v>
      </c>
      <c r="BN608" s="6">
        <v>3601438</v>
      </c>
      <c r="BP608" s="6">
        <v>0</v>
      </c>
      <c r="BR608" s="6">
        <v>0</v>
      </c>
      <c r="BT608" s="6">
        <f t="shared" si="96"/>
        <v>4678270</v>
      </c>
      <c r="BV608" s="7">
        <f>+BT608-'Gen Fd BS'!AC608+BR608</f>
        <v>0</v>
      </c>
    </row>
    <row r="609" spans="1:74">
      <c r="A609" s="11" t="s">
        <v>281</v>
      </c>
      <c r="B609" s="11"/>
      <c r="C609" s="11" t="s">
        <v>20</v>
      </c>
      <c r="E609" s="6">
        <v>22827929</v>
      </c>
      <c r="G609" s="6">
        <v>4621238</v>
      </c>
      <c r="I609" s="6">
        <v>261561</v>
      </c>
      <c r="K609" s="6">
        <v>0</v>
      </c>
      <c r="M609" s="6">
        <v>1710233</v>
      </c>
      <c r="O609" s="6">
        <v>3412501</v>
      </c>
      <c r="Q609" s="6">
        <v>3593612</v>
      </c>
      <c r="S609" s="6">
        <v>34898</v>
      </c>
      <c r="U609" s="6">
        <v>3035145</v>
      </c>
      <c r="W609" s="6">
        <v>1223008</v>
      </c>
      <c r="Y609" s="6">
        <v>414840</v>
      </c>
      <c r="AA609" s="6">
        <v>4426193</v>
      </c>
      <c r="AC609" s="6">
        <v>4219861</v>
      </c>
      <c r="AE609" s="6">
        <v>100463</v>
      </c>
      <c r="AG609" s="6">
        <v>0</v>
      </c>
      <c r="AI609" s="6">
        <v>306958</v>
      </c>
      <c r="AJ609" s="11" t="s">
        <v>281</v>
      </c>
      <c r="AK609" s="11"/>
      <c r="AL609" s="11" t="s">
        <v>20</v>
      </c>
      <c r="AN609" s="6">
        <v>1208153</v>
      </c>
      <c r="AP609" s="6">
        <v>139501</v>
      </c>
      <c r="AT609" s="6">
        <v>69164</v>
      </c>
      <c r="AV609" s="6">
        <v>15511</v>
      </c>
      <c r="AX609" s="6">
        <v>0</v>
      </c>
      <c r="AZ609" s="6">
        <f t="shared" si="100"/>
        <v>51620769</v>
      </c>
      <c r="BB609" s="6">
        <v>10000</v>
      </c>
      <c r="BD609" s="6">
        <v>0</v>
      </c>
      <c r="BF609" s="6">
        <v>0</v>
      </c>
      <c r="BH609" s="6">
        <v>0</v>
      </c>
      <c r="BJ609" s="6">
        <f t="shared" si="95"/>
        <v>51630769</v>
      </c>
      <c r="BL609" s="6">
        <f>+'Gen Fd Rev'!AK609-'Gen Fd Exp'!BJ609</f>
        <v>-2078969</v>
      </c>
      <c r="BN609" s="6">
        <v>22291984</v>
      </c>
      <c r="BP609" s="6">
        <v>0</v>
      </c>
      <c r="BR609" s="6">
        <v>0</v>
      </c>
      <c r="BT609" s="6">
        <f t="shared" si="96"/>
        <v>20213015</v>
      </c>
      <c r="BV609" s="7">
        <f>+BT609-'Gen Fd BS'!AC609+BR609</f>
        <v>0</v>
      </c>
    </row>
    <row r="610" spans="1:74">
      <c r="A610" s="11" t="s">
        <v>486</v>
      </c>
      <c r="B610" s="11"/>
      <c r="C610" s="11" t="s">
        <v>59</v>
      </c>
      <c r="E610" s="6">
        <v>6620434</v>
      </c>
      <c r="G610" s="6">
        <v>610437</v>
      </c>
      <c r="I610" s="6">
        <v>5446</v>
      </c>
      <c r="K610" s="6">
        <v>0</v>
      </c>
      <c r="M610" s="6">
        <v>3514</v>
      </c>
      <c r="O610" s="6">
        <v>536463</v>
      </c>
      <c r="Q610" s="6">
        <v>538078</v>
      </c>
      <c r="S610" s="6">
        <v>67284</v>
      </c>
      <c r="U610" s="6">
        <v>913363</v>
      </c>
      <c r="W610" s="6">
        <v>297274</v>
      </c>
      <c r="Y610" s="6">
        <v>0</v>
      </c>
      <c r="AA610" s="6">
        <v>965484</v>
      </c>
      <c r="AC610" s="6">
        <v>473806</v>
      </c>
      <c r="AE610" s="6">
        <v>103539</v>
      </c>
      <c r="AG610" s="6">
        <v>0</v>
      </c>
      <c r="AI610" s="6">
        <v>0</v>
      </c>
      <c r="AJ610" s="11" t="s">
        <v>486</v>
      </c>
      <c r="AK610" s="11"/>
      <c r="AL610" s="11" t="s">
        <v>59</v>
      </c>
      <c r="AN610" s="6">
        <v>211101</v>
      </c>
      <c r="AP610" s="6">
        <v>5652</v>
      </c>
      <c r="AT610" s="6">
        <v>55000</v>
      </c>
      <c r="AV610" s="6">
        <v>16654</v>
      </c>
      <c r="AX610" s="6">
        <v>0</v>
      </c>
      <c r="AZ610" s="6">
        <f t="shared" si="100"/>
        <v>11423529</v>
      </c>
      <c r="BB610" s="6">
        <v>21392</v>
      </c>
      <c r="BD610" s="6">
        <v>0</v>
      </c>
      <c r="BF610" s="6">
        <v>0</v>
      </c>
      <c r="BH610" s="6">
        <v>0</v>
      </c>
      <c r="BJ610" s="6">
        <f t="shared" si="95"/>
        <v>11444921</v>
      </c>
      <c r="BL610" s="6">
        <f>+'Gen Fd Rev'!AK610-'Gen Fd Exp'!BJ610</f>
        <v>13318</v>
      </c>
      <c r="BN610" s="6">
        <v>828569</v>
      </c>
      <c r="BP610" s="6">
        <v>0</v>
      </c>
      <c r="BR610" s="6">
        <v>0</v>
      </c>
      <c r="BT610" s="6">
        <f t="shared" si="96"/>
        <v>841887</v>
      </c>
      <c r="BV610" s="7">
        <f>+BT610-'Gen Fd BS'!AC610+BR610</f>
        <v>0</v>
      </c>
    </row>
    <row r="611" spans="1:74">
      <c r="A611" s="11" t="s">
        <v>310</v>
      </c>
      <c r="B611" s="11"/>
      <c r="C611" s="11" t="s">
        <v>27</v>
      </c>
      <c r="E611" s="6">
        <v>15310365</v>
      </c>
      <c r="G611" s="6">
        <v>3597578</v>
      </c>
      <c r="I611" s="6">
        <v>343610</v>
      </c>
      <c r="K611" s="6">
        <v>0</v>
      </c>
      <c r="M611" s="6">
        <v>88665</v>
      </c>
      <c r="O611" s="6">
        <v>1301754</v>
      </c>
      <c r="Q611" s="6">
        <v>561759</v>
      </c>
      <c r="S611" s="6">
        <v>123879</v>
      </c>
      <c r="U611" s="6">
        <v>2761955</v>
      </c>
      <c r="W611" s="6">
        <v>0</v>
      </c>
      <c r="Y611" s="6">
        <v>763359</v>
      </c>
      <c r="AA611" s="6">
        <v>2591253</v>
      </c>
      <c r="AC611" s="6">
        <v>1395516</v>
      </c>
      <c r="AE611" s="6">
        <v>469563</v>
      </c>
      <c r="AG611" s="6">
        <v>0</v>
      </c>
      <c r="AI611" s="6">
        <v>20271</v>
      </c>
      <c r="AJ611" s="11" t="s">
        <v>310</v>
      </c>
      <c r="AK611" s="11"/>
      <c r="AL611" s="11" t="s">
        <v>27</v>
      </c>
      <c r="AN611" s="6">
        <v>652418</v>
      </c>
      <c r="AP611" s="6">
        <v>36836</v>
      </c>
      <c r="AT611" s="6">
        <v>7496</v>
      </c>
      <c r="AV611" s="6">
        <v>964</v>
      </c>
      <c r="AX611" s="6">
        <v>0</v>
      </c>
      <c r="AZ611" s="6">
        <f t="shared" si="100"/>
        <v>30027241</v>
      </c>
      <c r="BB611" s="6">
        <v>0</v>
      </c>
      <c r="BD611" s="6">
        <v>0</v>
      </c>
      <c r="BF611" s="6">
        <v>0</v>
      </c>
      <c r="BH611" s="6">
        <v>0</v>
      </c>
      <c r="BJ611" s="6">
        <f t="shared" si="95"/>
        <v>30027241</v>
      </c>
      <c r="BL611" s="6">
        <f>+'Gen Fd Rev'!AK611-'Gen Fd Exp'!BJ611</f>
        <v>-537758</v>
      </c>
      <c r="BN611" s="6">
        <v>15815379</v>
      </c>
      <c r="BP611" s="6">
        <v>0</v>
      </c>
      <c r="BR611" s="6">
        <v>0</v>
      </c>
      <c r="BT611" s="6">
        <f t="shared" si="96"/>
        <v>15277621</v>
      </c>
      <c r="BV611" s="7">
        <f>+BT611-'Gen Fd BS'!AC611+BR611</f>
        <v>0</v>
      </c>
    </row>
    <row r="612" spans="1:74" hidden="1">
      <c r="A612" s="11" t="s">
        <v>622</v>
      </c>
      <c r="B612" s="11"/>
      <c r="C612" s="11" t="s">
        <v>41</v>
      </c>
      <c r="AJ612" s="11" t="s">
        <v>622</v>
      </c>
      <c r="AK612" s="11"/>
      <c r="AL612" s="11" t="s">
        <v>41</v>
      </c>
      <c r="AZ612" s="6">
        <f t="shared" si="100"/>
        <v>0</v>
      </c>
      <c r="BD612" s="6">
        <v>0</v>
      </c>
      <c r="BF612" s="6">
        <v>0</v>
      </c>
      <c r="BJ612" s="6">
        <f t="shared" si="95"/>
        <v>0</v>
      </c>
      <c r="BL612" s="6">
        <f>+'Gen Fd Rev'!AK612-'Gen Fd Exp'!BJ612</f>
        <v>0</v>
      </c>
      <c r="BR612" s="6">
        <v>0</v>
      </c>
      <c r="BT612" s="6">
        <f t="shared" si="96"/>
        <v>0</v>
      </c>
      <c r="BV612" s="7">
        <f>+BT612-'Gen Fd BS'!AC612+BR612</f>
        <v>0</v>
      </c>
    </row>
    <row r="613" spans="1:74">
      <c r="A613" s="11" t="s">
        <v>360</v>
      </c>
      <c r="B613" s="11"/>
      <c r="C613" s="11" t="s">
        <v>37</v>
      </c>
      <c r="E613" s="6">
        <v>6686921</v>
      </c>
      <c r="G613" s="6">
        <v>754644</v>
      </c>
      <c r="I613" s="6">
        <v>205384</v>
      </c>
      <c r="K613" s="6">
        <v>0</v>
      </c>
      <c r="M613" s="6">
        <v>1859116</v>
      </c>
      <c r="O613" s="6">
        <v>809791</v>
      </c>
      <c r="Q613" s="6">
        <v>576494</v>
      </c>
      <c r="S613" s="6">
        <v>460595</v>
      </c>
      <c r="U613" s="6">
        <v>1697475</v>
      </c>
      <c r="W613" s="6">
        <v>283969</v>
      </c>
      <c r="Y613" s="6">
        <v>35627</v>
      </c>
      <c r="AA613" s="6">
        <v>1216155</v>
      </c>
      <c r="AC613" s="6">
        <v>773444</v>
      </c>
      <c r="AE613" s="6">
        <v>4028</v>
      </c>
      <c r="AG613" s="6">
        <v>0</v>
      </c>
      <c r="AI613" s="6">
        <v>0</v>
      </c>
      <c r="AJ613" s="11" t="s">
        <v>360</v>
      </c>
      <c r="AK613" s="11"/>
      <c r="AL613" s="11" t="s">
        <v>37</v>
      </c>
      <c r="AN613" s="6">
        <v>333041</v>
      </c>
      <c r="AP613" s="6">
        <v>0</v>
      </c>
      <c r="AT613" s="6">
        <v>71956</v>
      </c>
      <c r="AV613" s="6">
        <v>13857</v>
      </c>
      <c r="AX613" s="6">
        <v>0</v>
      </c>
      <c r="AZ613" s="6">
        <f t="shared" si="100"/>
        <v>15782497</v>
      </c>
      <c r="BB613" s="6">
        <v>58248</v>
      </c>
      <c r="BD613" s="6">
        <v>0</v>
      </c>
      <c r="BF613" s="6">
        <v>0</v>
      </c>
      <c r="BH613" s="6">
        <v>0</v>
      </c>
      <c r="BJ613" s="6">
        <f t="shared" si="95"/>
        <v>15840745</v>
      </c>
      <c r="BL613" s="6">
        <f>+'Gen Fd Rev'!AK613-'Gen Fd Exp'!BJ613</f>
        <v>-802711</v>
      </c>
      <c r="BN613" s="6">
        <v>1087750</v>
      </c>
      <c r="BP613" s="6">
        <v>0</v>
      </c>
      <c r="BR613" s="6">
        <v>0</v>
      </c>
      <c r="BT613" s="6">
        <f t="shared" si="96"/>
        <v>285039</v>
      </c>
      <c r="BV613" s="7">
        <f>+BT613-'Gen Fd BS'!AC613+BR613</f>
        <v>0</v>
      </c>
    </row>
    <row r="614" spans="1:74" hidden="1">
      <c r="A614" s="11" t="s">
        <v>893</v>
      </c>
      <c r="B614" s="11"/>
      <c r="C614" s="11" t="s">
        <v>113</v>
      </c>
      <c r="E614" s="6">
        <v>0</v>
      </c>
      <c r="G614" s="6">
        <v>0</v>
      </c>
      <c r="I614" s="6">
        <v>0</v>
      </c>
      <c r="K614" s="6">
        <v>0</v>
      </c>
      <c r="M614" s="6">
        <v>0</v>
      </c>
      <c r="O614" s="6">
        <v>0</v>
      </c>
      <c r="Q614" s="6">
        <v>0</v>
      </c>
      <c r="S614" s="6">
        <v>0</v>
      </c>
      <c r="U614" s="6">
        <v>0</v>
      </c>
      <c r="W614" s="6">
        <v>0</v>
      </c>
      <c r="Y614" s="6">
        <v>0</v>
      </c>
      <c r="AA614" s="6">
        <v>0</v>
      </c>
      <c r="AC614" s="6">
        <v>0</v>
      </c>
      <c r="AE614" s="6">
        <v>0</v>
      </c>
      <c r="AG614" s="6">
        <v>0</v>
      </c>
      <c r="AI614" s="6">
        <v>0</v>
      </c>
      <c r="AJ614" s="11" t="s">
        <v>893</v>
      </c>
      <c r="AK614" s="11"/>
      <c r="AL614" s="11" t="s">
        <v>113</v>
      </c>
      <c r="AN614" s="6">
        <v>0</v>
      </c>
      <c r="AP614" s="6">
        <v>0</v>
      </c>
      <c r="AT614" s="6">
        <v>0</v>
      </c>
      <c r="AV614" s="6">
        <v>0</v>
      </c>
      <c r="AX614" s="6">
        <v>0</v>
      </c>
      <c r="AZ614" s="6">
        <f t="shared" si="100"/>
        <v>0</v>
      </c>
      <c r="BB614" s="6">
        <v>0</v>
      </c>
      <c r="BD614" s="6">
        <v>0</v>
      </c>
      <c r="BF614" s="6">
        <v>0</v>
      </c>
      <c r="BH614" s="6">
        <v>0</v>
      </c>
      <c r="BJ614" s="6">
        <f t="shared" si="95"/>
        <v>0</v>
      </c>
      <c r="BL614" s="6">
        <f>+'Gen Fd Rev'!AK614-'Gen Fd Exp'!BJ614</f>
        <v>0</v>
      </c>
      <c r="BP614" s="6">
        <v>0</v>
      </c>
      <c r="BR614" s="6">
        <v>0</v>
      </c>
      <c r="BT614" s="6">
        <f t="shared" si="96"/>
        <v>0</v>
      </c>
      <c r="BV614" s="7">
        <f>+BT614-'Gen Fd BS'!AC614+BR614</f>
        <v>0</v>
      </c>
    </row>
    <row r="615" spans="1:74">
      <c r="A615" s="11" t="s">
        <v>365</v>
      </c>
      <c r="B615" s="11"/>
      <c r="C615" s="11" t="s">
        <v>41</v>
      </c>
      <c r="E615" s="6">
        <v>38019747</v>
      </c>
      <c r="G615" s="6">
        <v>12914799</v>
      </c>
      <c r="I615" s="6">
        <v>1210753</v>
      </c>
      <c r="K615" s="6">
        <v>0</v>
      </c>
      <c r="M615" s="6">
        <v>120433</v>
      </c>
      <c r="O615" s="6">
        <v>6953045</v>
      </c>
      <c r="Q615" s="6">
        <v>2910163</v>
      </c>
      <c r="S615" s="6">
        <v>381658</v>
      </c>
      <c r="U615" s="6">
        <v>5181893</v>
      </c>
      <c r="W615" s="6">
        <v>1698048</v>
      </c>
      <c r="Y615" s="6">
        <v>282484</v>
      </c>
      <c r="AA615" s="6">
        <v>6225020</v>
      </c>
      <c r="AC615" s="6">
        <v>5501928</v>
      </c>
      <c r="AE615" s="6">
        <v>1469480</v>
      </c>
      <c r="AG615" s="6">
        <v>0</v>
      </c>
      <c r="AI615" s="6">
        <v>400599</v>
      </c>
      <c r="AJ615" s="11" t="s">
        <v>365</v>
      </c>
      <c r="AK615" s="11"/>
      <c r="AL615" s="11" t="s">
        <v>41</v>
      </c>
      <c r="AN615" s="6">
        <v>1326355</v>
      </c>
      <c r="AP615" s="6">
        <v>22186</v>
      </c>
      <c r="AT615" s="6">
        <v>0</v>
      </c>
      <c r="AV615" s="6">
        <v>0</v>
      </c>
      <c r="AX615" s="6">
        <v>0</v>
      </c>
      <c r="AZ615" s="6">
        <f t="shared" si="100"/>
        <v>84618591</v>
      </c>
      <c r="BB615" s="6">
        <v>629256</v>
      </c>
      <c r="BD615" s="6">
        <v>0</v>
      </c>
      <c r="BF615" s="6">
        <v>0</v>
      </c>
      <c r="BH615" s="6">
        <v>0</v>
      </c>
      <c r="BJ615" s="6">
        <f t="shared" si="95"/>
        <v>85247847</v>
      </c>
      <c r="BL615" s="6">
        <f>+'Gen Fd Rev'!AK615-'Gen Fd Exp'!BJ615</f>
        <v>-3487313</v>
      </c>
      <c r="BN615" s="6">
        <v>9274939</v>
      </c>
      <c r="BP615" s="6">
        <v>0</v>
      </c>
      <c r="BR615" s="6">
        <v>0</v>
      </c>
      <c r="BT615" s="6">
        <f t="shared" si="96"/>
        <v>5787626</v>
      </c>
      <c r="BV615" s="7">
        <f>+BT615-'Gen Fd BS'!AC615+BR615</f>
        <v>0</v>
      </c>
    </row>
    <row r="616" spans="1:74">
      <c r="A616" s="11" t="s">
        <v>245</v>
      </c>
      <c r="B616" s="11"/>
      <c r="C616" s="11" t="s">
        <v>18</v>
      </c>
      <c r="E616" s="6">
        <v>12083133</v>
      </c>
      <c r="G616" s="6">
        <v>2066381</v>
      </c>
      <c r="I616" s="6">
        <v>230862</v>
      </c>
      <c r="K616" s="6">
        <v>0</v>
      </c>
      <c r="M616" s="6">
        <v>660821</v>
      </c>
      <c r="O616" s="6">
        <v>1535679</v>
      </c>
      <c r="Q616" s="6">
        <v>1128755</v>
      </c>
      <c r="S616" s="6">
        <v>106321</v>
      </c>
      <c r="U616" s="6">
        <v>1423053</v>
      </c>
      <c r="W616" s="6">
        <v>676113</v>
      </c>
      <c r="Y616" s="6">
        <v>274420</v>
      </c>
      <c r="AA616" s="6">
        <v>2247617</v>
      </c>
      <c r="AC616" s="6">
        <v>1305869</v>
      </c>
      <c r="AE616" s="6">
        <v>278355</v>
      </c>
      <c r="AG616" s="6">
        <v>0</v>
      </c>
      <c r="AI616" s="6">
        <v>0</v>
      </c>
      <c r="AJ616" s="11" t="s">
        <v>245</v>
      </c>
      <c r="AK616" s="11"/>
      <c r="AL616" s="11" t="s">
        <v>18</v>
      </c>
      <c r="AN616" s="6">
        <v>456334</v>
      </c>
      <c r="AP616" s="6">
        <v>67026</v>
      </c>
      <c r="AT616" s="6">
        <v>76000</v>
      </c>
      <c r="AV616" s="6">
        <v>16807</v>
      </c>
      <c r="AX616" s="6">
        <v>0</v>
      </c>
      <c r="AZ616" s="6">
        <f t="shared" si="100"/>
        <v>24633546</v>
      </c>
      <c r="BB616" s="6">
        <v>0</v>
      </c>
      <c r="BD616" s="6">
        <v>0</v>
      </c>
      <c r="BF616" s="6">
        <v>0</v>
      </c>
      <c r="BH616" s="6">
        <v>0</v>
      </c>
      <c r="BJ616" s="6">
        <f t="shared" si="95"/>
        <v>24633546</v>
      </c>
      <c r="BL616" s="6">
        <f>+'Gen Fd Rev'!AK616-'Gen Fd Exp'!BJ616</f>
        <v>-787948</v>
      </c>
      <c r="BN616" s="6">
        <v>3497763</v>
      </c>
      <c r="BP616" s="6">
        <v>0</v>
      </c>
      <c r="BR616" s="6">
        <v>0</v>
      </c>
      <c r="BT616" s="6">
        <f t="shared" si="96"/>
        <v>2709815</v>
      </c>
      <c r="BV616" s="7">
        <f>+BT616-'Gen Fd BS'!AC616+BR616</f>
        <v>0</v>
      </c>
    </row>
    <row r="617" spans="1:74">
      <c r="A617" s="11" t="s">
        <v>782</v>
      </c>
      <c r="B617" s="11"/>
      <c r="C617" s="11" t="s">
        <v>56</v>
      </c>
      <c r="E617" s="6">
        <v>3013520</v>
      </c>
      <c r="G617" s="6">
        <v>1388631</v>
      </c>
      <c r="I617" s="6">
        <v>62038</v>
      </c>
      <c r="K617" s="6">
        <v>0</v>
      </c>
      <c r="M617" s="6">
        <v>1105</v>
      </c>
      <c r="O617" s="6">
        <v>441273</v>
      </c>
      <c r="Q617" s="6">
        <v>289700</v>
      </c>
      <c r="S617" s="6">
        <v>92158</v>
      </c>
      <c r="U617" s="6">
        <v>630153</v>
      </c>
      <c r="W617" s="6">
        <v>217443</v>
      </c>
      <c r="Y617" s="6">
        <v>7449</v>
      </c>
      <c r="AA617" s="6">
        <v>623325</v>
      </c>
      <c r="AC617" s="6">
        <v>383343</v>
      </c>
      <c r="AE617" s="6">
        <v>84866</v>
      </c>
      <c r="AG617" s="6">
        <v>0</v>
      </c>
      <c r="AI617" s="6">
        <v>0</v>
      </c>
      <c r="AJ617" s="11" t="s">
        <v>782</v>
      </c>
      <c r="AK617" s="11"/>
      <c r="AL617" s="11" t="s">
        <v>56</v>
      </c>
      <c r="AN617" s="6">
        <v>168768</v>
      </c>
      <c r="AP617" s="6">
        <v>0</v>
      </c>
      <c r="AT617" s="6">
        <v>17387</v>
      </c>
      <c r="AV617" s="6">
        <v>3422</v>
      </c>
      <c r="AX617" s="6">
        <v>0</v>
      </c>
      <c r="AZ617" s="6">
        <f t="shared" si="100"/>
        <v>7424581</v>
      </c>
      <c r="BB617" s="6">
        <v>0</v>
      </c>
      <c r="BD617" s="6">
        <v>0</v>
      </c>
      <c r="BF617" s="6">
        <v>0</v>
      </c>
      <c r="BH617" s="6">
        <v>0</v>
      </c>
      <c r="BJ617" s="6">
        <f t="shared" si="95"/>
        <v>7424581</v>
      </c>
      <c r="BL617" s="6">
        <f>+'Gen Fd Rev'!AK617-'Gen Fd Exp'!BJ617</f>
        <v>452340</v>
      </c>
      <c r="BN617" s="6">
        <v>1422625</v>
      </c>
      <c r="BP617" s="6">
        <v>-882</v>
      </c>
      <c r="BR617" s="6">
        <v>0</v>
      </c>
      <c r="BT617" s="6">
        <f t="shared" si="96"/>
        <v>1875847</v>
      </c>
      <c r="BV617" s="7">
        <f>+BT617-'Gen Fd BS'!AC617+BR617</f>
        <v>0</v>
      </c>
    </row>
    <row r="618" spans="1:74">
      <c r="A618" s="11" t="s">
        <v>332</v>
      </c>
      <c r="B618" s="11"/>
      <c r="C618" s="11" t="s">
        <v>32</v>
      </c>
      <c r="E618" s="6">
        <v>18360704</v>
      </c>
      <c r="G618" s="6">
        <v>4714846</v>
      </c>
      <c r="I618" s="6">
        <v>452761</v>
      </c>
      <c r="K618" s="6">
        <v>0</v>
      </c>
      <c r="M618" s="6">
        <v>0</v>
      </c>
      <c r="O618" s="6">
        <v>2197994</v>
      </c>
      <c r="Q618" s="6">
        <v>2290576</v>
      </c>
      <c r="S618" s="6">
        <v>104156</v>
      </c>
      <c r="U618" s="6">
        <v>3215826</v>
      </c>
      <c r="W618" s="6">
        <v>1182939</v>
      </c>
      <c r="Y618" s="6">
        <v>231715</v>
      </c>
      <c r="AA618" s="6">
        <v>3110935</v>
      </c>
      <c r="AC618" s="6">
        <v>2318749</v>
      </c>
      <c r="AE618" s="6">
        <v>925791</v>
      </c>
      <c r="AG618" s="6">
        <v>0</v>
      </c>
      <c r="AI618" s="6">
        <v>26121</v>
      </c>
      <c r="AJ618" s="11" t="s">
        <v>332</v>
      </c>
      <c r="AK618" s="11"/>
      <c r="AL618" s="11" t="s">
        <v>32</v>
      </c>
      <c r="AN618" s="6">
        <v>613275</v>
      </c>
      <c r="AP618" s="6">
        <v>35941</v>
      </c>
      <c r="AT618" s="6">
        <v>2977</v>
      </c>
      <c r="AV618" s="6">
        <v>666</v>
      </c>
      <c r="AX618" s="6">
        <v>0</v>
      </c>
      <c r="AZ618" s="6">
        <f t="shared" si="100"/>
        <v>39785972</v>
      </c>
      <c r="BB618" s="6">
        <v>0</v>
      </c>
      <c r="BD618" s="6">
        <v>0</v>
      </c>
      <c r="BF618" s="6">
        <v>0</v>
      </c>
      <c r="BH618" s="6">
        <v>0</v>
      </c>
      <c r="BJ618" s="6">
        <f t="shared" si="95"/>
        <v>39785972</v>
      </c>
      <c r="BL618" s="6">
        <f>+'Gen Fd Rev'!AK618-'Gen Fd Exp'!BJ618</f>
        <v>3242623</v>
      </c>
      <c r="BN618" s="6">
        <v>8686518</v>
      </c>
      <c r="BP618" s="6">
        <v>0</v>
      </c>
      <c r="BR618" s="6">
        <v>0</v>
      </c>
      <c r="BT618" s="6">
        <f t="shared" si="96"/>
        <v>11929141</v>
      </c>
      <c r="BV618" s="7">
        <f>+BT618-'Gen Fd BS'!AC618+BR618</f>
        <v>0</v>
      </c>
    </row>
    <row r="619" spans="1:74">
      <c r="A619" s="11" t="s">
        <v>550</v>
      </c>
      <c r="B619" s="11"/>
      <c r="C619" s="11" t="s">
        <v>70</v>
      </c>
      <c r="E619" s="6">
        <v>2978693</v>
      </c>
      <c r="G619" s="6">
        <v>188202</v>
      </c>
      <c r="I619" s="6">
        <v>170508</v>
      </c>
      <c r="K619" s="6">
        <v>0</v>
      </c>
      <c r="M619" s="6">
        <v>85</v>
      </c>
      <c r="O619" s="6">
        <v>196235</v>
      </c>
      <c r="Q619" s="6">
        <v>336890</v>
      </c>
      <c r="S619" s="6">
        <v>19802</v>
      </c>
      <c r="U619" s="6">
        <v>447898</v>
      </c>
      <c r="W619" s="6">
        <v>603394</v>
      </c>
      <c r="Y619" s="6">
        <v>0</v>
      </c>
      <c r="AA619" s="6">
        <v>633040</v>
      </c>
      <c r="AC619" s="6">
        <v>408911</v>
      </c>
      <c r="AE619" s="6">
        <v>39512</v>
      </c>
      <c r="AG619" s="6">
        <v>0</v>
      </c>
      <c r="AI619" s="6">
        <v>0</v>
      </c>
      <c r="AJ619" s="11" t="s">
        <v>550</v>
      </c>
      <c r="AK619" s="11"/>
      <c r="AL619" s="11" t="s">
        <v>70</v>
      </c>
      <c r="AN619" s="6">
        <v>146447</v>
      </c>
      <c r="AP619" s="6">
        <v>123686</v>
      </c>
      <c r="AT619" s="6">
        <v>0</v>
      </c>
      <c r="AV619" s="6">
        <v>60350</v>
      </c>
      <c r="AX619" s="6">
        <v>0</v>
      </c>
      <c r="AZ619" s="6">
        <f t="shared" si="100"/>
        <v>6353653</v>
      </c>
      <c r="BB619" s="6">
        <v>225489</v>
      </c>
      <c r="BD619" s="6">
        <v>0</v>
      </c>
      <c r="BF619" s="6">
        <v>0</v>
      </c>
      <c r="BH619" s="6">
        <v>0</v>
      </c>
      <c r="BJ619" s="6">
        <f t="shared" si="95"/>
        <v>6579142</v>
      </c>
      <c r="BL619" s="6">
        <f>+'Gen Fd Rev'!AK619-'Gen Fd Exp'!BJ619</f>
        <v>401393</v>
      </c>
      <c r="BN619" s="6">
        <v>7058617</v>
      </c>
      <c r="BP619" s="6">
        <v>0</v>
      </c>
      <c r="BR619" s="6">
        <v>0</v>
      </c>
      <c r="BT619" s="6">
        <f t="shared" si="96"/>
        <v>7460010</v>
      </c>
      <c r="BV619" s="7">
        <f>+BT619-'Gen Fd BS'!AC619+BR619</f>
        <v>0</v>
      </c>
    </row>
    <row r="620" spans="1:74">
      <c r="A620" s="11" t="s">
        <v>478</v>
      </c>
      <c r="B620" s="11"/>
      <c r="C620" s="11" t="s">
        <v>79</v>
      </c>
      <c r="E620" s="6">
        <v>4926033</v>
      </c>
      <c r="G620" s="6">
        <v>630051</v>
      </c>
      <c r="I620" s="6">
        <v>7593</v>
      </c>
      <c r="K620" s="6">
        <v>0</v>
      </c>
      <c r="M620" s="6">
        <v>4164</v>
      </c>
      <c r="O620" s="6">
        <v>354708</v>
      </c>
      <c r="Q620" s="6">
        <v>159497</v>
      </c>
      <c r="S620" s="6">
        <v>62205</v>
      </c>
      <c r="U620" s="6">
        <v>847992</v>
      </c>
      <c r="W620" s="6">
        <v>327326</v>
      </c>
      <c r="Y620" s="6">
        <v>0</v>
      </c>
      <c r="AA620" s="6">
        <v>657495</v>
      </c>
      <c r="AC620" s="6">
        <v>493440</v>
      </c>
      <c r="AE620" s="6">
        <v>0</v>
      </c>
      <c r="AG620" s="6">
        <v>0</v>
      </c>
      <c r="AI620" s="6">
        <v>0</v>
      </c>
      <c r="AJ620" s="11" t="s">
        <v>478</v>
      </c>
      <c r="AK620" s="11"/>
      <c r="AL620" s="11" t="s">
        <v>79</v>
      </c>
      <c r="AN620" s="6">
        <v>262346</v>
      </c>
      <c r="AP620" s="6">
        <v>0</v>
      </c>
      <c r="AT620" s="6">
        <v>16269</v>
      </c>
      <c r="AV620" s="6">
        <v>2018</v>
      </c>
      <c r="AX620" s="6">
        <v>0</v>
      </c>
      <c r="AZ620" s="6">
        <f t="shared" si="100"/>
        <v>8751137</v>
      </c>
      <c r="BB620" s="6">
        <v>28737</v>
      </c>
      <c r="BD620" s="6">
        <v>0</v>
      </c>
      <c r="BF620" s="6">
        <v>0</v>
      </c>
      <c r="BH620" s="6">
        <v>0</v>
      </c>
      <c r="BJ620" s="6">
        <f t="shared" si="95"/>
        <v>8779874</v>
      </c>
      <c r="BL620" s="6">
        <f>+'Gen Fd Rev'!AK620-'Gen Fd Exp'!BJ620</f>
        <v>-174983</v>
      </c>
      <c r="BN620" s="6">
        <v>1302055</v>
      </c>
      <c r="BP620" s="6">
        <v>0</v>
      </c>
      <c r="BR620" s="6">
        <v>0</v>
      </c>
      <c r="BT620" s="6">
        <f t="shared" si="96"/>
        <v>1127072</v>
      </c>
      <c r="BV620" s="7">
        <f>+BT620-'Gen Fd BS'!AC620+BR620</f>
        <v>0</v>
      </c>
    </row>
    <row r="621" spans="1:74">
      <c r="A621" s="11" t="s">
        <v>517</v>
      </c>
      <c r="B621" s="11"/>
      <c r="C621" s="11" t="s">
        <v>63</v>
      </c>
      <c r="E621" s="6">
        <v>9465887</v>
      </c>
      <c r="G621" s="6">
        <v>3360120</v>
      </c>
      <c r="I621" s="6">
        <v>380596</v>
      </c>
      <c r="K621" s="6">
        <v>0</v>
      </c>
      <c r="M621" s="6">
        <v>534247</v>
      </c>
      <c r="O621" s="6">
        <v>1260032</v>
      </c>
      <c r="Q621" s="6">
        <v>383851</v>
      </c>
      <c r="S621" s="6">
        <v>29295</v>
      </c>
      <c r="U621" s="6">
        <v>1858561</v>
      </c>
      <c r="W621" s="6">
        <v>620241</v>
      </c>
      <c r="Y621" s="6">
        <v>0</v>
      </c>
      <c r="AA621" s="6">
        <v>1574507</v>
      </c>
      <c r="AC621" s="6">
        <v>1649125</v>
      </c>
      <c r="AE621" s="6">
        <v>256745</v>
      </c>
      <c r="AG621" s="6">
        <v>0</v>
      </c>
      <c r="AI621" s="6">
        <v>533</v>
      </c>
      <c r="AJ621" s="11" t="s">
        <v>517</v>
      </c>
      <c r="AK621" s="11"/>
      <c r="AL621" s="11" t="s">
        <v>63</v>
      </c>
      <c r="AN621" s="6">
        <v>522624</v>
      </c>
      <c r="AP621" s="6">
        <v>0</v>
      </c>
      <c r="AT621" s="6">
        <v>24079</v>
      </c>
      <c r="AV621" s="6">
        <v>5707</v>
      </c>
      <c r="AX621" s="6">
        <v>0</v>
      </c>
      <c r="AZ621" s="6">
        <f t="shared" si="100"/>
        <v>21926150</v>
      </c>
      <c r="BB621" s="6">
        <v>95497</v>
      </c>
      <c r="BD621" s="6">
        <v>0</v>
      </c>
      <c r="BF621" s="6">
        <v>0</v>
      </c>
      <c r="BH621" s="6">
        <v>0</v>
      </c>
      <c r="BJ621" s="6">
        <f t="shared" si="95"/>
        <v>22021647</v>
      </c>
      <c r="BL621" s="6">
        <f>+'Gen Fd Rev'!AK621-'Gen Fd Exp'!BJ621</f>
        <v>-1614010</v>
      </c>
      <c r="BN621" s="6">
        <v>6626832</v>
      </c>
      <c r="BP621" s="6">
        <v>0</v>
      </c>
      <c r="BR621" s="6">
        <v>0</v>
      </c>
      <c r="BT621" s="6">
        <f t="shared" si="96"/>
        <v>5012822</v>
      </c>
      <c r="BV621" s="7">
        <f>+BT621-'Gen Fd BS'!AC621+BR621</f>
        <v>0</v>
      </c>
    </row>
    <row r="622" spans="1:74">
      <c r="A622" s="11" t="s">
        <v>623</v>
      </c>
      <c r="B622" s="11"/>
      <c r="C622" s="11" t="s">
        <v>71</v>
      </c>
      <c r="E622" s="6">
        <v>17472115</v>
      </c>
      <c r="G622" s="6">
        <v>3626363</v>
      </c>
      <c r="I622" s="6">
        <v>402348</v>
      </c>
      <c r="K622" s="6">
        <v>0</v>
      </c>
      <c r="M622" s="6">
        <f>3857+2487990</f>
        <v>2491847</v>
      </c>
      <c r="O622" s="6">
        <v>1997739</v>
      </c>
      <c r="Q622" s="6">
        <v>1761891</v>
      </c>
      <c r="S622" s="6">
        <v>114881</v>
      </c>
      <c r="U622" s="6">
        <v>2895871</v>
      </c>
      <c r="W622" s="6">
        <v>890430</v>
      </c>
      <c r="Y622" s="6">
        <v>298368</v>
      </c>
      <c r="AA622" s="6">
        <v>4204011</v>
      </c>
      <c r="AC622" s="6">
        <v>1638771</v>
      </c>
      <c r="AE622" s="6">
        <v>449562</v>
      </c>
      <c r="AG622" s="6">
        <v>0</v>
      </c>
      <c r="AI622" s="6">
        <v>287280</v>
      </c>
      <c r="AJ622" s="11" t="s">
        <v>623</v>
      </c>
      <c r="AK622" s="11"/>
      <c r="AL622" s="11" t="s">
        <v>71</v>
      </c>
      <c r="AN622" s="6">
        <v>463575</v>
      </c>
      <c r="AP622" s="6">
        <v>0</v>
      </c>
      <c r="AT622" s="6">
        <v>0</v>
      </c>
      <c r="AV622" s="6">
        <v>0</v>
      </c>
      <c r="AX622" s="6">
        <v>0</v>
      </c>
      <c r="AZ622" s="6">
        <f t="shared" si="100"/>
        <v>38995052</v>
      </c>
      <c r="BB622" s="6">
        <v>280500</v>
      </c>
      <c r="BD622" s="6">
        <v>0</v>
      </c>
      <c r="BF622" s="6">
        <v>0</v>
      </c>
      <c r="BH622" s="6">
        <v>0</v>
      </c>
      <c r="BJ622" s="6">
        <f t="shared" si="95"/>
        <v>39275552</v>
      </c>
      <c r="BL622" s="6">
        <f>+'Gen Fd Rev'!AK622-'Gen Fd Exp'!BJ622</f>
        <v>5176217</v>
      </c>
      <c r="BN622" s="6">
        <v>17317724</v>
      </c>
      <c r="BP622" s="6">
        <v>0</v>
      </c>
      <c r="BR622" s="6">
        <v>0</v>
      </c>
      <c r="BT622" s="6">
        <f t="shared" si="96"/>
        <v>22493941</v>
      </c>
      <c r="BV622" s="7">
        <f>+BT622-'Gen Fd BS'!AC622+BR622</f>
        <v>0</v>
      </c>
    </row>
    <row r="623" spans="1:74">
      <c r="A623" s="11" t="s">
        <v>311</v>
      </c>
      <c r="B623" s="11"/>
      <c r="C623" s="11" t="s">
        <v>27</v>
      </c>
      <c r="E623" s="6">
        <v>56176025</v>
      </c>
      <c r="G623" s="6">
        <v>10726021</v>
      </c>
      <c r="I623" s="6">
        <v>972375</v>
      </c>
      <c r="K623" s="6">
        <v>2453</v>
      </c>
      <c r="M623" s="6">
        <v>0</v>
      </c>
      <c r="O623" s="6">
        <v>6289646</v>
      </c>
      <c r="Q623" s="6">
        <v>9270345</v>
      </c>
      <c r="S623" s="6">
        <v>73109</v>
      </c>
      <c r="U623" s="6">
        <v>8777050</v>
      </c>
      <c r="W623" s="6">
        <v>0</v>
      </c>
      <c r="Y623" s="6">
        <v>2398892</v>
      </c>
      <c r="AA623" s="6">
        <v>10708968</v>
      </c>
      <c r="AC623" s="6">
        <v>3961512</v>
      </c>
      <c r="AE623" s="6">
        <v>1250572</v>
      </c>
      <c r="AG623" s="6">
        <v>0</v>
      </c>
      <c r="AI623" s="6">
        <v>880447</v>
      </c>
      <c r="AJ623" s="11" t="s">
        <v>311</v>
      </c>
      <c r="AK623" s="11"/>
      <c r="AL623" s="11" t="s">
        <v>27</v>
      </c>
      <c r="AN623" s="6">
        <v>1840106</v>
      </c>
      <c r="AP623" s="6">
        <v>269959</v>
      </c>
      <c r="AT623" s="6">
        <v>0</v>
      </c>
      <c r="AV623" s="6">
        <v>0</v>
      </c>
      <c r="AX623" s="6">
        <v>0</v>
      </c>
      <c r="AZ623" s="6">
        <f t="shared" si="100"/>
        <v>113597480</v>
      </c>
      <c r="BB623" s="6">
        <v>1051125</v>
      </c>
      <c r="BD623" s="6">
        <v>0</v>
      </c>
      <c r="BF623" s="6">
        <v>0</v>
      </c>
      <c r="BH623" s="6">
        <v>0</v>
      </c>
      <c r="BJ623" s="6">
        <f t="shared" si="95"/>
        <v>114648605</v>
      </c>
      <c r="BL623" s="6">
        <f>+'Gen Fd Rev'!AK623-'Gen Fd Exp'!BJ623</f>
        <v>6534381</v>
      </c>
      <c r="BN623" s="6">
        <v>56821978</v>
      </c>
      <c r="BP623" s="6">
        <v>0</v>
      </c>
      <c r="BR623" s="6">
        <v>0</v>
      </c>
      <c r="BT623" s="6">
        <f t="shared" si="96"/>
        <v>63356359</v>
      </c>
      <c r="BV623" s="7">
        <f>+BT623-'Gen Fd BS'!AC623+BR623</f>
        <v>0</v>
      </c>
    </row>
    <row r="624" spans="1:74">
      <c r="A624" s="11" t="s">
        <v>260</v>
      </c>
      <c r="B624" s="11"/>
      <c r="C624" s="11" t="s">
        <v>111</v>
      </c>
      <c r="E624" s="6">
        <v>4276997</v>
      </c>
      <c r="G624" s="6">
        <v>967543</v>
      </c>
      <c r="I624" s="6">
        <v>67852</v>
      </c>
      <c r="K624" s="6">
        <v>0</v>
      </c>
      <c r="M624" s="6">
        <v>738083</v>
      </c>
      <c r="O624" s="6">
        <v>922587</v>
      </c>
      <c r="Q624" s="6">
        <v>362516</v>
      </c>
      <c r="S624" s="6">
        <v>6909</v>
      </c>
      <c r="U624" s="6">
        <v>875880</v>
      </c>
      <c r="W624" s="6">
        <v>379841</v>
      </c>
      <c r="Y624" s="6">
        <v>16691</v>
      </c>
      <c r="AA624" s="6">
        <v>695567</v>
      </c>
      <c r="AC624" s="6">
        <v>663548</v>
      </c>
      <c r="AE624" s="6">
        <v>43528</v>
      </c>
      <c r="AG624" s="6">
        <v>0</v>
      </c>
      <c r="AI624" s="6">
        <v>600</v>
      </c>
      <c r="AJ624" s="11" t="s">
        <v>260</v>
      </c>
      <c r="AK624" s="11"/>
      <c r="AL624" s="11" t="s">
        <v>111</v>
      </c>
      <c r="AN624" s="6">
        <v>249053</v>
      </c>
      <c r="AP624" s="6">
        <v>3000</v>
      </c>
      <c r="AT624" s="6">
        <v>7474</v>
      </c>
      <c r="AV624" s="6">
        <v>1104</v>
      </c>
      <c r="AX624" s="6">
        <v>0</v>
      </c>
      <c r="AZ624" s="6">
        <f t="shared" si="100"/>
        <v>10278773</v>
      </c>
      <c r="BB624" s="6">
        <v>43271</v>
      </c>
      <c r="BD624" s="6">
        <v>0</v>
      </c>
      <c r="BF624" s="6">
        <v>0</v>
      </c>
      <c r="BH624" s="6">
        <v>0</v>
      </c>
      <c r="BJ624" s="6">
        <f t="shared" si="95"/>
        <v>10322044</v>
      </c>
      <c r="BL624" s="6">
        <f>+'Gen Fd Rev'!AK624-'Gen Fd Exp'!BJ624</f>
        <v>-159082</v>
      </c>
      <c r="BN624" s="6">
        <v>1027175</v>
      </c>
      <c r="BP624" s="6">
        <v>0</v>
      </c>
      <c r="BR624" s="6">
        <v>0</v>
      </c>
      <c r="BT624" s="6">
        <f t="shared" si="96"/>
        <v>868093</v>
      </c>
      <c r="BV624" s="7">
        <f>+BT624-'Gen Fd BS'!AC624+BR624</f>
        <v>0</v>
      </c>
    </row>
    <row r="625" spans="1:74">
      <c r="A625" s="11" t="s">
        <v>333</v>
      </c>
      <c r="B625" s="11"/>
      <c r="C625" s="11" t="s">
        <v>32</v>
      </c>
      <c r="E625" s="6">
        <v>11388154</v>
      </c>
      <c r="G625" s="6">
        <v>2072065</v>
      </c>
      <c r="I625" s="6">
        <v>61497</v>
      </c>
      <c r="K625" s="6">
        <v>0</v>
      </c>
      <c r="M625" s="6">
        <v>27012</v>
      </c>
      <c r="O625" s="6">
        <v>1700981</v>
      </c>
      <c r="Q625" s="6">
        <v>1023015</v>
      </c>
      <c r="S625" s="6">
        <v>161592</v>
      </c>
      <c r="U625" s="6">
        <v>1691287</v>
      </c>
      <c r="W625" s="6">
        <v>912690</v>
      </c>
      <c r="Y625" s="6">
        <v>1108</v>
      </c>
      <c r="AA625" s="6">
        <v>1802177</v>
      </c>
      <c r="AC625" s="6">
        <v>390119</v>
      </c>
      <c r="AE625" s="6">
        <v>126263</v>
      </c>
      <c r="AG625" s="6">
        <v>0</v>
      </c>
      <c r="AI625" s="6">
        <v>75513</v>
      </c>
      <c r="AJ625" s="11" t="s">
        <v>333</v>
      </c>
      <c r="AK625" s="11"/>
      <c r="AL625" s="11" t="s">
        <v>32</v>
      </c>
      <c r="AN625" s="6">
        <v>499741</v>
      </c>
      <c r="AP625" s="6">
        <v>6996</v>
      </c>
      <c r="AT625" s="6">
        <v>93400</v>
      </c>
      <c r="AV625" s="6">
        <v>90048</v>
      </c>
      <c r="AX625" s="6">
        <v>0</v>
      </c>
      <c r="AZ625" s="6">
        <f t="shared" si="100"/>
        <v>22123658</v>
      </c>
      <c r="BB625" s="6">
        <v>0</v>
      </c>
      <c r="BD625" s="6">
        <v>0</v>
      </c>
      <c r="BF625" s="6">
        <v>0</v>
      </c>
      <c r="BH625" s="6">
        <v>0</v>
      </c>
      <c r="BJ625" s="6">
        <f t="shared" si="95"/>
        <v>22123658</v>
      </c>
      <c r="BL625" s="6">
        <f>+'Gen Fd Rev'!AK625-'Gen Fd Exp'!BJ625</f>
        <v>-60786</v>
      </c>
      <c r="BN625" s="6">
        <v>14454780</v>
      </c>
      <c r="BP625" s="6">
        <v>0</v>
      </c>
      <c r="BR625" s="6">
        <v>0</v>
      </c>
      <c r="BT625" s="6">
        <f t="shared" si="96"/>
        <v>14393994</v>
      </c>
      <c r="BV625" s="7">
        <f>+BT625-'Gen Fd BS'!AC625+BR625</f>
        <v>0</v>
      </c>
    </row>
    <row r="626" spans="1:74">
      <c r="A626" s="10" t="s">
        <v>884</v>
      </c>
      <c r="B626" s="10"/>
      <c r="C626" s="10" t="s">
        <v>114</v>
      </c>
      <c r="E626" s="6">
        <v>19021234</v>
      </c>
      <c r="G626" s="6">
        <v>5161061</v>
      </c>
      <c r="I626" s="6">
        <v>428353</v>
      </c>
      <c r="K626" s="6">
        <v>0</v>
      </c>
      <c r="M626" s="6">
        <f>74857+568650</f>
        <v>643507</v>
      </c>
      <c r="O626" s="6">
        <v>2784295</v>
      </c>
      <c r="Q626" s="6">
        <v>2230010</v>
      </c>
      <c r="S626" s="6">
        <v>47898</v>
      </c>
      <c r="U626" s="6">
        <v>3948857</v>
      </c>
      <c r="W626" s="6">
        <v>483193</v>
      </c>
      <c r="Y626" s="6">
        <v>663812</v>
      </c>
      <c r="AA626" s="6">
        <v>2885840</v>
      </c>
      <c r="AC626" s="6">
        <v>2524592</v>
      </c>
      <c r="AE626" s="6">
        <v>220714</v>
      </c>
      <c r="AG626" s="6">
        <v>0</v>
      </c>
      <c r="AI626" s="6">
        <v>1047</v>
      </c>
      <c r="AJ626" s="10" t="s">
        <v>884</v>
      </c>
      <c r="AK626" s="10"/>
      <c r="AL626" s="10" t="s">
        <v>114</v>
      </c>
      <c r="AN626" s="6">
        <v>553031</v>
      </c>
      <c r="AP626" s="6">
        <v>45178</v>
      </c>
      <c r="AT626" s="6">
        <v>419112</v>
      </c>
      <c r="AV626" s="6">
        <v>103647</v>
      </c>
      <c r="AX626" s="6">
        <v>0</v>
      </c>
      <c r="AZ626" s="6">
        <f t="shared" ref="AZ626" si="101">SUM(E626:AX626)</f>
        <v>42165381</v>
      </c>
      <c r="BB626" s="6">
        <v>0</v>
      </c>
      <c r="BD626" s="6">
        <v>0</v>
      </c>
      <c r="BF626" s="6">
        <v>0</v>
      </c>
      <c r="BH626" s="6">
        <v>0</v>
      </c>
      <c r="BJ626" s="6">
        <f t="shared" ref="BJ626" si="102">+AZ626+BB626+BD626+BH626</f>
        <v>42165381</v>
      </c>
      <c r="BL626" s="6">
        <f>+'Gen Fd Rev'!AK626-'Gen Fd Exp'!BJ626</f>
        <v>1531141</v>
      </c>
      <c r="BN626" s="6">
        <v>-32231</v>
      </c>
      <c r="BP626" s="6">
        <v>0</v>
      </c>
      <c r="BR626" s="6">
        <v>0</v>
      </c>
      <c r="BT626" s="6">
        <f t="shared" ref="BT626" si="103">+BN626+BL626-BP626</f>
        <v>1498910</v>
      </c>
      <c r="BV626" s="7">
        <f>+BT626-'Gen Fd BS'!AC626+BR626</f>
        <v>0</v>
      </c>
    </row>
    <row r="627" spans="1:74">
      <c r="A627" s="11" t="s">
        <v>783</v>
      </c>
      <c r="B627" s="11"/>
      <c r="C627" s="11" t="s">
        <v>114</v>
      </c>
      <c r="E627" s="6">
        <v>3309754</v>
      </c>
      <c r="G627" s="6">
        <v>672145</v>
      </c>
      <c r="I627" s="6">
        <v>0</v>
      </c>
      <c r="K627" s="6">
        <v>0</v>
      </c>
      <c r="M627" s="6">
        <f>317+240642</f>
        <v>240959</v>
      </c>
      <c r="O627" s="6">
        <v>354514</v>
      </c>
      <c r="Q627" s="6">
        <v>391576</v>
      </c>
      <c r="S627" s="6">
        <v>35098</v>
      </c>
      <c r="U627" s="6">
        <v>767663</v>
      </c>
      <c r="W627" s="6">
        <v>343973</v>
      </c>
      <c r="Y627" s="6">
        <v>1663</v>
      </c>
      <c r="AA627" s="6">
        <v>664002</v>
      </c>
      <c r="AC627" s="6">
        <v>207546</v>
      </c>
      <c r="AE627" s="6">
        <v>29313</v>
      </c>
      <c r="AG627" s="6">
        <v>0</v>
      </c>
      <c r="AI627" s="6">
        <v>4279</v>
      </c>
      <c r="AJ627" s="11" t="s">
        <v>783</v>
      </c>
      <c r="AK627" s="11"/>
      <c r="AL627" s="11" t="s">
        <v>114</v>
      </c>
      <c r="AN627" s="6">
        <v>190505</v>
      </c>
      <c r="AP627" s="6">
        <v>0</v>
      </c>
      <c r="AT627" s="6">
        <v>83719</v>
      </c>
      <c r="AV627" s="6">
        <v>4176</v>
      </c>
      <c r="AX627" s="6">
        <v>0</v>
      </c>
      <c r="AZ627" s="6">
        <f t="shared" si="100"/>
        <v>7300885</v>
      </c>
      <c r="BB627" s="6">
        <v>35000</v>
      </c>
      <c r="BD627" s="6">
        <v>0</v>
      </c>
      <c r="BF627" s="6">
        <v>0</v>
      </c>
      <c r="BH627" s="6">
        <v>0</v>
      </c>
      <c r="BJ627" s="6">
        <f t="shared" si="95"/>
        <v>7335885</v>
      </c>
      <c r="BL627" s="6">
        <f>+'Gen Fd Rev'!AK627-'Gen Fd Exp'!BJ627</f>
        <v>-185214</v>
      </c>
      <c r="BN627" s="6">
        <v>1932795</v>
      </c>
      <c r="BP627" s="6">
        <v>0</v>
      </c>
      <c r="BR627" s="6">
        <v>0</v>
      </c>
      <c r="BT627" s="6">
        <f t="shared" si="96"/>
        <v>1747581</v>
      </c>
      <c r="BV627" s="7">
        <f>+BT627-'Gen Fd BS'!AC627+BR627</f>
        <v>0</v>
      </c>
    </row>
    <row r="628" spans="1:74">
      <c r="A628" s="11" t="s">
        <v>409</v>
      </c>
      <c r="B628" s="11"/>
      <c r="C628" s="11" t="s">
        <v>45</v>
      </c>
      <c r="E628" s="6">
        <v>56459073</v>
      </c>
      <c r="G628" s="6">
        <v>11359542</v>
      </c>
      <c r="I628" s="6">
        <v>1900164</v>
      </c>
      <c r="K628" s="6">
        <v>0</v>
      </c>
      <c r="M628" s="6">
        <v>460505</v>
      </c>
      <c r="O628" s="6">
        <v>3689280</v>
      </c>
      <c r="Q628" s="6">
        <v>4687010</v>
      </c>
      <c r="S628" s="6">
        <v>471932</v>
      </c>
      <c r="U628" s="6">
        <v>5695784</v>
      </c>
      <c r="W628" s="6">
        <v>1355356</v>
      </c>
      <c r="Y628" s="6">
        <v>767392</v>
      </c>
      <c r="AA628" s="6">
        <v>10106448</v>
      </c>
      <c r="AC628" s="6">
        <v>5076996</v>
      </c>
      <c r="AE628" s="6">
        <v>1339828</v>
      </c>
      <c r="AG628" s="6">
        <v>0</v>
      </c>
      <c r="AI628" s="6">
        <v>1292</v>
      </c>
      <c r="AJ628" s="11" t="s">
        <v>409</v>
      </c>
      <c r="AK628" s="11"/>
      <c r="AL628" s="11" t="s">
        <v>45</v>
      </c>
      <c r="AN628" s="6">
        <v>282226</v>
      </c>
      <c r="AP628" s="6">
        <v>0</v>
      </c>
      <c r="AT628" s="6">
        <v>0</v>
      </c>
      <c r="AV628" s="6">
        <v>28103</v>
      </c>
      <c r="AX628" s="6">
        <v>0</v>
      </c>
      <c r="AZ628" s="6">
        <f t="shared" si="100"/>
        <v>103680931</v>
      </c>
      <c r="BB628" s="6">
        <v>33781</v>
      </c>
      <c r="BD628" s="6">
        <v>0</v>
      </c>
      <c r="BF628" s="6">
        <v>0</v>
      </c>
      <c r="BH628" s="6">
        <v>0</v>
      </c>
      <c r="BJ628" s="6">
        <f t="shared" si="95"/>
        <v>103714712</v>
      </c>
      <c r="BL628" s="6">
        <f>+'Gen Fd Rev'!AK628-'Gen Fd Exp'!BJ628</f>
        <v>2947510</v>
      </c>
      <c r="BN628" s="6">
        <v>-2085626</v>
      </c>
      <c r="BP628" s="6">
        <v>0</v>
      </c>
      <c r="BR628" s="6">
        <v>0</v>
      </c>
      <c r="BT628" s="6">
        <f t="shared" si="96"/>
        <v>861884</v>
      </c>
      <c r="BV628" s="7">
        <f>+BT628-'Gen Fd BS'!AC628+BR628</f>
        <v>0</v>
      </c>
    </row>
    <row r="629" spans="1:74">
      <c r="A629" s="11" t="s">
        <v>477</v>
      </c>
      <c r="B629" s="11"/>
      <c r="C629" s="11" t="s">
        <v>58</v>
      </c>
      <c r="E629" s="6">
        <v>6533900</v>
      </c>
      <c r="G629" s="6">
        <v>806705</v>
      </c>
      <c r="I629" s="6">
        <v>9647</v>
      </c>
      <c r="K629" s="6">
        <v>0</v>
      </c>
      <c r="M629" s="6">
        <v>147180</v>
      </c>
      <c r="O629" s="6">
        <v>535573</v>
      </c>
      <c r="Q629" s="6">
        <v>344060</v>
      </c>
      <c r="S629" s="6">
        <v>121927</v>
      </c>
      <c r="U629" s="6">
        <v>846637</v>
      </c>
      <c r="W629" s="6">
        <v>391975</v>
      </c>
      <c r="Y629" s="6">
        <v>0</v>
      </c>
      <c r="AA629" s="6">
        <v>1201200</v>
      </c>
      <c r="AC629" s="6">
        <v>995935</v>
      </c>
      <c r="AE629" s="6">
        <v>141362</v>
      </c>
      <c r="AG629" s="6">
        <v>0</v>
      </c>
      <c r="AI629" s="6">
        <v>0</v>
      </c>
      <c r="AJ629" s="11" t="s">
        <v>477</v>
      </c>
      <c r="AK629" s="11"/>
      <c r="AL629" s="11" t="s">
        <v>58</v>
      </c>
      <c r="AN629" s="6">
        <v>202683</v>
      </c>
      <c r="AP629" s="6">
        <v>0</v>
      </c>
      <c r="AT629" s="6">
        <v>154496</v>
      </c>
      <c r="AV629" s="6">
        <v>132211</v>
      </c>
      <c r="AX629" s="6">
        <v>0</v>
      </c>
      <c r="AZ629" s="6">
        <f t="shared" si="100"/>
        <v>12565491</v>
      </c>
      <c r="BB629" s="6">
        <v>0</v>
      </c>
      <c r="BD629" s="6">
        <v>0</v>
      </c>
      <c r="BF629" s="6">
        <v>0</v>
      </c>
      <c r="BH629" s="6">
        <v>0</v>
      </c>
      <c r="BJ629" s="6">
        <f t="shared" si="95"/>
        <v>12565491</v>
      </c>
      <c r="BL629" s="6">
        <f>+'Gen Fd Rev'!AK629-'Gen Fd Exp'!BJ629</f>
        <v>-967289</v>
      </c>
      <c r="BN629" s="6">
        <v>4107233</v>
      </c>
      <c r="BP629" s="6">
        <v>0</v>
      </c>
      <c r="BR629" s="6">
        <v>0</v>
      </c>
      <c r="BT629" s="6">
        <f t="shared" si="96"/>
        <v>3139944</v>
      </c>
      <c r="BV629" s="7">
        <f>+BT629-'Gen Fd BS'!AC629+BR629</f>
        <v>0</v>
      </c>
    </row>
    <row r="630" spans="1:74">
      <c r="A630" s="11" t="s">
        <v>448</v>
      </c>
      <c r="B630" s="11"/>
      <c r="C630" s="11" t="s">
        <v>51</v>
      </c>
      <c r="E630" s="6">
        <v>15772343</v>
      </c>
      <c r="G630" s="6">
        <v>5737873</v>
      </c>
      <c r="I630" s="6">
        <v>446034</v>
      </c>
      <c r="K630" s="6">
        <v>0</v>
      </c>
      <c r="M630" s="6">
        <v>144091</v>
      </c>
      <c r="O630" s="6">
        <v>2224817</v>
      </c>
      <c r="Q630" s="6">
        <v>995554</v>
      </c>
      <c r="S630" s="6">
        <v>126766</v>
      </c>
      <c r="U630" s="6">
        <v>1862505</v>
      </c>
      <c r="W630" s="6">
        <v>554247</v>
      </c>
      <c r="Y630" s="6">
        <v>0</v>
      </c>
      <c r="AA630" s="6">
        <v>3154660</v>
      </c>
      <c r="AC630" s="6">
        <v>1181296</v>
      </c>
      <c r="AE630" s="6">
        <v>585078</v>
      </c>
      <c r="AG630" s="6">
        <v>7922</v>
      </c>
      <c r="AI630" s="6">
        <v>3478</v>
      </c>
      <c r="AJ630" s="11" t="s">
        <v>448</v>
      </c>
      <c r="AK630" s="11"/>
      <c r="AL630" s="11" t="s">
        <v>51</v>
      </c>
      <c r="AN630" s="6">
        <v>392597</v>
      </c>
      <c r="AP630" s="6">
        <v>0</v>
      </c>
      <c r="AT630" s="6">
        <v>110540</v>
      </c>
      <c r="AV630" s="6">
        <v>11541</v>
      </c>
      <c r="AX630" s="6">
        <v>0</v>
      </c>
      <c r="AZ630" s="6">
        <f t="shared" si="100"/>
        <v>33311342</v>
      </c>
      <c r="BB630" s="6">
        <v>0</v>
      </c>
      <c r="BD630" s="6">
        <v>0</v>
      </c>
      <c r="BF630" s="6">
        <v>0</v>
      </c>
      <c r="BH630" s="6">
        <v>0</v>
      </c>
      <c r="BJ630" s="6">
        <f t="shared" si="95"/>
        <v>33311342</v>
      </c>
      <c r="BL630" s="6">
        <f>+'Gen Fd Rev'!AK630-'Gen Fd Exp'!BJ630</f>
        <v>4326067</v>
      </c>
      <c r="BN630" s="6">
        <v>1866940</v>
      </c>
      <c r="BP630" s="6">
        <v>0</v>
      </c>
      <c r="BR630" s="6">
        <v>0</v>
      </c>
      <c r="BT630" s="6">
        <f t="shared" si="96"/>
        <v>6193007</v>
      </c>
      <c r="BV630" s="7">
        <f>+BT630-'Gen Fd BS'!AC630+BR630</f>
        <v>0</v>
      </c>
    </row>
    <row r="631" spans="1:74">
      <c r="A631" s="11"/>
      <c r="B631" s="11"/>
      <c r="C631" s="11"/>
      <c r="BV631" s="6"/>
    </row>
  </sheetData>
  <phoneticPr fontId="3" type="noConversion"/>
  <pageMargins left="0.9" right="0.75" top="0.5" bottom="0.5" header="0.25" footer="0.25"/>
  <pageSetup scale="76" firstPageNumber="114" fitToWidth="4" fitToHeight="18" pageOrder="overThenDown" orientation="portrait" useFirstPageNumber="1" r:id="rId1"/>
  <headerFooter alignWithMargins="0"/>
  <rowBreaks count="6" manualBreakCount="6">
    <brk id="98" max="71" man="1"/>
    <brk id="189" max="71" man="1"/>
    <brk id="279" max="71" man="1"/>
    <brk id="373" max="71" man="1"/>
    <brk id="478" max="71" man="1"/>
    <brk id="562" max="71" man="1"/>
  </rowBreaks>
  <colBreaks count="2" manualBreakCount="2">
    <brk id="16" max="629" man="1"/>
    <brk id="35" max="62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31"/>
  <sheetViews>
    <sheetView view="pageBreakPreview" zoomScaleNormal="100" zoomScaleSheetLayoutView="100" workbookViewId="0">
      <pane xSplit="4" ySplit="9" topLeftCell="E10" activePane="bottomRight" state="frozen"/>
      <selection activeCell="A563" sqref="A563:XFD563"/>
      <selection pane="topRight" activeCell="A563" sqref="A563:XFD563"/>
      <selection pane="bottomLeft" activeCell="A563" sqref="A563:XFD563"/>
      <selection pane="bottomRight" activeCell="E10" sqref="E10"/>
    </sheetView>
  </sheetViews>
  <sheetFormatPr defaultColWidth="9.140625" defaultRowHeight="12"/>
  <cols>
    <col min="1" max="1" width="32" style="6" customWidth="1"/>
    <col min="2" max="2" width="1.7109375" style="6" customWidth="1"/>
    <col min="3" max="3" width="11.7109375" style="6" customWidth="1"/>
    <col min="4" max="4" width="1.7109375" style="6" customWidth="1"/>
    <col min="5" max="5" width="11.7109375" style="6" customWidth="1"/>
    <col min="6" max="6" width="1.7109375" style="6" customWidth="1"/>
    <col min="7" max="7" width="11.7109375" style="6" customWidth="1"/>
    <col min="8" max="8" width="1.7109375" style="6" customWidth="1"/>
    <col min="9" max="9" width="11.7109375" style="6" customWidth="1"/>
    <col min="10" max="10" width="1.7109375" style="6" customWidth="1"/>
    <col min="11" max="11" width="11.7109375" style="6" customWidth="1"/>
    <col min="12" max="12" width="1.7109375" style="6" customWidth="1"/>
    <col min="13" max="13" width="10.140625" style="6" bestFit="1" customWidth="1"/>
    <col min="14" max="14" width="1.7109375" style="6" customWidth="1"/>
    <col min="15" max="15" width="10.140625" style="6" bestFit="1" customWidth="1"/>
    <col min="16" max="16" width="1.7109375" style="6" customWidth="1"/>
    <col min="17" max="17" width="10.140625" style="6" bestFit="1" customWidth="1"/>
    <col min="18" max="18" width="1.7109375" style="6" customWidth="1"/>
    <col min="19" max="19" width="10.85546875" style="6" bestFit="1" customWidth="1"/>
    <col min="20" max="20" width="1.7109375" style="6" customWidth="1"/>
    <col min="21" max="21" width="10.28515625" style="6" bestFit="1" customWidth="1"/>
    <col min="22" max="22" width="1.7109375" style="6" customWidth="1"/>
    <col min="23" max="23" width="10.28515625" style="6" bestFit="1" customWidth="1"/>
    <col min="24" max="24" width="1.7109375" style="6" customWidth="1"/>
    <col min="25" max="25" width="10.28515625" style="6" bestFit="1" customWidth="1"/>
    <col min="26" max="26" width="1.7109375" style="6" customWidth="1"/>
    <col min="27" max="27" width="11.7109375" style="6" customWidth="1"/>
    <col min="28" max="28" width="1.7109375" style="6" customWidth="1"/>
    <col min="29" max="29" width="11.7109375" style="6" customWidth="1"/>
    <col min="30" max="30" width="1.7109375" style="6" customWidth="1"/>
    <col min="31" max="31" width="11.7109375" style="6" hidden="1" customWidth="1"/>
    <col min="32" max="32" width="4.7109375" style="6" hidden="1" customWidth="1"/>
    <col min="33" max="16384" width="9.140625" style="6"/>
  </cols>
  <sheetData>
    <row r="1" spans="1:32">
      <c r="A1" s="24" t="s">
        <v>198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32">
      <c r="A2" s="24" t="s">
        <v>851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32">
      <c r="A3" s="13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32">
      <c r="A4" s="13" t="s">
        <v>169</v>
      </c>
      <c r="B4" s="13"/>
      <c r="C4" s="13"/>
      <c r="D4" s="54"/>
      <c r="E4" s="54"/>
      <c r="F4" s="54"/>
      <c r="G4" s="54"/>
      <c r="H4" s="54"/>
      <c r="I4" s="48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</row>
    <row r="5" spans="1:32">
      <c r="A5" s="13"/>
      <c r="O5" s="14" t="s">
        <v>92</v>
      </c>
    </row>
    <row r="6" spans="1:32">
      <c r="A6" s="45" t="s">
        <v>727</v>
      </c>
      <c r="D6" s="54"/>
      <c r="E6" s="66" t="s">
        <v>87</v>
      </c>
      <c r="F6" s="66"/>
      <c r="G6" s="66"/>
      <c r="H6" s="66"/>
      <c r="I6" s="66"/>
      <c r="J6" s="54"/>
      <c r="K6" s="54"/>
      <c r="L6" s="54"/>
      <c r="M6" s="53" t="s">
        <v>92</v>
      </c>
      <c r="N6" s="9"/>
      <c r="O6" s="53" t="s">
        <v>598</v>
      </c>
      <c r="P6" s="54"/>
      <c r="Q6" s="54"/>
      <c r="R6" s="54"/>
      <c r="S6" s="66" t="s">
        <v>846</v>
      </c>
      <c r="T6" s="66"/>
      <c r="U6" s="66"/>
      <c r="V6" s="66"/>
      <c r="W6" s="66"/>
      <c r="X6" s="66"/>
      <c r="Y6" s="66"/>
      <c r="Z6" s="66"/>
      <c r="AA6" s="66"/>
    </row>
    <row r="7" spans="1:32">
      <c r="A7" s="13"/>
      <c r="B7" s="13"/>
      <c r="C7" s="13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E7" s="14" t="s">
        <v>133</v>
      </c>
      <c r="AF7" s="14"/>
    </row>
    <row r="8" spans="1:32">
      <c r="A8" s="54"/>
      <c r="B8" s="54"/>
      <c r="C8" s="54"/>
      <c r="D8" s="54"/>
      <c r="E8" s="54" t="s">
        <v>88</v>
      </c>
      <c r="F8" s="54"/>
      <c r="G8" s="54" t="s">
        <v>102</v>
      </c>
      <c r="H8" s="54"/>
      <c r="I8" s="54" t="s">
        <v>82</v>
      </c>
      <c r="J8" s="54"/>
      <c r="K8" s="54" t="s">
        <v>3</v>
      </c>
      <c r="L8" s="54"/>
      <c r="M8" s="54"/>
      <c r="N8" s="54"/>
      <c r="O8" s="54" t="s">
        <v>89</v>
      </c>
      <c r="P8" s="54"/>
      <c r="Q8" s="54" t="s">
        <v>3</v>
      </c>
      <c r="R8" s="54"/>
      <c r="S8" s="54" t="s">
        <v>731</v>
      </c>
      <c r="T8" s="54"/>
      <c r="U8" s="54" t="s">
        <v>102</v>
      </c>
      <c r="V8" s="54"/>
      <c r="W8" s="54" t="s">
        <v>732</v>
      </c>
      <c r="X8" s="54"/>
      <c r="Y8" s="54" t="s">
        <v>733</v>
      </c>
      <c r="Z8" s="54"/>
      <c r="AA8" s="54" t="s">
        <v>734</v>
      </c>
      <c r="AB8" s="54"/>
      <c r="AC8" s="54" t="s">
        <v>3</v>
      </c>
      <c r="AE8" s="14" t="s">
        <v>134</v>
      </c>
      <c r="AF8" s="14"/>
    </row>
    <row r="9" spans="1:32" s="9" customFormat="1">
      <c r="A9" s="53" t="s">
        <v>199</v>
      </c>
      <c r="B9" s="14"/>
      <c r="C9" s="53" t="s">
        <v>4</v>
      </c>
      <c r="D9" s="54"/>
      <c r="E9" s="53" t="s">
        <v>91</v>
      </c>
      <c r="F9" s="54"/>
      <c r="G9" s="53" t="s">
        <v>87</v>
      </c>
      <c r="H9" s="54"/>
      <c r="I9" s="53" t="s">
        <v>87</v>
      </c>
      <c r="J9" s="54"/>
      <c r="K9" s="53" t="s">
        <v>87</v>
      </c>
      <c r="L9" s="54"/>
      <c r="M9" s="53" t="s">
        <v>92</v>
      </c>
      <c r="N9" s="54"/>
      <c r="O9" s="53" t="s">
        <v>8</v>
      </c>
      <c r="P9" s="54"/>
      <c r="Q9" s="53" t="s">
        <v>92</v>
      </c>
      <c r="R9" s="54"/>
      <c r="S9" s="53" t="s">
        <v>93</v>
      </c>
      <c r="T9" s="54"/>
      <c r="U9" s="53" t="s">
        <v>93</v>
      </c>
      <c r="V9" s="54"/>
      <c r="W9" s="53" t="s">
        <v>93</v>
      </c>
      <c r="X9" s="54"/>
      <c r="Y9" s="53" t="s">
        <v>93</v>
      </c>
      <c r="Z9" s="54"/>
      <c r="AA9" s="53" t="s">
        <v>93</v>
      </c>
      <c r="AB9" s="54"/>
      <c r="AC9" s="53" t="s">
        <v>93</v>
      </c>
      <c r="AE9" s="53" t="s">
        <v>135</v>
      </c>
      <c r="AF9" s="54"/>
    </row>
    <row r="10" spans="1:32">
      <c r="A10" s="11"/>
      <c r="B10" s="11"/>
      <c r="C10" s="11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</row>
    <row r="11" spans="1:32" hidden="1">
      <c r="A11" s="11" t="s">
        <v>862</v>
      </c>
      <c r="B11" s="11"/>
      <c r="C11" s="11" t="s">
        <v>339</v>
      </c>
      <c r="I11" s="2">
        <f t="shared" ref="I11" si="0">K11-E11-G11</f>
        <v>0</v>
      </c>
      <c r="M11" s="2">
        <f t="shared" ref="M11" si="1">Q11-O11</f>
        <v>0</v>
      </c>
      <c r="AC11" s="12">
        <f t="shared" ref="AC11" si="2">S11+U11+W11+Y11+AA11</f>
        <v>0</v>
      </c>
      <c r="AE11" s="6">
        <f t="shared" ref="AE11" si="3">+E11+G11+I11-M11-O11-W11-U11-S11-Y11-AA11</f>
        <v>0</v>
      </c>
    </row>
    <row r="12" spans="1:32" s="28" customFormat="1">
      <c r="A12" s="27" t="s">
        <v>788</v>
      </c>
      <c r="B12" s="27"/>
      <c r="C12" s="27" t="s">
        <v>200</v>
      </c>
      <c r="D12" s="55"/>
      <c r="E12" s="28">
        <v>16793857</v>
      </c>
      <c r="G12" s="28">
        <v>10038</v>
      </c>
      <c r="I12" s="30">
        <f>K12-E12-G12</f>
        <v>12308424</v>
      </c>
      <c r="K12" s="28">
        <v>29112319</v>
      </c>
      <c r="M12" s="30">
        <f>Q12-O12</f>
        <v>3968932</v>
      </c>
      <c r="O12" s="28">
        <v>10426391</v>
      </c>
      <c r="Q12" s="28">
        <v>14395323</v>
      </c>
      <c r="S12" s="28">
        <v>77893</v>
      </c>
      <c r="U12" s="28">
        <v>8623105</v>
      </c>
      <c r="W12" s="28">
        <v>1212462</v>
      </c>
      <c r="Y12" s="28">
        <v>134435</v>
      </c>
      <c r="AA12" s="28">
        <v>4669101</v>
      </c>
      <c r="AC12" s="37">
        <f>S12+U12+W12+Y12+AA12</f>
        <v>14716996</v>
      </c>
      <c r="AE12" s="28">
        <f>+E12+G12+I12-M12-O12-W12-U12-S12-Y12-AA12</f>
        <v>0</v>
      </c>
    </row>
    <row r="13" spans="1:32">
      <c r="A13" s="11" t="s">
        <v>587</v>
      </c>
      <c r="B13" s="11"/>
      <c r="C13" s="11" t="s">
        <v>58</v>
      </c>
      <c r="E13" s="6">
        <f>5848354+1392</f>
        <v>5849746</v>
      </c>
      <c r="G13" s="6">
        <v>18692</v>
      </c>
      <c r="I13" s="2">
        <f t="shared" ref="I13:I19" si="4">K13-E13-G13</f>
        <v>2716609</v>
      </c>
      <c r="K13" s="6">
        <v>8585047</v>
      </c>
      <c r="M13" s="2">
        <f>Q13-O13</f>
        <v>1216038</v>
      </c>
      <c r="O13" s="6">
        <v>2292501</v>
      </c>
      <c r="Q13" s="6">
        <v>3508539</v>
      </c>
      <c r="S13" s="6">
        <v>0</v>
      </c>
      <c r="U13" s="6">
        <v>886488</v>
      </c>
      <c r="W13" s="6">
        <v>143241</v>
      </c>
      <c r="Y13" s="6">
        <v>150484</v>
      </c>
      <c r="AA13" s="6">
        <v>3896295</v>
      </c>
      <c r="AC13" s="12">
        <f t="shared" ref="AC13:AC81" si="5">S13+U13+W13+Y13+AA13</f>
        <v>5076508</v>
      </c>
      <c r="AE13" s="6">
        <f t="shared" ref="AE13:AE81" si="6">+E13+G13+I13-M13-O13-W13-U13-S13-Y13-AA13</f>
        <v>0</v>
      </c>
    </row>
    <row r="14" spans="1:32">
      <c r="A14" s="11" t="s">
        <v>506</v>
      </c>
      <c r="B14" s="11"/>
      <c r="C14" s="11" t="s">
        <v>63</v>
      </c>
      <c r="E14" s="6">
        <f>76740922+24856209+13144629</f>
        <v>114741760</v>
      </c>
      <c r="G14" s="6">
        <v>0</v>
      </c>
      <c r="I14" s="2">
        <f t="shared" si="4"/>
        <v>233743821</v>
      </c>
      <c r="K14" s="6">
        <v>348485581</v>
      </c>
      <c r="M14" s="2">
        <f t="shared" ref="M14:M35" si="7">Q14-O14</f>
        <v>132245416</v>
      </c>
      <c r="O14" s="6">
        <v>156903566</v>
      </c>
      <c r="Q14" s="6">
        <v>289148982</v>
      </c>
      <c r="S14" s="6">
        <v>549131</v>
      </c>
      <c r="U14" s="6">
        <v>51027660</v>
      </c>
      <c r="W14" s="6">
        <v>111747</v>
      </c>
      <c r="Y14" s="6">
        <v>1812144</v>
      </c>
      <c r="AA14" s="6">
        <v>5835917</v>
      </c>
      <c r="AC14" s="12">
        <f t="shared" si="5"/>
        <v>59336599</v>
      </c>
      <c r="AE14" s="6">
        <f t="shared" si="6"/>
        <v>0</v>
      </c>
    </row>
    <row r="15" spans="1:32" hidden="1">
      <c r="A15" s="11" t="s">
        <v>617</v>
      </c>
      <c r="B15" s="11"/>
      <c r="C15" s="11" t="s">
        <v>13</v>
      </c>
      <c r="I15" s="2">
        <f t="shared" si="4"/>
        <v>0</v>
      </c>
      <c r="M15" s="2">
        <f t="shared" si="7"/>
        <v>0</v>
      </c>
      <c r="AC15" s="12">
        <f t="shared" si="5"/>
        <v>0</v>
      </c>
      <c r="AE15" s="6">
        <f t="shared" si="6"/>
        <v>0</v>
      </c>
    </row>
    <row r="16" spans="1:32" hidden="1">
      <c r="A16" s="11" t="s">
        <v>864</v>
      </c>
      <c r="B16" s="11"/>
      <c r="C16" s="11" t="s">
        <v>10</v>
      </c>
      <c r="I16" s="2">
        <f t="shared" ref="I16" si="8">K16-E16-G16</f>
        <v>0</v>
      </c>
      <c r="M16" s="2">
        <f t="shared" ref="M16" si="9">Q16-O16</f>
        <v>0</v>
      </c>
      <c r="AC16" s="12">
        <f t="shared" ref="AC16" si="10">S16+U16+W16+Y16+AA16</f>
        <v>0</v>
      </c>
      <c r="AE16" s="6">
        <f t="shared" ref="AE16" si="11">+E16+G16+I16-M16-O16-W16-U16-S16-Y16-AA16</f>
        <v>0</v>
      </c>
    </row>
    <row r="17" spans="1:31">
      <c r="A17" s="11" t="s">
        <v>493</v>
      </c>
      <c r="B17" s="11"/>
      <c r="C17" s="11" t="s">
        <v>62</v>
      </c>
      <c r="E17" s="6">
        <v>10128886</v>
      </c>
      <c r="G17" s="6">
        <v>300868</v>
      </c>
      <c r="I17" s="2">
        <f t="shared" si="4"/>
        <v>10471622</v>
      </c>
      <c r="K17" s="6">
        <v>20901376</v>
      </c>
      <c r="M17" s="2">
        <f t="shared" si="7"/>
        <v>4679486</v>
      </c>
      <c r="O17" s="6">
        <v>8976659</v>
      </c>
      <c r="Q17" s="6">
        <v>13656145</v>
      </c>
      <c r="S17" s="6">
        <v>116018</v>
      </c>
      <c r="U17" s="6">
        <v>4551984</v>
      </c>
      <c r="W17" s="6">
        <v>133067</v>
      </c>
      <c r="Y17" s="6">
        <v>2180295</v>
      </c>
      <c r="AA17" s="6">
        <v>263867</v>
      </c>
      <c r="AC17" s="12">
        <f t="shared" si="5"/>
        <v>7245231</v>
      </c>
      <c r="AE17" s="6">
        <f t="shared" si="6"/>
        <v>0</v>
      </c>
    </row>
    <row r="18" spans="1:31">
      <c r="A18" s="11" t="s">
        <v>292</v>
      </c>
      <c r="B18" s="11"/>
      <c r="C18" s="11" t="s">
        <v>25</v>
      </c>
      <c r="E18" s="6">
        <v>4634422</v>
      </c>
      <c r="G18" s="6">
        <v>0</v>
      </c>
      <c r="I18" s="2">
        <f t="shared" si="4"/>
        <v>3980982</v>
      </c>
      <c r="K18" s="6">
        <v>8615404</v>
      </c>
      <c r="M18" s="2">
        <f t="shared" si="7"/>
        <v>1822097</v>
      </c>
      <c r="O18" s="6">
        <v>3409403</v>
      </c>
      <c r="Q18" s="6">
        <v>5231500</v>
      </c>
      <c r="S18" s="6">
        <v>0</v>
      </c>
      <c r="U18" s="6">
        <v>1164189</v>
      </c>
      <c r="W18" s="6">
        <v>0</v>
      </c>
      <c r="Y18" s="6">
        <v>142810</v>
      </c>
      <c r="AA18" s="6">
        <v>2076905</v>
      </c>
      <c r="AC18" s="12">
        <f t="shared" si="5"/>
        <v>3383904</v>
      </c>
      <c r="AE18" s="6">
        <f t="shared" si="6"/>
        <v>0</v>
      </c>
    </row>
    <row r="19" spans="1:31">
      <c r="A19" s="11" t="s">
        <v>749</v>
      </c>
      <c r="B19" s="11"/>
      <c r="C19" s="11" t="s">
        <v>44</v>
      </c>
      <c r="D19" s="54"/>
      <c r="E19" s="6">
        <f>8533198+750083</f>
        <v>9283281</v>
      </c>
      <c r="G19" s="6">
        <v>442773</v>
      </c>
      <c r="I19" s="2">
        <f t="shared" si="4"/>
        <v>18764411</v>
      </c>
      <c r="K19" s="6">
        <v>28490465</v>
      </c>
      <c r="M19" s="2">
        <f t="shared" si="7"/>
        <v>5403498</v>
      </c>
      <c r="O19" s="6">
        <v>16498105</v>
      </c>
      <c r="Q19" s="6">
        <v>21901603</v>
      </c>
      <c r="S19" s="6">
        <v>24056</v>
      </c>
      <c r="U19" s="6">
        <v>3095702</v>
      </c>
      <c r="W19" s="6">
        <v>0</v>
      </c>
      <c r="Y19" s="6">
        <v>399705</v>
      </c>
      <c r="AA19" s="6">
        <v>3069399</v>
      </c>
      <c r="AC19" s="12">
        <f t="shared" si="5"/>
        <v>6588862</v>
      </c>
      <c r="AE19" s="6">
        <f t="shared" si="6"/>
        <v>0</v>
      </c>
    </row>
    <row r="20" spans="1:31">
      <c r="A20" s="11" t="s">
        <v>804</v>
      </c>
      <c r="B20" s="11"/>
      <c r="C20" s="11" t="s">
        <v>61</v>
      </c>
      <c r="E20" s="6">
        <v>6340637</v>
      </c>
      <c r="G20" s="6">
        <v>70953</v>
      </c>
      <c r="I20" s="2">
        <f t="shared" ref="I20:I35" si="12">K20-E20-G20</f>
        <v>3779861</v>
      </c>
      <c r="K20" s="6">
        <v>10191451</v>
      </c>
      <c r="M20" s="2">
        <f t="shared" si="7"/>
        <v>1532262</v>
      </c>
      <c r="O20" s="6">
        <v>2953574</v>
      </c>
      <c r="Q20" s="6">
        <v>4485836</v>
      </c>
      <c r="S20" s="6">
        <v>14181</v>
      </c>
      <c r="U20" s="6">
        <v>2806555</v>
      </c>
      <c r="W20" s="6">
        <v>0</v>
      </c>
      <c r="Y20" s="6">
        <v>189926</v>
      </c>
      <c r="AA20" s="6">
        <v>2694953</v>
      </c>
      <c r="AC20" s="12">
        <f t="shared" si="5"/>
        <v>5705615</v>
      </c>
      <c r="AE20" s="6">
        <f t="shared" si="6"/>
        <v>0</v>
      </c>
    </row>
    <row r="21" spans="1:31" hidden="1">
      <c r="A21" s="11" t="s">
        <v>691</v>
      </c>
      <c r="B21" s="11"/>
      <c r="C21" s="11" t="s">
        <v>603</v>
      </c>
      <c r="I21" s="2">
        <f t="shared" si="12"/>
        <v>0</v>
      </c>
      <c r="M21" s="2">
        <f t="shared" si="7"/>
        <v>0</v>
      </c>
      <c r="AC21" s="12">
        <f t="shared" si="5"/>
        <v>0</v>
      </c>
      <c r="AE21" s="6">
        <f t="shared" si="6"/>
        <v>0</v>
      </c>
    </row>
    <row r="22" spans="1:31">
      <c r="A22" s="11" t="s">
        <v>390</v>
      </c>
      <c r="B22" s="11"/>
      <c r="C22" s="11" t="s">
        <v>115</v>
      </c>
      <c r="E22" s="6">
        <v>11690368</v>
      </c>
      <c r="G22" s="6">
        <v>0</v>
      </c>
      <c r="I22" s="2">
        <f t="shared" si="12"/>
        <v>25050855</v>
      </c>
      <c r="K22" s="6">
        <v>36741223</v>
      </c>
      <c r="M22" s="2">
        <f t="shared" si="7"/>
        <v>5672478</v>
      </c>
      <c r="O22" s="6">
        <f>671109+22967595</f>
        <v>23638704</v>
      </c>
      <c r="Q22" s="6">
        <v>29311182</v>
      </c>
      <c r="S22" s="6">
        <f>74195+2425</f>
        <v>76620</v>
      </c>
      <c r="U22" s="6">
        <f>1135497+110513+2687+267617+6774</f>
        <v>1523088</v>
      </c>
      <c r="W22" s="6">
        <v>1885127</v>
      </c>
      <c r="Y22" s="6">
        <f>131475+247498+350+99193+1497+2068358</f>
        <v>2548371</v>
      </c>
      <c r="AA22" s="6">
        <v>1396835</v>
      </c>
      <c r="AC22" s="12">
        <f t="shared" si="5"/>
        <v>7430041</v>
      </c>
      <c r="AE22" s="6">
        <f t="shared" si="6"/>
        <v>0</v>
      </c>
    </row>
    <row r="23" spans="1:31" hidden="1">
      <c r="A23" s="11" t="s">
        <v>865</v>
      </c>
      <c r="B23" s="11"/>
      <c r="C23" s="11" t="s">
        <v>450</v>
      </c>
      <c r="I23" s="2">
        <f t="shared" ref="I23" si="13">K23-E23-G23</f>
        <v>0</v>
      </c>
      <c r="M23" s="2">
        <f t="shared" ref="M23" si="14">Q23-O23</f>
        <v>0</v>
      </c>
      <c r="AC23" s="12">
        <f t="shared" ref="AC23" si="15">S23+U23+W23+Y23+AA23</f>
        <v>0</v>
      </c>
      <c r="AE23" s="6">
        <f t="shared" ref="AE23" si="16">+E23+G23+I23-M23-O23-W23-U23-S23-Y23-AA23</f>
        <v>0</v>
      </c>
    </row>
    <row r="24" spans="1:31">
      <c r="A24" s="11" t="s">
        <v>334</v>
      </c>
      <c r="B24" s="11"/>
      <c r="C24" s="11" t="s">
        <v>33</v>
      </c>
      <c r="E24" s="6">
        <v>4173574</v>
      </c>
      <c r="G24" s="6">
        <v>61510</v>
      </c>
      <c r="I24" s="2">
        <f t="shared" si="12"/>
        <v>2579592</v>
      </c>
      <c r="K24" s="6">
        <v>6814676</v>
      </c>
      <c r="M24" s="2">
        <f t="shared" si="7"/>
        <v>627174</v>
      </c>
      <c r="O24" s="6">
        <v>1940249</v>
      </c>
      <c r="Q24" s="6">
        <v>2567423</v>
      </c>
      <c r="S24" s="6">
        <v>10268</v>
      </c>
      <c r="U24" s="6">
        <v>392125</v>
      </c>
      <c r="W24" s="6">
        <v>0</v>
      </c>
      <c r="Y24" s="6">
        <v>53100</v>
      </c>
      <c r="AA24" s="6">
        <v>3791760</v>
      </c>
      <c r="AC24" s="12">
        <f t="shared" si="5"/>
        <v>4247253</v>
      </c>
      <c r="AE24" s="6">
        <f t="shared" si="6"/>
        <v>0</v>
      </c>
    </row>
    <row r="25" spans="1:31" hidden="1">
      <c r="A25" s="11" t="s">
        <v>670</v>
      </c>
      <c r="B25" s="11"/>
      <c r="C25" s="11" t="s">
        <v>21</v>
      </c>
      <c r="I25" s="2">
        <f t="shared" si="12"/>
        <v>0</v>
      </c>
      <c r="M25" s="2">
        <f t="shared" si="7"/>
        <v>0</v>
      </c>
      <c r="AC25" s="12">
        <f t="shared" si="5"/>
        <v>0</v>
      </c>
      <c r="AE25" s="6">
        <f t="shared" si="6"/>
        <v>0</v>
      </c>
    </row>
    <row r="26" spans="1:31">
      <c r="A26" s="11" t="s">
        <v>866</v>
      </c>
      <c r="B26" s="11"/>
      <c r="C26" s="11" t="s">
        <v>28</v>
      </c>
      <c r="E26" s="6">
        <f>7499113+34698</f>
        <v>7533811</v>
      </c>
      <c r="G26" s="6">
        <v>0</v>
      </c>
      <c r="I26" s="2">
        <f t="shared" si="12"/>
        <v>7059268</v>
      </c>
      <c r="K26" s="6">
        <v>14593079</v>
      </c>
      <c r="M26" s="2">
        <f t="shared" si="7"/>
        <v>1331871</v>
      </c>
      <c r="O26" s="6">
        <v>6606191</v>
      </c>
      <c r="Q26" s="6">
        <v>7938062</v>
      </c>
      <c r="S26" s="6">
        <v>14435</v>
      </c>
      <c r="U26" s="6">
        <v>2799133</v>
      </c>
      <c r="W26" s="6">
        <v>0</v>
      </c>
      <c r="Y26" s="6">
        <v>49472</v>
      </c>
      <c r="AA26" s="6">
        <v>3791977</v>
      </c>
      <c r="AC26" s="12">
        <f t="shared" si="5"/>
        <v>6655017</v>
      </c>
      <c r="AE26" s="6">
        <f t="shared" si="6"/>
        <v>0</v>
      </c>
    </row>
    <row r="27" spans="1:31">
      <c r="A27" s="11" t="s">
        <v>335</v>
      </c>
      <c r="B27" s="11"/>
      <c r="C27" s="11" t="s">
        <v>33</v>
      </c>
      <c r="E27" s="6">
        <v>1944288</v>
      </c>
      <c r="G27" s="6">
        <v>381530</v>
      </c>
      <c r="I27" s="2">
        <f t="shared" si="12"/>
        <v>1926699</v>
      </c>
      <c r="K27" s="6">
        <v>4252517</v>
      </c>
      <c r="M27" s="2">
        <f t="shared" si="7"/>
        <v>744820</v>
      </c>
      <c r="O27" s="6">
        <v>1268806</v>
      </c>
      <c r="Q27" s="6">
        <v>2013626</v>
      </c>
      <c r="S27" s="6">
        <v>34768</v>
      </c>
      <c r="U27" s="6">
        <v>635904</v>
      </c>
      <c r="W27" s="6">
        <v>7334</v>
      </c>
      <c r="Y27" s="6">
        <v>75812</v>
      </c>
      <c r="AA27" s="6">
        <v>1485073</v>
      </c>
      <c r="AC27" s="12">
        <f t="shared" si="5"/>
        <v>2238891</v>
      </c>
      <c r="AE27" s="6">
        <f t="shared" si="6"/>
        <v>0</v>
      </c>
    </row>
    <row r="28" spans="1:31">
      <c r="A28" s="11" t="s">
        <v>203</v>
      </c>
      <c r="B28" s="11"/>
      <c r="C28" s="11" t="s">
        <v>11</v>
      </c>
      <c r="E28" s="6">
        <f>6832512+2551</f>
        <v>6835063</v>
      </c>
      <c r="G28" s="6">
        <v>0</v>
      </c>
      <c r="I28" s="2">
        <f t="shared" si="12"/>
        <v>15898554</v>
      </c>
      <c r="K28" s="6">
        <v>22733617</v>
      </c>
      <c r="M28" s="2">
        <f t="shared" si="7"/>
        <v>4123824</v>
      </c>
      <c r="O28" s="6">
        <v>12660750</v>
      </c>
      <c r="Q28" s="6">
        <v>16784574</v>
      </c>
      <c r="S28" s="6">
        <v>10487</v>
      </c>
      <c r="U28" s="6">
        <v>704054</v>
      </c>
      <c r="W28" s="6">
        <v>0</v>
      </c>
      <c r="Y28" s="6">
        <v>1565551</v>
      </c>
      <c r="AA28" s="6">
        <v>3668951</v>
      </c>
      <c r="AC28" s="12">
        <f t="shared" si="5"/>
        <v>5949043</v>
      </c>
      <c r="AE28" s="6">
        <f t="shared" si="6"/>
        <v>0</v>
      </c>
    </row>
    <row r="29" spans="1:31">
      <c r="A29" s="11" t="s">
        <v>669</v>
      </c>
      <c r="B29" s="11"/>
      <c r="C29" s="11" t="s">
        <v>12</v>
      </c>
      <c r="E29" s="6">
        <v>8778543</v>
      </c>
      <c r="G29" s="6">
        <v>4103977</v>
      </c>
      <c r="I29" s="2">
        <f t="shared" si="12"/>
        <v>15684954</v>
      </c>
      <c r="K29" s="6">
        <v>28567474</v>
      </c>
      <c r="M29" s="2">
        <f t="shared" si="7"/>
        <v>6687722</v>
      </c>
      <c r="O29" s="6">
        <v>9192188</v>
      </c>
      <c r="Q29" s="6">
        <v>15879910</v>
      </c>
      <c r="S29" s="6">
        <v>213571</v>
      </c>
      <c r="U29" s="6">
        <v>11777858</v>
      </c>
      <c r="W29" s="6">
        <v>69389</v>
      </c>
      <c r="Y29" s="6">
        <v>304027</v>
      </c>
      <c r="AA29" s="6">
        <v>322719</v>
      </c>
      <c r="AC29" s="12">
        <f t="shared" si="5"/>
        <v>12687564</v>
      </c>
      <c r="AE29" s="6">
        <f t="shared" si="6"/>
        <v>0</v>
      </c>
    </row>
    <row r="30" spans="1:31">
      <c r="A30" s="11" t="s">
        <v>210</v>
      </c>
      <c r="B30" s="11"/>
      <c r="C30" s="11" t="s">
        <v>13</v>
      </c>
      <c r="E30" s="6">
        <v>13796226</v>
      </c>
      <c r="G30" s="6">
        <v>0</v>
      </c>
      <c r="I30" s="2">
        <f t="shared" si="12"/>
        <v>18799559</v>
      </c>
      <c r="K30" s="6">
        <v>32595785</v>
      </c>
      <c r="M30" s="2">
        <f t="shared" si="7"/>
        <v>4129407</v>
      </c>
      <c r="O30" s="6">
        <v>15621461</v>
      </c>
      <c r="Q30" s="6">
        <v>19750868</v>
      </c>
      <c r="S30" s="6">
        <v>115047</v>
      </c>
      <c r="U30" s="6">
        <v>5585440</v>
      </c>
      <c r="W30" s="6">
        <v>0</v>
      </c>
      <c r="Y30" s="6">
        <v>566558</v>
      </c>
      <c r="AA30" s="6">
        <v>6577872</v>
      </c>
      <c r="AC30" s="12">
        <f t="shared" si="5"/>
        <v>12844917</v>
      </c>
      <c r="AE30" s="6">
        <f t="shared" si="6"/>
        <v>0</v>
      </c>
    </row>
    <row r="31" spans="1:31">
      <c r="A31" s="11" t="s">
        <v>459</v>
      </c>
      <c r="B31" s="11"/>
      <c r="C31" s="11" t="s">
        <v>56</v>
      </c>
      <c r="E31" s="6">
        <f>5854036+14</f>
        <v>5854050</v>
      </c>
      <c r="G31" s="6">
        <v>0</v>
      </c>
      <c r="I31" s="2">
        <f t="shared" si="12"/>
        <v>23706217</v>
      </c>
      <c r="K31" s="6">
        <v>29560267</v>
      </c>
      <c r="M31" s="2">
        <f t="shared" si="7"/>
        <v>3530174</v>
      </c>
      <c r="O31" s="6">
        <v>21619132</v>
      </c>
      <c r="Q31" s="6">
        <v>25149306</v>
      </c>
      <c r="S31" s="6">
        <v>20634</v>
      </c>
      <c r="U31" s="6">
        <v>2167928</v>
      </c>
      <c r="W31" s="6">
        <v>0</v>
      </c>
      <c r="Y31" s="6">
        <v>2311696</v>
      </c>
      <c r="AA31" s="6">
        <v>-89297</v>
      </c>
      <c r="AC31" s="12">
        <f t="shared" si="5"/>
        <v>4410961</v>
      </c>
      <c r="AE31" s="6">
        <f t="shared" si="6"/>
        <v>0</v>
      </c>
    </row>
    <row r="32" spans="1:31">
      <c r="A32" s="11" t="s">
        <v>401</v>
      </c>
      <c r="B32" s="11"/>
      <c r="C32" s="11" t="s">
        <v>45</v>
      </c>
      <c r="E32" s="6">
        <v>22841966</v>
      </c>
      <c r="G32" s="6">
        <v>8395</v>
      </c>
      <c r="I32" s="2">
        <f t="shared" si="12"/>
        <v>52130123</v>
      </c>
      <c r="K32" s="6">
        <v>74980484</v>
      </c>
      <c r="M32" s="2">
        <f t="shared" si="7"/>
        <v>7555407</v>
      </c>
      <c r="O32" s="6">
        <f>6574030+18531200</f>
        <v>25105230</v>
      </c>
      <c r="Q32" s="6">
        <v>32660637</v>
      </c>
      <c r="S32" s="6">
        <v>158521</v>
      </c>
      <c r="U32" s="6">
        <v>38884438</v>
      </c>
      <c r="W32" s="6">
        <v>1591572</v>
      </c>
      <c r="Y32" s="6">
        <v>1858367</v>
      </c>
      <c r="AA32" s="6">
        <v>-173051</v>
      </c>
      <c r="AC32" s="12">
        <f t="shared" si="5"/>
        <v>42319847</v>
      </c>
      <c r="AE32" s="6">
        <f t="shared" si="6"/>
        <v>0</v>
      </c>
    </row>
    <row r="33" spans="1:31">
      <c r="A33" s="11" t="s">
        <v>380</v>
      </c>
      <c r="B33" s="11"/>
      <c r="C33" s="11" t="s">
        <v>44</v>
      </c>
      <c r="E33" s="6">
        <f>16192115+137322</f>
        <v>16329437</v>
      </c>
      <c r="G33" s="6">
        <v>113990</v>
      </c>
      <c r="I33" s="2">
        <f t="shared" si="12"/>
        <v>34878499</v>
      </c>
      <c r="K33" s="6">
        <v>51321926</v>
      </c>
      <c r="M33" s="2">
        <f t="shared" si="7"/>
        <v>6756094</v>
      </c>
      <c r="O33" s="6">
        <v>29641095</v>
      </c>
      <c r="Q33" s="6">
        <v>36397189</v>
      </c>
      <c r="S33" s="6">
        <v>61011</v>
      </c>
      <c r="U33" s="6">
        <v>5775418</v>
      </c>
      <c r="W33" s="6">
        <v>113990</v>
      </c>
      <c r="Y33" s="6">
        <v>2359708</v>
      </c>
      <c r="AA33" s="6">
        <v>6614610</v>
      </c>
      <c r="AC33" s="12">
        <f t="shared" si="5"/>
        <v>14924737</v>
      </c>
      <c r="AE33" s="6">
        <f t="shared" si="6"/>
        <v>0</v>
      </c>
    </row>
    <row r="34" spans="1:31">
      <c r="A34" s="11" t="s">
        <v>381</v>
      </c>
      <c r="B34" s="11"/>
      <c r="C34" s="11" t="s">
        <v>44</v>
      </c>
      <c r="E34" s="6">
        <v>19261757</v>
      </c>
      <c r="G34" s="6">
        <v>0</v>
      </c>
      <c r="I34" s="2">
        <f t="shared" si="12"/>
        <v>28730111</v>
      </c>
      <c r="K34" s="6">
        <v>47991868</v>
      </c>
      <c r="M34" s="2">
        <f t="shared" si="7"/>
        <v>9294460</v>
      </c>
      <c r="O34" s="6">
        <v>24880555</v>
      </c>
      <c r="Q34" s="6">
        <v>34175015</v>
      </c>
      <c r="S34" s="6">
        <v>0</v>
      </c>
      <c r="U34" s="6">
        <v>6095839</v>
      </c>
      <c r="W34" s="6">
        <v>0</v>
      </c>
      <c r="Y34" s="6">
        <v>501891</v>
      </c>
      <c r="AA34" s="6">
        <v>7219123</v>
      </c>
      <c r="AC34" s="12">
        <f t="shared" si="5"/>
        <v>13816853</v>
      </c>
      <c r="AE34" s="6">
        <f t="shared" si="6"/>
        <v>0</v>
      </c>
    </row>
    <row r="35" spans="1:31">
      <c r="A35" s="11" t="s">
        <v>283</v>
      </c>
      <c r="B35" s="11"/>
      <c r="C35" s="11" t="s">
        <v>22</v>
      </c>
      <c r="E35" s="6">
        <v>4378520</v>
      </c>
      <c r="G35" s="6">
        <v>1056</v>
      </c>
      <c r="I35" s="2">
        <f t="shared" si="12"/>
        <v>3027756</v>
      </c>
      <c r="K35" s="6">
        <v>7407332</v>
      </c>
      <c r="M35" s="2">
        <f t="shared" si="7"/>
        <v>1006780</v>
      </c>
      <c r="O35" s="6">
        <v>2318087</v>
      </c>
      <c r="Q35" s="6">
        <v>3324867</v>
      </c>
      <c r="S35" s="6">
        <f>33470+14243</f>
        <v>47713</v>
      </c>
      <c r="U35" s="6">
        <f>126045+68406+16774</f>
        <v>211225</v>
      </c>
      <c r="W35" s="6">
        <f>82254+217888</f>
        <v>300142</v>
      </c>
      <c r="Y35" s="6">
        <f>71676+65891+4933</f>
        <v>142500</v>
      </c>
      <c r="AA35" s="6">
        <v>3380885</v>
      </c>
      <c r="AC35" s="12">
        <f t="shared" si="5"/>
        <v>4082465</v>
      </c>
      <c r="AE35" s="6">
        <f t="shared" si="6"/>
        <v>0</v>
      </c>
    </row>
    <row r="36" spans="1:31">
      <c r="A36" s="11" t="s">
        <v>507</v>
      </c>
      <c r="B36" s="11"/>
      <c r="C36" s="11" t="s">
        <v>63</v>
      </c>
      <c r="E36" s="6">
        <v>23492106</v>
      </c>
      <c r="G36" s="6">
        <v>0</v>
      </c>
      <c r="I36" s="2">
        <f t="shared" ref="I36:I54" si="17">+K36-G36-E36</f>
        <v>18327579</v>
      </c>
      <c r="K36" s="6">
        <v>41819685</v>
      </c>
      <c r="M36" s="2">
        <f t="shared" ref="M36:M54" si="18">+Q36-O36</f>
        <v>8604370</v>
      </c>
      <c r="O36" s="6">
        <f>4735090+11293284</f>
        <v>16028374</v>
      </c>
      <c r="Q36" s="6">
        <v>24632744</v>
      </c>
      <c r="S36" s="6">
        <v>121057</v>
      </c>
      <c r="U36" s="6">
        <f>2170301+11504658+889472+194105+25093+900+97035+75335</f>
        <v>14956899</v>
      </c>
      <c r="W36" s="6">
        <v>0</v>
      </c>
      <c r="Y36" s="6">
        <f>150185+183219+936397+4693+1609052+227734</f>
        <v>3111280</v>
      </c>
      <c r="AA36" s="6">
        <v>-1002295</v>
      </c>
      <c r="AC36" s="12">
        <f t="shared" si="5"/>
        <v>17186941</v>
      </c>
      <c r="AE36" s="6">
        <f t="shared" si="6"/>
        <v>0</v>
      </c>
    </row>
    <row r="37" spans="1:31">
      <c r="A37" s="11" t="s">
        <v>750</v>
      </c>
      <c r="B37" s="11"/>
      <c r="C37" s="11" t="s">
        <v>15</v>
      </c>
      <c r="E37" s="6">
        <v>4277359</v>
      </c>
      <c r="G37" s="6">
        <v>0</v>
      </c>
      <c r="I37" s="2">
        <f t="shared" si="17"/>
        <v>5022687</v>
      </c>
      <c r="K37" s="6">
        <v>9300046</v>
      </c>
      <c r="M37" s="2">
        <f t="shared" si="18"/>
        <v>1238471</v>
      </c>
      <c r="O37" s="6">
        <v>4166869</v>
      </c>
      <c r="Q37" s="6">
        <v>5405340</v>
      </c>
      <c r="S37" s="6">
        <f>28347+299639</f>
        <v>327986</v>
      </c>
      <c r="U37" s="6">
        <f>86+640796+41899+33095+11352+20394+107789</f>
        <v>855411</v>
      </c>
      <c r="W37" s="6">
        <v>206350</v>
      </c>
      <c r="Y37" s="6">
        <v>315320</v>
      </c>
      <c r="AA37" s="6">
        <v>2189639</v>
      </c>
      <c r="AC37" s="12">
        <f t="shared" si="5"/>
        <v>3894706</v>
      </c>
      <c r="AE37" s="6">
        <f t="shared" si="6"/>
        <v>0</v>
      </c>
    </row>
    <row r="38" spans="1:31">
      <c r="A38" s="11" t="s">
        <v>237</v>
      </c>
      <c r="B38" s="11"/>
      <c r="C38" s="11" t="s">
        <v>113</v>
      </c>
      <c r="E38" s="6">
        <v>2534545</v>
      </c>
      <c r="G38" s="6">
        <v>78607</v>
      </c>
      <c r="I38" s="2">
        <f t="shared" si="17"/>
        <v>7853734</v>
      </c>
      <c r="K38" s="6">
        <v>10466886</v>
      </c>
      <c r="M38" s="2">
        <f t="shared" si="18"/>
        <v>1995361</v>
      </c>
      <c r="O38" s="6">
        <v>6840017</v>
      </c>
      <c r="Q38" s="6">
        <v>8835378</v>
      </c>
      <c r="S38" s="6">
        <v>0</v>
      </c>
      <c r="U38" s="6">
        <v>2009824</v>
      </c>
      <c r="W38" s="6">
        <v>328</v>
      </c>
      <c r="Y38" s="6">
        <v>819312</v>
      </c>
      <c r="AA38" s="6">
        <v>-1197956</v>
      </c>
      <c r="AC38" s="12">
        <f t="shared" si="5"/>
        <v>1631508</v>
      </c>
      <c r="AE38" s="6">
        <f t="shared" si="6"/>
        <v>0</v>
      </c>
    </row>
    <row r="39" spans="1:31" hidden="1">
      <c r="A39" s="11" t="s">
        <v>671</v>
      </c>
      <c r="B39" s="11"/>
      <c r="C39" s="11" t="s">
        <v>10</v>
      </c>
      <c r="I39" s="2">
        <f t="shared" si="17"/>
        <v>0</v>
      </c>
      <c r="M39" s="2">
        <f t="shared" si="18"/>
        <v>0</v>
      </c>
      <c r="AC39" s="12">
        <f t="shared" si="5"/>
        <v>0</v>
      </c>
      <c r="AE39" s="6">
        <f t="shared" si="6"/>
        <v>0</v>
      </c>
    </row>
    <row r="40" spans="1:31">
      <c r="A40" s="11" t="s">
        <v>634</v>
      </c>
      <c r="B40" s="11"/>
      <c r="C40" s="11" t="s">
        <v>20</v>
      </c>
      <c r="E40" s="6">
        <v>13082857</v>
      </c>
      <c r="G40" s="6">
        <v>0</v>
      </c>
      <c r="I40" s="2">
        <f t="shared" si="17"/>
        <v>24912000</v>
      </c>
      <c r="K40" s="6">
        <v>37994857</v>
      </c>
      <c r="M40" s="2">
        <f t="shared" si="18"/>
        <v>4065565</v>
      </c>
      <c r="O40" s="6">
        <v>21599089</v>
      </c>
      <c r="Q40" s="6">
        <v>25664654</v>
      </c>
      <c r="S40" s="6">
        <v>42255</v>
      </c>
      <c r="U40" s="6">
        <v>4006978</v>
      </c>
      <c r="W40" s="6">
        <v>0</v>
      </c>
      <c r="Y40" s="6">
        <v>1546549</v>
      </c>
      <c r="AA40" s="6">
        <v>6734421</v>
      </c>
      <c r="AC40" s="12">
        <f t="shared" si="5"/>
        <v>12330203</v>
      </c>
      <c r="AE40" s="6">
        <f t="shared" si="6"/>
        <v>0</v>
      </c>
    </row>
    <row r="41" spans="1:31">
      <c r="A41" s="11" t="s">
        <v>261</v>
      </c>
      <c r="B41" s="11"/>
      <c r="C41" s="11" t="s">
        <v>20</v>
      </c>
      <c r="E41" s="6">
        <f>41843076+134873</f>
        <v>41977949</v>
      </c>
      <c r="G41" s="6">
        <v>0</v>
      </c>
      <c r="I41" s="2">
        <f t="shared" si="17"/>
        <v>29422808</v>
      </c>
      <c r="K41" s="6">
        <v>71400757</v>
      </c>
      <c r="M41" s="2">
        <f t="shared" si="18"/>
        <v>7656565</v>
      </c>
      <c r="O41" s="6">
        <v>23292451</v>
      </c>
      <c r="Q41" s="6">
        <v>30949016</v>
      </c>
      <c r="S41" s="6">
        <v>86135</v>
      </c>
      <c r="U41" s="6">
        <v>4826290</v>
      </c>
      <c r="W41" s="6">
        <v>17119999</v>
      </c>
      <c r="Y41" s="6">
        <v>2412549</v>
      </c>
      <c r="AA41" s="6">
        <v>16006768</v>
      </c>
      <c r="AC41" s="12">
        <f t="shared" si="5"/>
        <v>40451741</v>
      </c>
      <c r="AE41" s="6">
        <f t="shared" si="6"/>
        <v>0</v>
      </c>
    </row>
    <row r="42" spans="1:31">
      <c r="A42" s="11" t="s">
        <v>246</v>
      </c>
      <c r="B42" s="11"/>
      <c r="C42" s="11" t="s">
        <v>112</v>
      </c>
      <c r="E42" s="6">
        <v>1378579</v>
      </c>
      <c r="G42" s="6">
        <v>0</v>
      </c>
      <c r="I42" s="2">
        <f t="shared" si="17"/>
        <v>6858457</v>
      </c>
      <c r="K42" s="6">
        <v>8237036</v>
      </c>
      <c r="M42" s="2">
        <f t="shared" si="18"/>
        <v>2071674</v>
      </c>
      <c r="O42" s="6">
        <v>6453696</v>
      </c>
      <c r="Q42" s="6">
        <v>8525370</v>
      </c>
      <c r="S42" s="6">
        <v>54311</v>
      </c>
      <c r="U42" s="6">
        <v>389015</v>
      </c>
      <c r="W42" s="6">
        <v>0</v>
      </c>
      <c r="Y42" s="6">
        <v>209091</v>
      </c>
      <c r="AA42" s="6">
        <v>-940751</v>
      </c>
      <c r="AC42" s="12">
        <f t="shared" si="5"/>
        <v>-288334</v>
      </c>
      <c r="AE42" s="6">
        <f t="shared" si="6"/>
        <v>0</v>
      </c>
    </row>
    <row r="43" spans="1:31">
      <c r="A43" s="11" t="s">
        <v>317</v>
      </c>
      <c r="B43" s="11"/>
      <c r="C43" s="11" t="s">
        <v>114</v>
      </c>
      <c r="E43" s="6">
        <v>101356235</v>
      </c>
      <c r="G43" s="6">
        <v>0</v>
      </c>
      <c r="I43" s="2">
        <f t="shared" si="17"/>
        <v>54526362</v>
      </c>
      <c r="K43" s="6">
        <v>155882597</v>
      </c>
      <c r="M43" s="2">
        <f t="shared" si="18"/>
        <v>11305316</v>
      </c>
      <c r="O43" s="6">
        <v>48949605</v>
      </c>
      <c r="Q43" s="6">
        <v>60254921</v>
      </c>
      <c r="S43" s="6">
        <v>22547</v>
      </c>
      <c r="U43" s="6">
        <v>69818890</v>
      </c>
      <c r="W43" s="6">
        <v>3714462</v>
      </c>
      <c r="Y43" s="6">
        <v>419622</v>
      </c>
      <c r="AA43" s="6">
        <v>21652155</v>
      </c>
      <c r="AC43" s="12">
        <f t="shared" si="5"/>
        <v>95627676</v>
      </c>
      <c r="AE43" s="6">
        <f t="shared" si="6"/>
        <v>0</v>
      </c>
    </row>
    <row r="44" spans="1:31">
      <c r="A44" s="11" t="s">
        <v>262</v>
      </c>
      <c r="B44" s="11"/>
      <c r="C44" s="11" t="s">
        <v>20</v>
      </c>
      <c r="E44" s="6">
        <v>22513614</v>
      </c>
      <c r="G44" s="6">
        <v>0</v>
      </c>
      <c r="I44" s="2">
        <f t="shared" si="17"/>
        <v>32665651</v>
      </c>
      <c r="K44" s="6">
        <v>55179265</v>
      </c>
      <c r="M44" s="2">
        <f t="shared" si="18"/>
        <v>6384742</v>
      </c>
      <c r="O44" s="6">
        <v>27169299</v>
      </c>
      <c r="Q44" s="6">
        <f>27169299+6384742</f>
        <v>33554041</v>
      </c>
      <c r="S44" s="6">
        <v>447128</v>
      </c>
      <c r="U44" s="6">
        <v>2369115</v>
      </c>
      <c r="W44" s="6">
        <v>343634</v>
      </c>
      <c r="Y44" s="6">
        <v>574438</v>
      </c>
      <c r="AA44" s="6">
        <v>17890909</v>
      </c>
      <c r="AC44" s="12">
        <f t="shared" si="5"/>
        <v>21625224</v>
      </c>
      <c r="AE44" s="6">
        <f t="shared" si="6"/>
        <v>0</v>
      </c>
    </row>
    <row r="45" spans="1:31">
      <c r="A45" s="11" t="s">
        <v>215</v>
      </c>
      <c r="B45" s="11"/>
      <c r="C45" s="11" t="s">
        <v>15</v>
      </c>
      <c r="E45" s="6">
        <f>2279032+336073</f>
        <v>2615105</v>
      </c>
      <c r="G45" s="6">
        <v>0</v>
      </c>
      <c r="I45" s="2">
        <f t="shared" si="17"/>
        <v>4107178</v>
      </c>
      <c r="K45" s="6">
        <v>6722283</v>
      </c>
      <c r="M45" s="2">
        <f t="shared" si="18"/>
        <v>3978064</v>
      </c>
      <c r="O45" s="6">
        <v>3326389</v>
      </c>
      <c r="Q45" s="6">
        <v>7304453</v>
      </c>
      <c r="S45" s="6">
        <f>74504+2681</f>
        <v>77185</v>
      </c>
      <c r="U45" s="6">
        <f>349140+686560+1180167+443566+48451+12449+5562+84371</f>
        <v>2810266</v>
      </c>
      <c r="W45" s="6">
        <v>0</v>
      </c>
      <c r="Y45" s="6">
        <v>0</v>
      </c>
      <c r="AA45" s="6">
        <v>-3469621</v>
      </c>
      <c r="AC45" s="12">
        <f t="shared" si="5"/>
        <v>-582170</v>
      </c>
      <c r="AE45" s="6">
        <f t="shared" si="6"/>
        <v>0</v>
      </c>
    </row>
    <row r="46" spans="1:31">
      <c r="A46" s="11" t="s">
        <v>735</v>
      </c>
      <c r="B46" s="11"/>
      <c r="C46" s="11" t="s">
        <v>114</v>
      </c>
      <c r="E46" s="6">
        <f>4074694+767</f>
        <v>4075461</v>
      </c>
      <c r="G46" s="6">
        <v>0</v>
      </c>
      <c r="I46" s="2">
        <f t="shared" si="17"/>
        <v>18041025</v>
      </c>
      <c r="K46" s="6">
        <v>22116486</v>
      </c>
      <c r="M46" s="2">
        <f t="shared" si="18"/>
        <v>3037142</v>
      </c>
      <c r="O46" s="6">
        <v>16052655</v>
      </c>
      <c r="Q46" s="6">
        <v>19089797</v>
      </c>
      <c r="S46" s="6">
        <v>0</v>
      </c>
      <c r="U46" s="6">
        <v>1810593</v>
      </c>
      <c r="W46" s="6">
        <v>330126</v>
      </c>
      <c r="Y46" s="6">
        <v>102093</v>
      </c>
      <c r="AA46" s="6">
        <v>783877</v>
      </c>
      <c r="AC46" s="12">
        <f t="shared" ref="AC46:AC47" si="19">S46+U46+W46+Y46+AA46</f>
        <v>3026689</v>
      </c>
      <c r="AE46" s="6">
        <f t="shared" ref="AE46:AE47" si="20">+E46+G46+I46-M46-O46-W46-U46-S46-Y46-AA46</f>
        <v>0</v>
      </c>
    </row>
    <row r="47" spans="1:31" hidden="1">
      <c r="A47" s="11" t="s">
        <v>885</v>
      </c>
      <c r="B47" s="11"/>
      <c r="C47" s="11" t="s">
        <v>43</v>
      </c>
      <c r="I47" s="2">
        <f t="shared" ref="I47" si="21">+K47-G47-E47</f>
        <v>0</v>
      </c>
      <c r="M47" s="2">
        <f t="shared" ref="M47" si="22">+Q47-O47</f>
        <v>0</v>
      </c>
      <c r="AC47" s="12">
        <f t="shared" si="19"/>
        <v>0</v>
      </c>
      <c r="AE47" s="6">
        <f t="shared" si="20"/>
        <v>0</v>
      </c>
    </row>
    <row r="48" spans="1:31">
      <c r="A48" s="11" t="s">
        <v>355</v>
      </c>
      <c r="B48" s="11"/>
      <c r="C48" s="11" t="s">
        <v>37</v>
      </c>
      <c r="E48" s="6">
        <f>19867451+101402+453640</f>
        <v>20422493</v>
      </c>
      <c r="G48" s="6">
        <v>0</v>
      </c>
      <c r="I48" s="2">
        <f t="shared" si="17"/>
        <v>10217207</v>
      </c>
      <c r="K48" s="6">
        <v>30639700</v>
      </c>
      <c r="M48" s="2">
        <f t="shared" si="18"/>
        <v>6885885</v>
      </c>
      <c r="O48" s="6">
        <f>1384687+6515264</f>
        <v>7899951</v>
      </c>
      <c r="Q48" s="6">
        <v>14785836</v>
      </c>
      <c r="S48" s="6">
        <f>67221+16865</f>
        <v>84086</v>
      </c>
      <c r="U48" s="6">
        <f>1181733+9213844+482206+211879+10478+131672</f>
        <v>11231812</v>
      </c>
      <c r="W48" s="6">
        <v>284065</v>
      </c>
      <c r="Y48" s="6">
        <f>80023+264315+927053+552+18928</f>
        <v>1290871</v>
      </c>
      <c r="AA48" s="6">
        <v>2963030</v>
      </c>
      <c r="AC48" s="12">
        <f t="shared" si="5"/>
        <v>15853864</v>
      </c>
      <c r="AE48" s="6">
        <f t="shared" si="6"/>
        <v>0</v>
      </c>
    </row>
    <row r="49" spans="1:31">
      <c r="A49" s="11" t="s">
        <v>547</v>
      </c>
      <c r="B49" s="11"/>
      <c r="C49" s="11" t="s">
        <v>70</v>
      </c>
      <c r="E49" s="6">
        <f>1700573+2500</f>
        <v>1703073</v>
      </c>
      <c r="G49" s="6">
        <v>5944</v>
      </c>
      <c r="I49" s="2">
        <f t="shared" si="17"/>
        <v>4156338</v>
      </c>
      <c r="K49" s="6">
        <v>5865355</v>
      </c>
      <c r="M49" s="2">
        <f t="shared" si="18"/>
        <v>1195926</v>
      </c>
      <c r="O49" s="6">
        <f>549400+3245136</f>
        <v>3794536</v>
      </c>
      <c r="Q49" s="6">
        <v>4990462</v>
      </c>
      <c r="S49" s="6">
        <f>33571+4474</f>
        <v>38045</v>
      </c>
      <c r="U49" s="6">
        <f>27669+2369+24255+5944</f>
        <v>60237</v>
      </c>
      <c r="W49" s="6">
        <f>5078+116369</f>
        <v>121447</v>
      </c>
      <c r="Y49" s="6">
        <f>9564+107983+226243+17958+2+2388</f>
        <v>364138</v>
      </c>
      <c r="AA49" s="6">
        <v>291026</v>
      </c>
      <c r="AC49" s="12">
        <f t="shared" si="5"/>
        <v>874893</v>
      </c>
      <c r="AE49" s="6">
        <f t="shared" si="6"/>
        <v>0</v>
      </c>
    </row>
    <row r="50" spans="1:31" hidden="1">
      <c r="A50" s="11" t="s">
        <v>886</v>
      </c>
      <c r="B50" s="11"/>
      <c r="C50" s="11" t="s">
        <v>43</v>
      </c>
      <c r="I50" s="2">
        <f t="shared" ref="I50" si="23">+K50-G50-E50</f>
        <v>0</v>
      </c>
      <c r="M50" s="2">
        <f t="shared" ref="M50" si="24">+Q50-O50</f>
        <v>0</v>
      </c>
      <c r="AC50" s="12">
        <f t="shared" ref="AC50" si="25">S50+U50+W50+Y50+AA50</f>
        <v>0</v>
      </c>
      <c r="AE50" s="6">
        <f t="shared" ref="AE50" si="26">+E50+G50+I50-M50-O50-W50-U50-S50-Y50-AA50</f>
        <v>0</v>
      </c>
    </row>
    <row r="51" spans="1:31" hidden="1">
      <c r="A51" s="11" t="s">
        <v>869</v>
      </c>
      <c r="B51" s="11"/>
      <c r="C51" s="11" t="s">
        <v>53</v>
      </c>
      <c r="I51" s="2">
        <f t="shared" si="17"/>
        <v>0</v>
      </c>
      <c r="M51" s="2">
        <f t="shared" si="18"/>
        <v>0</v>
      </c>
      <c r="AC51" s="12">
        <f t="shared" si="5"/>
        <v>0</v>
      </c>
      <c r="AE51" s="6">
        <f t="shared" si="6"/>
        <v>0</v>
      </c>
    </row>
    <row r="52" spans="1:31">
      <c r="A52" s="11" t="s">
        <v>263</v>
      </c>
      <c r="B52" s="11"/>
      <c r="C52" s="11" t="s">
        <v>20</v>
      </c>
      <c r="E52" s="6">
        <f>19978082+125780</f>
        <v>20103862</v>
      </c>
      <c r="G52" s="6">
        <v>99686</v>
      </c>
      <c r="I52" s="2">
        <f t="shared" si="17"/>
        <v>59778373</v>
      </c>
      <c r="K52" s="6">
        <v>79981921</v>
      </c>
      <c r="M52" s="2">
        <f t="shared" si="18"/>
        <v>12055003</v>
      </c>
      <c r="O52" s="6">
        <v>52225258</v>
      </c>
      <c r="Q52" s="6">
        <v>64280261</v>
      </c>
      <c r="S52" s="6">
        <v>187381</v>
      </c>
      <c r="U52" s="6">
        <v>7619346</v>
      </c>
      <c r="W52" s="6">
        <v>0</v>
      </c>
      <c r="Y52" s="6">
        <v>0</v>
      </c>
      <c r="AA52" s="6">
        <v>7894933</v>
      </c>
      <c r="AC52" s="12">
        <f t="shared" si="5"/>
        <v>15701660</v>
      </c>
      <c r="AE52" s="6">
        <f t="shared" si="6"/>
        <v>0</v>
      </c>
    </row>
    <row r="53" spans="1:31">
      <c r="A53" s="11" t="s">
        <v>639</v>
      </c>
      <c r="B53" s="11"/>
      <c r="C53" s="11" t="s">
        <v>30</v>
      </c>
      <c r="E53" s="6">
        <v>2480064</v>
      </c>
      <c r="G53" s="6">
        <v>39468</v>
      </c>
      <c r="I53" s="2">
        <f t="shared" si="17"/>
        <v>4935413</v>
      </c>
      <c r="K53" s="6">
        <v>7454945</v>
      </c>
      <c r="M53" s="2">
        <f t="shared" si="18"/>
        <v>1451017</v>
      </c>
      <c r="O53" s="6">
        <v>3896941</v>
      </c>
      <c r="Q53" s="6">
        <v>5347958</v>
      </c>
      <c r="S53" s="6">
        <v>9118</v>
      </c>
      <c r="U53" s="6">
        <v>173062</v>
      </c>
      <c r="W53" s="6">
        <v>105012</v>
      </c>
      <c r="Y53" s="6">
        <v>1137370</v>
      </c>
      <c r="AA53" s="6">
        <v>682425</v>
      </c>
      <c r="AC53" s="12">
        <f t="shared" si="5"/>
        <v>2106987</v>
      </c>
      <c r="AE53" s="6">
        <f t="shared" si="6"/>
        <v>0</v>
      </c>
    </row>
    <row r="54" spans="1:31" hidden="1">
      <c r="A54" s="11" t="s">
        <v>285</v>
      </c>
      <c r="B54" s="11"/>
      <c r="C54" s="11" t="s">
        <v>24</v>
      </c>
      <c r="I54" s="2">
        <f t="shared" si="17"/>
        <v>0</v>
      </c>
      <c r="M54" s="2">
        <f t="shared" si="18"/>
        <v>0</v>
      </c>
      <c r="AC54" s="12">
        <f t="shared" si="5"/>
        <v>0</v>
      </c>
      <c r="AE54" s="6">
        <f t="shared" si="6"/>
        <v>0</v>
      </c>
    </row>
    <row r="55" spans="1:31" hidden="1">
      <c r="A55" s="11" t="s">
        <v>792</v>
      </c>
      <c r="B55" s="11"/>
      <c r="C55" s="11" t="s">
        <v>25</v>
      </c>
      <c r="I55" s="2">
        <f t="shared" ref="I55:I87" si="27">K55-E55-G55</f>
        <v>0</v>
      </c>
      <c r="M55" s="2">
        <f t="shared" ref="M55:M87" si="28">Q55-O55</f>
        <v>0</v>
      </c>
      <c r="AC55" s="12">
        <f t="shared" si="5"/>
        <v>0</v>
      </c>
      <c r="AE55" s="6">
        <f t="shared" si="6"/>
        <v>0</v>
      </c>
    </row>
    <row r="56" spans="1:31">
      <c r="A56" s="11" t="s">
        <v>423</v>
      </c>
      <c r="B56" s="11"/>
      <c r="C56" s="11" t="s">
        <v>48</v>
      </c>
      <c r="E56" s="6">
        <v>1410151</v>
      </c>
      <c r="G56" s="6">
        <v>0</v>
      </c>
      <c r="I56" s="2">
        <f t="shared" si="27"/>
        <v>3725717</v>
      </c>
      <c r="K56" s="6">
        <v>5135868</v>
      </c>
      <c r="M56" s="2">
        <f t="shared" si="28"/>
        <v>790152</v>
      </c>
      <c r="O56" s="6">
        <v>2718114</v>
      </c>
      <c r="Q56" s="6">
        <v>3508266</v>
      </c>
      <c r="S56" s="6">
        <v>11789</v>
      </c>
      <c r="U56" s="6">
        <f>616+729904+92783+8199+9834+2301</f>
        <v>843637</v>
      </c>
      <c r="W56" s="6">
        <v>0</v>
      </c>
      <c r="Y56" s="6">
        <f>87294+52215</f>
        <v>139509</v>
      </c>
      <c r="AA56" s="6">
        <v>632667</v>
      </c>
      <c r="AC56" s="12">
        <f t="shared" si="5"/>
        <v>1627602</v>
      </c>
      <c r="AE56" s="6">
        <f t="shared" si="6"/>
        <v>0</v>
      </c>
    </row>
    <row r="57" spans="1:31">
      <c r="A57" s="11" t="s">
        <v>238</v>
      </c>
      <c r="B57" s="11"/>
      <c r="C57" s="11" t="s">
        <v>113</v>
      </c>
      <c r="E57" s="6">
        <v>5287927</v>
      </c>
      <c r="G57" s="6">
        <v>0</v>
      </c>
      <c r="I57" s="2">
        <f t="shared" si="27"/>
        <v>3898966</v>
      </c>
      <c r="K57" s="6">
        <v>9186893</v>
      </c>
      <c r="M57" s="2">
        <f t="shared" si="28"/>
        <v>1735271</v>
      </c>
      <c r="O57" s="6">
        <v>3358717</v>
      </c>
      <c r="Q57" s="6">
        <v>5093988</v>
      </c>
      <c r="S57" s="6">
        <v>0</v>
      </c>
      <c r="U57" s="6">
        <v>2398542</v>
      </c>
      <c r="W57" s="6">
        <v>0</v>
      </c>
      <c r="Y57" s="6">
        <v>227079</v>
      </c>
      <c r="AA57" s="6">
        <v>1467284</v>
      </c>
      <c r="AC57" s="12">
        <f t="shared" si="5"/>
        <v>4092905</v>
      </c>
      <c r="AE57" s="6">
        <f t="shared" si="6"/>
        <v>0</v>
      </c>
    </row>
    <row r="58" spans="1:31" hidden="1">
      <c r="A58" s="11" t="s">
        <v>672</v>
      </c>
      <c r="B58" s="11"/>
      <c r="C58" s="11" t="s">
        <v>60</v>
      </c>
      <c r="I58" s="2">
        <f t="shared" si="27"/>
        <v>0</v>
      </c>
      <c r="M58" s="2">
        <f t="shared" si="28"/>
        <v>0</v>
      </c>
      <c r="AC58" s="12">
        <f t="shared" si="5"/>
        <v>0</v>
      </c>
      <c r="AE58" s="6">
        <f t="shared" si="6"/>
        <v>0</v>
      </c>
    </row>
    <row r="59" spans="1:31">
      <c r="A59" s="11" t="s">
        <v>299</v>
      </c>
      <c r="B59" s="11"/>
      <c r="C59" s="11" t="s">
        <v>27</v>
      </c>
      <c r="E59" s="6">
        <v>22081935</v>
      </c>
      <c r="G59" s="6">
        <v>0</v>
      </c>
      <c r="I59" s="2">
        <f t="shared" si="27"/>
        <v>23963035</v>
      </c>
      <c r="K59" s="6">
        <v>46044970</v>
      </c>
      <c r="M59" s="2">
        <f t="shared" si="28"/>
        <v>4790657</v>
      </c>
      <c r="O59" s="6">
        <v>13922970</v>
      </c>
      <c r="Q59" s="6">
        <v>18713627</v>
      </c>
      <c r="S59" s="6">
        <f>7783+39441</f>
        <v>47224</v>
      </c>
      <c r="U59" s="6">
        <f>2468485+613969+212771+3438+4054+52315+97438</f>
        <v>3452470</v>
      </c>
      <c r="W59" s="6">
        <v>0</v>
      </c>
      <c r="Y59" s="6">
        <v>376720</v>
      </c>
      <c r="AA59" s="6">
        <v>23454929</v>
      </c>
      <c r="AC59" s="12">
        <f t="shared" si="5"/>
        <v>27331343</v>
      </c>
      <c r="AE59" s="6">
        <f t="shared" si="6"/>
        <v>0</v>
      </c>
    </row>
    <row r="60" spans="1:31">
      <c r="A60" s="11" t="s">
        <v>635</v>
      </c>
      <c r="B60" s="11"/>
      <c r="C60" s="11" t="s">
        <v>23</v>
      </c>
      <c r="E60" s="6">
        <f>11455739+9919</f>
        <v>11465658</v>
      </c>
      <c r="G60" s="6">
        <v>0</v>
      </c>
      <c r="I60" s="2">
        <f t="shared" si="27"/>
        <v>22781536</v>
      </c>
      <c r="K60" s="6">
        <v>34247194</v>
      </c>
      <c r="M60" s="2">
        <f t="shared" si="28"/>
        <v>4356257</v>
      </c>
      <c r="O60" s="6">
        <v>17449368</v>
      </c>
      <c r="Q60" s="6">
        <v>21805625</v>
      </c>
      <c r="S60" s="6">
        <v>52715</v>
      </c>
      <c r="U60" s="6">
        <v>4428974</v>
      </c>
      <c r="W60" s="6">
        <v>174968</v>
      </c>
      <c r="Y60" s="6">
        <v>258852</v>
      </c>
      <c r="AA60" s="6">
        <v>7526060</v>
      </c>
      <c r="AC60" s="12">
        <f t="shared" si="5"/>
        <v>12441569</v>
      </c>
      <c r="AE60" s="6">
        <f t="shared" si="6"/>
        <v>0</v>
      </c>
    </row>
    <row r="61" spans="1:31">
      <c r="A61" s="11" t="s">
        <v>414</v>
      </c>
      <c r="B61" s="11"/>
      <c r="C61" s="11" t="s">
        <v>47</v>
      </c>
      <c r="E61" s="6">
        <v>1024624</v>
      </c>
      <c r="G61" s="6">
        <v>0</v>
      </c>
      <c r="I61" s="2">
        <f t="shared" si="27"/>
        <v>4879132</v>
      </c>
      <c r="K61" s="6">
        <v>5903756</v>
      </c>
      <c r="M61" s="2">
        <f t="shared" si="28"/>
        <v>1527384</v>
      </c>
      <c r="O61" s="6">
        <f>3503605+595812</f>
        <v>4099417</v>
      </c>
      <c r="Q61" s="6">
        <v>5626801</v>
      </c>
      <c r="S61" s="6">
        <f>5925+33273+2155</f>
        <v>41353</v>
      </c>
      <c r="U61" s="6">
        <f>750431+200681+41081+8199</f>
        <v>1000392</v>
      </c>
      <c r="W61" s="6">
        <v>46935</v>
      </c>
      <c r="Y61" s="6">
        <v>0</v>
      </c>
      <c r="AA61" s="6">
        <v>-811725</v>
      </c>
      <c r="AC61" s="12">
        <f t="shared" si="5"/>
        <v>276955</v>
      </c>
      <c r="AE61" s="6">
        <f t="shared" si="6"/>
        <v>0</v>
      </c>
    </row>
    <row r="62" spans="1:31">
      <c r="A62" s="11" t="s">
        <v>242</v>
      </c>
      <c r="B62" s="11"/>
      <c r="C62" s="11" t="s">
        <v>18</v>
      </c>
      <c r="E62" s="6">
        <v>4466133</v>
      </c>
      <c r="G62" s="6">
        <v>0</v>
      </c>
      <c r="I62" s="2">
        <f t="shared" si="27"/>
        <v>4050062</v>
      </c>
      <c r="K62" s="6">
        <v>8516195</v>
      </c>
      <c r="M62" s="2">
        <f t="shared" si="28"/>
        <v>1776757</v>
      </c>
      <c r="O62" s="6">
        <v>3588741</v>
      </c>
      <c r="Q62" s="6">
        <v>5365498</v>
      </c>
      <c r="S62" s="6">
        <v>9712</v>
      </c>
      <c r="U62" s="6">
        <v>857232</v>
      </c>
      <c r="W62" s="6">
        <v>11000</v>
      </c>
      <c r="Y62" s="6">
        <v>739494</v>
      </c>
      <c r="AA62" s="6">
        <v>1533259</v>
      </c>
      <c r="AC62" s="12">
        <f t="shared" si="5"/>
        <v>3150697</v>
      </c>
      <c r="AE62" s="6">
        <f t="shared" si="6"/>
        <v>0</v>
      </c>
    </row>
    <row r="63" spans="1:31">
      <c r="A63" s="11" t="s">
        <v>293</v>
      </c>
      <c r="B63" s="11"/>
      <c r="C63" s="11" t="s">
        <v>25</v>
      </c>
      <c r="E63" s="6">
        <v>5323197</v>
      </c>
      <c r="G63" s="6">
        <v>4750000</v>
      </c>
      <c r="I63" s="2">
        <f t="shared" si="27"/>
        <v>9391378</v>
      </c>
      <c r="K63" s="6">
        <v>19464575</v>
      </c>
      <c r="M63" s="2">
        <f t="shared" si="28"/>
        <v>2866703</v>
      </c>
      <c r="O63" s="6">
        <v>7885500</v>
      </c>
      <c r="Q63" s="6">
        <v>10752203</v>
      </c>
      <c r="S63" s="6">
        <v>23520</v>
      </c>
      <c r="U63" s="6">
        <v>7775659</v>
      </c>
      <c r="W63" s="6">
        <v>0</v>
      </c>
      <c r="Y63" s="6">
        <v>143847</v>
      </c>
      <c r="AA63" s="6">
        <v>769346</v>
      </c>
      <c r="AC63" s="12">
        <f t="shared" si="5"/>
        <v>8712372</v>
      </c>
      <c r="AE63" s="6">
        <f t="shared" si="6"/>
        <v>0</v>
      </c>
    </row>
    <row r="64" spans="1:31">
      <c r="A64" s="11" t="s">
        <v>518</v>
      </c>
      <c r="B64" s="11"/>
      <c r="C64" s="11" t="s">
        <v>64</v>
      </c>
      <c r="E64" s="6">
        <v>761807</v>
      </c>
      <c r="G64" s="6">
        <v>2716</v>
      </c>
      <c r="I64" s="2">
        <f t="shared" si="27"/>
        <v>1745601</v>
      </c>
      <c r="K64" s="6">
        <v>2510124</v>
      </c>
      <c r="M64" s="2">
        <f t="shared" si="28"/>
        <v>454306</v>
      </c>
      <c r="O64" s="6">
        <f>357622+1279761</f>
        <v>1637383</v>
      </c>
      <c r="Q64" s="6">
        <v>2091689</v>
      </c>
      <c r="S64" s="6">
        <f>4490+1075</f>
        <v>5565</v>
      </c>
      <c r="U64" s="6">
        <f>13974+186967+2426+9742+2395+22041+757+2716</f>
        <v>241018</v>
      </c>
      <c r="W64" s="6">
        <v>0</v>
      </c>
      <c r="Y64" s="6">
        <f>656+1501+169695</f>
        <v>171852</v>
      </c>
      <c r="AA64" s="6">
        <v>0</v>
      </c>
      <c r="AC64" s="12">
        <f t="shared" si="5"/>
        <v>418435</v>
      </c>
      <c r="AE64" s="6">
        <f t="shared" si="6"/>
        <v>0</v>
      </c>
    </row>
    <row r="65" spans="1:31">
      <c r="A65" s="11" t="s">
        <v>479</v>
      </c>
      <c r="B65" s="11"/>
      <c r="C65" s="11" t="s">
        <v>59</v>
      </c>
      <c r="E65" s="6">
        <v>2095597</v>
      </c>
      <c r="G65" s="6">
        <v>19186</v>
      </c>
      <c r="I65" s="2">
        <f>K65-E65-G65</f>
        <v>2228457</v>
      </c>
      <c r="K65" s="6">
        <v>4343240</v>
      </c>
      <c r="M65" s="2">
        <f>Q65-O65</f>
        <v>1157553</v>
      </c>
      <c r="O65" s="6">
        <v>1499927</v>
      </c>
      <c r="Q65" s="6">
        <v>2657480</v>
      </c>
      <c r="S65" s="6">
        <v>19974</v>
      </c>
      <c r="U65" s="6">
        <v>675776</v>
      </c>
      <c r="W65" s="6">
        <v>0</v>
      </c>
      <c r="Y65" s="6">
        <v>145271</v>
      </c>
      <c r="AA65" s="6">
        <v>844739</v>
      </c>
      <c r="AC65" s="12">
        <f t="shared" si="5"/>
        <v>1685760</v>
      </c>
      <c r="AE65" s="6">
        <f t="shared" si="6"/>
        <v>0</v>
      </c>
    </row>
    <row r="66" spans="1:31" hidden="1">
      <c r="A66" s="11" t="s">
        <v>887</v>
      </c>
      <c r="B66" s="11"/>
      <c r="C66" s="11" t="s">
        <v>10</v>
      </c>
      <c r="I66" s="2">
        <f t="shared" si="27"/>
        <v>0</v>
      </c>
      <c r="M66" s="2">
        <f t="shared" si="28"/>
        <v>0</v>
      </c>
      <c r="AC66" s="12">
        <f t="shared" si="5"/>
        <v>0</v>
      </c>
      <c r="AE66" s="6">
        <f t="shared" si="6"/>
        <v>0</v>
      </c>
    </row>
    <row r="67" spans="1:31">
      <c r="A67" s="11" t="s">
        <v>402</v>
      </c>
      <c r="B67" s="11"/>
      <c r="C67" s="11" t="s">
        <v>45</v>
      </c>
      <c r="E67" s="6">
        <v>10008101</v>
      </c>
      <c r="G67" s="6">
        <v>233898</v>
      </c>
      <c r="I67" s="2">
        <f t="shared" si="27"/>
        <v>34840631</v>
      </c>
      <c r="K67" s="6">
        <v>45082630</v>
      </c>
      <c r="M67" s="2">
        <f t="shared" si="28"/>
        <v>7597352</v>
      </c>
      <c r="O67" s="6">
        <v>33651992</v>
      </c>
      <c r="Q67" s="6">
        <v>41249344</v>
      </c>
      <c r="S67" s="6">
        <v>69156</v>
      </c>
      <c r="U67" s="6">
        <v>1144467</v>
      </c>
      <c r="W67" s="6">
        <v>719610</v>
      </c>
      <c r="Y67" s="6">
        <v>1078851</v>
      </c>
      <c r="AA67" s="6">
        <v>821202</v>
      </c>
      <c r="AC67" s="12">
        <f t="shared" si="5"/>
        <v>3833286</v>
      </c>
      <c r="AE67" s="6">
        <f t="shared" si="6"/>
        <v>0</v>
      </c>
    </row>
    <row r="68" spans="1:31">
      <c r="A68" s="11" t="s">
        <v>489</v>
      </c>
      <c r="B68" s="11"/>
      <c r="C68" s="11" t="s">
        <v>61</v>
      </c>
      <c r="E68" s="6">
        <v>10921867</v>
      </c>
      <c r="G68" s="6">
        <v>4033</v>
      </c>
      <c r="I68" s="2">
        <f t="shared" si="27"/>
        <v>18568685</v>
      </c>
      <c r="K68" s="6">
        <v>29494585</v>
      </c>
      <c r="M68" s="2">
        <f t="shared" si="28"/>
        <v>665461</v>
      </c>
      <c r="O68" s="6">
        <v>18227695</v>
      </c>
      <c r="Q68" s="6">
        <v>18893156</v>
      </c>
      <c r="S68" s="6">
        <v>56194</v>
      </c>
      <c r="U68" s="6">
        <v>7930134</v>
      </c>
      <c r="W68" s="6">
        <v>55995</v>
      </c>
      <c r="Y68" s="6">
        <v>1436133</v>
      </c>
      <c r="AA68" s="6">
        <v>1122973</v>
      </c>
      <c r="AC68" s="12">
        <f t="shared" si="5"/>
        <v>10601429</v>
      </c>
      <c r="AE68" s="6">
        <f t="shared" si="6"/>
        <v>0</v>
      </c>
    </row>
    <row r="69" spans="1:31">
      <c r="A69" s="11" t="s">
        <v>554</v>
      </c>
      <c r="B69" s="11"/>
      <c r="C69" s="11" t="s">
        <v>72</v>
      </c>
      <c r="E69" s="6">
        <f>4759528+139939</f>
        <v>4899467</v>
      </c>
      <c r="G69" s="6">
        <v>0</v>
      </c>
      <c r="I69" s="2">
        <f t="shared" si="27"/>
        <v>25390376</v>
      </c>
      <c r="K69" s="6">
        <v>30289843</v>
      </c>
      <c r="M69" s="2">
        <f t="shared" si="28"/>
        <v>4293659</v>
      </c>
      <c r="O69" s="6">
        <v>15257332</v>
      </c>
      <c r="Q69" s="6">
        <v>19550991</v>
      </c>
      <c r="S69" s="6">
        <v>259054</v>
      </c>
      <c r="U69" s="6">
        <v>1966915</v>
      </c>
      <c r="W69" s="6">
        <v>2444166</v>
      </c>
      <c r="Y69" s="6">
        <v>3830846</v>
      </c>
      <c r="AA69" s="6">
        <v>2237871</v>
      </c>
      <c r="AC69" s="12">
        <f t="shared" si="5"/>
        <v>10738852</v>
      </c>
      <c r="AE69" s="6">
        <f t="shared" si="6"/>
        <v>0</v>
      </c>
    </row>
    <row r="70" spans="1:31" hidden="1">
      <c r="A70" s="11" t="s">
        <v>888</v>
      </c>
      <c r="B70" s="11"/>
      <c r="C70" s="11" t="s">
        <v>48</v>
      </c>
      <c r="I70" s="2">
        <f>K70-E70-G70</f>
        <v>0</v>
      </c>
      <c r="M70" s="2">
        <f>Q70-O70</f>
        <v>0</v>
      </c>
      <c r="AC70" s="12">
        <f t="shared" si="5"/>
        <v>0</v>
      </c>
      <c r="AE70" s="6">
        <f t="shared" si="6"/>
        <v>0</v>
      </c>
    </row>
    <row r="71" spans="1:31">
      <c r="A71" s="11" t="s">
        <v>785</v>
      </c>
      <c r="B71" s="11"/>
      <c r="C71" s="11" t="s">
        <v>20</v>
      </c>
      <c r="E71" s="6">
        <v>19778229</v>
      </c>
      <c r="G71" s="6">
        <v>0</v>
      </c>
      <c r="I71" s="2">
        <f t="shared" si="27"/>
        <v>35895196</v>
      </c>
      <c r="K71" s="6">
        <v>55673425</v>
      </c>
      <c r="M71" s="2">
        <f t="shared" si="28"/>
        <v>7742415</v>
      </c>
      <c r="O71" s="6">
        <v>31197726</v>
      </c>
      <c r="Q71" s="6">
        <v>38940141</v>
      </c>
      <c r="S71" s="6">
        <v>8834</v>
      </c>
      <c r="U71" s="6">
        <v>8652246</v>
      </c>
      <c r="W71" s="6">
        <v>200499</v>
      </c>
      <c r="Y71" s="6">
        <v>362329</v>
      </c>
      <c r="AA71" s="6">
        <v>7509376</v>
      </c>
      <c r="AC71" s="12">
        <f t="shared" si="5"/>
        <v>16733284</v>
      </c>
      <c r="AE71" s="6">
        <f t="shared" si="6"/>
        <v>0</v>
      </c>
    </row>
    <row r="72" spans="1:31">
      <c r="A72" s="11" t="s">
        <v>751</v>
      </c>
      <c r="B72" s="11"/>
      <c r="C72" s="11" t="s">
        <v>15</v>
      </c>
      <c r="E72" s="6">
        <v>2118612</v>
      </c>
      <c r="G72" s="6">
        <v>0</v>
      </c>
      <c r="I72" s="2">
        <f t="shared" si="27"/>
        <v>2518892</v>
      </c>
      <c r="K72" s="6">
        <v>4637504</v>
      </c>
      <c r="M72" s="2">
        <f t="shared" si="28"/>
        <v>912337</v>
      </c>
      <c r="O72" s="6">
        <f>580687+1555767</f>
        <v>2136454</v>
      </c>
      <c r="Q72" s="6">
        <v>3048791</v>
      </c>
      <c r="S72" s="6">
        <f>4768+3078+25003</f>
        <v>32849</v>
      </c>
      <c r="U72" s="6">
        <f>276272+327076+251282+67710+1163+7+1060+14896</f>
        <v>939466</v>
      </c>
      <c r="W72" s="6">
        <v>0</v>
      </c>
      <c r="Y72" s="6">
        <f>57385+34982+391082</f>
        <v>483449</v>
      </c>
      <c r="AA72" s="6">
        <v>132949</v>
      </c>
      <c r="AC72" s="12">
        <f t="shared" si="5"/>
        <v>1588713</v>
      </c>
      <c r="AE72" s="6">
        <f t="shared" si="6"/>
        <v>0</v>
      </c>
    </row>
    <row r="73" spans="1:31" hidden="1">
      <c r="A73" s="11" t="s">
        <v>793</v>
      </c>
      <c r="B73" s="11"/>
      <c r="C73" s="11" t="s">
        <v>348</v>
      </c>
      <c r="I73" s="2">
        <f t="shared" si="27"/>
        <v>0</v>
      </c>
      <c r="M73" s="2">
        <f t="shared" si="28"/>
        <v>0</v>
      </c>
      <c r="AC73" s="12">
        <f t="shared" si="5"/>
        <v>0</v>
      </c>
      <c r="AE73" s="6">
        <f t="shared" si="6"/>
        <v>0</v>
      </c>
    </row>
    <row r="74" spans="1:31">
      <c r="A74" s="11" t="s">
        <v>519</v>
      </c>
      <c r="B74" s="11"/>
      <c r="C74" s="11" t="s">
        <v>64</v>
      </c>
      <c r="E74" s="6">
        <v>3121841</v>
      </c>
      <c r="G74" s="6">
        <v>0</v>
      </c>
      <c r="I74" s="2">
        <f t="shared" si="27"/>
        <v>3146336</v>
      </c>
      <c r="K74" s="6">
        <v>6268177</v>
      </c>
      <c r="M74" s="2">
        <f t="shared" si="28"/>
        <v>780442</v>
      </c>
      <c r="O74" s="6">
        <f>552221+2523649</f>
        <v>3075870</v>
      </c>
      <c r="Q74" s="6">
        <v>3856312</v>
      </c>
      <c r="S74" s="6">
        <f>4514+10496</f>
        <v>15010</v>
      </c>
      <c r="U74" s="6">
        <f>101411+328407+13910+365094+2714+103829+2399</f>
        <v>917764</v>
      </c>
      <c r="W74" s="6">
        <v>0</v>
      </c>
      <c r="Y74" s="6">
        <f>28716+55691+126+510+1818+618118+68</f>
        <v>705047</v>
      </c>
      <c r="AA74" s="6">
        <v>774044</v>
      </c>
      <c r="AC74" s="12">
        <f t="shared" si="5"/>
        <v>2411865</v>
      </c>
      <c r="AE74" s="6">
        <f t="shared" si="6"/>
        <v>0</v>
      </c>
    </row>
    <row r="75" spans="1:31">
      <c r="A75" s="11" t="s">
        <v>673</v>
      </c>
      <c r="B75" s="11"/>
      <c r="C75" s="11" t="s">
        <v>64</v>
      </c>
      <c r="E75" s="6">
        <f>1842590+83155</f>
        <v>1925745</v>
      </c>
      <c r="G75" s="6">
        <v>0</v>
      </c>
      <c r="I75" s="2">
        <f t="shared" si="27"/>
        <v>5352330</v>
      </c>
      <c r="K75" s="6">
        <v>7278075</v>
      </c>
      <c r="M75" s="2">
        <f t="shared" si="28"/>
        <v>2297383</v>
      </c>
      <c r="O75" s="6">
        <f>1207914+3414078</f>
        <v>4621992</v>
      </c>
      <c r="Q75" s="6">
        <v>6919375</v>
      </c>
      <c r="S75" s="6">
        <v>350</v>
      </c>
      <c r="U75" s="6">
        <f>542779+1742423+73632+8150</f>
        <v>2366984</v>
      </c>
      <c r="W75" s="6">
        <v>0</v>
      </c>
      <c r="Y75" s="6">
        <f>19114+8005</f>
        <v>27119</v>
      </c>
      <c r="AA75" s="6">
        <v>-2035753</v>
      </c>
      <c r="AC75" s="12">
        <f t="shared" si="5"/>
        <v>358700</v>
      </c>
      <c r="AE75" s="6">
        <f t="shared" si="6"/>
        <v>0</v>
      </c>
    </row>
    <row r="76" spans="1:31">
      <c r="A76" s="11" t="s">
        <v>264</v>
      </c>
      <c r="B76" s="11"/>
      <c r="C76" s="11" t="s">
        <v>20</v>
      </c>
      <c r="E76" s="6">
        <v>4781509</v>
      </c>
      <c r="G76" s="6">
        <v>25071</v>
      </c>
      <c r="I76" s="2">
        <f t="shared" si="27"/>
        <v>13588266</v>
      </c>
      <c r="K76" s="6">
        <v>18394846</v>
      </c>
      <c r="M76" s="2">
        <f t="shared" si="28"/>
        <v>1673447</v>
      </c>
      <c r="O76" s="6">
        <v>11729577</v>
      </c>
      <c r="Q76" s="6">
        <v>13403024</v>
      </c>
      <c r="S76" s="6">
        <v>53322</v>
      </c>
      <c r="U76" s="6">
        <v>475204</v>
      </c>
      <c r="W76" s="6">
        <v>0</v>
      </c>
      <c r="Y76" s="6">
        <v>454</v>
      </c>
      <c r="AA76" s="6">
        <v>4462842</v>
      </c>
      <c r="AC76" s="12">
        <f t="shared" si="5"/>
        <v>4991822</v>
      </c>
      <c r="AE76" s="6">
        <f t="shared" si="6"/>
        <v>0</v>
      </c>
    </row>
    <row r="77" spans="1:31">
      <c r="A77" s="11" t="s">
        <v>428</v>
      </c>
      <c r="B77" s="11"/>
      <c r="C77" s="11" t="s">
        <v>50</v>
      </c>
      <c r="E77" s="6">
        <f>7391208+3993250</f>
        <v>11384458</v>
      </c>
      <c r="G77" s="6">
        <v>73584</v>
      </c>
      <c r="I77" s="2">
        <f t="shared" si="27"/>
        <v>6541025</v>
      </c>
      <c r="K77" s="6">
        <v>17999067</v>
      </c>
      <c r="M77" s="2">
        <f t="shared" si="28"/>
        <v>2158475</v>
      </c>
      <c r="O77" s="6">
        <v>5948123</v>
      </c>
      <c r="Q77" s="6">
        <v>8106598</v>
      </c>
      <c r="S77" s="6">
        <v>63685</v>
      </c>
      <c r="U77" s="6">
        <v>6716326</v>
      </c>
      <c r="W77" s="6">
        <v>17316</v>
      </c>
      <c r="Y77" s="6">
        <v>228809</v>
      </c>
      <c r="AA77" s="6">
        <v>2866333</v>
      </c>
      <c r="AC77" s="12">
        <f t="shared" si="5"/>
        <v>9892469</v>
      </c>
      <c r="AE77" s="6">
        <f t="shared" si="6"/>
        <v>0</v>
      </c>
    </row>
    <row r="78" spans="1:31">
      <c r="A78" s="11" t="s">
        <v>227</v>
      </c>
      <c r="B78" s="11"/>
      <c r="C78" s="11" t="s">
        <v>16</v>
      </c>
      <c r="E78" s="6">
        <v>3399819</v>
      </c>
      <c r="G78" s="6">
        <v>0</v>
      </c>
      <c r="I78" s="2">
        <f t="shared" si="27"/>
        <v>2987820</v>
      </c>
      <c r="K78" s="6">
        <v>6387639</v>
      </c>
      <c r="M78" s="2">
        <f t="shared" si="28"/>
        <v>632480</v>
      </c>
      <c r="O78" s="6">
        <v>1918733</v>
      </c>
      <c r="Q78" s="6">
        <v>2551213</v>
      </c>
      <c r="S78" s="6">
        <v>11581</v>
      </c>
      <c r="U78" s="6">
        <v>620315</v>
      </c>
      <c r="W78" s="6">
        <v>144902</v>
      </c>
      <c r="Y78" s="6">
        <v>15507</v>
      </c>
      <c r="AA78" s="6">
        <v>3044121</v>
      </c>
      <c r="AC78" s="12">
        <f t="shared" si="5"/>
        <v>3836426</v>
      </c>
      <c r="AE78" s="6">
        <f t="shared" si="6"/>
        <v>0</v>
      </c>
    </row>
    <row r="79" spans="1:31">
      <c r="A79" s="11" t="s">
        <v>415</v>
      </c>
      <c r="B79" s="11"/>
      <c r="C79" s="11" t="s">
        <v>47</v>
      </c>
      <c r="E79" s="6">
        <v>14585446</v>
      </c>
      <c r="G79" s="6">
        <v>0</v>
      </c>
      <c r="I79" s="2">
        <f t="shared" si="27"/>
        <v>40770295</v>
      </c>
      <c r="K79" s="6">
        <v>55355741</v>
      </c>
      <c r="M79" s="2">
        <f t="shared" si="28"/>
        <v>10519649</v>
      </c>
      <c r="O79" s="6">
        <v>35193200</v>
      </c>
      <c r="Q79" s="6">
        <v>45712849</v>
      </c>
      <c r="S79" s="6">
        <v>480645</v>
      </c>
      <c r="U79" s="6">
        <v>4084620</v>
      </c>
      <c r="W79" s="6">
        <v>1538195</v>
      </c>
      <c r="Y79" s="6">
        <v>3448504</v>
      </c>
      <c r="AA79" s="6">
        <v>90928</v>
      </c>
      <c r="AC79" s="12">
        <f t="shared" si="5"/>
        <v>9642892</v>
      </c>
      <c r="AE79" s="6">
        <f t="shared" si="6"/>
        <v>0</v>
      </c>
    </row>
    <row r="80" spans="1:31" hidden="1">
      <c r="A80" s="11" t="s">
        <v>674</v>
      </c>
      <c r="B80" s="11"/>
      <c r="C80" s="11" t="s">
        <v>552</v>
      </c>
      <c r="I80" s="2">
        <f t="shared" si="27"/>
        <v>0</v>
      </c>
      <c r="M80" s="2">
        <f t="shared" si="28"/>
        <v>0</v>
      </c>
      <c r="AC80" s="12">
        <f t="shared" si="5"/>
        <v>0</v>
      </c>
      <c r="AE80" s="6">
        <f t="shared" si="6"/>
        <v>0</v>
      </c>
    </row>
    <row r="81" spans="1:31">
      <c r="A81" s="11" t="s">
        <v>256</v>
      </c>
      <c r="B81" s="11"/>
      <c r="C81" s="11" t="s">
        <v>111</v>
      </c>
      <c r="E81" s="6">
        <v>5624697</v>
      </c>
      <c r="G81" s="6">
        <v>0</v>
      </c>
      <c r="I81" s="2">
        <f t="shared" si="27"/>
        <v>3048311</v>
      </c>
      <c r="K81" s="6">
        <v>8673008</v>
      </c>
      <c r="M81" s="2">
        <f t="shared" si="28"/>
        <v>929306</v>
      </c>
      <c r="O81" s="6">
        <f>2194143+155337</f>
        <v>2349480</v>
      </c>
      <c r="Q81" s="6">
        <v>3278786</v>
      </c>
      <c r="S81" s="6">
        <f>6410+11893</f>
        <v>18303</v>
      </c>
      <c r="U81" s="6">
        <f>750266+1813481+213306+65218+3388+24026+11749+46+19742</f>
        <v>2901222</v>
      </c>
      <c r="W81" s="6">
        <v>10000</v>
      </c>
      <c r="Y81" s="6">
        <f>70310+157179+1222+280400+6387+2410</f>
        <v>517908</v>
      </c>
      <c r="AA81" s="6">
        <v>1946789</v>
      </c>
      <c r="AC81" s="12">
        <f t="shared" si="5"/>
        <v>5394222</v>
      </c>
      <c r="AE81" s="6">
        <f t="shared" si="6"/>
        <v>0</v>
      </c>
    </row>
    <row r="82" spans="1:31">
      <c r="A82" s="11" t="s">
        <v>206</v>
      </c>
      <c r="B82" s="11"/>
      <c r="C82" s="11" t="s">
        <v>12</v>
      </c>
      <c r="E82" s="6">
        <v>6686209</v>
      </c>
      <c r="G82" s="6">
        <v>0</v>
      </c>
      <c r="I82" s="2">
        <f t="shared" si="27"/>
        <v>7332665</v>
      </c>
      <c r="K82" s="6">
        <v>14018874</v>
      </c>
      <c r="M82" s="2">
        <f t="shared" si="28"/>
        <v>2117272</v>
      </c>
      <c r="O82" s="6">
        <v>4278810</v>
      </c>
      <c r="Q82" s="6">
        <v>6396082</v>
      </c>
      <c r="S82" s="6">
        <v>171553</v>
      </c>
      <c r="U82" s="6">
        <v>634918</v>
      </c>
      <c r="W82" s="6">
        <v>747634</v>
      </c>
      <c r="Y82" s="6">
        <v>269856</v>
      </c>
      <c r="AA82" s="6">
        <v>5798831</v>
      </c>
      <c r="AC82" s="12">
        <f t="shared" ref="AC82:AC145" si="29">S82+U82+W82+Y82+AA82</f>
        <v>7622792</v>
      </c>
      <c r="AE82" s="6">
        <f t="shared" ref="AE82:AE145" si="30">+E82+G82+I82-M82-O82-W82-U82-S82-Y82-AA82</f>
        <v>0</v>
      </c>
    </row>
    <row r="83" spans="1:31">
      <c r="A83" s="11" t="s">
        <v>206</v>
      </c>
      <c r="B83" s="11"/>
      <c r="C83" s="11" t="s">
        <v>39</v>
      </c>
      <c r="E83" s="6">
        <f>1352781+302504+7425</f>
        <v>1662710</v>
      </c>
      <c r="G83" s="6">
        <v>121920</v>
      </c>
      <c r="I83" s="2">
        <f t="shared" si="27"/>
        <v>7350340</v>
      </c>
      <c r="K83" s="6">
        <v>9134970</v>
      </c>
      <c r="M83" s="2">
        <f t="shared" si="28"/>
        <v>2450225</v>
      </c>
      <c r="O83" s="6">
        <v>6731318</v>
      </c>
      <c r="Q83" s="6">
        <v>9181543</v>
      </c>
      <c r="S83" s="6">
        <f>54752+1386</f>
        <v>56138</v>
      </c>
      <c r="U83" s="6">
        <f>5959+115961+65863+27411+102494</f>
        <v>317688</v>
      </c>
      <c r="W83" s="6">
        <v>0</v>
      </c>
      <c r="Y83" s="6">
        <v>0</v>
      </c>
      <c r="AA83" s="6">
        <v>-420399</v>
      </c>
      <c r="AC83" s="12">
        <f t="shared" si="29"/>
        <v>-46573</v>
      </c>
      <c r="AE83" s="6">
        <f t="shared" si="30"/>
        <v>0</v>
      </c>
    </row>
    <row r="84" spans="1:31">
      <c r="A84" s="11" t="s">
        <v>675</v>
      </c>
      <c r="B84" s="11"/>
      <c r="C84" s="11" t="s">
        <v>47</v>
      </c>
      <c r="E84" s="6">
        <v>2954191</v>
      </c>
      <c r="G84" s="6">
        <v>0</v>
      </c>
      <c r="I84" s="2">
        <f t="shared" si="27"/>
        <v>11458108</v>
      </c>
      <c r="K84" s="6">
        <v>14412299</v>
      </c>
      <c r="M84" s="2">
        <f t="shared" si="28"/>
        <v>2986922</v>
      </c>
      <c r="O84" s="6">
        <v>9887872</v>
      </c>
      <c r="Q84" s="6">
        <v>12874794</v>
      </c>
      <c r="S84" s="6">
        <v>197655</v>
      </c>
      <c r="U84" s="6">
        <v>2396673</v>
      </c>
      <c r="W84" s="6">
        <v>212</v>
      </c>
      <c r="Y84" s="6">
        <v>267206</v>
      </c>
      <c r="AA84" s="6">
        <v>-1324241</v>
      </c>
      <c r="AC84" s="12">
        <f t="shared" si="29"/>
        <v>1537505</v>
      </c>
      <c r="AE84" s="6">
        <f t="shared" si="30"/>
        <v>0</v>
      </c>
    </row>
    <row r="85" spans="1:31" hidden="1">
      <c r="A85" s="42" t="s">
        <v>794</v>
      </c>
      <c r="B85" s="11"/>
      <c r="C85" s="11" t="s">
        <v>112</v>
      </c>
      <c r="I85" s="2">
        <f>K85-E85-G85</f>
        <v>0</v>
      </c>
      <c r="M85" s="2">
        <f>Q85-O85</f>
        <v>0</v>
      </c>
      <c r="AC85" s="12">
        <f t="shared" si="29"/>
        <v>0</v>
      </c>
      <c r="AE85" s="6">
        <f t="shared" si="30"/>
        <v>0</v>
      </c>
    </row>
    <row r="86" spans="1:31">
      <c r="A86" s="11" t="s">
        <v>636</v>
      </c>
      <c r="B86" s="11"/>
      <c r="C86" s="11" t="s">
        <v>23</v>
      </c>
      <c r="E86" s="6">
        <v>7826903</v>
      </c>
      <c r="G86" s="6">
        <v>0</v>
      </c>
      <c r="I86" s="2">
        <f t="shared" si="27"/>
        <v>14520158</v>
      </c>
      <c r="K86" s="6">
        <v>22347061</v>
      </c>
      <c r="M86" s="2">
        <f t="shared" si="28"/>
        <v>2377700</v>
      </c>
      <c r="O86" s="6">
        <f>964112+9821217</f>
        <v>10785329</v>
      </c>
      <c r="Q86" s="6">
        <v>13163029</v>
      </c>
      <c r="S86" s="6">
        <f>3101+8940</f>
        <v>12041</v>
      </c>
      <c r="U86" s="6">
        <f>1036047+1927742+124522+2205+51169+134462</f>
        <v>3276147</v>
      </c>
      <c r="W86" s="6">
        <v>859637</v>
      </c>
      <c r="Y86" s="6">
        <f>96594+253114+25958+125071+15274</f>
        <v>516011</v>
      </c>
      <c r="AA86" s="6">
        <v>4520196</v>
      </c>
      <c r="AC86" s="12">
        <f t="shared" si="29"/>
        <v>9184032</v>
      </c>
      <c r="AE86" s="6">
        <f t="shared" si="30"/>
        <v>0</v>
      </c>
    </row>
    <row r="87" spans="1:31">
      <c r="A87" s="11" t="s">
        <v>257</v>
      </c>
      <c r="B87" s="11"/>
      <c r="C87" s="11" t="s">
        <v>111</v>
      </c>
      <c r="E87" s="6">
        <v>7391430</v>
      </c>
      <c r="G87" s="6">
        <v>5605</v>
      </c>
      <c r="I87" s="2">
        <f t="shared" si="27"/>
        <v>6721394</v>
      </c>
      <c r="K87" s="6">
        <v>14118429</v>
      </c>
      <c r="M87" s="2">
        <f t="shared" si="28"/>
        <v>1939891</v>
      </c>
      <c r="O87" s="6">
        <v>3481592</v>
      </c>
      <c r="Q87" s="6">
        <v>5421483</v>
      </c>
      <c r="S87" s="6">
        <v>49312</v>
      </c>
      <c r="U87" s="6">
        <v>3085025</v>
      </c>
      <c r="W87" s="6">
        <v>0</v>
      </c>
      <c r="Y87" s="6">
        <v>156833</v>
      </c>
      <c r="AA87" s="6">
        <v>5405776</v>
      </c>
      <c r="AC87" s="12">
        <f t="shared" si="29"/>
        <v>8696946</v>
      </c>
      <c r="AE87" s="6">
        <f t="shared" si="30"/>
        <v>0</v>
      </c>
    </row>
    <row r="88" spans="1:31">
      <c r="A88" s="11" t="s">
        <v>752</v>
      </c>
      <c r="B88" s="11"/>
      <c r="C88" s="11" t="s">
        <v>52</v>
      </c>
      <c r="E88" s="6">
        <v>1321845</v>
      </c>
      <c r="G88" s="6">
        <v>29182</v>
      </c>
      <c r="I88" s="2">
        <f t="shared" ref="I88" si="31">K88-E88-G88</f>
        <v>3076058</v>
      </c>
      <c r="K88" s="6">
        <v>4427085</v>
      </c>
      <c r="M88" s="2">
        <f t="shared" ref="M88" si="32">Q88-O88</f>
        <v>1081211</v>
      </c>
      <c r="O88" s="6">
        <v>2927488</v>
      </c>
      <c r="Q88" s="6">
        <v>4008699</v>
      </c>
      <c r="S88" s="6">
        <v>30373</v>
      </c>
      <c r="U88" s="6">
        <v>218089</v>
      </c>
      <c r="W88" s="6">
        <v>0</v>
      </c>
      <c r="Y88" s="6">
        <v>334437</v>
      </c>
      <c r="AA88" s="6">
        <v>-164513</v>
      </c>
      <c r="AC88" s="12">
        <f t="shared" si="29"/>
        <v>418386</v>
      </c>
      <c r="AE88" s="6">
        <f t="shared" si="30"/>
        <v>0</v>
      </c>
    </row>
    <row r="89" spans="1:31">
      <c r="A89" s="11" t="s">
        <v>319</v>
      </c>
      <c r="B89" s="11"/>
      <c r="C89" s="11" t="s">
        <v>31</v>
      </c>
      <c r="E89" s="6">
        <f>6218647+1032+15078</f>
        <v>6234757</v>
      </c>
      <c r="G89" s="6">
        <v>12869</v>
      </c>
      <c r="I89" s="2">
        <f t="shared" ref="I89:I154" si="33">K89-E89-G89</f>
        <v>8358638</v>
      </c>
      <c r="K89" s="6">
        <v>14606264</v>
      </c>
      <c r="M89" s="2">
        <f t="shared" ref="M89:M154" si="34">Q89-O89</f>
        <v>2846800</v>
      </c>
      <c r="O89" s="6">
        <v>6107746</v>
      </c>
      <c r="Q89" s="6">
        <v>8954546</v>
      </c>
      <c r="S89" s="6">
        <f>75888+68653+12869+500</f>
        <v>157910</v>
      </c>
      <c r="U89" s="6">
        <f>2139414+251020+418387+10039+2019+1167845+91419</f>
        <v>4080143</v>
      </c>
      <c r="W89" s="6">
        <f>53980+56239</f>
        <v>110219</v>
      </c>
      <c r="Y89" s="6">
        <f>300638+604503+375760+26571</f>
        <v>1307472</v>
      </c>
      <c r="AA89" s="6">
        <v>-4026</v>
      </c>
      <c r="AC89" s="12">
        <f t="shared" si="29"/>
        <v>5651718</v>
      </c>
      <c r="AE89" s="6">
        <f t="shared" si="30"/>
        <v>0</v>
      </c>
    </row>
    <row r="90" spans="1:31">
      <c r="A90" s="11" t="s">
        <v>647</v>
      </c>
      <c r="B90" s="11"/>
      <c r="C90" s="11" t="s">
        <v>45</v>
      </c>
      <c r="E90" s="6">
        <v>1914247</v>
      </c>
      <c r="G90" s="6">
        <v>80192</v>
      </c>
      <c r="I90" s="2">
        <f t="shared" si="33"/>
        <v>3401118</v>
      </c>
      <c r="K90" s="6">
        <v>5395557</v>
      </c>
      <c r="M90" s="2">
        <f t="shared" si="34"/>
        <v>1929089</v>
      </c>
      <c r="O90" s="6">
        <v>3285377</v>
      </c>
      <c r="Q90" s="6">
        <v>5214466</v>
      </c>
      <c r="S90" s="6">
        <v>11518</v>
      </c>
      <c r="U90" s="6">
        <v>980896</v>
      </c>
      <c r="W90" s="6">
        <v>0</v>
      </c>
      <c r="Y90" s="6">
        <v>4493</v>
      </c>
      <c r="AA90" s="6">
        <v>-815816</v>
      </c>
      <c r="AC90" s="12">
        <f t="shared" si="29"/>
        <v>181091</v>
      </c>
      <c r="AE90" s="6">
        <f t="shared" si="30"/>
        <v>0</v>
      </c>
    </row>
    <row r="91" spans="1:31">
      <c r="A91" s="11" t="s">
        <v>300</v>
      </c>
      <c r="B91" s="11"/>
      <c r="C91" s="11" t="s">
        <v>27</v>
      </c>
      <c r="E91" s="6">
        <f>11835246+15</f>
        <v>11835261</v>
      </c>
      <c r="G91" s="6">
        <v>0</v>
      </c>
      <c r="I91" s="2">
        <f t="shared" si="33"/>
        <v>23962075</v>
      </c>
      <c r="K91" s="6">
        <v>35797336</v>
      </c>
      <c r="M91" s="2">
        <f t="shared" si="34"/>
        <v>4362935</v>
      </c>
      <c r="O91" s="6">
        <f>1958302+14313082</f>
        <v>16271384</v>
      </c>
      <c r="Q91" s="6">
        <v>20634319</v>
      </c>
      <c r="S91" s="6">
        <v>9915</v>
      </c>
      <c r="U91" s="6">
        <f>2685759+1233035+879222+310894+22383+11759+16318+71854+72166</f>
        <v>5303390</v>
      </c>
      <c r="W91" s="6">
        <v>58148</v>
      </c>
      <c r="Y91" s="6">
        <f>171763+403894+895+589845</f>
        <v>1166397</v>
      </c>
      <c r="AA91" s="6">
        <v>8625167</v>
      </c>
      <c r="AC91" s="12">
        <f t="shared" si="29"/>
        <v>15163017</v>
      </c>
      <c r="AE91" s="6">
        <f t="shared" si="30"/>
        <v>0</v>
      </c>
    </row>
    <row r="92" spans="1:31">
      <c r="A92" s="11" t="s">
        <v>403</v>
      </c>
      <c r="B92" s="11"/>
      <c r="C92" s="11" t="s">
        <v>45</v>
      </c>
      <c r="E92" s="6">
        <v>8553879</v>
      </c>
      <c r="G92" s="6">
        <v>0</v>
      </c>
      <c r="I92" s="2">
        <f t="shared" si="33"/>
        <v>17492294</v>
      </c>
      <c r="K92" s="6">
        <v>26046173</v>
      </c>
      <c r="M92" s="2">
        <f t="shared" si="34"/>
        <v>2403294</v>
      </c>
      <c r="O92" s="6">
        <v>17378840</v>
      </c>
      <c r="Q92" s="6">
        <v>19782134</v>
      </c>
      <c r="S92" s="6">
        <v>150994</v>
      </c>
      <c r="U92" s="6">
        <v>3030568</v>
      </c>
      <c r="W92" s="6">
        <v>121836</v>
      </c>
      <c r="Y92" s="6">
        <v>25678</v>
      </c>
      <c r="AA92" s="6">
        <v>2934963</v>
      </c>
      <c r="AC92" s="12">
        <f t="shared" si="29"/>
        <v>6264039</v>
      </c>
      <c r="AE92" s="6">
        <f t="shared" si="30"/>
        <v>0</v>
      </c>
    </row>
    <row r="93" spans="1:31">
      <c r="A93" s="11" t="s">
        <v>494</v>
      </c>
      <c r="B93" s="11"/>
      <c r="C93" s="11" t="s">
        <v>62</v>
      </c>
      <c r="E93" s="6">
        <v>33886000</v>
      </c>
      <c r="G93" s="6">
        <f>13485000+448000</f>
        <v>13933000</v>
      </c>
      <c r="I93" s="2">
        <f>K93-E93-G93</f>
        <v>42938000</v>
      </c>
      <c r="K93" s="6">
        <v>90757000</v>
      </c>
      <c r="M93" s="2">
        <f>Q93-O93</f>
        <v>16711000</v>
      </c>
      <c r="O93" s="6">
        <f>8203000+29328000</f>
        <v>37531000</v>
      </c>
      <c r="Q93" s="6">
        <v>54242000</v>
      </c>
      <c r="S93" s="6">
        <f>533000+57000</f>
        <v>590000</v>
      </c>
      <c r="U93" s="6">
        <f>14478000+8286000+2601000+3538000+81000+821000+572000+1068000</f>
        <v>31445000</v>
      </c>
      <c r="W93" s="6">
        <v>0</v>
      </c>
      <c r="Y93" s="6">
        <f>2160000+707000+786000+4000+29000+98000</f>
        <v>3784000</v>
      </c>
      <c r="AA93" s="6">
        <v>696000</v>
      </c>
      <c r="AC93" s="12">
        <f>S93+U93+W93+Y93+AA93</f>
        <v>36515000</v>
      </c>
      <c r="AE93" s="6">
        <f>+E93+G93+I93-M93-O93-W93-U93-S93-Y93-AA93</f>
        <v>0</v>
      </c>
    </row>
    <row r="94" spans="1:31">
      <c r="A94" s="11" t="s">
        <v>495</v>
      </c>
      <c r="B94" s="11"/>
      <c r="C94" s="11" t="s">
        <v>62</v>
      </c>
      <c r="E94" s="6">
        <v>2659548</v>
      </c>
      <c r="G94" s="6">
        <v>0</v>
      </c>
      <c r="I94" s="2">
        <f t="shared" si="33"/>
        <v>8831249</v>
      </c>
      <c r="K94" s="6">
        <v>11490797</v>
      </c>
      <c r="M94" s="2">
        <f t="shared" si="34"/>
        <v>3188623</v>
      </c>
      <c r="O94" s="6">
        <f>7174375+767874</f>
        <v>7942249</v>
      </c>
      <c r="Q94" s="6">
        <v>11130872</v>
      </c>
      <c r="S94" s="6">
        <v>14182</v>
      </c>
      <c r="U94" s="6">
        <f>23900+37518+44419+11980+169018+2380</f>
        <v>289215</v>
      </c>
      <c r="W94" s="6">
        <v>0</v>
      </c>
      <c r="Y94" s="6">
        <f>91226+64613+33153+6200+15267</f>
        <v>210459</v>
      </c>
      <c r="AA94" s="6">
        <v>-153931</v>
      </c>
      <c r="AC94" s="12">
        <f t="shared" si="29"/>
        <v>359925</v>
      </c>
      <c r="AE94" s="6">
        <f t="shared" si="30"/>
        <v>0</v>
      </c>
    </row>
    <row r="95" spans="1:31">
      <c r="A95" s="11" t="s">
        <v>648</v>
      </c>
      <c r="B95" s="11"/>
      <c r="C95" s="11" t="s">
        <v>30</v>
      </c>
      <c r="E95" s="6">
        <v>2237124</v>
      </c>
      <c r="G95" s="6">
        <v>0</v>
      </c>
      <c r="I95" s="2">
        <f t="shared" si="33"/>
        <v>6615854</v>
      </c>
      <c r="K95" s="6">
        <v>8852978</v>
      </c>
      <c r="M95" s="2">
        <f t="shared" si="34"/>
        <v>1762296</v>
      </c>
      <c r="O95" s="6">
        <v>5482562</v>
      </c>
      <c r="Q95" s="6">
        <v>7244858</v>
      </c>
      <c r="S95" s="6">
        <v>84984</v>
      </c>
      <c r="U95" s="6">
        <v>2096453</v>
      </c>
      <c r="W95" s="6">
        <v>0</v>
      </c>
      <c r="Y95" s="6">
        <v>85509</v>
      </c>
      <c r="AA95" s="6">
        <v>-658826</v>
      </c>
      <c r="AC95" s="12">
        <f t="shared" si="29"/>
        <v>1608120</v>
      </c>
      <c r="AE95" s="6">
        <f t="shared" si="30"/>
        <v>0</v>
      </c>
    </row>
    <row r="96" spans="1:31">
      <c r="A96" s="11" t="s">
        <v>441</v>
      </c>
      <c r="B96" s="11"/>
      <c r="C96" s="11" t="s">
        <v>78</v>
      </c>
      <c r="E96" s="6">
        <v>2032194</v>
      </c>
      <c r="G96" s="6">
        <v>0</v>
      </c>
      <c r="I96" s="2">
        <f t="shared" si="33"/>
        <v>3984242</v>
      </c>
      <c r="K96" s="6">
        <v>6016436</v>
      </c>
      <c r="M96" s="2">
        <f t="shared" si="34"/>
        <v>1922165</v>
      </c>
      <c r="O96" s="6">
        <f>2008058+878381</f>
        <v>2886439</v>
      </c>
      <c r="Q96" s="6">
        <v>4808604</v>
      </c>
      <c r="S96" s="6">
        <v>9167</v>
      </c>
      <c r="U96" s="6">
        <f>1134586+80149+451991+5655+50278</f>
        <v>1722659</v>
      </c>
      <c r="W96" s="6">
        <v>59335</v>
      </c>
      <c r="Y96" s="6">
        <v>758</v>
      </c>
      <c r="AA96" s="6">
        <v>-584087</v>
      </c>
      <c r="AC96" s="12">
        <f t="shared" si="29"/>
        <v>1207832</v>
      </c>
      <c r="AE96" s="6">
        <f t="shared" si="30"/>
        <v>0</v>
      </c>
    </row>
    <row r="97" spans="1:31" hidden="1">
      <c r="A97" s="11" t="s">
        <v>867</v>
      </c>
      <c r="B97" s="11"/>
      <c r="C97" s="11" t="s">
        <v>558</v>
      </c>
      <c r="I97" s="2">
        <f t="shared" si="33"/>
        <v>0</v>
      </c>
      <c r="M97" s="2">
        <f t="shared" si="34"/>
        <v>0</v>
      </c>
      <c r="AC97" s="12">
        <f t="shared" si="29"/>
        <v>0</v>
      </c>
      <c r="AE97" s="6">
        <f t="shared" si="30"/>
        <v>0</v>
      </c>
    </row>
    <row r="98" spans="1:31">
      <c r="A98" s="11" t="s">
        <v>543</v>
      </c>
      <c r="B98" s="11"/>
      <c r="C98" s="11" t="s">
        <v>69</v>
      </c>
      <c r="E98" s="6">
        <v>816015</v>
      </c>
      <c r="G98" s="6">
        <v>0</v>
      </c>
      <c r="I98" s="2">
        <f t="shared" si="33"/>
        <v>5263223</v>
      </c>
      <c r="K98" s="6">
        <v>6079238</v>
      </c>
      <c r="M98" s="2">
        <f t="shared" si="34"/>
        <v>2394971</v>
      </c>
      <c r="O98" s="6">
        <v>4303057</v>
      </c>
      <c r="Q98" s="6">
        <v>6698028</v>
      </c>
      <c r="S98" s="6">
        <v>0</v>
      </c>
      <c r="U98" s="6">
        <v>237654</v>
      </c>
      <c r="W98" s="6">
        <v>0</v>
      </c>
      <c r="Y98" s="6">
        <v>64089</v>
      </c>
      <c r="AA98" s="6">
        <v>-920533</v>
      </c>
      <c r="AC98" s="12">
        <f t="shared" si="29"/>
        <v>-618790</v>
      </c>
      <c r="AE98" s="6">
        <f t="shared" si="30"/>
        <v>0</v>
      </c>
    </row>
    <row r="99" spans="1:31" s="28" customFormat="1">
      <c r="A99" s="27" t="s">
        <v>753</v>
      </c>
      <c r="B99" s="27"/>
      <c r="C99" s="27" t="s">
        <v>16</v>
      </c>
      <c r="E99" s="28">
        <v>5313347</v>
      </c>
      <c r="G99" s="28">
        <v>0</v>
      </c>
      <c r="I99" s="30">
        <f t="shared" si="33"/>
        <v>6756828</v>
      </c>
      <c r="K99" s="28">
        <v>12070175</v>
      </c>
      <c r="M99" s="30">
        <f t="shared" si="34"/>
        <v>2760252</v>
      </c>
      <c r="O99" s="28">
        <v>4751100</v>
      </c>
      <c r="Q99" s="28">
        <v>7511352</v>
      </c>
      <c r="S99" s="28">
        <v>50904</v>
      </c>
      <c r="U99" s="28">
        <v>40746</v>
      </c>
      <c r="W99" s="28">
        <v>0</v>
      </c>
      <c r="Y99" s="28">
        <v>2353905</v>
      </c>
      <c r="AA99" s="28">
        <v>2113268</v>
      </c>
      <c r="AC99" s="37">
        <f t="shared" si="29"/>
        <v>4558823</v>
      </c>
      <c r="AE99" s="28">
        <f t="shared" si="30"/>
        <v>0</v>
      </c>
    </row>
    <row r="100" spans="1:31">
      <c r="A100" s="11" t="s">
        <v>649</v>
      </c>
      <c r="B100" s="11"/>
      <c r="C100" s="11" t="s">
        <v>114</v>
      </c>
      <c r="E100" s="6">
        <f>11970482+33</f>
        <v>11970515</v>
      </c>
      <c r="G100" s="6">
        <v>424373</v>
      </c>
      <c r="I100" s="2">
        <f t="shared" si="33"/>
        <v>4682346</v>
      </c>
      <c r="K100" s="6">
        <v>17077234</v>
      </c>
      <c r="M100" s="2">
        <f t="shared" si="34"/>
        <v>1340656</v>
      </c>
      <c r="O100" s="6">
        <v>3942337</v>
      </c>
      <c r="Q100" s="6">
        <v>5282993</v>
      </c>
      <c r="S100" s="6">
        <v>13172</v>
      </c>
      <c r="U100" s="6">
        <v>9378325</v>
      </c>
      <c r="W100" s="6">
        <v>0</v>
      </c>
      <c r="Y100" s="6">
        <v>47057</v>
      </c>
      <c r="AA100" s="6">
        <v>2355687</v>
      </c>
      <c r="AC100" s="12">
        <f t="shared" si="29"/>
        <v>11794241</v>
      </c>
      <c r="AE100" s="6">
        <f t="shared" si="30"/>
        <v>0</v>
      </c>
    </row>
    <row r="101" spans="1:31" hidden="1">
      <c r="A101" s="11" t="s">
        <v>618</v>
      </c>
      <c r="B101" s="11"/>
      <c r="C101" s="11" t="s">
        <v>422</v>
      </c>
      <c r="I101" s="2">
        <f t="shared" si="33"/>
        <v>0</v>
      </c>
      <c r="M101" s="2">
        <f t="shared" si="34"/>
        <v>0</v>
      </c>
      <c r="AC101" s="12">
        <f t="shared" si="29"/>
        <v>0</v>
      </c>
      <c r="AE101" s="6">
        <f t="shared" si="30"/>
        <v>0</v>
      </c>
    </row>
    <row r="102" spans="1:31" hidden="1">
      <c r="A102" s="11" t="s">
        <v>868</v>
      </c>
      <c r="B102" s="11"/>
      <c r="C102" s="11" t="s">
        <v>40</v>
      </c>
      <c r="E102" s="6">
        <v>0</v>
      </c>
      <c r="G102" s="6">
        <v>0</v>
      </c>
      <c r="I102" s="2">
        <f t="shared" si="33"/>
        <v>0</v>
      </c>
      <c r="K102" s="6">
        <v>0</v>
      </c>
      <c r="M102" s="2">
        <f t="shared" si="34"/>
        <v>0</v>
      </c>
      <c r="O102" s="6">
        <v>0</v>
      </c>
      <c r="Q102" s="6">
        <v>0</v>
      </c>
      <c r="S102" s="6">
        <v>0</v>
      </c>
      <c r="U102" s="6">
        <v>0</v>
      </c>
      <c r="W102" s="6">
        <v>0</v>
      </c>
      <c r="Y102" s="6">
        <v>0</v>
      </c>
      <c r="AA102" s="6">
        <v>0</v>
      </c>
      <c r="AC102" s="12">
        <f t="shared" si="29"/>
        <v>0</v>
      </c>
      <c r="AE102" s="6">
        <f t="shared" si="30"/>
        <v>0</v>
      </c>
    </row>
    <row r="103" spans="1:31">
      <c r="A103" s="11" t="s">
        <v>650</v>
      </c>
      <c r="B103" s="11"/>
      <c r="C103" s="11" t="s">
        <v>50</v>
      </c>
      <c r="E103" s="6">
        <v>35388418</v>
      </c>
      <c r="G103" s="6">
        <v>2864312</v>
      </c>
      <c r="I103" s="2">
        <f t="shared" si="33"/>
        <v>65648612</v>
      </c>
      <c r="K103" s="6">
        <v>103901342</v>
      </c>
      <c r="M103" s="2">
        <f t="shared" si="34"/>
        <v>9617778</v>
      </c>
      <c r="O103" s="6">
        <v>61375295</v>
      </c>
      <c r="Q103" s="6">
        <v>70993073</v>
      </c>
      <c r="S103" s="6">
        <v>69035</v>
      </c>
      <c r="U103" s="6">
        <v>17100523</v>
      </c>
      <c r="W103" s="6">
        <v>0</v>
      </c>
      <c r="Y103" s="6">
        <v>5122612</v>
      </c>
      <c r="AA103" s="6">
        <v>10616099</v>
      </c>
      <c r="AC103" s="12">
        <f t="shared" si="29"/>
        <v>32908269</v>
      </c>
      <c r="AE103" s="6">
        <f t="shared" si="30"/>
        <v>0</v>
      </c>
    </row>
    <row r="104" spans="1:31" hidden="1">
      <c r="A104" s="11" t="s">
        <v>736</v>
      </c>
      <c r="B104" s="11"/>
      <c r="C104" s="11" t="s">
        <v>22</v>
      </c>
      <c r="I104" s="2">
        <f t="shared" si="33"/>
        <v>0</v>
      </c>
      <c r="M104" s="2">
        <f t="shared" si="34"/>
        <v>0</v>
      </c>
      <c r="AC104" s="12">
        <f t="shared" si="29"/>
        <v>0</v>
      </c>
      <c r="AE104" s="6">
        <f t="shared" si="30"/>
        <v>0</v>
      </c>
    </row>
    <row r="105" spans="1:31">
      <c r="A105" s="11" t="s">
        <v>754</v>
      </c>
      <c r="B105" s="11"/>
      <c r="C105" s="11" t="s">
        <v>20</v>
      </c>
      <c r="E105" s="6">
        <v>10719631</v>
      </c>
      <c r="G105" s="6">
        <v>0</v>
      </c>
      <c r="I105" s="2">
        <f t="shared" si="33"/>
        <v>22800433</v>
      </c>
      <c r="K105" s="6">
        <v>33520064</v>
      </c>
      <c r="M105" s="2">
        <f t="shared" si="34"/>
        <v>3105472</v>
      </c>
      <c r="O105" s="6">
        <v>19949340</v>
      </c>
      <c r="Q105" s="6">
        <v>23054812</v>
      </c>
      <c r="S105" s="6">
        <v>0</v>
      </c>
      <c r="U105" s="6">
        <v>3823738</v>
      </c>
      <c r="W105" s="6">
        <v>0</v>
      </c>
      <c r="Y105" s="6">
        <v>2068948</v>
      </c>
      <c r="AA105" s="6">
        <v>4572566</v>
      </c>
      <c r="AC105" s="12">
        <f t="shared" si="29"/>
        <v>10465252</v>
      </c>
      <c r="AE105" s="6">
        <f t="shared" si="30"/>
        <v>0</v>
      </c>
    </row>
    <row r="106" spans="1:31">
      <c r="A106" s="11" t="s">
        <v>520</v>
      </c>
      <c r="B106" s="11"/>
      <c r="C106" s="11" t="s">
        <v>64</v>
      </c>
      <c r="E106" s="6">
        <v>1083784</v>
      </c>
      <c r="G106" s="6">
        <v>0</v>
      </c>
      <c r="I106" s="2">
        <f t="shared" si="33"/>
        <v>6224001</v>
      </c>
      <c r="K106" s="6">
        <v>7307785</v>
      </c>
      <c r="M106" s="2">
        <f t="shared" si="34"/>
        <v>1613361</v>
      </c>
      <c r="O106" s="6">
        <f>4668662+1363893</f>
        <v>6032555</v>
      </c>
      <c r="Q106" s="6">
        <v>7645916</v>
      </c>
      <c r="S106" s="6">
        <f>16304+40109</f>
        <v>56413</v>
      </c>
      <c r="U106" s="6">
        <f>96251+129+21334</f>
        <v>117714</v>
      </c>
      <c r="W106" s="6">
        <v>0</v>
      </c>
      <c r="Y106" s="6">
        <f>40757+78673+19863+14379</f>
        <v>153672</v>
      </c>
      <c r="AA106" s="6">
        <v>-665930</v>
      </c>
      <c r="AC106" s="12">
        <f t="shared" si="29"/>
        <v>-338131</v>
      </c>
      <c r="AE106" s="6">
        <f t="shared" si="30"/>
        <v>0</v>
      </c>
    </row>
    <row r="107" spans="1:31" hidden="1">
      <c r="A107" s="11" t="s">
        <v>737</v>
      </c>
      <c r="B107" s="11"/>
      <c r="C107" s="11" t="s">
        <v>30</v>
      </c>
      <c r="I107" s="2">
        <f t="shared" si="33"/>
        <v>0</v>
      </c>
      <c r="M107" s="2">
        <f t="shared" si="34"/>
        <v>0</v>
      </c>
      <c r="AC107" s="12">
        <f t="shared" si="29"/>
        <v>0</v>
      </c>
      <c r="AE107" s="6">
        <f t="shared" si="30"/>
        <v>0</v>
      </c>
    </row>
    <row r="108" spans="1:31">
      <c r="A108" s="11" t="s">
        <v>755</v>
      </c>
      <c r="B108" s="11"/>
      <c r="C108" s="11" t="s">
        <v>366</v>
      </c>
      <c r="E108" s="6">
        <v>3579928</v>
      </c>
      <c r="G108" s="6">
        <v>55362</v>
      </c>
      <c r="I108" s="2">
        <f t="shared" si="33"/>
        <v>2987738</v>
      </c>
      <c r="K108" s="6">
        <v>6623028</v>
      </c>
      <c r="M108" s="2">
        <f t="shared" si="34"/>
        <v>1750851</v>
      </c>
      <c r="O108" s="6">
        <v>2550238</v>
      </c>
      <c r="Q108" s="6">
        <v>4301089</v>
      </c>
      <c r="S108" s="6">
        <v>0</v>
      </c>
      <c r="U108" s="6">
        <v>1601540</v>
      </c>
      <c r="W108" s="6">
        <v>215383</v>
      </c>
      <c r="Y108" s="6">
        <v>84839</v>
      </c>
      <c r="AA108" s="6">
        <v>420177</v>
      </c>
      <c r="AC108" s="12">
        <f t="shared" si="29"/>
        <v>2321939</v>
      </c>
      <c r="AE108" s="6">
        <f t="shared" si="30"/>
        <v>0</v>
      </c>
    </row>
    <row r="109" spans="1:31">
      <c r="A109" s="11" t="s">
        <v>473</v>
      </c>
      <c r="B109" s="11"/>
      <c r="C109" s="11" t="s">
        <v>58</v>
      </c>
      <c r="E109" s="6">
        <v>5092517</v>
      </c>
      <c r="G109" s="6">
        <v>492</v>
      </c>
      <c r="I109" s="2">
        <f t="shared" si="33"/>
        <v>13198950</v>
      </c>
      <c r="K109" s="6">
        <v>18291959</v>
      </c>
      <c r="M109" s="2">
        <f t="shared" si="34"/>
        <v>3357951</v>
      </c>
      <c r="O109" s="6">
        <v>11622052</v>
      </c>
      <c r="Q109" s="6">
        <v>14980003</v>
      </c>
      <c r="S109" s="6">
        <v>450000</v>
      </c>
      <c r="U109" s="6">
        <f>1608233+150885+16315+24974+17667+2593+46445+492+741337+59576+26857</f>
        <v>2695374</v>
      </c>
      <c r="W109" s="6">
        <f>70934+49531+114865</f>
        <v>235330</v>
      </c>
      <c r="Y109" s="6">
        <f>31144+78768</f>
        <v>109912</v>
      </c>
      <c r="AA109" s="6">
        <v>-178660</v>
      </c>
      <c r="AC109" s="12">
        <f t="shared" si="29"/>
        <v>3311956</v>
      </c>
      <c r="AE109" s="6">
        <f t="shared" si="30"/>
        <v>0</v>
      </c>
    </row>
    <row r="110" spans="1:31">
      <c r="A110" s="11" t="s">
        <v>551</v>
      </c>
      <c r="B110" s="11"/>
      <c r="C110" s="11" t="s">
        <v>71</v>
      </c>
      <c r="E110" s="6">
        <v>6891135</v>
      </c>
      <c r="G110" s="6">
        <v>0</v>
      </c>
      <c r="I110" s="2">
        <f t="shared" si="33"/>
        <v>5047420</v>
      </c>
      <c r="K110" s="6">
        <v>11938555</v>
      </c>
      <c r="M110" s="2">
        <f t="shared" si="34"/>
        <v>1592017</v>
      </c>
      <c r="O110" s="6">
        <f>201197+3484752</f>
        <v>3685949</v>
      </c>
      <c r="Q110" s="6">
        <v>5277966</v>
      </c>
      <c r="S110" s="6">
        <f>40790+17727</f>
        <v>58517</v>
      </c>
      <c r="U110" s="6">
        <f>133004+1877+84977+8796+38758+48217</f>
        <v>315629</v>
      </c>
      <c r="W110" s="6">
        <v>0</v>
      </c>
      <c r="Y110" s="6">
        <f>9148+136307+55514+1058115+8208</f>
        <v>1267292</v>
      </c>
      <c r="AA110" s="6">
        <v>5019151</v>
      </c>
      <c r="AC110" s="12">
        <f t="shared" si="29"/>
        <v>6660589</v>
      </c>
      <c r="AE110" s="6">
        <f t="shared" si="30"/>
        <v>0</v>
      </c>
    </row>
    <row r="111" spans="1:31">
      <c r="A111" s="11" t="s">
        <v>652</v>
      </c>
      <c r="B111" s="11"/>
      <c r="C111" s="11" t="s">
        <v>32</v>
      </c>
      <c r="E111" s="6">
        <f>294493227+240310</f>
        <v>294733537</v>
      </c>
      <c r="G111" s="6">
        <v>37871279</v>
      </c>
      <c r="I111" s="2">
        <f t="shared" si="33"/>
        <v>377414332</v>
      </c>
      <c r="K111" s="6">
        <v>710019148</v>
      </c>
      <c r="M111" s="2">
        <f t="shared" si="34"/>
        <v>74469183</v>
      </c>
      <c r="O111" s="6">
        <f>285392058+33837791</f>
        <v>319229849</v>
      </c>
      <c r="Q111" s="6">
        <v>393699032</v>
      </c>
      <c r="S111" s="6">
        <v>1082655</v>
      </c>
      <c r="U111" s="6">
        <v>185486057</v>
      </c>
      <c r="W111" s="6">
        <v>0</v>
      </c>
      <c r="Y111" s="6">
        <v>5338695</v>
      </c>
      <c r="AA111" s="6">
        <v>124412709</v>
      </c>
      <c r="AC111" s="12">
        <f t="shared" si="29"/>
        <v>316320116</v>
      </c>
      <c r="AE111" s="6">
        <f t="shared" si="30"/>
        <v>0</v>
      </c>
    </row>
    <row r="112" spans="1:31">
      <c r="A112" s="11" t="s">
        <v>452</v>
      </c>
      <c r="B112" s="11"/>
      <c r="C112" s="11" t="s">
        <v>54</v>
      </c>
      <c r="E112" s="6">
        <f>64603494+621587</f>
        <v>65225081</v>
      </c>
      <c r="G112" s="6">
        <v>22253</v>
      </c>
      <c r="I112" s="2">
        <f t="shared" si="33"/>
        <v>32607404</v>
      </c>
      <c r="K112" s="6">
        <v>97854738</v>
      </c>
      <c r="M112" s="2">
        <f t="shared" si="34"/>
        <v>4367235</v>
      </c>
      <c r="O112" s="6">
        <f>20216338+9454853</f>
        <v>29671191</v>
      </c>
      <c r="Q112" s="6">
        <v>34038426</v>
      </c>
      <c r="S112" s="6">
        <f>47363+87399</f>
        <v>134762</v>
      </c>
      <c r="U112" s="6">
        <f>1374986+47945760+263760+101757+4651+21603+92019+22253</f>
        <v>49826789</v>
      </c>
      <c r="W112" s="6">
        <f>100000+113517+55940</f>
        <v>269457</v>
      </c>
      <c r="Y112" s="6">
        <f>63506+412701+225+452688</f>
        <v>929120</v>
      </c>
      <c r="AA112" s="6">
        <v>12656184</v>
      </c>
      <c r="AC112" s="12">
        <f t="shared" si="29"/>
        <v>63816312</v>
      </c>
      <c r="AE112" s="6">
        <f t="shared" si="30"/>
        <v>0</v>
      </c>
    </row>
    <row r="113" spans="1:31">
      <c r="A113" s="11" t="s">
        <v>231</v>
      </c>
      <c r="B113" s="11"/>
      <c r="C113" s="11" t="s">
        <v>17</v>
      </c>
      <c r="E113" s="6">
        <v>2889524</v>
      </c>
      <c r="G113" s="6">
        <v>28770</v>
      </c>
      <c r="I113" s="2">
        <f t="shared" si="33"/>
        <v>9465092</v>
      </c>
      <c r="K113" s="6">
        <v>12383386</v>
      </c>
      <c r="M113" s="2">
        <f t="shared" si="34"/>
        <v>2380320</v>
      </c>
      <c r="O113" s="6">
        <v>8210107</v>
      </c>
      <c r="Q113" s="6">
        <v>10590427</v>
      </c>
      <c r="S113" s="6">
        <v>49475</v>
      </c>
      <c r="U113" s="6">
        <v>923300</v>
      </c>
      <c r="W113" s="6">
        <v>11000</v>
      </c>
      <c r="Y113" s="6">
        <v>352420</v>
      </c>
      <c r="AA113" s="6">
        <v>456764</v>
      </c>
      <c r="AC113" s="12">
        <f t="shared" si="29"/>
        <v>1792959</v>
      </c>
      <c r="AE113" s="6">
        <f t="shared" si="30"/>
        <v>0</v>
      </c>
    </row>
    <row r="114" spans="1:31">
      <c r="A114" s="11" t="s">
        <v>480</v>
      </c>
      <c r="B114" s="11"/>
      <c r="C114" s="11" t="s">
        <v>59</v>
      </c>
      <c r="E114" s="6">
        <f>840328+420182</f>
        <v>1260510</v>
      </c>
      <c r="G114" s="6">
        <v>324682</v>
      </c>
      <c r="I114" s="2">
        <f t="shared" si="33"/>
        <v>2352190</v>
      </c>
      <c r="K114" s="6">
        <v>3937382</v>
      </c>
      <c r="M114" s="2">
        <f t="shared" si="34"/>
        <v>1835101</v>
      </c>
      <c r="O114" s="6">
        <v>1461113</v>
      </c>
      <c r="Q114" s="6">
        <v>3296214</v>
      </c>
      <c r="S114" s="6">
        <v>18509</v>
      </c>
      <c r="U114" s="6">
        <v>976254</v>
      </c>
      <c r="W114" s="6">
        <v>0</v>
      </c>
      <c r="Y114" s="6">
        <v>351672</v>
      </c>
      <c r="AA114" s="6">
        <v>-705267</v>
      </c>
      <c r="AC114" s="12">
        <f t="shared" si="29"/>
        <v>641168</v>
      </c>
      <c r="AE114" s="6">
        <f t="shared" si="30"/>
        <v>0</v>
      </c>
    </row>
    <row r="115" spans="1:31">
      <c r="A115" s="11" t="s">
        <v>533</v>
      </c>
      <c r="B115" s="11"/>
      <c r="C115" s="11" t="s">
        <v>65</v>
      </c>
      <c r="E115" s="6">
        <v>4168171</v>
      </c>
      <c r="G115" s="6">
        <v>0</v>
      </c>
      <c r="I115" s="2">
        <f t="shared" si="33"/>
        <v>4702813</v>
      </c>
      <c r="K115" s="6">
        <v>8870984</v>
      </c>
      <c r="M115" s="2">
        <f t="shared" si="34"/>
        <v>2223296</v>
      </c>
      <c r="O115" s="6">
        <f>750434+3028832</f>
        <v>3779266</v>
      </c>
      <c r="Q115" s="6">
        <v>6002562</v>
      </c>
      <c r="S115" s="6">
        <f>9399+18722</f>
        <v>28121</v>
      </c>
      <c r="U115" s="6">
        <f>497300+60457+320738+40091+2664+6105+16048+26126+81664</f>
        <v>1051193</v>
      </c>
      <c r="W115" s="6">
        <v>0</v>
      </c>
      <c r="Y115" s="6">
        <f>44206+202295+6830+77298</f>
        <v>330629</v>
      </c>
      <c r="AA115" s="6">
        <v>1458479</v>
      </c>
      <c r="AC115" s="12">
        <f t="shared" si="29"/>
        <v>2868422</v>
      </c>
      <c r="AE115" s="6">
        <f t="shared" si="30"/>
        <v>0</v>
      </c>
    </row>
    <row r="116" spans="1:31">
      <c r="A116" s="11" t="s">
        <v>468</v>
      </c>
      <c r="B116" s="11"/>
      <c r="C116" s="11" t="s">
        <v>110</v>
      </c>
      <c r="E116" s="6">
        <f>7321958+1042</f>
        <v>7323000</v>
      </c>
      <c r="G116" s="6">
        <v>0</v>
      </c>
      <c r="I116" s="2">
        <f t="shared" si="33"/>
        <v>4979878</v>
      </c>
      <c r="K116" s="6">
        <v>12302878</v>
      </c>
      <c r="M116" s="2">
        <f t="shared" si="34"/>
        <v>1410211</v>
      </c>
      <c r="O116" s="6">
        <f>3388938+348137</f>
        <v>3737075</v>
      </c>
      <c r="Q116" s="6">
        <v>5147286</v>
      </c>
      <c r="S116" s="6">
        <f>46381+244413</f>
        <v>290794</v>
      </c>
      <c r="U116" s="6">
        <f>588119+200234+68793+439+171+106051+20944</f>
        <v>984751</v>
      </c>
      <c r="W116" s="6">
        <v>13090</v>
      </c>
      <c r="Y116" s="6">
        <f>1373+726197+286+10281</f>
        <v>738137</v>
      </c>
      <c r="AA116" s="6">
        <v>5128820</v>
      </c>
      <c r="AC116" s="12">
        <f t="shared" si="29"/>
        <v>7155592</v>
      </c>
      <c r="AE116" s="6">
        <f t="shared" si="30"/>
        <v>0</v>
      </c>
    </row>
    <row r="117" spans="1:31">
      <c r="A117" s="11" t="s">
        <v>382</v>
      </c>
      <c r="B117" s="11"/>
      <c r="C117" s="11" t="s">
        <v>44</v>
      </c>
      <c r="E117" s="6">
        <v>754538</v>
      </c>
      <c r="G117" s="6">
        <v>0</v>
      </c>
      <c r="I117" s="2">
        <f t="shared" si="33"/>
        <v>3927006</v>
      </c>
      <c r="K117" s="6">
        <v>4681544</v>
      </c>
      <c r="M117" s="2">
        <f t="shared" si="34"/>
        <v>2177575</v>
      </c>
      <c r="O117" s="6">
        <v>3529927</v>
      </c>
      <c r="Q117" s="6">
        <v>5707502</v>
      </c>
      <c r="S117" s="6">
        <v>0</v>
      </c>
      <c r="U117" s="6">
        <v>534092</v>
      </c>
      <c r="W117" s="6">
        <v>0</v>
      </c>
      <c r="Y117" s="6">
        <v>81367</v>
      </c>
      <c r="AA117" s="6">
        <v>-1641417</v>
      </c>
      <c r="AC117" s="12">
        <f t="shared" si="29"/>
        <v>-1025958</v>
      </c>
      <c r="AE117" s="6">
        <f t="shared" si="30"/>
        <v>0</v>
      </c>
    </row>
    <row r="118" spans="1:31">
      <c r="A118" s="11" t="s">
        <v>653</v>
      </c>
      <c r="B118" s="11"/>
      <c r="C118" s="11" t="s">
        <v>113</v>
      </c>
      <c r="E118" s="6">
        <v>1796621</v>
      </c>
      <c r="G118" s="6">
        <v>0</v>
      </c>
      <c r="I118" s="2">
        <f t="shared" si="33"/>
        <v>8368972</v>
      </c>
      <c r="K118" s="6">
        <v>10165593</v>
      </c>
      <c r="M118" s="2">
        <f t="shared" si="34"/>
        <v>1586297</v>
      </c>
      <c r="O118" s="6">
        <v>6393863</v>
      </c>
      <c r="Q118" s="6">
        <v>7980160</v>
      </c>
      <c r="S118" s="6">
        <v>18804</v>
      </c>
      <c r="U118" s="6">
        <v>1225728</v>
      </c>
      <c r="W118" s="6">
        <v>231740</v>
      </c>
      <c r="Y118" s="6">
        <v>117904</v>
      </c>
      <c r="AA118" s="6">
        <v>591257</v>
      </c>
      <c r="AC118" s="12">
        <f t="shared" si="29"/>
        <v>2185433</v>
      </c>
      <c r="AE118" s="6">
        <f t="shared" si="30"/>
        <v>0</v>
      </c>
    </row>
    <row r="119" spans="1:31">
      <c r="A119" s="11" t="s">
        <v>651</v>
      </c>
      <c r="B119" s="11"/>
      <c r="C119" s="11" t="s">
        <v>20</v>
      </c>
      <c r="E119" s="6">
        <v>32381965</v>
      </c>
      <c r="G119" s="6">
        <v>4057651</v>
      </c>
      <c r="I119" s="2">
        <f t="shared" si="33"/>
        <v>93250636</v>
      </c>
      <c r="K119" s="6">
        <v>129690252</v>
      </c>
      <c r="M119" s="2">
        <f t="shared" si="34"/>
        <v>8930721</v>
      </c>
      <c r="O119" s="6">
        <v>70547636</v>
      </c>
      <c r="Q119" s="6">
        <v>79478357</v>
      </c>
      <c r="S119" s="6">
        <v>388565</v>
      </c>
      <c r="U119" s="6">
        <v>6146116</v>
      </c>
      <c r="W119" s="6">
        <v>16583</v>
      </c>
      <c r="Y119" s="6">
        <v>2823863</v>
      </c>
      <c r="AA119" s="6">
        <v>40836768</v>
      </c>
      <c r="AC119" s="12">
        <f t="shared" si="29"/>
        <v>50211895</v>
      </c>
      <c r="AE119" s="6">
        <f t="shared" si="30"/>
        <v>0</v>
      </c>
    </row>
    <row r="120" spans="1:31">
      <c r="A120" s="11" t="s">
        <v>265</v>
      </c>
      <c r="B120" s="11"/>
      <c r="C120" s="11" t="s">
        <v>20</v>
      </c>
      <c r="E120" s="6">
        <f>135238585+665277+117953632+15360256</f>
        <v>269217750</v>
      </c>
      <c r="G120" s="6">
        <v>0</v>
      </c>
      <c r="I120" s="2">
        <f t="shared" si="33"/>
        <v>468542976</v>
      </c>
      <c r="K120" s="6">
        <v>737760726</v>
      </c>
      <c r="M120" s="2">
        <f t="shared" si="34"/>
        <v>79400344</v>
      </c>
      <c r="O120" s="6">
        <v>424599472</v>
      </c>
      <c r="Q120" s="6">
        <v>503999816</v>
      </c>
      <c r="S120" s="6">
        <v>5447173</v>
      </c>
      <c r="U120" s="6">
        <v>138845679</v>
      </c>
      <c r="W120" s="6">
        <v>88682944</v>
      </c>
      <c r="Y120" s="6">
        <v>4905512</v>
      </c>
      <c r="AA120" s="6">
        <v>-4120398</v>
      </c>
      <c r="AC120" s="12">
        <f t="shared" si="29"/>
        <v>233760910</v>
      </c>
      <c r="AE120" s="6">
        <f t="shared" si="30"/>
        <v>0</v>
      </c>
    </row>
    <row r="121" spans="1:31">
      <c r="A121" s="11" t="s">
        <v>243</v>
      </c>
      <c r="B121" s="11"/>
      <c r="C121" s="11" t="s">
        <v>18</v>
      </c>
      <c r="E121" s="6">
        <v>5039835</v>
      </c>
      <c r="G121" s="6">
        <v>0</v>
      </c>
      <c r="I121" s="2">
        <f t="shared" si="33"/>
        <v>5719228</v>
      </c>
      <c r="K121" s="6">
        <v>10759063</v>
      </c>
      <c r="M121" s="2">
        <f t="shared" si="34"/>
        <v>1588248</v>
      </c>
      <c r="O121" s="6">
        <v>5197727</v>
      </c>
      <c r="Q121" s="6">
        <v>6785975</v>
      </c>
      <c r="S121" s="6">
        <v>9719</v>
      </c>
      <c r="U121" s="6">
        <v>1435311</v>
      </c>
      <c r="W121" s="6">
        <v>0</v>
      </c>
      <c r="Y121" s="6">
        <v>287283</v>
      </c>
      <c r="AA121" s="6">
        <v>2240775</v>
      </c>
      <c r="AC121" s="12">
        <f t="shared" si="29"/>
        <v>3973088</v>
      </c>
      <c r="AE121" s="6">
        <f t="shared" si="30"/>
        <v>0</v>
      </c>
    </row>
    <row r="122" spans="1:31">
      <c r="A122" s="11" t="s">
        <v>416</v>
      </c>
      <c r="B122" s="11"/>
      <c r="C122" s="11" t="s">
        <v>47</v>
      </c>
      <c r="E122" s="6">
        <f>6380790+310699</f>
        <v>6691489</v>
      </c>
      <c r="G122" s="6">
        <v>0</v>
      </c>
      <c r="I122" s="2">
        <f t="shared" si="33"/>
        <v>16634190</v>
      </c>
      <c r="K122" s="6">
        <v>23325679</v>
      </c>
      <c r="M122" s="2">
        <f t="shared" si="34"/>
        <v>4428801</v>
      </c>
      <c r="O122" s="6">
        <f>12579010+1146505</f>
        <v>13725515</v>
      </c>
      <c r="Q122" s="6">
        <v>18154316</v>
      </c>
      <c r="S122" s="6">
        <v>31430</v>
      </c>
      <c r="U122" s="6">
        <f>289+5426587+74560+94209+310+38237</f>
        <v>5634192</v>
      </c>
      <c r="W122" s="6">
        <v>0</v>
      </c>
      <c r="Y122" s="6">
        <v>0</v>
      </c>
      <c r="AA122" s="6">
        <v>-494259</v>
      </c>
      <c r="AC122" s="12">
        <f t="shared" si="29"/>
        <v>5171363</v>
      </c>
      <c r="AE122" s="6">
        <f t="shared" si="30"/>
        <v>0</v>
      </c>
    </row>
    <row r="123" spans="1:31">
      <c r="A123" s="11" t="s">
        <v>756</v>
      </c>
      <c r="B123" s="11"/>
      <c r="C123" s="11" t="s">
        <v>79</v>
      </c>
      <c r="E123" s="6">
        <f>13249663+11110</f>
        <v>13260773</v>
      </c>
      <c r="G123" s="6">
        <v>0</v>
      </c>
      <c r="I123" s="2">
        <f t="shared" si="33"/>
        <v>8788965</v>
      </c>
      <c r="K123" s="6">
        <v>22049738</v>
      </c>
      <c r="M123" s="2">
        <f t="shared" si="34"/>
        <v>2362441</v>
      </c>
      <c r="O123" s="6">
        <f>900587+5851942</f>
        <v>6752529</v>
      </c>
      <c r="Q123" s="6">
        <v>9114970</v>
      </c>
      <c r="S123" s="6">
        <f>21673+71947</f>
        <v>93620</v>
      </c>
      <c r="U123" s="6">
        <f>815319+8806361+519160+415425+86403+80291+972375</f>
        <v>11695334</v>
      </c>
      <c r="W123" s="6">
        <v>0</v>
      </c>
      <c r="Y123" s="6">
        <f>15575+27941+44795+12283</f>
        <v>100594</v>
      </c>
      <c r="AA123" s="6">
        <v>1045220</v>
      </c>
      <c r="AC123" s="12">
        <f t="shared" si="29"/>
        <v>12934768</v>
      </c>
      <c r="AE123" s="6">
        <f t="shared" si="30"/>
        <v>0</v>
      </c>
    </row>
    <row r="124" spans="1:31" hidden="1">
      <c r="A124" s="11" t="s">
        <v>654</v>
      </c>
      <c r="B124" s="11"/>
      <c r="C124" s="11" t="s">
        <v>422</v>
      </c>
      <c r="I124" s="2">
        <f t="shared" si="33"/>
        <v>0</v>
      </c>
      <c r="M124" s="2">
        <f t="shared" si="34"/>
        <v>0</v>
      </c>
      <c r="AC124" s="12">
        <f t="shared" si="29"/>
        <v>0</v>
      </c>
      <c r="AE124" s="6">
        <f t="shared" si="30"/>
        <v>0</v>
      </c>
    </row>
    <row r="125" spans="1:31" hidden="1">
      <c r="A125" s="11" t="s">
        <v>610</v>
      </c>
      <c r="B125" s="11"/>
      <c r="C125" s="11" t="s">
        <v>57</v>
      </c>
      <c r="I125" s="2">
        <f t="shared" si="33"/>
        <v>0</v>
      </c>
      <c r="M125" s="2">
        <f t="shared" si="34"/>
        <v>0</v>
      </c>
      <c r="AC125" s="12">
        <f t="shared" si="29"/>
        <v>0</v>
      </c>
      <c r="AE125" s="6">
        <f t="shared" si="30"/>
        <v>0</v>
      </c>
    </row>
    <row r="126" spans="1:31">
      <c r="A126" s="11" t="s">
        <v>258</v>
      </c>
      <c r="B126" s="11"/>
      <c r="C126" s="11" t="s">
        <v>111</v>
      </c>
      <c r="E126" s="6">
        <v>3018990</v>
      </c>
      <c r="G126" s="6">
        <v>0</v>
      </c>
      <c r="I126" s="2">
        <f t="shared" si="33"/>
        <v>3994475</v>
      </c>
      <c r="K126" s="6">
        <v>7013465</v>
      </c>
      <c r="M126" s="2">
        <f t="shared" si="34"/>
        <v>1304951</v>
      </c>
      <c r="O126" s="6">
        <f>292336+1757140</f>
        <v>2049476</v>
      </c>
      <c r="Q126" s="6">
        <v>3354427</v>
      </c>
      <c r="S126" s="6">
        <v>17841</v>
      </c>
      <c r="U126" s="6">
        <f>911219+2062+187+2787+36408+59503</f>
        <v>1012166</v>
      </c>
      <c r="W126" s="6">
        <f>647646+69128</f>
        <v>716774</v>
      </c>
      <c r="Y126" s="6">
        <f>2858+107801+1759+627043+1350</f>
        <v>740811</v>
      </c>
      <c r="AA126" s="6">
        <v>1171446</v>
      </c>
      <c r="AC126" s="12">
        <f t="shared" si="29"/>
        <v>3659038</v>
      </c>
      <c r="AE126" s="6">
        <f t="shared" si="30"/>
        <v>0</v>
      </c>
    </row>
    <row r="127" spans="1:31">
      <c r="A127" s="11" t="s">
        <v>383</v>
      </c>
      <c r="B127" s="11"/>
      <c r="C127" s="11" t="s">
        <v>44</v>
      </c>
      <c r="E127" s="6">
        <f>2207805+226060</f>
        <v>2433865</v>
      </c>
      <c r="G127" s="6">
        <v>0</v>
      </c>
      <c r="I127" s="2">
        <f t="shared" si="33"/>
        <v>6483113</v>
      </c>
      <c r="K127" s="6">
        <v>8916978</v>
      </c>
      <c r="M127" s="2">
        <f t="shared" si="34"/>
        <v>1739386</v>
      </c>
      <c r="O127" s="6">
        <f>18863+5853245</f>
        <v>5872108</v>
      </c>
      <c r="Q127" s="6">
        <v>7611494</v>
      </c>
      <c r="S127" s="6">
        <v>2711</v>
      </c>
      <c r="U127" s="6">
        <f>313502+1327232+13889+15181+11194+47386</f>
        <v>1728384</v>
      </c>
      <c r="W127" s="6">
        <v>0</v>
      </c>
      <c r="Y127" s="6">
        <v>0</v>
      </c>
      <c r="AA127" s="6">
        <v>-425611</v>
      </c>
      <c r="AC127" s="12">
        <f t="shared" si="29"/>
        <v>1305484</v>
      </c>
      <c r="AE127" s="6">
        <f t="shared" si="30"/>
        <v>0</v>
      </c>
    </row>
    <row r="128" spans="1:31">
      <c r="A128" s="11" t="s">
        <v>757</v>
      </c>
      <c r="B128" s="11"/>
      <c r="C128" s="11" t="s">
        <v>112</v>
      </c>
      <c r="E128" s="6">
        <f>3065558+187139</f>
        <v>3252697</v>
      </c>
      <c r="G128" s="6">
        <v>0</v>
      </c>
      <c r="I128" s="2">
        <f t="shared" si="33"/>
        <v>5429596</v>
      </c>
      <c r="K128" s="6">
        <v>8682293</v>
      </c>
      <c r="M128" s="2">
        <f t="shared" si="34"/>
        <v>900887</v>
      </c>
      <c r="O128" s="6">
        <v>4375231</v>
      </c>
      <c r="Q128" s="6">
        <v>5276118</v>
      </c>
      <c r="S128" s="6">
        <v>1181</v>
      </c>
      <c r="U128" s="6">
        <v>1129137</v>
      </c>
      <c r="W128" s="6">
        <v>0</v>
      </c>
      <c r="Y128" s="6">
        <v>52490</v>
      </c>
      <c r="AA128" s="6">
        <v>2223367</v>
      </c>
      <c r="AC128" s="12">
        <f t="shared" si="29"/>
        <v>3406175</v>
      </c>
      <c r="AE128" s="6">
        <f t="shared" si="30"/>
        <v>0</v>
      </c>
    </row>
    <row r="129" spans="1:31">
      <c r="A129" s="11" t="s">
        <v>301</v>
      </c>
      <c r="B129" s="11"/>
      <c r="C129" s="11" t="s">
        <v>27</v>
      </c>
      <c r="E129" s="6">
        <f>395337606+4271063+76330432</f>
        <v>475939101</v>
      </c>
      <c r="G129" s="6">
        <v>1299288</v>
      </c>
      <c r="I129" s="2">
        <f t="shared" si="33"/>
        <v>481626109</v>
      </c>
      <c r="K129" s="6">
        <v>958864498</v>
      </c>
      <c r="M129" s="2">
        <f t="shared" si="34"/>
        <v>153524527</v>
      </c>
      <c r="O129" s="6">
        <v>370867785</v>
      </c>
      <c r="Q129" s="6">
        <v>524392312</v>
      </c>
      <c r="S129" s="6">
        <v>441426</v>
      </c>
      <c r="U129" s="6">
        <v>205860750</v>
      </c>
      <c r="W129" s="6">
        <v>1111995</v>
      </c>
      <c r="Y129" s="6">
        <v>5635376</v>
      </c>
      <c r="AA129" s="6">
        <v>221422639</v>
      </c>
      <c r="AC129" s="12">
        <f t="shared" si="29"/>
        <v>434472186</v>
      </c>
      <c r="AE129" s="6">
        <f t="shared" si="30"/>
        <v>0</v>
      </c>
    </row>
    <row r="130" spans="1:31" hidden="1">
      <c r="A130" s="11" t="s">
        <v>611</v>
      </c>
      <c r="B130" s="11"/>
      <c r="C130" s="11" t="s">
        <v>467</v>
      </c>
      <c r="I130" s="2">
        <f t="shared" si="33"/>
        <v>0</v>
      </c>
      <c r="M130" s="2">
        <f t="shared" si="34"/>
        <v>0</v>
      </c>
      <c r="AC130" s="12">
        <f t="shared" si="29"/>
        <v>0</v>
      </c>
      <c r="AE130" s="6">
        <f t="shared" si="30"/>
        <v>0</v>
      </c>
    </row>
    <row r="131" spans="1:31">
      <c r="A131" s="11" t="s">
        <v>207</v>
      </c>
      <c r="B131" s="11"/>
      <c r="C131" s="11" t="s">
        <v>12</v>
      </c>
      <c r="E131" s="6">
        <v>9057743</v>
      </c>
      <c r="G131" s="6">
        <v>6601</v>
      </c>
      <c r="I131" s="2">
        <f t="shared" si="33"/>
        <v>5172147</v>
      </c>
      <c r="K131" s="6">
        <v>14236491</v>
      </c>
      <c r="M131" s="2">
        <f t="shared" si="34"/>
        <v>2195776</v>
      </c>
      <c r="O131" s="6">
        <v>3224107</v>
      </c>
      <c r="Q131" s="6">
        <v>5419883</v>
      </c>
      <c r="S131" s="6">
        <v>49606</v>
      </c>
      <c r="U131" s="6">
        <v>4951530</v>
      </c>
      <c r="W131" s="6">
        <v>0</v>
      </c>
      <c r="Y131" s="6">
        <v>3539498</v>
      </c>
      <c r="AA131" s="6">
        <v>275974</v>
      </c>
      <c r="AC131" s="12">
        <f t="shared" si="29"/>
        <v>8816608</v>
      </c>
      <c r="AE131" s="6">
        <f t="shared" si="30"/>
        <v>0</v>
      </c>
    </row>
    <row r="132" spans="1:31">
      <c r="A132" s="11" t="s">
        <v>342</v>
      </c>
      <c r="B132" s="11"/>
      <c r="C132" s="11" t="s">
        <v>343</v>
      </c>
      <c r="E132" s="6">
        <v>606254</v>
      </c>
      <c r="G132" s="6">
        <v>0</v>
      </c>
      <c r="I132" s="2">
        <f t="shared" si="33"/>
        <v>2228328</v>
      </c>
      <c r="K132" s="6">
        <v>2834582</v>
      </c>
      <c r="M132" s="2">
        <f t="shared" si="34"/>
        <v>594940</v>
      </c>
      <c r="O132" s="6">
        <f>219399+1582053</f>
        <v>1801452</v>
      </c>
      <c r="Q132" s="6">
        <v>2396392</v>
      </c>
      <c r="S132" s="6">
        <f>1117+31570</f>
        <v>32687</v>
      </c>
      <c r="U132" s="6">
        <f>88716+4007+1601+2124+24120</f>
        <v>120568</v>
      </c>
      <c r="W132" s="6">
        <v>0</v>
      </c>
      <c r="Y132" s="6">
        <f>978+1143+6530+276750</f>
        <v>285401</v>
      </c>
      <c r="AA132" s="6">
        <v>-466</v>
      </c>
      <c r="AC132" s="12">
        <f t="shared" si="29"/>
        <v>438190</v>
      </c>
      <c r="AE132" s="6">
        <f t="shared" si="30"/>
        <v>0</v>
      </c>
    </row>
    <row r="133" spans="1:31" hidden="1">
      <c r="A133" s="11" t="s">
        <v>676</v>
      </c>
      <c r="B133" s="11"/>
      <c r="C133" s="11" t="s">
        <v>467</v>
      </c>
      <c r="I133" s="2">
        <f t="shared" si="33"/>
        <v>0</v>
      </c>
      <c r="M133" s="2">
        <f t="shared" si="34"/>
        <v>0</v>
      </c>
      <c r="AC133" s="12">
        <f t="shared" si="29"/>
        <v>0</v>
      </c>
      <c r="AE133" s="6">
        <f t="shared" si="30"/>
        <v>0</v>
      </c>
    </row>
    <row r="134" spans="1:31" ht="12" customHeight="1">
      <c r="A134" s="11" t="s">
        <v>508</v>
      </c>
      <c r="B134" s="11"/>
      <c r="C134" s="11" t="s">
        <v>63</v>
      </c>
      <c r="E134" s="6">
        <v>13027328</v>
      </c>
      <c r="G134" s="6">
        <v>0</v>
      </c>
      <c r="I134" s="2">
        <f t="shared" si="33"/>
        <v>29498695</v>
      </c>
      <c r="K134" s="6">
        <v>42526023</v>
      </c>
      <c r="M134" s="2">
        <f t="shared" si="34"/>
        <v>4185817</v>
      </c>
      <c r="O134" s="6">
        <v>26085219</v>
      </c>
      <c r="Q134" s="6">
        <v>30271036</v>
      </c>
      <c r="S134" s="6">
        <v>41755</v>
      </c>
      <c r="U134" s="6">
        <v>2512627</v>
      </c>
      <c r="W134" s="6">
        <v>0</v>
      </c>
      <c r="Y134" s="6">
        <v>3572978</v>
      </c>
      <c r="AA134" s="6">
        <v>6127627</v>
      </c>
      <c r="AC134" s="12">
        <f t="shared" si="29"/>
        <v>12254987</v>
      </c>
      <c r="AE134" s="6">
        <f t="shared" si="30"/>
        <v>0</v>
      </c>
    </row>
    <row r="135" spans="1:31" ht="12" customHeight="1">
      <c r="A135" s="11" t="s">
        <v>336</v>
      </c>
      <c r="B135" s="11"/>
      <c r="C135" s="11" t="s">
        <v>33</v>
      </c>
      <c r="E135" s="6">
        <v>9223843</v>
      </c>
      <c r="G135" s="6">
        <v>0</v>
      </c>
      <c r="I135" s="2">
        <f t="shared" si="33"/>
        <v>4114236</v>
      </c>
      <c r="K135" s="6">
        <v>13338079</v>
      </c>
      <c r="M135" s="2">
        <f t="shared" si="34"/>
        <v>1990519</v>
      </c>
      <c r="O135" s="6">
        <v>3369562</v>
      </c>
      <c r="Q135" s="6">
        <v>5360081</v>
      </c>
      <c r="S135" s="6">
        <v>28662</v>
      </c>
      <c r="U135" s="6">
        <v>7620604</v>
      </c>
      <c r="W135" s="6">
        <v>0</v>
      </c>
      <c r="Y135" s="6">
        <v>125929</v>
      </c>
      <c r="AA135" s="6">
        <v>202803</v>
      </c>
      <c r="AC135" s="12">
        <f t="shared" si="29"/>
        <v>7977998</v>
      </c>
      <c r="AE135" s="6">
        <f t="shared" si="30"/>
        <v>0</v>
      </c>
    </row>
    <row r="136" spans="1:31" ht="12" customHeight="1">
      <c r="A136" s="11" t="s">
        <v>253</v>
      </c>
      <c r="B136" s="11"/>
      <c r="C136" s="11" t="s">
        <v>19</v>
      </c>
      <c r="E136" s="6">
        <v>20662877</v>
      </c>
      <c r="G136" s="6">
        <f>55311+26173+1000</f>
        <v>82484</v>
      </c>
      <c r="I136" s="2">
        <f t="shared" si="33"/>
        <v>11264280</v>
      </c>
      <c r="K136" s="6">
        <v>32009641</v>
      </c>
      <c r="M136" s="2">
        <f t="shared" si="34"/>
        <v>2152000</v>
      </c>
      <c r="O136" s="6">
        <f>5061249+5105436</f>
        <v>10166685</v>
      </c>
      <c r="Q136" s="6">
        <v>12318685</v>
      </c>
      <c r="S136" s="6">
        <v>16933</v>
      </c>
      <c r="U136" s="6">
        <v>18210746</v>
      </c>
      <c r="W136" s="6">
        <v>0</v>
      </c>
      <c r="Y136" s="6">
        <v>295399</v>
      </c>
      <c r="AA136" s="6">
        <v>1167878</v>
      </c>
      <c r="AC136" s="12">
        <f t="shared" si="29"/>
        <v>19690956</v>
      </c>
      <c r="AE136" s="6">
        <f t="shared" si="30"/>
        <v>0</v>
      </c>
    </row>
    <row r="137" spans="1:31" ht="12" customHeight="1">
      <c r="A137" s="11" t="s">
        <v>604</v>
      </c>
      <c r="B137" s="11"/>
      <c r="C137" s="11" t="s">
        <v>63</v>
      </c>
      <c r="E137" s="6">
        <v>638248</v>
      </c>
      <c r="G137" s="6">
        <v>0</v>
      </c>
      <c r="I137" s="2">
        <f t="shared" si="33"/>
        <v>11274612</v>
      </c>
      <c r="K137" s="6">
        <v>11912860</v>
      </c>
      <c r="M137" s="2">
        <f t="shared" si="34"/>
        <v>4247290</v>
      </c>
      <c r="O137" s="6">
        <v>10128482</v>
      </c>
      <c r="Q137" s="6">
        <v>14375772</v>
      </c>
      <c r="S137" s="6">
        <v>0</v>
      </c>
      <c r="U137" s="6">
        <v>382913</v>
      </c>
      <c r="W137" s="6">
        <v>0</v>
      </c>
      <c r="Y137" s="6">
        <v>11000</v>
      </c>
      <c r="AA137" s="6">
        <v>-2856825</v>
      </c>
      <c r="AC137" s="12">
        <f t="shared" si="29"/>
        <v>-2462912</v>
      </c>
      <c r="AE137" s="6">
        <f t="shared" si="30"/>
        <v>0</v>
      </c>
    </row>
    <row r="138" spans="1:31" ht="12" customHeight="1">
      <c r="A138" s="11" t="s">
        <v>758</v>
      </c>
      <c r="B138" s="11"/>
      <c r="C138" s="11" t="s">
        <v>48</v>
      </c>
      <c r="E138" s="6">
        <v>1443296</v>
      </c>
      <c r="G138" s="6">
        <v>4620</v>
      </c>
      <c r="I138" s="2">
        <f t="shared" si="33"/>
        <v>2833193</v>
      </c>
      <c r="K138" s="6">
        <v>4281109</v>
      </c>
      <c r="M138" s="2">
        <f t="shared" si="34"/>
        <v>1070706</v>
      </c>
      <c r="O138" s="6">
        <f>1414914+41734</f>
        <v>1456648</v>
      </c>
      <c r="Q138" s="6">
        <v>2527354</v>
      </c>
      <c r="S138" s="6">
        <f>15092+5891</f>
        <v>20983</v>
      </c>
      <c r="U138" s="6">
        <f>168283+40400+748+1878+101611+58876</f>
        <v>371796</v>
      </c>
      <c r="W138" s="6">
        <v>0</v>
      </c>
      <c r="Y138" s="6">
        <f>733+7394+402959</f>
        <v>411086</v>
      </c>
      <c r="AA138" s="6">
        <v>949890</v>
      </c>
      <c r="AC138" s="12">
        <f t="shared" si="29"/>
        <v>1753755</v>
      </c>
      <c r="AE138" s="6">
        <f t="shared" si="30"/>
        <v>0</v>
      </c>
    </row>
    <row r="139" spans="1:31" ht="12" hidden="1" customHeight="1">
      <c r="A139" s="11" t="s">
        <v>831</v>
      </c>
      <c r="B139" s="11"/>
      <c r="C139" s="11" t="s">
        <v>111</v>
      </c>
      <c r="I139" s="2">
        <f t="shared" si="33"/>
        <v>0</v>
      </c>
      <c r="M139" s="2">
        <f t="shared" si="34"/>
        <v>0</v>
      </c>
      <c r="AC139" s="12">
        <f t="shared" si="29"/>
        <v>0</v>
      </c>
      <c r="AE139" s="6">
        <f t="shared" si="30"/>
        <v>0</v>
      </c>
    </row>
    <row r="140" spans="1:31" ht="12" customHeight="1">
      <c r="A140" s="11" t="s">
        <v>247</v>
      </c>
      <c r="B140" s="11"/>
      <c r="C140" s="11" t="s">
        <v>112</v>
      </c>
      <c r="E140" s="6">
        <v>2788946</v>
      </c>
      <c r="G140" s="6">
        <v>0</v>
      </c>
      <c r="I140" s="2">
        <f t="shared" si="33"/>
        <v>3421117</v>
      </c>
      <c r="K140" s="6">
        <v>6210063</v>
      </c>
      <c r="M140" s="2">
        <f t="shared" si="34"/>
        <v>1799017</v>
      </c>
      <c r="O140" s="6">
        <v>2598843</v>
      </c>
      <c r="Q140" s="6">
        <v>4397860</v>
      </c>
      <c r="S140" s="6">
        <v>52507</v>
      </c>
      <c r="U140" s="6">
        <v>980931</v>
      </c>
      <c r="W140" s="6">
        <v>99128</v>
      </c>
      <c r="Y140" s="6">
        <v>160076</v>
      </c>
      <c r="AA140" s="6">
        <v>519561</v>
      </c>
      <c r="AC140" s="12">
        <f t="shared" si="29"/>
        <v>1812203</v>
      </c>
      <c r="AE140" s="6">
        <f t="shared" si="30"/>
        <v>0</v>
      </c>
    </row>
    <row r="141" spans="1:31" ht="12" customHeight="1">
      <c r="A141" s="11" t="s">
        <v>247</v>
      </c>
      <c r="B141" s="11"/>
      <c r="C141" s="11" t="s">
        <v>110</v>
      </c>
      <c r="E141" s="6">
        <v>7014269</v>
      </c>
      <c r="G141" s="6">
        <v>1198</v>
      </c>
      <c r="I141" s="2">
        <f t="shared" si="33"/>
        <v>3091863</v>
      </c>
      <c r="K141" s="6">
        <v>10107330</v>
      </c>
      <c r="M141" s="2">
        <f t="shared" si="34"/>
        <v>1135194</v>
      </c>
      <c r="O141" s="6">
        <f>2150436+190706</f>
        <v>2341142</v>
      </c>
      <c r="Q141" s="6">
        <v>3476336</v>
      </c>
      <c r="S141" s="6">
        <f>23946+55045</f>
        <v>78991</v>
      </c>
      <c r="U141" s="6">
        <f>244436+284497+225980+279652+5706+5551+2321+43017+1198</f>
        <v>1092358</v>
      </c>
      <c r="W141" s="6">
        <v>8540</v>
      </c>
      <c r="Y141" s="6">
        <f>16692+28852+863+25+430000+607</f>
        <v>477039</v>
      </c>
      <c r="AA141" s="6">
        <v>4974066</v>
      </c>
      <c r="AC141" s="12">
        <f t="shared" si="29"/>
        <v>6630994</v>
      </c>
      <c r="AE141" s="6">
        <f t="shared" si="30"/>
        <v>0</v>
      </c>
    </row>
    <row r="142" spans="1:31" ht="12" hidden="1" customHeight="1">
      <c r="A142" s="11" t="s">
        <v>655</v>
      </c>
      <c r="B142" s="11"/>
      <c r="C142" s="11" t="s">
        <v>67</v>
      </c>
      <c r="I142" s="2">
        <f t="shared" si="33"/>
        <v>0</v>
      </c>
      <c r="M142" s="2">
        <f t="shared" si="34"/>
        <v>0</v>
      </c>
      <c r="AC142" s="12">
        <f t="shared" si="29"/>
        <v>0</v>
      </c>
      <c r="AE142" s="6">
        <f t="shared" si="30"/>
        <v>0</v>
      </c>
    </row>
    <row r="143" spans="1:31" ht="12" customHeight="1">
      <c r="A143" s="11" t="s">
        <v>718</v>
      </c>
      <c r="B143" s="11"/>
      <c r="C143" s="11" t="s">
        <v>56</v>
      </c>
      <c r="E143" s="6">
        <f>6473543+30103</f>
        <v>6503646</v>
      </c>
      <c r="G143" s="6">
        <v>0</v>
      </c>
      <c r="I143" s="2">
        <f t="shared" si="33"/>
        <v>7770579</v>
      </c>
      <c r="K143" s="6">
        <v>14274225</v>
      </c>
      <c r="M143" s="2">
        <f t="shared" si="34"/>
        <v>2706155</v>
      </c>
      <c r="O143" s="6">
        <v>6945995</v>
      </c>
      <c r="Q143" s="6">
        <v>9652150</v>
      </c>
      <c r="S143" s="6">
        <v>46839</v>
      </c>
      <c r="U143" s="6">
        <v>3910777</v>
      </c>
      <c r="W143" s="6">
        <v>11000</v>
      </c>
      <c r="Y143" s="6">
        <v>826815</v>
      </c>
      <c r="AA143" s="6">
        <v>-173356</v>
      </c>
      <c r="AC143" s="12">
        <f t="shared" si="29"/>
        <v>4622075</v>
      </c>
      <c r="AE143" s="6">
        <f t="shared" si="30"/>
        <v>0</v>
      </c>
    </row>
    <row r="144" spans="1:31" ht="12" customHeight="1">
      <c r="A144" s="11" t="s">
        <v>759</v>
      </c>
      <c r="B144" s="11"/>
      <c r="C144" s="11" t="s">
        <v>451</v>
      </c>
      <c r="E144" s="6">
        <v>1334585</v>
      </c>
      <c r="G144" s="6">
        <v>21459</v>
      </c>
      <c r="I144" s="2">
        <f t="shared" si="33"/>
        <v>3486109</v>
      </c>
      <c r="K144" s="6">
        <v>4842153</v>
      </c>
      <c r="M144" s="2">
        <f t="shared" si="34"/>
        <v>1243874</v>
      </c>
      <c r="O144" s="6">
        <f>2919646+53915</f>
        <v>2973561</v>
      </c>
      <c r="Q144" s="6">
        <v>4217435</v>
      </c>
      <c r="S144" s="6">
        <v>122999</v>
      </c>
      <c r="U144" s="6">
        <v>674649</v>
      </c>
      <c r="W144" s="6">
        <v>0</v>
      </c>
      <c r="Y144" s="6">
        <v>111082</v>
      </c>
      <c r="AA144" s="6">
        <v>-284012</v>
      </c>
      <c r="AC144" s="12">
        <f t="shared" si="29"/>
        <v>624718</v>
      </c>
      <c r="AE144" s="6">
        <f t="shared" si="30"/>
        <v>0</v>
      </c>
    </row>
    <row r="145" spans="1:31" ht="12" customHeight="1">
      <c r="A145" s="11" t="s">
        <v>656</v>
      </c>
      <c r="B145" s="11"/>
      <c r="C145" s="11" t="s">
        <v>63</v>
      </c>
      <c r="E145" s="6">
        <v>5864130</v>
      </c>
      <c r="G145" s="6">
        <v>0</v>
      </c>
      <c r="I145" s="2">
        <f t="shared" si="33"/>
        <v>28912246</v>
      </c>
      <c r="K145" s="6">
        <v>34776376</v>
      </c>
      <c r="M145" s="2">
        <f t="shared" si="34"/>
        <v>5038362</v>
      </c>
      <c r="O145" s="6">
        <f>24925182+908091</f>
        <v>25833273</v>
      </c>
      <c r="Q145" s="6">
        <v>30871635</v>
      </c>
      <c r="S145" s="6">
        <f>90508+23086+1369</f>
        <v>114963</v>
      </c>
      <c r="U145" s="6">
        <f>321532+282616+122400+15530+45626+144729</f>
        <v>932433</v>
      </c>
      <c r="W145" s="6">
        <f>517203+732+11000</f>
        <v>528935</v>
      </c>
      <c r="Y145" s="6">
        <f>36670+30580+600+109104+6089+91762</f>
        <v>274805</v>
      </c>
      <c r="AA145" s="6">
        <v>2053605</v>
      </c>
      <c r="AC145" s="12">
        <f t="shared" si="29"/>
        <v>3904741</v>
      </c>
      <c r="AE145" s="6">
        <f t="shared" si="30"/>
        <v>0</v>
      </c>
    </row>
    <row r="146" spans="1:31">
      <c r="A146" s="11" t="s">
        <v>719</v>
      </c>
      <c r="B146" s="11"/>
      <c r="C146" s="11" t="s">
        <v>20</v>
      </c>
      <c r="E146" s="6">
        <v>2445868</v>
      </c>
      <c r="G146" s="6">
        <v>45676</v>
      </c>
      <c r="I146" s="2">
        <f t="shared" si="33"/>
        <v>9825288</v>
      </c>
      <c r="K146" s="6">
        <v>12316832</v>
      </c>
      <c r="M146" s="2">
        <f t="shared" si="34"/>
        <v>1543004</v>
      </c>
      <c r="O146" s="6">
        <v>8917969</v>
      </c>
      <c r="Q146" s="6">
        <v>10460973</v>
      </c>
      <c r="S146" s="6">
        <v>8993</v>
      </c>
      <c r="U146" s="6">
        <v>1287526</v>
      </c>
      <c r="W146" s="6">
        <v>0</v>
      </c>
      <c r="Y146" s="6">
        <v>205713</v>
      </c>
      <c r="AA146" s="6">
        <v>353627</v>
      </c>
      <c r="AC146" s="12">
        <f t="shared" ref="AC146:AC210" si="35">S146+U146+W146+Y146+AA146</f>
        <v>1855859</v>
      </c>
      <c r="AE146" s="6">
        <f t="shared" ref="AE146:AE210" si="36">+E146+G146+I146-M146-O146-W146-U146-S146-Y146-AA146</f>
        <v>0</v>
      </c>
    </row>
    <row r="147" spans="1:31">
      <c r="A147" s="11" t="s">
        <v>609</v>
      </c>
      <c r="B147" s="11"/>
      <c r="C147" s="11" t="s">
        <v>71</v>
      </c>
      <c r="E147" s="6">
        <f>6353996+8891898</f>
        <v>15245894</v>
      </c>
      <c r="G147" s="6">
        <v>0</v>
      </c>
      <c r="I147" s="2">
        <f t="shared" si="33"/>
        <v>3965127</v>
      </c>
      <c r="K147" s="6">
        <v>19211021</v>
      </c>
      <c r="M147" s="2">
        <f t="shared" si="34"/>
        <v>1065551</v>
      </c>
      <c r="O147" s="6">
        <f>56388+3140585</f>
        <v>3196973</v>
      </c>
      <c r="Q147" s="6">
        <v>4262524</v>
      </c>
      <c r="S147" s="6">
        <v>2013</v>
      </c>
      <c r="U147" s="6">
        <f>514687+13747599+43342+2770+3926+7666</f>
        <v>14319990</v>
      </c>
      <c r="W147" s="6">
        <v>0</v>
      </c>
      <c r="Y147" s="6">
        <f>197+21592+144990</f>
        <v>166779</v>
      </c>
      <c r="AA147" s="6">
        <v>459715</v>
      </c>
      <c r="AC147" s="12">
        <f t="shared" si="35"/>
        <v>14948497</v>
      </c>
      <c r="AE147" s="6">
        <f t="shared" si="36"/>
        <v>0</v>
      </c>
    </row>
    <row r="148" spans="1:31" hidden="1">
      <c r="A148" s="11" t="s">
        <v>741</v>
      </c>
      <c r="B148" s="11"/>
      <c r="C148" s="11" t="s">
        <v>53</v>
      </c>
      <c r="I148" s="2">
        <f t="shared" si="33"/>
        <v>0</v>
      </c>
      <c r="M148" s="2">
        <f t="shared" si="34"/>
        <v>0</v>
      </c>
      <c r="AC148" s="12">
        <f t="shared" si="35"/>
        <v>0</v>
      </c>
      <c r="AE148" s="6">
        <f t="shared" si="36"/>
        <v>0</v>
      </c>
    </row>
    <row r="149" spans="1:31" hidden="1">
      <c r="A149" s="11" t="s">
        <v>657</v>
      </c>
      <c r="B149" s="11"/>
      <c r="C149" s="11" t="s">
        <v>40</v>
      </c>
      <c r="I149" s="2">
        <f t="shared" si="33"/>
        <v>0</v>
      </c>
      <c r="M149" s="2">
        <f t="shared" si="34"/>
        <v>0</v>
      </c>
      <c r="AC149" s="12">
        <f t="shared" si="35"/>
        <v>0</v>
      </c>
      <c r="AE149" s="6">
        <f t="shared" si="36"/>
        <v>0</v>
      </c>
    </row>
    <row r="150" spans="1:31">
      <c r="A150" s="11" t="s">
        <v>367</v>
      </c>
      <c r="B150" s="11"/>
      <c r="C150" s="11" t="s">
        <v>366</v>
      </c>
      <c r="E150" s="6">
        <v>6322129</v>
      </c>
      <c r="G150" s="6">
        <v>0</v>
      </c>
      <c r="I150" s="2">
        <f t="shared" si="33"/>
        <v>2073854</v>
      </c>
      <c r="K150" s="6">
        <v>8395983</v>
      </c>
      <c r="M150" s="2">
        <f t="shared" si="34"/>
        <v>1891493</v>
      </c>
      <c r="O150" s="6">
        <v>1410234</v>
      </c>
      <c r="Q150" s="6">
        <v>3301727</v>
      </c>
      <c r="S150" s="6">
        <v>18950</v>
      </c>
      <c r="U150" s="6">
        <v>1269989</v>
      </c>
      <c r="W150" s="6">
        <v>12034</v>
      </c>
      <c r="Y150" s="6">
        <v>1064395</v>
      </c>
      <c r="AA150" s="6">
        <v>2728888</v>
      </c>
      <c r="AC150" s="12">
        <f t="shared" si="35"/>
        <v>5094256</v>
      </c>
      <c r="AE150" s="6">
        <f t="shared" si="36"/>
        <v>0</v>
      </c>
    </row>
    <row r="151" spans="1:31">
      <c r="A151" s="11" t="s">
        <v>429</v>
      </c>
      <c r="B151" s="11"/>
      <c r="C151" s="11" t="s">
        <v>50</v>
      </c>
      <c r="E151" s="6">
        <f>77806592+10354504</f>
        <v>88161096</v>
      </c>
      <c r="G151" s="6">
        <v>731896</v>
      </c>
      <c r="I151" s="2">
        <f t="shared" si="33"/>
        <v>122689325</v>
      </c>
      <c r="K151" s="6">
        <v>211582317</v>
      </c>
      <c r="M151" s="2">
        <f t="shared" si="34"/>
        <v>25475679</v>
      </c>
      <c r="O151" s="6">
        <v>108730268</v>
      </c>
      <c r="Q151" s="6">
        <v>134205947</v>
      </c>
      <c r="S151" s="6">
        <v>1177202</v>
      </c>
      <c r="U151" s="6">
        <v>61541462</v>
      </c>
      <c r="W151" s="6">
        <v>0</v>
      </c>
      <c r="Y151" s="6">
        <v>2791751</v>
      </c>
      <c r="AA151" s="6">
        <v>11865955</v>
      </c>
      <c r="AC151" s="12">
        <f t="shared" si="35"/>
        <v>77376370</v>
      </c>
      <c r="AE151" s="6">
        <f t="shared" si="36"/>
        <v>0</v>
      </c>
    </row>
    <row r="152" spans="1:31">
      <c r="A152" s="11" t="s">
        <v>889</v>
      </c>
      <c r="B152" s="11"/>
      <c r="C152" s="11" t="s">
        <v>32</v>
      </c>
      <c r="E152" s="6">
        <v>6301999</v>
      </c>
      <c r="G152" s="6">
        <v>50000</v>
      </c>
      <c r="I152" s="2">
        <f t="shared" si="33"/>
        <v>9192561</v>
      </c>
      <c r="K152" s="6">
        <v>15544560</v>
      </c>
      <c r="M152" s="2">
        <f t="shared" si="34"/>
        <v>1656053</v>
      </c>
      <c r="O152" s="6">
        <v>5713732</v>
      </c>
      <c r="Q152" s="6">
        <v>7369785</v>
      </c>
      <c r="S152" s="6">
        <v>25633</v>
      </c>
      <c r="U152" s="6">
        <v>900627</v>
      </c>
      <c r="W152" s="6">
        <v>0</v>
      </c>
      <c r="Y152" s="6">
        <v>3992803</v>
      </c>
      <c r="AA152" s="6">
        <v>3255712</v>
      </c>
      <c r="AC152" s="12">
        <f t="shared" si="35"/>
        <v>8174775</v>
      </c>
      <c r="AE152" s="6">
        <f t="shared" si="36"/>
        <v>0</v>
      </c>
    </row>
    <row r="153" spans="1:31" hidden="1">
      <c r="A153" s="11" t="s">
        <v>658</v>
      </c>
      <c r="B153" s="11"/>
      <c r="C153" s="11" t="s">
        <v>22</v>
      </c>
      <c r="I153" s="2">
        <f t="shared" si="33"/>
        <v>0</v>
      </c>
      <c r="M153" s="2">
        <f t="shared" si="34"/>
        <v>0</v>
      </c>
      <c r="AC153" s="12">
        <f t="shared" si="35"/>
        <v>0</v>
      </c>
      <c r="AE153" s="6">
        <f t="shared" si="36"/>
        <v>0</v>
      </c>
    </row>
    <row r="154" spans="1:31">
      <c r="A154" s="11" t="s">
        <v>742</v>
      </c>
      <c r="B154" s="11"/>
      <c r="C154" s="11" t="s">
        <v>23</v>
      </c>
      <c r="E154" s="6">
        <f>9877825+4925</f>
        <v>9882750</v>
      </c>
      <c r="G154" s="6">
        <v>0</v>
      </c>
      <c r="I154" s="2">
        <f t="shared" si="33"/>
        <v>35754984</v>
      </c>
      <c r="K154" s="6">
        <v>45637734</v>
      </c>
      <c r="M154" s="2">
        <f t="shared" si="34"/>
        <v>6364437</v>
      </c>
      <c r="O154" s="6">
        <v>28536126</v>
      </c>
      <c r="Q154" s="6">
        <v>34900563</v>
      </c>
      <c r="S154" s="6">
        <v>247379</v>
      </c>
      <c r="U154" s="6">
        <v>5361893</v>
      </c>
      <c r="W154" s="6">
        <v>0</v>
      </c>
      <c r="Y154" s="6">
        <v>329579</v>
      </c>
      <c r="AA154" s="6">
        <v>4798320</v>
      </c>
      <c r="AC154" s="12">
        <f t="shared" si="35"/>
        <v>10737171</v>
      </c>
      <c r="AE154" s="6">
        <f t="shared" si="36"/>
        <v>0</v>
      </c>
    </row>
    <row r="155" spans="1:31">
      <c r="A155" s="11" t="s">
        <v>201</v>
      </c>
      <c r="B155" s="11"/>
      <c r="C155" s="11" t="s">
        <v>10</v>
      </c>
      <c r="E155" s="6">
        <v>1330592</v>
      </c>
      <c r="G155" s="6">
        <v>0</v>
      </c>
      <c r="I155" s="2">
        <f t="shared" ref="I155:I158" si="37">K155-E155-G155</f>
        <v>4659768</v>
      </c>
      <c r="K155" s="6">
        <v>5990360</v>
      </c>
      <c r="M155" s="2">
        <f t="shared" ref="M155:M157" si="38">Q155-O155</f>
        <v>940789</v>
      </c>
      <c r="O155" s="6">
        <v>4178541</v>
      </c>
      <c r="Q155" s="6">
        <v>5119330</v>
      </c>
      <c r="S155" s="6">
        <v>38033</v>
      </c>
      <c r="U155" s="6">
        <v>1011406</v>
      </c>
      <c r="W155" s="6">
        <v>0</v>
      </c>
      <c r="Y155" s="6">
        <v>98081</v>
      </c>
      <c r="AA155" s="6">
        <v>-276490</v>
      </c>
      <c r="AC155" s="12">
        <f t="shared" si="35"/>
        <v>871030</v>
      </c>
      <c r="AE155" s="6">
        <f t="shared" si="36"/>
        <v>0</v>
      </c>
    </row>
    <row r="156" spans="1:31">
      <c r="A156" s="11" t="s">
        <v>534</v>
      </c>
      <c r="B156" s="11"/>
      <c r="C156" s="11" t="s">
        <v>65</v>
      </c>
      <c r="E156" s="6">
        <v>10680639</v>
      </c>
      <c r="G156" s="6">
        <v>0</v>
      </c>
      <c r="I156" s="2">
        <f t="shared" si="37"/>
        <v>12625248</v>
      </c>
      <c r="K156" s="6">
        <v>23305887</v>
      </c>
      <c r="M156" s="2">
        <f t="shared" si="38"/>
        <v>3697562</v>
      </c>
      <c r="O156" s="6">
        <v>10661423</v>
      </c>
      <c r="Q156" s="6">
        <v>14358985</v>
      </c>
      <c r="S156" s="6">
        <v>0</v>
      </c>
      <c r="U156" s="6">
        <v>1397346</v>
      </c>
      <c r="W156" s="6">
        <v>0</v>
      </c>
      <c r="Y156" s="6">
        <v>589481</v>
      </c>
      <c r="AA156" s="6">
        <v>6960075</v>
      </c>
      <c r="AC156" s="12">
        <f t="shared" si="35"/>
        <v>8946902</v>
      </c>
      <c r="AE156" s="6">
        <f t="shared" si="36"/>
        <v>0</v>
      </c>
    </row>
    <row r="157" spans="1:31">
      <c r="A157" s="11" t="s">
        <v>302</v>
      </c>
      <c r="B157" s="11"/>
      <c r="C157" s="11" t="s">
        <v>27</v>
      </c>
      <c r="E157" s="6">
        <v>59509503</v>
      </c>
      <c r="G157" s="6">
        <v>0</v>
      </c>
      <c r="I157" s="2">
        <f t="shared" si="37"/>
        <v>237891828</v>
      </c>
      <c r="K157" s="6">
        <v>297401331</v>
      </c>
      <c r="M157" s="2">
        <f t="shared" si="38"/>
        <v>19774597</v>
      </c>
      <c r="O157" s="6">
        <v>186631938</v>
      </c>
      <c r="Q157" s="6">
        <v>206406535</v>
      </c>
      <c r="S157" s="6">
        <v>141500</v>
      </c>
      <c r="U157" s="6">
        <f>17512965+206782+210429+386034+35762+258614+42829+176911</f>
        <v>18830326</v>
      </c>
      <c r="W157" s="6">
        <f>2766087+3216656+343624+1421252</f>
        <v>7747619</v>
      </c>
      <c r="Y157" s="6">
        <f>39156431+1122362+154095+167249+404915+149167</f>
        <v>41154219</v>
      </c>
      <c r="AA157" s="6">
        <v>23121132</v>
      </c>
      <c r="AC157" s="12">
        <f t="shared" si="35"/>
        <v>90994796</v>
      </c>
      <c r="AE157" s="6">
        <f t="shared" si="36"/>
        <v>0</v>
      </c>
    </row>
    <row r="158" spans="1:31">
      <c r="A158" s="11" t="s">
        <v>266</v>
      </c>
      <c r="B158" s="11"/>
      <c r="C158" s="11" t="s">
        <v>20</v>
      </c>
      <c r="E158" s="6">
        <f>38664820+7874</f>
        <v>38672694</v>
      </c>
      <c r="G158" s="6">
        <v>359021</v>
      </c>
      <c r="I158" s="2">
        <f t="shared" si="37"/>
        <v>20988632</v>
      </c>
      <c r="K158" s="6">
        <v>60020347</v>
      </c>
      <c r="M158" s="2">
        <f>Q158-O158</f>
        <v>7033346</v>
      </c>
      <c r="O158" s="6">
        <v>17965982</v>
      </c>
      <c r="Q158" s="6">
        <v>24999328</v>
      </c>
      <c r="S158" s="6">
        <v>371653</v>
      </c>
      <c r="U158" s="6">
        <v>7150371</v>
      </c>
      <c r="W158" s="6">
        <v>0</v>
      </c>
      <c r="Y158" s="6">
        <v>6095688</v>
      </c>
      <c r="AA158" s="6">
        <v>21403307</v>
      </c>
      <c r="AC158" s="12">
        <f t="shared" si="35"/>
        <v>35021019</v>
      </c>
      <c r="AE158" s="6">
        <f t="shared" si="36"/>
        <v>0</v>
      </c>
    </row>
    <row r="159" spans="1:31">
      <c r="A159" s="11" t="s">
        <v>244</v>
      </c>
      <c r="B159" s="11"/>
      <c r="C159" s="11" t="s">
        <v>18</v>
      </c>
      <c r="E159" s="6">
        <v>4703093</v>
      </c>
      <c r="G159" s="6">
        <v>0</v>
      </c>
      <c r="I159" s="2">
        <f>K159-E159-G159</f>
        <v>3561585</v>
      </c>
      <c r="K159" s="6">
        <v>8264678</v>
      </c>
      <c r="M159" s="2">
        <f>Q159-O159</f>
        <v>1439585</v>
      </c>
      <c r="O159" s="6">
        <v>3187159</v>
      </c>
      <c r="Q159" s="6">
        <v>4626744</v>
      </c>
      <c r="S159" s="6">
        <v>302517</v>
      </c>
      <c r="U159" s="6">
        <v>1520247</v>
      </c>
      <c r="W159" s="6">
        <v>21377</v>
      </c>
      <c r="Y159" s="6">
        <v>514582</v>
      </c>
      <c r="AA159" s="6">
        <v>1279211</v>
      </c>
      <c r="AC159" s="12">
        <f t="shared" si="35"/>
        <v>3637934</v>
      </c>
      <c r="AE159" s="6">
        <f t="shared" si="36"/>
        <v>0</v>
      </c>
    </row>
    <row r="160" spans="1:31">
      <c r="A160" s="11" t="s">
        <v>320</v>
      </c>
      <c r="B160" s="11"/>
      <c r="C160" s="11" t="s">
        <v>31</v>
      </c>
      <c r="E160" s="6">
        <v>6363026</v>
      </c>
      <c r="G160" s="6">
        <v>0</v>
      </c>
      <c r="I160" s="2">
        <f t="shared" ref="I160:I225" si="39">K160-E160-G160</f>
        <v>3842536</v>
      </c>
      <c r="K160" s="6">
        <v>10205562</v>
      </c>
      <c r="M160" s="2">
        <f t="shared" ref="M160:M225" si="40">Q160-O160</f>
        <v>1165301</v>
      </c>
      <c r="O160" s="6">
        <v>2626966</v>
      </c>
      <c r="Q160" s="6">
        <v>3792267</v>
      </c>
      <c r="S160" s="6">
        <f>51891+180182</f>
        <v>232073</v>
      </c>
      <c r="U160" s="6">
        <f>34037+128469+21408+1606992+909550</f>
        <v>2700456</v>
      </c>
      <c r="W160" s="6">
        <v>0</v>
      </c>
      <c r="Y160" s="6">
        <v>900585</v>
      </c>
      <c r="AA160" s="6">
        <v>2580181</v>
      </c>
      <c r="AC160" s="12">
        <f t="shared" si="35"/>
        <v>6413295</v>
      </c>
      <c r="AE160" s="6">
        <f t="shared" si="36"/>
        <v>0</v>
      </c>
    </row>
    <row r="161" spans="1:31">
      <c r="A161" s="11" t="s">
        <v>353</v>
      </c>
      <c r="B161" s="11"/>
      <c r="C161" s="11" t="s">
        <v>36</v>
      </c>
      <c r="E161" s="6">
        <v>6396299</v>
      </c>
      <c r="G161" s="6">
        <v>0</v>
      </c>
      <c r="I161" s="2">
        <f t="shared" si="39"/>
        <v>8525833</v>
      </c>
      <c r="K161" s="6">
        <v>14922132</v>
      </c>
      <c r="M161" s="2">
        <f t="shared" si="40"/>
        <v>2268649</v>
      </c>
      <c r="O161" s="6">
        <v>7592387</v>
      </c>
      <c r="Q161" s="6">
        <v>9861036</v>
      </c>
      <c r="S161" s="6">
        <v>144257</v>
      </c>
      <c r="U161" s="6">
        <v>1843465</v>
      </c>
      <c r="W161" s="6">
        <v>0</v>
      </c>
      <c r="Y161" s="6">
        <v>675622</v>
      </c>
      <c r="AA161" s="6">
        <v>2397752</v>
      </c>
      <c r="AC161" s="12">
        <f t="shared" si="35"/>
        <v>5061096</v>
      </c>
      <c r="AE161" s="6">
        <f t="shared" si="36"/>
        <v>0</v>
      </c>
    </row>
    <row r="162" spans="1:31" hidden="1">
      <c r="A162" s="11" t="s">
        <v>659</v>
      </c>
      <c r="B162" s="11"/>
      <c r="C162" s="11" t="s">
        <v>40</v>
      </c>
      <c r="I162" s="2">
        <f t="shared" si="39"/>
        <v>0</v>
      </c>
      <c r="M162" s="2">
        <f t="shared" si="40"/>
        <v>0</v>
      </c>
      <c r="AC162" s="12">
        <f t="shared" si="35"/>
        <v>0</v>
      </c>
      <c r="AE162" s="6">
        <f t="shared" si="36"/>
        <v>0</v>
      </c>
    </row>
    <row r="163" spans="1:31">
      <c r="A163" s="11" t="s">
        <v>248</v>
      </c>
      <c r="B163" s="11"/>
      <c r="C163" s="11" t="s">
        <v>112</v>
      </c>
      <c r="E163" s="6">
        <f>10003097+4144784</f>
        <v>14147881</v>
      </c>
      <c r="G163" s="6">
        <v>0</v>
      </c>
      <c r="I163" s="2">
        <f t="shared" si="39"/>
        <v>6813743</v>
      </c>
      <c r="K163" s="6">
        <v>20961624</v>
      </c>
      <c r="M163" s="2">
        <f t="shared" si="40"/>
        <v>3124878</v>
      </c>
      <c r="O163" s="6">
        <v>5960507</v>
      </c>
      <c r="Q163" s="6">
        <v>9085385</v>
      </c>
      <c r="S163" s="6">
        <v>0</v>
      </c>
      <c r="U163" s="6">
        <v>8271502</v>
      </c>
      <c r="W163" s="6">
        <v>366028</v>
      </c>
      <c r="Y163" s="6">
        <v>1305403</v>
      </c>
      <c r="AA163" s="6">
        <v>1933306</v>
      </c>
      <c r="AC163" s="12">
        <f t="shared" si="35"/>
        <v>11876239</v>
      </c>
      <c r="AE163" s="6">
        <f t="shared" si="36"/>
        <v>0</v>
      </c>
    </row>
    <row r="164" spans="1:31">
      <c r="A164" s="11" t="s">
        <v>443</v>
      </c>
      <c r="B164" s="11"/>
      <c r="C164" s="11" t="s">
        <v>51</v>
      </c>
      <c r="E164" s="6">
        <f>7324457+900</f>
        <v>7325357</v>
      </c>
      <c r="G164" s="6">
        <v>2258</v>
      </c>
      <c r="I164" s="2">
        <f t="shared" si="39"/>
        <v>9749946</v>
      </c>
      <c r="K164" s="6">
        <v>17077561</v>
      </c>
      <c r="M164" s="2">
        <f t="shared" si="40"/>
        <v>2312207</v>
      </c>
      <c r="O164" s="6">
        <v>6797448</v>
      </c>
      <c r="Q164" s="6">
        <v>9109655</v>
      </c>
      <c r="S164" s="6">
        <f>142748+29894+2258</f>
        <v>174900</v>
      </c>
      <c r="U164" s="6">
        <f>297670+428+14269+171880+1300880+507619+87896</f>
        <v>2380642</v>
      </c>
      <c r="W164" s="6">
        <v>4680</v>
      </c>
      <c r="Y164" s="6">
        <f>111763+23540+250000+65543</f>
        <v>450846</v>
      </c>
      <c r="AA164" s="6">
        <v>4956838</v>
      </c>
      <c r="AC164" s="12">
        <f t="shared" si="35"/>
        <v>7967906</v>
      </c>
      <c r="AE164" s="6">
        <f t="shared" si="36"/>
        <v>0</v>
      </c>
    </row>
    <row r="165" spans="1:31">
      <c r="A165" s="11" t="s">
        <v>249</v>
      </c>
      <c r="B165" s="11"/>
      <c r="C165" s="11" t="s">
        <v>112</v>
      </c>
      <c r="E165" s="6">
        <f>1800981+296112</f>
        <v>2097093</v>
      </c>
      <c r="G165" s="6">
        <v>0</v>
      </c>
      <c r="I165" s="2">
        <f t="shared" si="39"/>
        <v>3280142</v>
      </c>
      <c r="K165" s="6">
        <v>5377235</v>
      </c>
      <c r="M165" s="2">
        <f t="shared" si="40"/>
        <v>1156754</v>
      </c>
      <c r="O165" s="6">
        <v>3044745</v>
      </c>
      <c r="Q165" s="6">
        <v>4201499</v>
      </c>
      <c r="S165" s="6">
        <v>0</v>
      </c>
      <c r="U165" s="6">
        <v>886485</v>
      </c>
      <c r="W165" s="6">
        <v>0</v>
      </c>
      <c r="Y165" s="6">
        <v>335094</v>
      </c>
      <c r="AA165" s="6">
        <v>-45843</v>
      </c>
      <c r="AC165" s="12">
        <f t="shared" si="35"/>
        <v>1175736</v>
      </c>
      <c r="AE165" s="6">
        <f t="shared" si="36"/>
        <v>0</v>
      </c>
    </row>
    <row r="166" spans="1:31">
      <c r="A166" s="11" t="s">
        <v>218</v>
      </c>
      <c r="B166" s="11"/>
      <c r="C166" s="11" t="s">
        <v>77</v>
      </c>
      <c r="E166" s="6">
        <v>3863624</v>
      </c>
      <c r="G166" s="6">
        <v>0</v>
      </c>
      <c r="I166" s="2">
        <f t="shared" si="39"/>
        <v>4965964</v>
      </c>
      <c r="K166" s="6">
        <v>8829588</v>
      </c>
      <c r="M166" s="2">
        <f t="shared" si="40"/>
        <v>1542492</v>
      </c>
      <c r="O166" s="6">
        <v>4108457</v>
      </c>
      <c r="Q166" s="6">
        <v>5650949</v>
      </c>
      <c r="S166" s="6">
        <v>0</v>
      </c>
      <c r="U166" s="6">
        <v>2005845</v>
      </c>
      <c r="W166" s="6">
        <v>0</v>
      </c>
      <c r="Y166" s="6">
        <v>282979</v>
      </c>
      <c r="AA166" s="6">
        <v>889815</v>
      </c>
      <c r="AC166" s="12">
        <f t="shared" si="35"/>
        <v>3178639</v>
      </c>
      <c r="AE166" s="6">
        <f t="shared" si="36"/>
        <v>0</v>
      </c>
    </row>
    <row r="167" spans="1:31">
      <c r="A167" s="11" t="s">
        <v>218</v>
      </c>
      <c r="B167" s="11"/>
      <c r="C167" s="11" t="s">
        <v>420</v>
      </c>
      <c r="E167" s="6">
        <v>2156357</v>
      </c>
      <c r="G167" s="6">
        <v>52866</v>
      </c>
      <c r="I167" s="2">
        <f t="shared" si="39"/>
        <v>2185405</v>
      </c>
      <c r="K167" s="6">
        <v>4394628</v>
      </c>
      <c r="M167" s="2">
        <f t="shared" si="40"/>
        <v>1081220</v>
      </c>
      <c r="O167" s="6">
        <v>1229731</v>
      </c>
      <c r="Q167" s="6">
        <v>2310951</v>
      </c>
      <c r="S167" s="6">
        <v>4132</v>
      </c>
      <c r="U167" s="6">
        <v>811848</v>
      </c>
      <c r="W167" s="6">
        <v>351479</v>
      </c>
      <c r="Y167" s="6">
        <v>134210</v>
      </c>
      <c r="AA167" s="6">
        <v>782008</v>
      </c>
      <c r="AC167" s="12">
        <f t="shared" si="35"/>
        <v>2083677</v>
      </c>
      <c r="AE167" s="6">
        <f t="shared" si="36"/>
        <v>0</v>
      </c>
    </row>
    <row r="168" spans="1:31" hidden="1">
      <c r="A168" s="11" t="s">
        <v>660</v>
      </c>
      <c r="B168" s="11"/>
      <c r="C168" s="11" t="s">
        <v>55</v>
      </c>
      <c r="I168" s="2">
        <f t="shared" si="39"/>
        <v>0</v>
      </c>
      <c r="M168" s="2">
        <f t="shared" si="40"/>
        <v>0</v>
      </c>
      <c r="AC168" s="12">
        <f t="shared" si="35"/>
        <v>0</v>
      </c>
      <c r="AE168" s="6">
        <f t="shared" si="36"/>
        <v>0</v>
      </c>
    </row>
    <row r="169" spans="1:31">
      <c r="A169" s="11" t="s">
        <v>555</v>
      </c>
      <c r="B169" s="11"/>
      <c r="C169" s="11" t="s">
        <v>72</v>
      </c>
      <c r="E169" s="6">
        <f>8532440+13525</f>
        <v>8545965</v>
      </c>
      <c r="G169" s="6">
        <v>0</v>
      </c>
      <c r="I169" s="2">
        <f t="shared" si="39"/>
        <v>6259591</v>
      </c>
      <c r="K169" s="6">
        <v>14805556</v>
      </c>
      <c r="M169" s="2">
        <f t="shared" si="40"/>
        <v>1764211</v>
      </c>
      <c r="O169" s="6">
        <v>4399561</v>
      </c>
      <c r="Q169" s="6">
        <v>6163772</v>
      </c>
      <c r="S169" s="6">
        <v>158662</v>
      </c>
      <c r="U169" s="6">
        <v>1348116</v>
      </c>
      <c r="W169" s="6">
        <v>0</v>
      </c>
      <c r="Y169" s="6">
        <v>1015274</v>
      </c>
      <c r="AA169" s="6">
        <v>6119732</v>
      </c>
      <c r="AC169" s="12">
        <f t="shared" si="35"/>
        <v>8641784</v>
      </c>
      <c r="AE169" s="6">
        <f t="shared" si="36"/>
        <v>0</v>
      </c>
    </row>
    <row r="170" spans="1:31" hidden="1">
      <c r="A170" s="10" t="s">
        <v>870</v>
      </c>
      <c r="B170" s="11"/>
      <c r="C170" s="11" t="s">
        <v>57</v>
      </c>
      <c r="E170" s="6">
        <v>0</v>
      </c>
      <c r="G170" s="6">
        <v>0</v>
      </c>
      <c r="I170" s="2">
        <f t="shared" si="39"/>
        <v>0</v>
      </c>
      <c r="K170" s="6">
        <v>0</v>
      </c>
      <c r="M170" s="2">
        <f t="shared" si="40"/>
        <v>0</v>
      </c>
      <c r="O170" s="6">
        <v>0</v>
      </c>
      <c r="Q170" s="6">
        <v>0</v>
      </c>
      <c r="S170" s="6">
        <v>0</v>
      </c>
      <c r="U170" s="6">
        <v>0</v>
      </c>
      <c r="W170" s="6">
        <v>0</v>
      </c>
      <c r="Y170" s="6">
        <v>0</v>
      </c>
      <c r="AA170" s="6">
        <v>0</v>
      </c>
      <c r="AC170" s="12">
        <f t="shared" si="35"/>
        <v>0</v>
      </c>
      <c r="AE170" s="6">
        <f t="shared" si="36"/>
        <v>0</v>
      </c>
    </row>
    <row r="171" spans="1:31" hidden="1">
      <c r="A171" s="11" t="s">
        <v>661</v>
      </c>
      <c r="B171" s="11"/>
      <c r="C171" s="11" t="s">
        <v>552</v>
      </c>
      <c r="I171" s="2">
        <f t="shared" si="39"/>
        <v>0</v>
      </c>
      <c r="M171" s="2">
        <f t="shared" si="40"/>
        <v>0</v>
      </c>
      <c r="AC171" s="12">
        <f t="shared" si="35"/>
        <v>0</v>
      </c>
      <c r="AE171" s="6">
        <f t="shared" si="36"/>
        <v>0</v>
      </c>
    </row>
    <row r="172" spans="1:31">
      <c r="A172" s="11" t="s">
        <v>662</v>
      </c>
      <c r="B172" s="11"/>
      <c r="C172" s="11" t="s">
        <v>221</v>
      </c>
      <c r="E172" s="6">
        <v>16422323</v>
      </c>
      <c r="G172" s="6">
        <v>0</v>
      </c>
      <c r="I172" s="2">
        <f t="shared" si="39"/>
        <v>19433300</v>
      </c>
      <c r="K172" s="6">
        <v>35855623</v>
      </c>
      <c r="M172" s="2">
        <f t="shared" si="40"/>
        <v>4096988</v>
      </c>
      <c r="O172" s="6">
        <f>2944131+15901248</f>
        <v>18845379</v>
      </c>
      <c r="Q172" s="6">
        <v>22942367</v>
      </c>
      <c r="S172" s="6">
        <f>16344+682</f>
        <v>17026</v>
      </c>
      <c r="U172" s="6">
        <f>3956352+7449953+786812+820+12187+70745</f>
        <v>12276869</v>
      </c>
      <c r="W172" s="6">
        <v>422990</v>
      </c>
      <c r="Y172" s="6">
        <f>5530+198537+7801+105333+3830</f>
        <v>321031</v>
      </c>
      <c r="AA172" s="6">
        <v>-124660</v>
      </c>
      <c r="AC172" s="12">
        <f t="shared" si="35"/>
        <v>12913256</v>
      </c>
      <c r="AE172" s="6">
        <f t="shared" si="36"/>
        <v>0</v>
      </c>
    </row>
    <row r="173" spans="1:31">
      <c r="A173" s="11" t="s">
        <v>362</v>
      </c>
      <c r="B173" s="11"/>
      <c r="C173" s="11" t="s">
        <v>24</v>
      </c>
      <c r="E173" s="6">
        <v>5417842</v>
      </c>
      <c r="G173" s="6">
        <v>0</v>
      </c>
      <c r="I173" s="2">
        <f t="shared" ref="I173" si="41">K173-E173-G173</f>
        <v>5919225</v>
      </c>
      <c r="K173" s="6">
        <v>11337067</v>
      </c>
      <c r="M173" s="2">
        <f t="shared" ref="M173" si="42">Q173-O173</f>
        <v>1701567</v>
      </c>
      <c r="O173" s="6">
        <f>371186+4443981</f>
        <v>4815167</v>
      </c>
      <c r="Q173" s="6">
        <v>6516734</v>
      </c>
      <c r="S173" s="6">
        <f>27986+61156</f>
        <v>89142</v>
      </c>
      <c r="U173" s="6">
        <f>1951921+187188+15250+54236+15405</f>
        <v>2224000</v>
      </c>
      <c r="W173" s="6">
        <v>37594</v>
      </c>
      <c r="Y173" s="6">
        <f>63016+250162+84682+1797436+211</f>
        <v>2195507</v>
      </c>
      <c r="AA173" s="6">
        <v>274090</v>
      </c>
      <c r="AC173" s="12">
        <f t="shared" ref="AC173" si="43">S173+U173+W173+Y173+AA173</f>
        <v>4820333</v>
      </c>
      <c r="AE173" s="6">
        <f t="shared" ref="AE173" si="44">+E173+G173+I173-M173-O173-W173-U173-S173-Y173-AA173</f>
        <v>0</v>
      </c>
    </row>
    <row r="174" spans="1:31">
      <c r="A174" s="11" t="s">
        <v>362</v>
      </c>
      <c r="B174" s="11"/>
      <c r="C174" s="11" t="s">
        <v>39</v>
      </c>
      <c r="E174" s="6">
        <v>977882</v>
      </c>
      <c r="G174" s="6">
        <v>62989</v>
      </c>
      <c r="I174" s="2">
        <f t="shared" si="39"/>
        <v>8588339</v>
      </c>
      <c r="K174" s="6">
        <v>9629210</v>
      </c>
      <c r="M174" s="2">
        <f t="shared" si="40"/>
        <v>2119394</v>
      </c>
      <c r="O174" s="6">
        <f>7336184+738458</f>
        <v>8074642</v>
      </c>
      <c r="Q174" s="6">
        <v>10194036</v>
      </c>
      <c r="S174" s="6">
        <f>20970+92571</f>
        <v>113541</v>
      </c>
      <c r="U174" s="6">
        <f>229+62989+23835+390+1015+6187+66277</f>
        <v>160922</v>
      </c>
      <c r="W174" s="6">
        <f>76825</f>
        <v>76825</v>
      </c>
      <c r="Y174" s="6">
        <v>0</v>
      </c>
      <c r="AA174" s="6">
        <v>-916114</v>
      </c>
      <c r="AC174" s="12">
        <f t="shared" si="35"/>
        <v>-564826</v>
      </c>
      <c r="AE174" s="6">
        <f t="shared" si="36"/>
        <v>0</v>
      </c>
    </row>
    <row r="175" spans="1:31" hidden="1">
      <c r="A175" s="11" t="s">
        <v>871</v>
      </c>
      <c r="B175" s="11"/>
      <c r="C175" s="11" t="s">
        <v>552</v>
      </c>
      <c r="I175" s="2">
        <f t="shared" si="39"/>
        <v>0</v>
      </c>
      <c r="M175" s="2">
        <f t="shared" si="40"/>
        <v>0</v>
      </c>
      <c r="AC175" s="12">
        <f t="shared" si="35"/>
        <v>0</v>
      </c>
      <c r="AE175" s="6">
        <f t="shared" si="36"/>
        <v>0</v>
      </c>
    </row>
    <row r="176" spans="1:31">
      <c r="A176" s="11" t="s">
        <v>677</v>
      </c>
      <c r="B176" s="11"/>
      <c r="C176" s="11" t="s">
        <v>46</v>
      </c>
      <c r="E176" s="6">
        <f>30861303+241</f>
        <v>30861544</v>
      </c>
      <c r="G176" s="6">
        <f>735876+56147</f>
        <v>792023</v>
      </c>
      <c r="I176" s="2">
        <f t="shared" si="39"/>
        <v>10298136</v>
      </c>
      <c r="K176" s="6">
        <v>41951703</v>
      </c>
      <c r="M176" s="2">
        <f t="shared" si="40"/>
        <v>3130276</v>
      </c>
      <c r="O176" s="6">
        <v>8352531</v>
      </c>
      <c r="Q176" s="6">
        <v>11482807</v>
      </c>
      <c r="S176" s="6">
        <v>59722</v>
      </c>
      <c r="U176" s="6">
        <v>25825244</v>
      </c>
      <c r="W176" s="6">
        <v>76925</v>
      </c>
      <c r="Y176" s="6">
        <v>128968</v>
      </c>
      <c r="AA176" s="6">
        <v>4378037</v>
      </c>
      <c r="AC176" s="12">
        <f t="shared" ref="AC176" si="45">S176+U176+W176+Y176+AA176</f>
        <v>30468896</v>
      </c>
      <c r="AE176" s="6">
        <f t="shared" ref="AE176" si="46">+E176+G176+I176-M176-O176-W176-U176-S176-Y176-AA176</f>
        <v>0</v>
      </c>
    </row>
    <row r="177" spans="1:31" hidden="1">
      <c r="A177" s="11" t="s">
        <v>663</v>
      </c>
      <c r="B177" s="11"/>
      <c r="C177" s="11" t="s">
        <v>10</v>
      </c>
      <c r="I177" s="2">
        <f t="shared" si="39"/>
        <v>0</v>
      </c>
      <c r="M177" s="2">
        <f t="shared" si="40"/>
        <v>0</v>
      </c>
      <c r="AC177" s="12">
        <f t="shared" si="35"/>
        <v>0</v>
      </c>
      <c r="AE177" s="6">
        <f t="shared" si="36"/>
        <v>0</v>
      </c>
    </row>
    <row r="178" spans="1:31" hidden="1">
      <c r="A178" s="11" t="s">
        <v>692</v>
      </c>
      <c r="B178" s="11"/>
      <c r="C178" s="11" t="s">
        <v>72</v>
      </c>
      <c r="I178" s="2">
        <f t="shared" ref="I178" si="47">K178-E178-G178</f>
        <v>0</v>
      </c>
      <c r="M178" s="2">
        <f t="shared" ref="M178" si="48">Q178-O178</f>
        <v>0</v>
      </c>
      <c r="AC178" s="12">
        <f t="shared" si="35"/>
        <v>0</v>
      </c>
      <c r="AE178" s="6">
        <f t="shared" si="36"/>
        <v>0</v>
      </c>
    </row>
    <row r="179" spans="1:31">
      <c r="A179" s="11" t="s">
        <v>384</v>
      </c>
      <c r="B179" s="11"/>
      <c r="C179" s="11" t="s">
        <v>44</v>
      </c>
      <c r="E179" s="6">
        <f>11040578+740242</f>
        <v>11780820</v>
      </c>
      <c r="G179" s="6">
        <v>0</v>
      </c>
      <c r="I179" s="2">
        <f t="shared" si="39"/>
        <v>41452872</v>
      </c>
      <c r="K179" s="6">
        <v>53233692</v>
      </c>
      <c r="M179" s="2">
        <f t="shared" si="40"/>
        <v>12975350</v>
      </c>
      <c r="O179" s="6">
        <v>33365504</v>
      </c>
      <c r="Q179" s="6">
        <v>46340854</v>
      </c>
      <c r="S179" s="6">
        <v>5349</v>
      </c>
      <c r="U179" s="6">
        <v>4590105</v>
      </c>
      <c r="W179" s="6">
        <v>0</v>
      </c>
      <c r="Y179" s="6">
        <v>1304617</v>
      </c>
      <c r="AA179" s="6">
        <v>992767</v>
      </c>
      <c r="AC179" s="12">
        <f t="shared" si="35"/>
        <v>6892838</v>
      </c>
      <c r="AE179" s="6">
        <f t="shared" si="36"/>
        <v>0</v>
      </c>
    </row>
    <row r="180" spans="1:31">
      <c r="A180" s="11" t="s">
        <v>267</v>
      </c>
      <c r="B180" s="11"/>
      <c r="C180" s="11" t="s">
        <v>20</v>
      </c>
      <c r="E180" s="6">
        <f>13485931+11539967</f>
        <v>25025898</v>
      </c>
      <c r="G180" s="6">
        <v>0</v>
      </c>
      <c r="I180" s="2">
        <f t="shared" si="39"/>
        <v>47397491</v>
      </c>
      <c r="K180" s="6">
        <v>72423389</v>
      </c>
      <c r="M180" s="2">
        <f t="shared" si="40"/>
        <v>11958675</v>
      </c>
      <c r="O180" s="6">
        <v>40336294</v>
      </c>
      <c r="Q180" s="6">
        <v>52294969</v>
      </c>
      <c r="S180" s="6">
        <v>274394</v>
      </c>
      <c r="U180" s="6">
        <v>19376191</v>
      </c>
      <c r="W180" s="6">
        <v>266612</v>
      </c>
      <c r="Y180" s="6">
        <v>192056</v>
      </c>
      <c r="AA180" s="6">
        <v>19167</v>
      </c>
      <c r="AC180" s="12">
        <f t="shared" si="35"/>
        <v>20128420</v>
      </c>
      <c r="AE180" s="6">
        <f t="shared" si="36"/>
        <v>0</v>
      </c>
    </row>
    <row r="181" spans="1:31" hidden="1">
      <c r="A181" s="11" t="s">
        <v>619</v>
      </c>
      <c r="B181" s="11"/>
      <c r="C181" s="11" t="s">
        <v>28</v>
      </c>
      <c r="I181" s="2">
        <f t="shared" si="39"/>
        <v>0</v>
      </c>
      <c r="M181" s="2">
        <f t="shared" si="40"/>
        <v>0</v>
      </c>
      <c r="AC181" s="12">
        <f t="shared" si="35"/>
        <v>0</v>
      </c>
      <c r="AE181" s="6">
        <f t="shared" si="36"/>
        <v>0</v>
      </c>
    </row>
    <row r="182" spans="1:31">
      <c r="A182" s="11" t="s">
        <v>539</v>
      </c>
      <c r="B182" s="11"/>
      <c r="C182" s="11" t="s">
        <v>66</v>
      </c>
      <c r="E182" s="6">
        <v>3851245</v>
      </c>
      <c r="G182" s="6">
        <v>0</v>
      </c>
      <c r="I182" s="2">
        <f t="shared" si="39"/>
        <v>6497939</v>
      </c>
      <c r="K182" s="6">
        <v>10349184</v>
      </c>
      <c r="M182" s="2">
        <f t="shared" si="40"/>
        <v>1261037</v>
      </c>
      <c r="O182" s="6">
        <f>465549+4800690</f>
        <v>5266239</v>
      </c>
      <c r="Q182" s="6">
        <v>6527276</v>
      </c>
      <c r="S182" s="6">
        <v>1774</v>
      </c>
      <c r="U182" s="6">
        <f>693296+323025+113087+25795+278+2816+24305</f>
        <v>1182602</v>
      </c>
      <c r="W182" s="6">
        <v>0</v>
      </c>
      <c r="Y182" s="6">
        <f>2337+43109+17712+738956+1990</f>
        <v>804104</v>
      </c>
      <c r="AA182" s="6">
        <v>1833428</v>
      </c>
      <c r="AC182" s="12">
        <f t="shared" si="35"/>
        <v>3821908</v>
      </c>
      <c r="AE182" s="6">
        <f t="shared" si="36"/>
        <v>0</v>
      </c>
    </row>
    <row r="183" spans="1:31">
      <c r="A183" s="11" t="s">
        <v>626</v>
      </c>
      <c r="B183" s="11"/>
      <c r="C183" s="11" t="s">
        <v>114</v>
      </c>
      <c r="E183" s="6">
        <v>7606026</v>
      </c>
      <c r="G183" s="6">
        <v>0</v>
      </c>
      <c r="I183" s="2">
        <f t="shared" si="39"/>
        <v>20016798</v>
      </c>
      <c r="K183" s="6">
        <v>27622824</v>
      </c>
      <c r="M183" s="2">
        <f t="shared" si="40"/>
        <v>4639598</v>
      </c>
      <c r="O183" s="6">
        <v>16302963</v>
      </c>
      <c r="Q183" s="6">
        <v>20942561</v>
      </c>
      <c r="S183" s="6">
        <v>146404</v>
      </c>
      <c r="U183" s="6">
        <v>2775769</v>
      </c>
      <c r="W183" s="6">
        <v>484204</v>
      </c>
      <c r="Y183" s="6">
        <v>340274</v>
      </c>
      <c r="AA183" s="6">
        <v>2933612</v>
      </c>
      <c r="AC183" s="12">
        <f t="shared" si="35"/>
        <v>6680263</v>
      </c>
      <c r="AE183" s="6">
        <f t="shared" si="36"/>
        <v>0</v>
      </c>
    </row>
    <row r="184" spans="1:31">
      <c r="A184" s="11" t="s">
        <v>222</v>
      </c>
      <c r="B184" s="11"/>
      <c r="C184" s="11" t="s">
        <v>221</v>
      </c>
      <c r="E184" s="6">
        <f>16668155+203843</f>
        <v>16871998</v>
      </c>
      <c r="G184" s="6">
        <v>0</v>
      </c>
      <c r="I184" s="2">
        <f t="shared" si="39"/>
        <v>59277507</v>
      </c>
      <c r="K184" s="6">
        <v>76149505</v>
      </c>
      <c r="M184" s="2">
        <f t="shared" si="40"/>
        <v>9692098</v>
      </c>
      <c r="O184" s="6">
        <v>56418467</v>
      </c>
      <c r="Q184" s="6">
        <v>66110565</v>
      </c>
      <c r="S184" s="6">
        <v>16138</v>
      </c>
      <c r="U184" s="6">
        <v>2488524</v>
      </c>
      <c r="W184" s="6">
        <v>0</v>
      </c>
      <c r="Y184" s="6">
        <v>807142</v>
      </c>
      <c r="AA184" s="6">
        <v>6727136</v>
      </c>
      <c r="AC184" s="12">
        <f t="shared" si="35"/>
        <v>10038940</v>
      </c>
      <c r="AE184" s="6">
        <f t="shared" si="36"/>
        <v>0</v>
      </c>
    </row>
    <row r="185" spans="1:31">
      <c r="A185" s="11" t="s">
        <v>349</v>
      </c>
      <c r="B185" s="11"/>
      <c r="C185" s="11" t="s">
        <v>348</v>
      </c>
      <c r="E185" s="6">
        <v>3047846</v>
      </c>
      <c r="G185" s="6">
        <v>0</v>
      </c>
      <c r="I185" s="2">
        <f t="shared" si="39"/>
        <v>1986321</v>
      </c>
      <c r="K185" s="6">
        <v>5034167</v>
      </c>
      <c r="M185" s="2">
        <f t="shared" si="40"/>
        <v>681419</v>
      </c>
      <c r="O185" s="6">
        <v>1897935</v>
      </c>
      <c r="Q185" s="6">
        <v>2579354</v>
      </c>
      <c r="S185" s="6">
        <v>1254</v>
      </c>
      <c r="U185" s="6">
        <v>963487</v>
      </c>
      <c r="W185" s="6">
        <v>0</v>
      </c>
      <c r="Y185" s="6">
        <v>107335</v>
      </c>
      <c r="AA185" s="6">
        <v>1382737</v>
      </c>
      <c r="AC185" s="12">
        <f t="shared" si="35"/>
        <v>2454813</v>
      </c>
      <c r="AE185" s="6">
        <f t="shared" si="36"/>
        <v>0</v>
      </c>
    </row>
    <row r="186" spans="1:31">
      <c r="A186" s="11" t="s">
        <v>294</v>
      </c>
      <c r="B186" s="11"/>
      <c r="C186" s="11" t="s">
        <v>25</v>
      </c>
      <c r="E186" s="6">
        <f>18607971+127170</f>
        <v>18735141</v>
      </c>
      <c r="G186" s="6">
        <v>0</v>
      </c>
      <c r="I186" s="2">
        <f t="shared" si="39"/>
        <v>7366476</v>
      </c>
      <c r="K186" s="6">
        <v>26101617</v>
      </c>
      <c r="M186" s="2">
        <f t="shared" si="40"/>
        <v>-3370518</v>
      </c>
      <c r="O186" s="6">
        <f>6688552+4709298</f>
        <v>11397850</v>
      </c>
      <c r="Q186" s="6">
        <v>8027332</v>
      </c>
      <c r="S186" s="6">
        <v>119703</v>
      </c>
      <c r="U186" s="6">
        <f>2777394+4600476+741288+482708+4862+194166+10034</f>
        <v>8810928</v>
      </c>
      <c r="W186" s="6">
        <v>3735124</v>
      </c>
      <c r="Y186" s="6">
        <f>87005+266058+2000</f>
        <v>355063</v>
      </c>
      <c r="AA186" s="6">
        <v>5053467</v>
      </c>
      <c r="AC186" s="12">
        <f t="shared" si="35"/>
        <v>18074285</v>
      </c>
      <c r="AE186" s="6">
        <f t="shared" si="36"/>
        <v>0</v>
      </c>
    </row>
    <row r="187" spans="1:31">
      <c r="A187" s="11" t="s">
        <v>368</v>
      </c>
      <c r="B187" s="11"/>
      <c r="C187" s="11" t="s">
        <v>366</v>
      </c>
      <c r="E187" s="6">
        <v>7417248</v>
      </c>
      <c r="G187" s="6">
        <v>43460</v>
      </c>
      <c r="I187" s="2">
        <f t="shared" si="39"/>
        <v>3703759</v>
      </c>
      <c r="K187" s="6">
        <v>11164467</v>
      </c>
      <c r="M187" s="2">
        <f t="shared" si="40"/>
        <v>1823769</v>
      </c>
      <c r="O187" s="6">
        <v>3185465</v>
      </c>
      <c r="Q187" s="6">
        <v>5009234</v>
      </c>
      <c r="S187" s="6">
        <f>33261+5717</f>
        <v>38978</v>
      </c>
      <c r="U187" s="6">
        <f>1221233+5536+83+675+513246+72880</f>
        <v>1813653</v>
      </c>
      <c r="W187" s="6">
        <f>181097+253628+202099</f>
        <v>636824</v>
      </c>
      <c r="Y187" s="6">
        <f>138430+45550+116990+1003459</f>
        <v>1304429</v>
      </c>
      <c r="AA187" s="6">
        <v>2361349</v>
      </c>
      <c r="AC187" s="12">
        <f t="shared" si="35"/>
        <v>6155233</v>
      </c>
      <c r="AE187" s="6">
        <f t="shared" si="36"/>
        <v>0</v>
      </c>
    </row>
    <row r="188" spans="1:31" hidden="1">
      <c r="A188" s="11" t="s">
        <v>620</v>
      </c>
      <c r="B188" s="11"/>
      <c r="C188" s="11" t="s">
        <v>61</v>
      </c>
      <c r="I188" s="2">
        <f t="shared" si="39"/>
        <v>0</v>
      </c>
      <c r="M188" s="2">
        <f t="shared" si="40"/>
        <v>0</v>
      </c>
      <c r="AC188" s="12">
        <f t="shared" si="35"/>
        <v>0</v>
      </c>
      <c r="AE188" s="6">
        <f t="shared" si="36"/>
        <v>0</v>
      </c>
    </row>
    <row r="189" spans="1:31">
      <c r="A189" s="11" t="s">
        <v>496</v>
      </c>
      <c r="B189" s="11"/>
      <c r="C189" s="11" t="s">
        <v>62</v>
      </c>
      <c r="E189" s="6">
        <v>5671947</v>
      </c>
      <c r="G189" s="6">
        <v>0</v>
      </c>
      <c r="I189" s="2">
        <f t="shared" si="39"/>
        <v>6469601</v>
      </c>
      <c r="K189" s="6">
        <v>12141548</v>
      </c>
      <c r="M189" s="2">
        <f t="shared" si="40"/>
        <v>1965998</v>
      </c>
      <c r="O189" s="6">
        <f>5734988+313361</f>
        <v>6048349</v>
      </c>
      <c r="Q189" s="6">
        <v>8014347</v>
      </c>
      <c r="S189" s="6">
        <f>34724+8240</f>
        <v>42964</v>
      </c>
      <c r="U189" s="6">
        <f>841636+65049+632476+38856+770+26123+12174</f>
        <v>1617084</v>
      </c>
      <c r="W189" s="6">
        <v>0</v>
      </c>
      <c r="Y189" s="6">
        <f>180875+63580+1609500+15261</f>
        <v>1869216</v>
      </c>
      <c r="AA189" s="6">
        <v>597937</v>
      </c>
      <c r="AC189" s="12">
        <f t="shared" si="35"/>
        <v>4127201</v>
      </c>
      <c r="AE189" s="6">
        <f t="shared" si="36"/>
        <v>0</v>
      </c>
    </row>
    <row r="190" spans="1:31" hidden="1">
      <c r="A190" s="10" t="s">
        <v>890</v>
      </c>
      <c r="B190" s="11"/>
      <c r="C190" s="11" t="s">
        <v>41</v>
      </c>
      <c r="I190" s="2">
        <f t="shared" si="39"/>
        <v>0</v>
      </c>
      <c r="M190" s="2">
        <f t="shared" si="40"/>
        <v>0</v>
      </c>
      <c r="AC190" s="12">
        <f t="shared" si="35"/>
        <v>0</v>
      </c>
      <c r="AE190" s="6">
        <f t="shared" si="36"/>
        <v>0</v>
      </c>
    </row>
    <row r="191" spans="1:31" s="28" customFormat="1">
      <c r="A191" s="27" t="s">
        <v>268</v>
      </c>
      <c r="B191" s="27"/>
      <c r="C191" s="27" t="s">
        <v>20</v>
      </c>
      <c r="E191" s="28">
        <v>16292373</v>
      </c>
      <c r="G191" s="28">
        <v>0</v>
      </c>
      <c r="I191" s="30">
        <f t="shared" si="39"/>
        <v>17944001</v>
      </c>
      <c r="K191" s="28">
        <v>34236374</v>
      </c>
      <c r="M191" s="30">
        <f t="shared" si="40"/>
        <v>2180526</v>
      </c>
      <c r="O191" s="28">
        <f>14359280+906452</f>
        <v>15265732</v>
      </c>
      <c r="Q191" s="28">
        <v>17446258</v>
      </c>
      <c r="S191" s="28">
        <v>7605</v>
      </c>
      <c r="U191" s="28">
        <f>2471773+18167+44132+32074+1675+13284+57117</f>
        <v>2638222</v>
      </c>
      <c r="W191" s="28">
        <f>111584+10234</f>
        <v>121818</v>
      </c>
      <c r="Y191" s="28">
        <f>67659+130331+52949+43631</f>
        <v>294570</v>
      </c>
      <c r="AA191" s="28">
        <v>13727901</v>
      </c>
      <c r="AC191" s="37">
        <f t="shared" si="35"/>
        <v>16790116</v>
      </c>
      <c r="AE191" s="28">
        <f t="shared" si="36"/>
        <v>0</v>
      </c>
    </row>
    <row r="192" spans="1:31" hidden="1">
      <c r="A192" s="11" t="s">
        <v>745</v>
      </c>
      <c r="B192" s="11"/>
      <c r="C192" s="11" t="s">
        <v>28</v>
      </c>
      <c r="I192" s="2">
        <f t="shared" si="39"/>
        <v>0</v>
      </c>
      <c r="M192" s="2">
        <f t="shared" si="40"/>
        <v>0</v>
      </c>
      <c r="AC192" s="12">
        <f t="shared" si="35"/>
        <v>0</v>
      </c>
      <c r="AE192" s="6">
        <f t="shared" si="36"/>
        <v>0</v>
      </c>
    </row>
    <row r="193" spans="1:31">
      <c r="A193" s="11" t="s">
        <v>219</v>
      </c>
      <c r="B193" s="11"/>
      <c r="C193" s="11" t="s">
        <v>77</v>
      </c>
      <c r="E193" s="6">
        <v>3791369</v>
      </c>
      <c r="G193" s="6">
        <v>0</v>
      </c>
      <c r="I193" s="2">
        <f t="shared" si="39"/>
        <v>2863158</v>
      </c>
      <c r="K193" s="6">
        <v>6654527</v>
      </c>
      <c r="M193" s="2">
        <f t="shared" si="40"/>
        <v>836473</v>
      </c>
      <c r="O193" s="6">
        <v>2116394</v>
      </c>
      <c r="Q193" s="6">
        <v>2952867</v>
      </c>
      <c r="S193" s="6">
        <v>10448</v>
      </c>
      <c r="U193" s="6">
        <v>2578504</v>
      </c>
      <c r="W193" s="6">
        <v>0</v>
      </c>
      <c r="Y193" s="6">
        <v>376119</v>
      </c>
      <c r="AA193" s="6">
        <v>736589</v>
      </c>
      <c r="AC193" s="12">
        <f t="shared" si="35"/>
        <v>3701660</v>
      </c>
      <c r="AE193" s="6">
        <f t="shared" si="36"/>
        <v>0</v>
      </c>
    </row>
    <row r="194" spans="1:31">
      <c r="A194" s="11" t="s">
        <v>743</v>
      </c>
      <c r="B194" s="11"/>
      <c r="C194" s="11" t="s">
        <v>13</v>
      </c>
      <c r="E194" s="6">
        <f>4228178+118</f>
        <v>4228296</v>
      </c>
      <c r="G194" s="6">
        <v>923</v>
      </c>
      <c r="I194" s="2">
        <f t="shared" si="39"/>
        <v>3936656</v>
      </c>
      <c r="K194" s="6">
        <v>8165875</v>
      </c>
      <c r="M194" s="2">
        <f t="shared" si="40"/>
        <v>1418824</v>
      </c>
      <c r="O194" s="6">
        <v>3278161</v>
      </c>
      <c r="Q194" s="6">
        <v>4696985</v>
      </c>
      <c r="S194" s="6">
        <v>39364</v>
      </c>
      <c r="U194" s="6">
        <v>1139335</v>
      </c>
      <c r="W194" s="6">
        <v>24318</v>
      </c>
      <c r="Y194" s="6">
        <v>181606</v>
      </c>
      <c r="AA194" s="6">
        <v>2084267</v>
      </c>
      <c r="AC194" s="12">
        <f t="shared" si="35"/>
        <v>3468890</v>
      </c>
      <c r="AE194" s="6">
        <f t="shared" si="36"/>
        <v>0</v>
      </c>
    </row>
    <row r="195" spans="1:31">
      <c r="A195" s="11" t="s">
        <v>239</v>
      </c>
      <c r="B195" s="11"/>
      <c r="C195" s="11" t="s">
        <v>113</v>
      </c>
      <c r="E195" s="6">
        <v>3416798</v>
      </c>
      <c r="G195" s="6">
        <v>16666</v>
      </c>
      <c r="I195" s="2">
        <f t="shared" si="39"/>
        <v>2116442</v>
      </c>
      <c r="K195" s="6">
        <v>5549906</v>
      </c>
      <c r="M195" s="2">
        <f t="shared" si="40"/>
        <v>918475</v>
      </c>
      <c r="O195" s="6">
        <v>1846992</v>
      </c>
      <c r="Q195" s="6">
        <v>2765467</v>
      </c>
      <c r="S195" s="6">
        <v>44263</v>
      </c>
      <c r="U195" s="6">
        <v>1491426</v>
      </c>
      <c r="W195" s="6">
        <v>0</v>
      </c>
      <c r="Y195" s="6">
        <v>54619</v>
      </c>
      <c r="AA195" s="6">
        <v>1194131</v>
      </c>
      <c r="AC195" s="12">
        <f t="shared" si="35"/>
        <v>2784439</v>
      </c>
      <c r="AE195" s="6">
        <f t="shared" si="36"/>
        <v>0</v>
      </c>
    </row>
    <row r="196" spans="1:31">
      <c r="A196" s="11" t="s">
        <v>720</v>
      </c>
      <c r="B196" s="11"/>
      <c r="C196" s="11" t="s">
        <v>56</v>
      </c>
      <c r="E196" s="6">
        <f>1644523+11715</f>
        <v>1656238</v>
      </c>
      <c r="G196" s="6">
        <v>538018</v>
      </c>
      <c r="I196" s="2">
        <f t="shared" si="39"/>
        <v>10734119</v>
      </c>
      <c r="K196" s="6">
        <v>12928375</v>
      </c>
      <c r="M196" s="2">
        <f t="shared" si="40"/>
        <v>2036794</v>
      </c>
      <c r="O196" s="6">
        <v>9527412</v>
      </c>
      <c r="Q196" s="6">
        <v>11564206</v>
      </c>
      <c r="S196" s="6">
        <v>0</v>
      </c>
      <c r="U196" s="6">
        <v>1717355</v>
      </c>
      <c r="W196" s="6">
        <v>11000</v>
      </c>
      <c r="Y196" s="6">
        <v>0</v>
      </c>
      <c r="AA196" s="6">
        <v>-364186</v>
      </c>
      <c r="AC196" s="12">
        <f t="shared" si="35"/>
        <v>1364169</v>
      </c>
      <c r="AE196" s="6">
        <f t="shared" si="36"/>
        <v>0</v>
      </c>
    </row>
    <row r="197" spans="1:31">
      <c r="A197" s="11" t="s">
        <v>337</v>
      </c>
      <c r="B197" s="11"/>
      <c r="C197" s="11" t="s">
        <v>33</v>
      </c>
      <c r="E197" s="6">
        <f>51382958+508150</f>
        <v>51891108</v>
      </c>
      <c r="G197" s="6">
        <v>0</v>
      </c>
      <c r="I197" s="2">
        <f t="shared" si="39"/>
        <v>32751132</v>
      </c>
      <c r="K197" s="6">
        <v>84642240</v>
      </c>
      <c r="M197" s="2">
        <f t="shared" si="40"/>
        <v>9078919</v>
      </c>
      <c r="O197" s="6">
        <f>3114154+24541163</f>
        <v>27655317</v>
      </c>
      <c r="Q197" s="6">
        <v>36734236</v>
      </c>
      <c r="S197" s="6">
        <f>52484+82858+618000</f>
        <v>753342</v>
      </c>
      <c r="U197" s="6">
        <f>1252581+32754642+1267460+281602+15477+24365+463+5957+582921+352342+76370</f>
        <v>36614180</v>
      </c>
      <c r="W197" s="6">
        <v>707531</v>
      </c>
      <c r="Y197" s="6">
        <f>254016+681690+1117+6131+230647+63240</f>
        <v>1236841</v>
      </c>
      <c r="AA197" s="6">
        <v>8596110</v>
      </c>
      <c r="AC197" s="12">
        <f t="shared" si="35"/>
        <v>47908004</v>
      </c>
      <c r="AE197" s="6">
        <f t="shared" si="36"/>
        <v>0</v>
      </c>
    </row>
    <row r="198" spans="1:31">
      <c r="A198" s="11" t="s">
        <v>322</v>
      </c>
      <c r="B198" s="11"/>
      <c r="C198" s="11" t="s">
        <v>32</v>
      </c>
      <c r="E198" s="6">
        <v>3485250</v>
      </c>
      <c r="G198" s="6">
        <v>0</v>
      </c>
      <c r="I198" s="2">
        <f t="shared" si="39"/>
        <v>11621482</v>
      </c>
      <c r="K198" s="6">
        <v>15106732</v>
      </c>
      <c r="M198" s="2">
        <f t="shared" si="40"/>
        <v>2813914</v>
      </c>
      <c r="O198" s="6">
        <v>7241312</v>
      </c>
      <c r="Q198" s="6">
        <v>10055226</v>
      </c>
      <c r="S198" s="6">
        <v>0</v>
      </c>
      <c r="U198" s="6">
        <v>1300853</v>
      </c>
      <c r="W198" s="6">
        <v>0</v>
      </c>
      <c r="Y198" s="6">
        <v>14609</v>
      </c>
      <c r="AA198" s="6">
        <v>3736044</v>
      </c>
      <c r="AC198" s="12">
        <f t="shared" si="35"/>
        <v>5051506</v>
      </c>
      <c r="AE198" s="6">
        <f t="shared" si="36"/>
        <v>0</v>
      </c>
    </row>
    <row r="199" spans="1:31">
      <c r="A199" s="11" t="s">
        <v>385</v>
      </c>
      <c r="B199" s="11"/>
      <c r="C199" s="11" t="s">
        <v>44</v>
      </c>
      <c r="E199" s="6">
        <v>3170307</v>
      </c>
      <c r="G199" s="6">
        <v>0</v>
      </c>
      <c r="I199" s="2">
        <f t="shared" si="39"/>
        <v>8615058</v>
      </c>
      <c r="K199" s="6">
        <v>11785365</v>
      </c>
      <c r="M199" s="2">
        <f t="shared" si="40"/>
        <v>2127869</v>
      </c>
      <c r="O199" s="6">
        <f>307813+7285452</f>
        <v>7593265</v>
      </c>
      <c r="Q199" s="6">
        <v>9721134</v>
      </c>
      <c r="S199" s="6">
        <f>22377+6647</f>
        <v>29024</v>
      </c>
      <c r="U199" s="6">
        <f>42065+4011+17031</f>
        <v>63107</v>
      </c>
      <c r="W199" s="6">
        <f>620753+101991+16975+28624</f>
        <v>768343</v>
      </c>
      <c r="Y199" s="6">
        <f>13483+98801+19+5261</f>
        <v>117564</v>
      </c>
      <c r="AA199" s="6">
        <v>1086193</v>
      </c>
      <c r="AC199" s="12">
        <f t="shared" si="35"/>
        <v>2064231</v>
      </c>
      <c r="AE199" s="6">
        <f t="shared" si="36"/>
        <v>0</v>
      </c>
    </row>
    <row r="200" spans="1:31">
      <c r="A200" s="11" t="s">
        <v>323</v>
      </c>
      <c r="B200" s="11"/>
      <c r="C200" s="11" t="s">
        <v>32</v>
      </c>
      <c r="E200" s="6">
        <v>16779891</v>
      </c>
      <c r="G200" s="6">
        <v>250638</v>
      </c>
      <c r="I200" s="2">
        <f t="shared" si="39"/>
        <v>49279134</v>
      </c>
      <c r="K200" s="6">
        <v>66309663</v>
      </c>
      <c r="M200" s="2">
        <f t="shared" si="40"/>
        <v>9662391</v>
      </c>
      <c r="O200" s="6">
        <v>32043921</v>
      </c>
      <c r="Q200" s="6">
        <v>41706312</v>
      </c>
      <c r="S200" s="6">
        <v>1012951</v>
      </c>
      <c r="U200" s="6">
        <v>4993050</v>
      </c>
      <c r="W200" s="6">
        <v>1346141</v>
      </c>
      <c r="Y200" s="6">
        <v>477577</v>
      </c>
      <c r="AA200" s="6">
        <v>16773632</v>
      </c>
      <c r="AC200" s="12">
        <f t="shared" si="35"/>
        <v>24603351</v>
      </c>
      <c r="AE200" s="6">
        <f t="shared" si="36"/>
        <v>0</v>
      </c>
    </row>
    <row r="201" spans="1:31" hidden="1">
      <c r="A201" s="11" t="s">
        <v>616</v>
      </c>
      <c r="B201" s="11"/>
      <c r="C201" s="11" t="s">
        <v>70</v>
      </c>
      <c r="I201" s="2">
        <f t="shared" si="39"/>
        <v>0</v>
      </c>
      <c r="M201" s="2">
        <f t="shared" si="40"/>
        <v>0</v>
      </c>
      <c r="AC201" s="12">
        <f t="shared" si="35"/>
        <v>0</v>
      </c>
      <c r="AE201" s="6">
        <f t="shared" si="36"/>
        <v>0</v>
      </c>
    </row>
    <row r="202" spans="1:31">
      <c r="A202" s="11" t="s">
        <v>490</v>
      </c>
      <c r="B202" s="11"/>
      <c r="C202" s="11" t="s">
        <v>61</v>
      </c>
      <c r="E202" s="6">
        <v>4618158</v>
      </c>
      <c r="G202" s="6">
        <v>0</v>
      </c>
      <c r="I202" s="2">
        <f t="shared" si="39"/>
        <v>3304552</v>
      </c>
      <c r="K202" s="6">
        <v>7922710</v>
      </c>
      <c r="M202" s="2">
        <f t="shared" si="40"/>
        <v>1048381</v>
      </c>
      <c r="O202" s="6">
        <v>2456982</v>
      </c>
      <c r="Q202" s="6">
        <v>3505363</v>
      </c>
      <c r="S202" s="6">
        <v>54784</v>
      </c>
      <c r="U202" s="6">
        <v>1278890</v>
      </c>
      <c r="W202" s="6">
        <v>0</v>
      </c>
      <c r="Y202" s="6">
        <v>131044</v>
      </c>
      <c r="AA202" s="6">
        <v>2952629</v>
      </c>
      <c r="AC202" s="12">
        <f t="shared" si="35"/>
        <v>4417347</v>
      </c>
      <c r="AE202" s="6">
        <f t="shared" si="36"/>
        <v>0</v>
      </c>
    </row>
    <row r="203" spans="1:31" hidden="1">
      <c r="A203" s="11" t="s">
        <v>764</v>
      </c>
      <c r="B203" s="11"/>
      <c r="C203" s="11" t="s">
        <v>422</v>
      </c>
      <c r="I203" s="2">
        <f t="shared" si="39"/>
        <v>0</v>
      </c>
      <c r="M203" s="2">
        <f t="shared" si="40"/>
        <v>0</v>
      </c>
      <c r="AC203" s="12">
        <f t="shared" si="35"/>
        <v>0</v>
      </c>
      <c r="AE203" s="6">
        <f t="shared" si="36"/>
        <v>0</v>
      </c>
    </row>
    <row r="204" spans="1:31" hidden="1">
      <c r="A204" s="11" t="s">
        <v>747</v>
      </c>
      <c r="B204" s="11"/>
      <c r="C204" s="11" t="s">
        <v>60</v>
      </c>
      <c r="I204" s="2">
        <f t="shared" si="39"/>
        <v>0</v>
      </c>
      <c r="M204" s="2">
        <f t="shared" si="40"/>
        <v>0</v>
      </c>
      <c r="AC204" s="12">
        <f t="shared" si="35"/>
        <v>0</v>
      </c>
      <c r="AE204" s="6">
        <f t="shared" si="36"/>
        <v>0</v>
      </c>
    </row>
    <row r="205" spans="1:31">
      <c r="A205" s="11" t="s">
        <v>544</v>
      </c>
      <c r="B205" s="11"/>
      <c r="C205" s="11" t="s">
        <v>69</v>
      </c>
      <c r="E205" s="6">
        <v>7407196</v>
      </c>
      <c r="G205" s="6">
        <v>0</v>
      </c>
      <c r="I205" s="2">
        <f t="shared" si="39"/>
        <v>19120725</v>
      </c>
      <c r="K205" s="6">
        <v>26527921</v>
      </c>
      <c r="M205" s="2">
        <f t="shared" si="40"/>
        <v>3215609</v>
      </c>
      <c r="O205" s="6">
        <v>18340377</v>
      </c>
      <c r="Q205" s="6">
        <v>21555986</v>
      </c>
      <c r="S205" s="6">
        <v>21865</v>
      </c>
      <c r="U205" s="6">
        <v>1494046</v>
      </c>
      <c r="W205" s="6">
        <v>875689</v>
      </c>
      <c r="Y205" s="6">
        <v>2264374</v>
      </c>
      <c r="AA205" s="6">
        <v>315961</v>
      </c>
      <c r="AC205" s="12">
        <f t="shared" si="35"/>
        <v>4971935</v>
      </c>
      <c r="AE205" s="6">
        <f t="shared" si="36"/>
        <v>0</v>
      </c>
    </row>
    <row r="206" spans="1:31">
      <c r="A206" s="11" t="s">
        <v>444</v>
      </c>
      <c r="B206" s="11"/>
      <c r="C206" s="11" t="s">
        <v>51</v>
      </c>
      <c r="E206" s="6">
        <f>9721851+41</f>
        <v>9721892</v>
      </c>
      <c r="G206" s="6">
        <v>605</v>
      </c>
      <c r="I206" s="2">
        <f t="shared" si="39"/>
        <v>9688272</v>
      </c>
      <c r="K206" s="6">
        <v>19410769</v>
      </c>
      <c r="M206" s="2">
        <f t="shared" si="40"/>
        <v>3077930</v>
      </c>
      <c r="O206" s="6">
        <v>5003186</v>
      </c>
      <c r="Q206" s="6">
        <v>8081116</v>
      </c>
      <c r="S206" s="6">
        <v>108112</v>
      </c>
      <c r="U206" s="6">
        <v>2635220</v>
      </c>
      <c r="W206" s="6">
        <v>928392</v>
      </c>
      <c r="Y206" s="6">
        <v>511040</v>
      </c>
      <c r="AA206" s="6">
        <v>7146889</v>
      </c>
      <c r="AC206" s="12">
        <f t="shared" si="35"/>
        <v>11329653</v>
      </c>
      <c r="AE206" s="6">
        <f t="shared" si="36"/>
        <v>0</v>
      </c>
    </row>
    <row r="207" spans="1:31" hidden="1">
      <c r="A207" s="11" t="s">
        <v>615</v>
      </c>
      <c r="B207" s="11"/>
      <c r="C207" s="11" t="s">
        <v>21</v>
      </c>
      <c r="I207" s="2">
        <f t="shared" si="39"/>
        <v>0</v>
      </c>
      <c r="M207" s="2">
        <f t="shared" si="40"/>
        <v>0</v>
      </c>
      <c r="AC207" s="12">
        <f t="shared" si="35"/>
        <v>0</v>
      </c>
      <c r="AE207" s="6">
        <f t="shared" si="36"/>
        <v>0</v>
      </c>
    </row>
    <row r="208" spans="1:31" hidden="1">
      <c r="A208" s="11" t="s">
        <v>664</v>
      </c>
      <c r="B208" s="11"/>
      <c r="C208" s="11" t="s">
        <v>40</v>
      </c>
      <c r="I208" s="2">
        <f t="shared" si="39"/>
        <v>0</v>
      </c>
      <c r="M208" s="2">
        <f t="shared" si="40"/>
        <v>0</v>
      </c>
      <c r="AC208" s="12">
        <f t="shared" si="35"/>
        <v>0</v>
      </c>
      <c r="AE208" s="6">
        <f t="shared" si="36"/>
        <v>0</v>
      </c>
    </row>
    <row r="209" spans="1:31">
      <c r="A209" s="11" t="s">
        <v>644</v>
      </c>
      <c r="B209" s="11"/>
      <c r="C209" s="11" t="s">
        <v>79</v>
      </c>
      <c r="E209" s="6">
        <f>20437679+7230874</f>
        <v>27668553</v>
      </c>
      <c r="G209" s="6">
        <v>0</v>
      </c>
      <c r="I209" s="2">
        <f t="shared" si="39"/>
        <v>16602208</v>
      </c>
      <c r="K209" s="6">
        <v>44270761</v>
      </c>
      <c r="M209" s="2">
        <f t="shared" si="40"/>
        <v>4685296</v>
      </c>
      <c r="O209" s="6">
        <v>10975286</v>
      </c>
      <c r="Q209" s="6">
        <v>15660582</v>
      </c>
      <c r="S209" s="6">
        <v>29765</v>
      </c>
      <c r="U209" s="6">
        <v>15415475</v>
      </c>
      <c r="W209" s="6">
        <v>4668240</v>
      </c>
      <c r="Y209" s="6">
        <v>1791709</v>
      </c>
      <c r="AA209" s="6">
        <v>6704990</v>
      </c>
      <c r="AC209" s="12">
        <f t="shared" si="35"/>
        <v>28610179</v>
      </c>
      <c r="AE209" s="6">
        <f t="shared" si="36"/>
        <v>0</v>
      </c>
    </row>
    <row r="210" spans="1:31">
      <c r="A210" s="11" t="s">
        <v>548</v>
      </c>
      <c r="B210" s="11"/>
      <c r="C210" s="11" t="s">
        <v>70</v>
      </c>
      <c r="E210" s="6">
        <f>2913373+397</f>
        <v>2913770</v>
      </c>
      <c r="G210" s="6">
        <v>0</v>
      </c>
      <c r="I210" s="2">
        <f t="shared" si="39"/>
        <v>1624000</v>
      </c>
      <c r="K210" s="6">
        <v>4537770</v>
      </c>
      <c r="M210" s="2">
        <f t="shared" si="40"/>
        <v>909141</v>
      </c>
      <c r="O210" s="6">
        <f>106109+1406961</f>
        <v>1513070</v>
      </c>
      <c r="Q210" s="6">
        <v>2422211</v>
      </c>
      <c r="S210" s="6">
        <v>7051</v>
      </c>
      <c r="U210" s="6">
        <f>251646+994023+18818+1723+14896+6577</f>
        <v>1287683</v>
      </c>
      <c r="W210" s="6">
        <v>173894</v>
      </c>
      <c r="Y210" s="6">
        <f>11039+5715+3663+7</f>
        <v>20424</v>
      </c>
      <c r="AA210" s="6">
        <v>626507</v>
      </c>
      <c r="AC210" s="12">
        <f t="shared" si="35"/>
        <v>2115559</v>
      </c>
      <c r="AE210" s="6">
        <f t="shared" si="36"/>
        <v>0</v>
      </c>
    </row>
    <row r="211" spans="1:31">
      <c r="A211" s="11" t="s">
        <v>641</v>
      </c>
      <c r="B211" s="11"/>
      <c r="C211" s="11" t="s">
        <v>27</v>
      </c>
      <c r="E211" s="6">
        <v>15113439</v>
      </c>
      <c r="G211" s="6">
        <v>1021342</v>
      </c>
      <c r="I211" s="2">
        <f t="shared" si="39"/>
        <v>90625183</v>
      </c>
      <c r="K211" s="6">
        <v>106759964</v>
      </c>
      <c r="M211" s="2">
        <f t="shared" si="40"/>
        <v>11247347</v>
      </c>
      <c r="O211" s="6">
        <v>67018628</v>
      </c>
      <c r="Q211" s="6">
        <v>78265975</v>
      </c>
      <c r="S211" s="6">
        <v>75181</v>
      </c>
      <c r="U211" s="6">
        <f>3772766+2261851+48738+115606+537643+51396+291122</f>
        <v>7079122</v>
      </c>
      <c r="W211" s="6">
        <v>39098</v>
      </c>
      <c r="Y211" s="6">
        <f>119947+2346251+17212244+90592</f>
        <v>19769034</v>
      </c>
      <c r="AA211" s="6">
        <v>1531554</v>
      </c>
      <c r="AC211" s="12">
        <f t="shared" ref="AC211:AC276" si="49">S211+U211+W211+Y211+AA211</f>
        <v>28493989</v>
      </c>
      <c r="AE211" s="6">
        <f t="shared" ref="AE211:AE276" si="50">+E211+G211+I211-M211-O211-W211-U211-S211-Y211-AA211</f>
        <v>0</v>
      </c>
    </row>
    <row r="212" spans="1:31">
      <c r="A212" s="11" t="s">
        <v>259</v>
      </c>
      <c r="B212" s="11"/>
      <c r="C212" s="11" t="s">
        <v>111</v>
      </c>
      <c r="E212" s="6">
        <v>3929577</v>
      </c>
      <c r="G212" s="6">
        <v>1353</v>
      </c>
      <c r="I212" s="2">
        <f t="shared" si="39"/>
        <v>6792174</v>
      </c>
      <c r="K212" s="6">
        <v>10723104</v>
      </c>
      <c r="M212" s="2">
        <f t="shared" si="40"/>
        <v>2323226</v>
      </c>
      <c r="O212" s="6">
        <v>4392167</v>
      </c>
      <c r="Q212" s="6">
        <v>6715393</v>
      </c>
      <c r="S212" s="6">
        <v>6350</v>
      </c>
      <c r="U212" s="6">
        <v>3003300</v>
      </c>
      <c r="W212" s="6">
        <v>0</v>
      </c>
      <c r="Y212" s="6">
        <v>205066</v>
      </c>
      <c r="AA212" s="6">
        <v>792995</v>
      </c>
      <c r="AC212" s="12">
        <f t="shared" si="49"/>
        <v>4007711</v>
      </c>
      <c r="AE212" s="6">
        <f t="shared" si="50"/>
        <v>0</v>
      </c>
    </row>
    <row r="213" spans="1:31">
      <c r="A213" s="11" t="s">
        <v>642</v>
      </c>
      <c r="B213" s="11"/>
      <c r="C213" s="11" t="s">
        <v>29</v>
      </c>
      <c r="E213" s="6">
        <v>16030818</v>
      </c>
      <c r="G213" s="6">
        <f>55851+96465</f>
        <v>152316</v>
      </c>
      <c r="I213" s="2">
        <f t="shared" si="39"/>
        <v>14696929</v>
      </c>
      <c r="K213" s="6">
        <v>30880063</v>
      </c>
      <c r="M213" s="2">
        <f t="shared" si="40"/>
        <v>3161809</v>
      </c>
      <c r="O213" s="6">
        <v>13706926</v>
      </c>
      <c r="Q213" s="6">
        <v>16868735</v>
      </c>
      <c r="S213" s="6">
        <v>92000</v>
      </c>
      <c r="U213" s="6">
        <v>9674433</v>
      </c>
      <c r="W213" s="6">
        <v>0</v>
      </c>
      <c r="Y213" s="6">
        <v>425545</v>
      </c>
      <c r="AA213" s="6">
        <v>3819350</v>
      </c>
      <c r="AC213" s="12">
        <f t="shared" si="49"/>
        <v>14011328</v>
      </c>
      <c r="AE213" s="6">
        <f t="shared" si="50"/>
        <v>0</v>
      </c>
    </row>
    <row r="214" spans="1:31">
      <c r="A214" s="11" t="s">
        <v>313</v>
      </c>
      <c r="B214" s="11"/>
      <c r="C214" s="11" t="s">
        <v>29</v>
      </c>
      <c r="E214" s="6">
        <v>7128352</v>
      </c>
      <c r="G214" s="6">
        <v>285351</v>
      </c>
      <c r="I214" s="2">
        <f t="shared" si="39"/>
        <v>8631202</v>
      </c>
      <c r="K214" s="6">
        <v>16044905</v>
      </c>
      <c r="M214" s="2">
        <f t="shared" si="40"/>
        <v>2973646</v>
      </c>
      <c r="O214" s="6">
        <f>925402+7047446</f>
        <v>7972848</v>
      </c>
      <c r="Q214" s="6">
        <v>10946494</v>
      </c>
      <c r="S214" s="6">
        <f>138032+40977</f>
        <v>179009</v>
      </c>
      <c r="U214" s="6">
        <f>1051659+2501451+501865+189616+8549+1664+26448+88881+63053+31939</f>
        <v>4465125</v>
      </c>
      <c r="W214" s="6">
        <f>185475+66354</f>
        <v>251829</v>
      </c>
      <c r="Y214" s="6">
        <f>166304+13055+23097</f>
        <v>202456</v>
      </c>
      <c r="AA214" s="6">
        <v>-8</v>
      </c>
      <c r="AC214" s="12">
        <f t="shared" si="49"/>
        <v>5098411</v>
      </c>
      <c r="AE214" s="6">
        <f t="shared" si="50"/>
        <v>0</v>
      </c>
    </row>
    <row r="215" spans="1:31">
      <c r="A215" s="11" t="s">
        <v>535</v>
      </c>
      <c r="B215" s="11"/>
      <c r="C215" s="11" t="s">
        <v>65</v>
      </c>
      <c r="E215" s="6">
        <v>3937679</v>
      </c>
      <c r="G215" s="6">
        <v>0</v>
      </c>
      <c r="I215" s="2">
        <f t="shared" si="39"/>
        <v>6172525</v>
      </c>
      <c r="K215" s="6">
        <v>10110204</v>
      </c>
      <c r="M215" s="2">
        <f t="shared" si="40"/>
        <v>1713253</v>
      </c>
      <c r="O215" s="6">
        <f>5230830+576926</f>
        <v>5807756</v>
      </c>
      <c r="Q215" s="6">
        <v>7521009</v>
      </c>
      <c r="S215" s="6">
        <f>4107+950</f>
        <v>5057</v>
      </c>
      <c r="U215" s="6">
        <f>482349+402137+227+6848+22848</f>
        <v>914409</v>
      </c>
      <c r="W215" s="6">
        <v>0</v>
      </c>
      <c r="Y215" s="6">
        <f>13800+25996+1022247</f>
        <v>1062043</v>
      </c>
      <c r="AA215" s="6">
        <v>607686</v>
      </c>
      <c r="AC215" s="12">
        <f t="shared" si="49"/>
        <v>2589195</v>
      </c>
      <c r="AE215" s="6">
        <f t="shared" si="50"/>
        <v>0</v>
      </c>
    </row>
    <row r="216" spans="1:31">
      <c r="A216" s="11" t="s">
        <v>678</v>
      </c>
      <c r="B216" s="11"/>
      <c r="C216" s="11" t="s">
        <v>20</v>
      </c>
      <c r="E216" s="6">
        <f>9720862+1073786</f>
        <v>10794648</v>
      </c>
      <c r="G216" s="6">
        <v>0</v>
      </c>
      <c r="I216" s="2">
        <f t="shared" si="39"/>
        <v>24137239</v>
      </c>
      <c r="K216" s="6">
        <v>34931887</v>
      </c>
      <c r="M216" s="2">
        <f t="shared" si="40"/>
        <v>5995643</v>
      </c>
      <c r="O216" s="6">
        <v>19687602</v>
      </c>
      <c r="Q216" s="6">
        <v>25683245</v>
      </c>
      <c r="S216" s="6">
        <v>0</v>
      </c>
      <c r="U216" s="6">
        <v>8602928</v>
      </c>
      <c r="W216" s="6">
        <v>0</v>
      </c>
      <c r="Y216" s="6">
        <v>353395</v>
      </c>
      <c r="AA216" s="6">
        <v>292319</v>
      </c>
      <c r="AC216" s="12">
        <f t="shared" si="49"/>
        <v>9248642</v>
      </c>
      <c r="AE216" s="6">
        <f t="shared" si="50"/>
        <v>0</v>
      </c>
    </row>
    <row r="217" spans="1:31">
      <c r="A217" s="11" t="s">
        <v>643</v>
      </c>
      <c r="B217" s="11"/>
      <c r="C217" s="11" t="s">
        <v>12</v>
      </c>
      <c r="E217" s="6">
        <f>6103231+15000+4216083+1002560</f>
        <v>11336874</v>
      </c>
      <c r="G217" s="6">
        <v>0</v>
      </c>
      <c r="I217" s="2">
        <f t="shared" si="39"/>
        <v>9808442</v>
      </c>
      <c r="K217" s="6">
        <v>21145316</v>
      </c>
      <c r="M217" s="2">
        <f t="shared" si="40"/>
        <v>3777921</v>
      </c>
      <c r="O217" s="6">
        <v>5806146</v>
      </c>
      <c r="Q217" s="6">
        <v>9584067</v>
      </c>
      <c r="S217" s="6">
        <v>93710</v>
      </c>
      <c r="U217" s="6">
        <v>9227085</v>
      </c>
      <c r="W217" s="6">
        <v>0</v>
      </c>
      <c r="Y217" s="6">
        <v>728762</v>
      </c>
      <c r="AA217" s="6">
        <v>1511692</v>
      </c>
      <c r="AC217" s="12">
        <f t="shared" si="49"/>
        <v>11561249</v>
      </c>
      <c r="AE217" s="6">
        <f t="shared" si="50"/>
        <v>0</v>
      </c>
    </row>
    <row r="218" spans="1:31" hidden="1">
      <c r="A218" s="11" t="s">
        <v>832</v>
      </c>
      <c r="B218" s="11"/>
      <c r="C218" s="11" t="s">
        <v>53</v>
      </c>
      <c r="I218" s="2">
        <f t="shared" si="39"/>
        <v>0</v>
      </c>
      <c r="M218" s="2">
        <f t="shared" si="40"/>
        <v>0</v>
      </c>
      <c r="AC218" s="12">
        <f t="shared" si="49"/>
        <v>0</v>
      </c>
      <c r="AE218" s="6">
        <f t="shared" si="50"/>
        <v>0</v>
      </c>
    </row>
    <row r="219" spans="1:31" hidden="1">
      <c r="A219" s="11" t="s">
        <v>665</v>
      </c>
      <c r="B219" s="11"/>
      <c r="C219" s="11" t="s">
        <v>77</v>
      </c>
      <c r="I219" s="2">
        <f t="shared" si="39"/>
        <v>0</v>
      </c>
      <c r="M219" s="2">
        <f t="shared" si="40"/>
        <v>0</v>
      </c>
      <c r="AC219" s="12">
        <f t="shared" si="49"/>
        <v>0</v>
      </c>
      <c r="AE219" s="6">
        <f t="shared" si="50"/>
        <v>0</v>
      </c>
    </row>
    <row r="220" spans="1:31">
      <c r="A220" s="11" t="s">
        <v>748</v>
      </c>
      <c r="B220" s="11"/>
      <c r="C220" s="11" t="s">
        <v>79</v>
      </c>
      <c r="E220" s="6">
        <v>3164659</v>
      </c>
      <c r="G220" s="6">
        <v>52124</v>
      </c>
      <c r="I220" s="2">
        <f t="shared" si="39"/>
        <v>2744182</v>
      </c>
      <c r="K220" s="6">
        <v>5960965</v>
      </c>
      <c r="M220" s="2">
        <f t="shared" si="40"/>
        <v>1171811</v>
      </c>
      <c r="O220" s="6">
        <f>207493+2148248</f>
        <v>2355741</v>
      </c>
      <c r="Q220" s="6">
        <v>3527552</v>
      </c>
      <c r="S220" s="6">
        <f>7299+11454</f>
        <v>18753</v>
      </c>
      <c r="U220" s="6">
        <f>1393914+7005+694+1435+52124</f>
        <v>1455172</v>
      </c>
      <c r="W220" s="6">
        <v>0</v>
      </c>
      <c r="Y220" s="6">
        <f>647+30651+3501+835517+165</f>
        <v>870481</v>
      </c>
      <c r="AA220" s="6">
        <v>89007</v>
      </c>
      <c r="AC220" s="12">
        <f t="shared" si="49"/>
        <v>2433413</v>
      </c>
      <c r="AE220" s="6">
        <f t="shared" si="50"/>
        <v>0</v>
      </c>
    </row>
    <row r="221" spans="1:31">
      <c r="A221" s="11" t="s">
        <v>521</v>
      </c>
      <c r="B221" s="11"/>
      <c r="C221" s="11" t="s">
        <v>64</v>
      </c>
      <c r="E221" s="6">
        <v>11034487</v>
      </c>
      <c r="G221" s="6">
        <v>0</v>
      </c>
      <c r="I221" s="2">
        <f t="shared" si="39"/>
        <v>5815406</v>
      </c>
      <c r="K221" s="6">
        <v>16849893</v>
      </c>
      <c r="M221" s="2">
        <f t="shared" si="40"/>
        <v>1430910</v>
      </c>
      <c r="O221" s="6">
        <f>1083496+4634090</f>
        <v>5717586</v>
      </c>
      <c r="Q221" s="6">
        <v>7148496</v>
      </c>
      <c r="S221" s="6">
        <f>6851+3088</f>
        <v>9939</v>
      </c>
      <c r="U221" s="6">
        <f>276716+3350610+506671+63672+500+178950</f>
        <v>4377119</v>
      </c>
      <c r="W221" s="6">
        <v>0</v>
      </c>
      <c r="Y221" s="6">
        <f>9579+293324+448+2018310</f>
        <v>2321661</v>
      </c>
      <c r="AA221" s="6">
        <v>2992678</v>
      </c>
      <c r="AC221" s="12">
        <f t="shared" si="49"/>
        <v>9701397</v>
      </c>
      <c r="AE221" s="6">
        <f t="shared" si="50"/>
        <v>0</v>
      </c>
    </row>
    <row r="222" spans="1:31" hidden="1">
      <c r="A222" s="11" t="s">
        <v>790</v>
      </c>
      <c r="B222" s="11"/>
      <c r="C222" s="11" t="s">
        <v>28</v>
      </c>
      <c r="I222" s="2">
        <f t="shared" si="39"/>
        <v>0</v>
      </c>
      <c r="M222" s="2">
        <f t="shared" si="40"/>
        <v>0</v>
      </c>
      <c r="AC222" s="12">
        <f t="shared" si="49"/>
        <v>0</v>
      </c>
      <c r="AE222" s="6">
        <f t="shared" si="50"/>
        <v>0</v>
      </c>
    </row>
    <row r="223" spans="1:31">
      <c r="A223" s="11" t="s">
        <v>240</v>
      </c>
      <c r="B223" s="11"/>
      <c r="C223" s="11" t="s">
        <v>113</v>
      </c>
      <c r="E223" s="6">
        <f>4893745+465066</f>
        <v>5358811</v>
      </c>
      <c r="G223" s="6">
        <v>2132</v>
      </c>
      <c r="I223" s="2">
        <f t="shared" si="39"/>
        <v>8237610</v>
      </c>
      <c r="K223" s="6">
        <v>13598553</v>
      </c>
      <c r="M223" s="2">
        <f t="shared" si="40"/>
        <v>3304078</v>
      </c>
      <c r="O223" s="6">
        <v>4765517</v>
      </c>
      <c r="Q223" s="6">
        <v>8069595</v>
      </c>
      <c r="S223" s="6">
        <v>2248</v>
      </c>
      <c r="U223" s="6">
        <v>2764163</v>
      </c>
      <c r="W223" s="6">
        <v>11000</v>
      </c>
      <c r="Y223" s="6">
        <v>160237</v>
      </c>
      <c r="AA223" s="6">
        <v>2591310</v>
      </c>
      <c r="AC223" s="12">
        <f t="shared" si="49"/>
        <v>5528958</v>
      </c>
      <c r="AE223" s="6">
        <f t="shared" si="50"/>
        <v>0</v>
      </c>
    </row>
    <row r="224" spans="1:31" hidden="1">
      <c r="A224" s="11" t="s">
        <v>791</v>
      </c>
      <c r="B224" s="11"/>
      <c r="C224" s="11" t="s">
        <v>228</v>
      </c>
      <c r="I224" s="2">
        <f t="shared" si="39"/>
        <v>0</v>
      </c>
      <c r="M224" s="2">
        <f t="shared" si="40"/>
        <v>0</v>
      </c>
      <c r="AC224" s="12">
        <f t="shared" si="49"/>
        <v>0</v>
      </c>
      <c r="AE224" s="6">
        <f t="shared" si="50"/>
        <v>0</v>
      </c>
    </row>
    <row r="225" spans="1:31">
      <c r="A225" s="11" t="s">
        <v>208</v>
      </c>
      <c r="B225" s="11"/>
      <c r="C225" s="11" t="s">
        <v>12</v>
      </c>
      <c r="E225" s="6">
        <v>9949996</v>
      </c>
      <c r="G225" s="6">
        <v>0</v>
      </c>
      <c r="I225" s="2">
        <f t="shared" si="39"/>
        <v>5352129</v>
      </c>
      <c r="K225" s="6">
        <v>15302125</v>
      </c>
      <c r="M225" s="2">
        <f t="shared" si="40"/>
        <v>1370418</v>
      </c>
      <c r="O225" s="6">
        <v>3353597</v>
      </c>
      <c r="Q225" s="6">
        <f>1370418+3353597</f>
        <v>4724015</v>
      </c>
      <c r="S225" s="6">
        <v>43995</v>
      </c>
      <c r="U225" s="6">
        <v>8995615</v>
      </c>
      <c r="W225" s="6">
        <v>91457</v>
      </c>
      <c r="Y225" s="6">
        <v>190319</v>
      </c>
      <c r="AA225" s="6">
        <v>1256724</v>
      </c>
      <c r="AC225" s="12">
        <f t="shared" si="49"/>
        <v>10578110</v>
      </c>
      <c r="AE225" s="6">
        <f t="shared" si="50"/>
        <v>0</v>
      </c>
    </row>
    <row r="226" spans="1:31">
      <c r="A226" s="11" t="s">
        <v>303</v>
      </c>
      <c r="B226" s="11"/>
      <c r="C226" s="11" t="s">
        <v>27</v>
      </c>
      <c r="E226" s="6">
        <v>8490908</v>
      </c>
      <c r="G226" s="6">
        <v>68902</v>
      </c>
      <c r="I226" s="2">
        <f t="shared" ref="I226:I293" si="51">K226-E226-G226</f>
        <v>12137823</v>
      </c>
      <c r="K226" s="6">
        <v>20697633</v>
      </c>
      <c r="M226" s="2">
        <f t="shared" ref="M226:M293" si="52">Q226-O226</f>
        <v>2099648</v>
      </c>
      <c r="O226" s="6">
        <f>9104966+45082</f>
        <v>9150048</v>
      </c>
      <c r="Q226" s="6">
        <v>11249696</v>
      </c>
      <c r="S226" s="6">
        <v>90978</v>
      </c>
      <c r="U226" s="6">
        <f>1182277+517720+68902+10794</f>
        <v>1779693</v>
      </c>
      <c r="W226" s="6">
        <f>63113+750000</f>
        <v>813113</v>
      </c>
      <c r="Y226" s="6">
        <v>1600129</v>
      </c>
      <c r="AA226" s="6">
        <v>5164024</v>
      </c>
      <c r="AC226" s="12">
        <f t="shared" si="49"/>
        <v>9447937</v>
      </c>
      <c r="AE226" s="6">
        <f t="shared" si="50"/>
        <v>0</v>
      </c>
    </row>
    <row r="227" spans="1:31">
      <c r="A227" s="11" t="s">
        <v>666</v>
      </c>
      <c r="B227" s="11"/>
      <c r="C227" s="11" t="s">
        <v>42</v>
      </c>
      <c r="E227" s="6">
        <f>4758697+5000+17016</f>
        <v>4780713</v>
      </c>
      <c r="G227" s="6">
        <v>0</v>
      </c>
      <c r="I227" s="2">
        <f t="shared" si="51"/>
        <v>20249959</v>
      </c>
      <c r="K227" s="6">
        <v>25030672</v>
      </c>
      <c r="M227" s="2">
        <f t="shared" si="52"/>
        <v>4321422</v>
      </c>
      <c r="O227" s="6">
        <v>18727089</v>
      </c>
      <c r="Q227" s="6">
        <v>23048511</v>
      </c>
      <c r="S227" s="6">
        <f>9459+1150000</f>
        <v>1159459</v>
      </c>
      <c r="U227" s="6">
        <f>123022+2071647+57775+74729+99307</f>
        <v>2426480</v>
      </c>
      <c r="W227" s="6">
        <v>0</v>
      </c>
      <c r="Y227" s="6">
        <v>73709</v>
      </c>
      <c r="AA227" s="6">
        <v>-1677487</v>
      </c>
      <c r="AC227" s="12">
        <f t="shared" si="49"/>
        <v>1982161</v>
      </c>
      <c r="AE227" s="6">
        <f t="shared" si="50"/>
        <v>0</v>
      </c>
    </row>
    <row r="228" spans="1:31">
      <c r="A228" s="11" t="s">
        <v>481</v>
      </c>
      <c r="B228" s="11"/>
      <c r="C228" s="11" t="s">
        <v>59</v>
      </c>
      <c r="E228" s="6">
        <v>1403572</v>
      </c>
      <c r="G228" s="6">
        <v>135084</v>
      </c>
      <c r="I228" s="2">
        <f t="shared" si="51"/>
        <v>1644776</v>
      </c>
      <c r="K228" s="6">
        <v>3183432</v>
      </c>
      <c r="M228" s="2">
        <f t="shared" si="52"/>
        <v>657732</v>
      </c>
      <c r="O228" s="6">
        <v>1427326</v>
      </c>
      <c r="Q228" s="6">
        <v>2085058</v>
      </c>
      <c r="S228" s="6">
        <v>0</v>
      </c>
      <c r="U228" s="6">
        <v>278659</v>
      </c>
      <c r="W228" s="6">
        <v>135296</v>
      </c>
      <c r="Y228" s="6">
        <v>378117</v>
      </c>
      <c r="AA228" s="6">
        <v>306302</v>
      </c>
      <c r="AC228" s="12">
        <f t="shared" si="49"/>
        <v>1098374</v>
      </c>
      <c r="AE228" s="6">
        <f t="shared" si="50"/>
        <v>0</v>
      </c>
    </row>
    <row r="229" spans="1:31">
      <c r="A229" s="11" t="s">
        <v>481</v>
      </c>
      <c r="B229" s="11"/>
      <c r="C229" s="11" t="s">
        <v>63</v>
      </c>
      <c r="E229" s="6">
        <v>3317991</v>
      </c>
      <c r="G229" s="6">
        <v>0</v>
      </c>
      <c r="I229" s="2">
        <f t="shared" si="51"/>
        <v>26069416</v>
      </c>
      <c r="K229" s="6">
        <v>29387407</v>
      </c>
      <c r="M229" s="2">
        <f t="shared" si="52"/>
        <v>9657728</v>
      </c>
      <c r="O229" s="6">
        <v>23187111</v>
      </c>
      <c r="Q229" s="6">
        <v>32844839</v>
      </c>
      <c r="S229" s="6">
        <v>0</v>
      </c>
      <c r="U229" s="6">
        <v>1371523</v>
      </c>
      <c r="W229" s="6">
        <v>0</v>
      </c>
      <c r="Y229" s="6">
        <v>0</v>
      </c>
      <c r="AA229" s="6">
        <v>-4828955</v>
      </c>
      <c r="AC229" s="12">
        <f t="shared" si="49"/>
        <v>-3457432</v>
      </c>
      <c r="AE229" s="6">
        <f t="shared" si="50"/>
        <v>0</v>
      </c>
    </row>
    <row r="230" spans="1:31" hidden="1">
      <c r="A230" s="10" t="s">
        <v>856</v>
      </c>
      <c r="B230" s="11"/>
      <c r="C230" s="11" t="s">
        <v>71</v>
      </c>
      <c r="I230" s="2">
        <f t="shared" si="51"/>
        <v>0</v>
      </c>
      <c r="M230" s="2">
        <f t="shared" si="52"/>
        <v>0</v>
      </c>
      <c r="AC230" s="12">
        <f t="shared" si="49"/>
        <v>0</v>
      </c>
      <c r="AE230" s="6">
        <f t="shared" si="50"/>
        <v>0</v>
      </c>
    </row>
    <row r="231" spans="1:31">
      <c r="A231" s="11" t="s">
        <v>318</v>
      </c>
      <c r="B231" s="11"/>
      <c r="C231" s="11" t="s">
        <v>114</v>
      </c>
      <c r="E231" s="6">
        <f>10923172+800+195531</f>
        <v>11119503</v>
      </c>
      <c r="G231" s="6">
        <v>76238</v>
      </c>
      <c r="I231" s="2">
        <f t="shared" si="51"/>
        <v>5421759</v>
      </c>
      <c r="K231" s="6">
        <v>16617500</v>
      </c>
      <c r="M231" s="2">
        <f t="shared" si="52"/>
        <v>2458154</v>
      </c>
      <c r="O231" s="6">
        <v>4102625</v>
      </c>
      <c r="Q231" s="6">
        <v>6560779</v>
      </c>
      <c r="S231" s="6">
        <v>7695</v>
      </c>
      <c r="U231" s="6">
        <v>3302575</v>
      </c>
      <c r="W231" s="6">
        <v>0</v>
      </c>
      <c r="Y231" s="6">
        <v>197430</v>
      </c>
      <c r="AA231" s="6">
        <v>6549021</v>
      </c>
      <c r="AC231" s="12">
        <f t="shared" si="49"/>
        <v>10056721</v>
      </c>
      <c r="AE231" s="6">
        <f t="shared" si="50"/>
        <v>0</v>
      </c>
    </row>
    <row r="232" spans="1:31">
      <c r="A232" s="11" t="s">
        <v>760</v>
      </c>
      <c r="B232" s="11"/>
      <c r="C232" s="11" t="s">
        <v>348</v>
      </c>
      <c r="E232" s="6">
        <v>11691171</v>
      </c>
      <c r="G232" s="6">
        <v>0</v>
      </c>
      <c r="I232" s="2">
        <f t="shared" si="51"/>
        <v>8773750</v>
      </c>
      <c r="K232" s="6">
        <v>20464921</v>
      </c>
      <c r="M232" s="2">
        <f t="shared" si="52"/>
        <v>4838742</v>
      </c>
      <c r="O232" s="6">
        <v>3611063</v>
      </c>
      <c r="Q232" s="6">
        <v>8449805</v>
      </c>
      <c r="S232" s="6">
        <v>0</v>
      </c>
      <c r="U232" s="6">
        <v>3216355</v>
      </c>
      <c r="W232" s="6">
        <v>359378</v>
      </c>
      <c r="Y232" s="6">
        <v>806441</v>
      </c>
      <c r="AA232" s="6">
        <v>7632942</v>
      </c>
      <c r="AC232" s="12">
        <f t="shared" si="49"/>
        <v>12015116</v>
      </c>
      <c r="AE232" s="6">
        <f t="shared" si="50"/>
        <v>0</v>
      </c>
    </row>
    <row r="233" spans="1:31">
      <c r="A233" s="11" t="s">
        <v>232</v>
      </c>
      <c r="B233" s="11"/>
      <c r="C233" s="11" t="s">
        <v>17</v>
      </c>
      <c r="E233" s="6">
        <f>4100796+2534</f>
        <v>4103330</v>
      </c>
      <c r="G233" s="6">
        <v>28436</v>
      </c>
      <c r="I233" s="2">
        <f t="shared" si="51"/>
        <v>6641926</v>
      </c>
      <c r="K233" s="6">
        <v>10773692</v>
      </c>
      <c r="M233" s="2">
        <f t="shared" si="52"/>
        <v>1842974</v>
      </c>
      <c r="O233" s="6">
        <v>5455502</v>
      </c>
      <c r="Q233" s="6">
        <v>7298476</v>
      </c>
      <c r="S233" s="6">
        <v>2432</v>
      </c>
      <c r="U233" s="6">
        <v>1405605</v>
      </c>
      <c r="W233" s="6">
        <v>11000</v>
      </c>
      <c r="Y233" s="6">
        <v>87343</v>
      </c>
      <c r="AA233" s="6">
        <v>1968836</v>
      </c>
      <c r="AC233" s="12">
        <f t="shared" si="49"/>
        <v>3475216</v>
      </c>
      <c r="AE233" s="6">
        <f t="shared" si="50"/>
        <v>0</v>
      </c>
    </row>
    <row r="234" spans="1:31">
      <c r="A234" s="11" t="s">
        <v>282</v>
      </c>
      <c r="B234" s="11"/>
      <c r="C234" s="11" t="s">
        <v>21</v>
      </c>
      <c r="E234" s="6">
        <f>11741057+703+13545</f>
        <v>11755305</v>
      </c>
      <c r="G234" s="6">
        <v>8028</v>
      </c>
      <c r="I234" s="2">
        <f t="shared" si="51"/>
        <v>12783409</v>
      </c>
      <c r="K234" s="6">
        <v>24546742</v>
      </c>
      <c r="M234" s="2">
        <f t="shared" si="52"/>
        <v>4394499</v>
      </c>
      <c r="O234" s="6">
        <v>10137869</v>
      </c>
      <c r="Q234" s="6">
        <v>14532368</v>
      </c>
      <c r="S234" s="6">
        <v>70451</v>
      </c>
      <c r="U234" s="6">
        <v>3030728</v>
      </c>
      <c r="W234" s="6">
        <v>407469</v>
      </c>
      <c r="Y234" s="6">
        <v>2597913</v>
      </c>
      <c r="AA234" s="6">
        <v>3907813</v>
      </c>
      <c r="AC234" s="12">
        <f t="shared" si="49"/>
        <v>10014374</v>
      </c>
      <c r="AE234" s="6">
        <f t="shared" si="50"/>
        <v>0</v>
      </c>
    </row>
    <row r="235" spans="1:31">
      <c r="A235" s="11" t="s">
        <v>304</v>
      </c>
      <c r="B235" s="11"/>
      <c r="C235" s="11" t="s">
        <v>27</v>
      </c>
      <c r="E235" s="6">
        <v>5751221</v>
      </c>
      <c r="G235" s="6">
        <v>266956</v>
      </c>
      <c r="I235" s="2">
        <f t="shared" si="51"/>
        <v>24051573</v>
      </c>
      <c r="K235" s="6">
        <v>30069750</v>
      </c>
      <c r="M235" s="2">
        <f t="shared" si="52"/>
        <v>9021145</v>
      </c>
      <c r="O235" s="6">
        <v>17487754</v>
      </c>
      <c r="Q235" s="6">
        <v>26508899</v>
      </c>
      <c r="S235" s="6">
        <v>0</v>
      </c>
      <c r="U235" s="6">
        <f>246608+1722039+83144+118559+359922+4143</f>
        <v>2534415</v>
      </c>
      <c r="W235" s="6">
        <v>0</v>
      </c>
      <c r="Y235" s="6">
        <f>67920+44861+1046643</f>
        <v>1159424</v>
      </c>
      <c r="AA235" s="6">
        <v>-132988</v>
      </c>
      <c r="AC235" s="12">
        <f t="shared" si="49"/>
        <v>3560851</v>
      </c>
      <c r="AE235" s="6">
        <f t="shared" si="50"/>
        <v>0</v>
      </c>
    </row>
    <row r="236" spans="1:31" hidden="1">
      <c r="A236" s="10" t="s">
        <v>857</v>
      </c>
      <c r="B236" s="11"/>
      <c r="C236" s="11" t="s">
        <v>221</v>
      </c>
      <c r="I236" s="2">
        <f t="shared" si="51"/>
        <v>0</v>
      </c>
      <c r="M236" s="2">
        <f t="shared" si="52"/>
        <v>0</v>
      </c>
      <c r="AC236" s="12">
        <f t="shared" si="49"/>
        <v>0</v>
      </c>
      <c r="AE236" s="6">
        <f t="shared" si="50"/>
        <v>0</v>
      </c>
    </row>
    <row r="237" spans="1:31">
      <c r="A237" s="10" t="s">
        <v>802</v>
      </c>
      <c r="B237" s="11"/>
      <c r="C237" s="11" t="s">
        <v>27</v>
      </c>
      <c r="E237" s="6">
        <v>13217625</v>
      </c>
      <c r="G237" s="6">
        <v>0</v>
      </c>
      <c r="I237" s="2">
        <f t="shared" si="51"/>
        <v>9654177</v>
      </c>
      <c r="K237" s="6">
        <v>22871802</v>
      </c>
      <c r="M237" s="2">
        <f t="shared" si="52"/>
        <v>2283139</v>
      </c>
      <c r="O237" s="6">
        <v>6862993</v>
      </c>
      <c r="Q237" s="6">
        <v>9146132</v>
      </c>
      <c r="S237" s="6">
        <v>20456</v>
      </c>
      <c r="U237" s="6">
        <f>1898641+1830643+1021510+61717</f>
        <v>4812511</v>
      </c>
      <c r="W237" s="6">
        <v>0</v>
      </c>
      <c r="Y237" s="6">
        <f>148431+46184+2997308</f>
        <v>3191923</v>
      </c>
      <c r="AA237" s="6">
        <v>5700780</v>
      </c>
      <c r="AC237" s="12">
        <f t="shared" si="49"/>
        <v>13725670</v>
      </c>
      <c r="AE237" s="6">
        <f t="shared" si="50"/>
        <v>0</v>
      </c>
    </row>
    <row r="238" spans="1:31">
      <c r="A238" s="10" t="s">
        <v>340</v>
      </c>
      <c r="B238" s="11"/>
      <c r="C238" s="11" t="s">
        <v>339</v>
      </c>
      <c r="E238" s="6">
        <v>3420209</v>
      </c>
      <c r="G238" s="6">
        <v>17316</v>
      </c>
      <c r="I238" s="2">
        <f t="shared" si="51"/>
        <v>1933885</v>
      </c>
      <c r="K238" s="6">
        <v>5371410</v>
      </c>
      <c r="M238" s="2">
        <f t="shared" si="52"/>
        <v>447389</v>
      </c>
      <c r="O238" s="6">
        <v>1274282</v>
      </c>
      <c r="Q238" s="6">
        <v>1721671</v>
      </c>
      <c r="S238" s="6">
        <v>54505</v>
      </c>
      <c r="U238" s="6">
        <v>938127</v>
      </c>
      <c r="W238" s="6">
        <v>0</v>
      </c>
      <c r="Y238" s="6">
        <v>33174</v>
      </c>
      <c r="AA238" s="6">
        <v>2623933</v>
      </c>
      <c r="AC238" s="12">
        <f t="shared" si="49"/>
        <v>3649739</v>
      </c>
      <c r="AE238" s="6">
        <f t="shared" si="50"/>
        <v>0</v>
      </c>
    </row>
    <row r="239" spans="1:31">
      <c r="A239" s="10" t="s">
        <v>491</v>
      </c>
      <c r="B239" s="11"/>
      <c r="C239" s="11" t="s">
        <v>61</v>
      </c>
      <c r="E239" s="6">
        <v>3635317</v>
      </c>
      <c r="G239" s="6">
        <v>64358</v>
      </c>
      <c r="I239" s="2">
        <f t="shared" si="51"/>
        <v>2699805</v>
      </c>
      <c r="K239" s="6">
        <v>6399480</v>
      </c>
      <c r="M239" s="2">
        <f t="shared" si="52"/>
        <v>1022270</v>
      </c>
      <c r="O239" s="6">
        <v>2233441</v>
      </c>
      <c r="Q239" s="6">
        <v>3255711</v>
      </c>
      <c r="S239" s="6">
        <v>2904</v>
      </c>
      <c r="U239" s="6">
        <v>1700755</v>
      </c>
      <c r="W239" s="6">
        <v>0</v>
      </c>
      <c r="Y239" s="6">
        <v>338005</v>
      </c>
      <c r="AA239" s="6">
        <v>1102105</v>
      </c>
      <c r="AC239" s="12">
        <f t="shared" si="49"/>
        <v>3143769</v>
      </c>
      <c r="AE239" s="6">
        <f t="shared" si="50"/>
        <v>0</v>
      </c>
    </row>
    <row r="240" spans="1:31" hidden="1">
      <c r="A240" s="10" t="s">
        <v>858</v>
      </c>
      <c r="B240" s="11"/>
      <c r="C240" s="11" t="s">
        <v>343</v>
      </c>
      <c r="I240" s="2">
        <f t="shared" si="51"/>
        <v>0</v>
      </c>
      <c r="M240" s="2">
        <f t="shared" si="52"/>
        <v>0</v>
      </c>
      <c r="AC240" s="12">
        <f t="shared" si="49"/>
        <v>0</v>
      </c>
      <c r="AE240" s="6">
        <f t="shared" si="50"/>
        <v>0</v>
      </c>
    </row>
    <row r="241" spans="1:31">
      <c r="A241" s="11" t="s">
        <v>373</v>
      </c>
      <c r="B241" s="11"/>
      <c r="C241" s="11" t="s">
        <v>42</v>
      </c>
      <c r="E241" s="6">
        <f>3355907+1297260</f>
        <v>4653167</v>
      </c>
      <c r="G241" s="6">
        <v>76288</v>
      </c>
      <c r="I241" s="2">
        <f t="shared" si="51"/>
        <v>9444124</v>
      </c>
      <c r="K241" s="6">
        <v>14173579</v>
      </c>
      <c r="M241" s="2">
        <f t="shared" si="52"/>
        <v>1898444</v>
      </c>
      <c r="O241" s="6">
        <f>8757239+48708</f>
        <v>8805947</v>
      </c>
      <c r="Q241" s="6">
        <v>10704391</v>
      </c>
      <c r="S241" s="6">
        <v>199618</v>
      </c>
      <c r="U241" s="6">
        <v>1988580</v>
      </c>
      <c r="W241" s="6">
        <v>0</v>
      </c>
      <c r="Y241" s="6">
        <v>143303</v>
      </c>
      <c r="AA241" s="6">
        <v>1137687</v>
      </c>
      <c r="AC241" s="12">
        <f t="shared" si="49"/>
        <v>3469188</v>
      </c>
      <c r="AE241" s="6">
        <f t="shared" si="50"/>
        <v>0</v>
      </c>
    </row>
    <row r="242" spans="1:31" hidden="1">
      <c r="A242" s="11" t="s">
        <v>667</v>
      </c>
      <c r="B242" s="11"/>
      <c r="C242" s="11" t="s">
        <v>22</v>
      </c>
      <c r="I242" s="2">
        <f t="shared" si="51"/>
        <v>0</v>
      </c>
      <c r="M242" s="2">
        <f t="shared" si="52"/>
        <v>0</v>
      </c>
      <c r="AC242" s="12">
        <f t="shared" si="49"/>
        <v>0</v>
      </c>
      <c r="AE242" s="6">
        <f t="shared" si="50"/>
        <v>0</v>
      </c>
    </row>
    <row r="243" spans="1:31">
      <c r="A243" s="11" t="s">
        <v>417</v>
      </c>
      <c r="B243" s="11"/>
      <c r="C243" s="11" t="s">
        <v>47</v>
      </c>
      <c r="E243" s="6">
        <f>11908854+412</f>
        <v>11909266</v>
      </c>
      <c r="G243" s="6">
        <v>0</v>
      </c>
      <c r="I243" s="2">
        <f t="shared" si="51"/>
        <v>23834464</v>
      </c>
      <c r="K243" s="6">
        <v>35743730</v>
      </c>
      <c r="M243" s="2">
        <f t="shared" si="52"/>
        <v>3456735</v>
      </c>
      <c r="O243" s="6">
        <v>20921862</v>
      </c>
      <c r="Q243" s="6">
        <v>24378597</v>
      </c>
      <c r="S243" s="6">
        <v>137108</v>
      </c>
      <c r="U243" s="6">
        <v>5328720</v>
      </c>
      <c r="W243" s="6">
        <v>11000</v>
      </c>
      <c r="Y243" s="6">
        <v>991561</v>
      </c>
      <c r="AA243" s="6">
        <v>4896744</v>
      </c>
      <c r="AC243" s="12">
        <f t="shared" si="49"/>
        <v>11365133</v>
      </c>
      <c r="AE243" s="6">
        <f t="shared" si="50"/>
        <v>0</v>
      </c>
    </row>
    <row r="244" spans="1:31">
      <c r="A244" s="11" t="s">
        <v>417</v>
      </c>
      <c r="B244" s="11"/>
      <c r="C244" s="11" t="s">
        <v>78</v>
      </c>
      <c r="E244" s="6">
        <v>10172056</v>
      </c>
      <c r="G244" s="6">
        <f>2170+73729</f>
        <v>75899</v>
      </c>
      <c r="I244" s="2">
        <f t="shared" si="51"/>
        <v>5995256</v>
      </c>
      <c r="K244" s="6">
        <v>16243211</v>
      </c>
      <c r="M244" s="2">
        <f t="shared" si="52"/>
        <v>3158762</v>
      </c>
      <c r="O244" s="6">
        <v>4430622</v>
      </c>
      <c r="Q244" s="6">
        <v>7589384</v>
      </c>
      <c r="S244" s="6">
        <v>74708</v>
      </c>
      <c r="U244" s="6">
        <v>3996591</v>
      </c>
      <c r="W244" s="6">
        <v>1584730</v>
      </c>
      <c r="Y244" s="6">
        <v>52538</v>
      </c>
      <c r="AA244" s="6">
        <v>2945260</v>
      </c>
      <c r="AC244" s="12">
        <f t="shared" si="49"/>
        <v>8653827</v>
      </c>
      <c r="AE244" s="6">
        <f t="shared" si="50"/>
        <v>0</v>
      </c>
    </row>
    <row r="245" spans="1:31">
      <c r="A245" s="11" t="s">
        <v>305</v>
      </c>
      <c r="B245" s="11"/>
      <c r="C245" s="11" t="s">
        <v>27</v>
      </c>
      <c r="E245" s="6">
        <f>24483932+13004331</f>
        <v>37488263</v>
      </c>
      <c r="G245" s="6">
        <v>0</v>
      </c>
      <c r="I245" s="2">
        <f t="shared" si="51"/>
        <v>135456247</v>
      </c>
      <c r="K245" s="6">
        <v>172944510</v>
      </c>
      <c r="M245" s="2">
        <f t="shared" si="52"/>
        <v>20033205</v>
      </c>
      <c r="O245" s="6">
        <v>81093116</v>
      </c>
      <c r="Q245" s="6">
        <v>101126321</v>
      </c>
      <c r="S245" s="6">
        <v>67961</v>
      </c>
      <c r="U245" s="6">
        <v>25099863</v>
      </c>
      <c r="W245" s="6">
        <v>682063</v>
      </c>
      <c r="Y245" s="6">
        <v>2422109</v>
      </c>
      <c r="AA245" s="6">
        <v>43546193</v>
      </c>
      <c r="AC245" s="12">
        <f t="shared" si="49"/>
        <v>71818189</v>
      </c>
      <c r="AE245" s="6">
        <f t="shared" si="50"/>
        <v>0</v>
      </c>
    </row>
    <row r="246" spans="1:31">
      <c r="A246" s="11" t="s">
        <v>350</v>
      </c>
      <c r="B246" s="11"/>
      <c r="C246" s="11" t="s">
        <v>348</v>
      </c>
      <c r="E246" s="6">
        <v>9758075</v>
      </c>
      <c r="G246" s="6">
        <v>79023</v>
      </c>
      <c r="I246" s="2">
        <f t="shared" si="51"/>
        <v>8222436</v>
      </c>
      <c r="K246" s="6">
        <v>18059534</v>
      </c>
      <c r="M246" s="2">
        <f t="shared" si="52"/>
        <v>2507293</v>
      </c>
      <c r="O246" s="6">
        <v>6831194</v>
      </c>
      <c r="Q246" s="6">
        <v>9338487</v>
      </c>
      <c r="S246" s="6">
        <v>21052</v>
      </c>
      <c r="U246" s="6">
        <v>4269915</v>
      </c>
      <c r="W246" s="6">
        <v>675400</v>
      </c>
      <c r="Y246" s="6">
        <v>140107</v>
      </c>
      <c r="AA246" s="6">
        <v>3614573</v>
      </c>
      <c r="AC246" s="12">
        <f t="shared" si="49"/>
        <v>8721047</v>
      </c>
      <c r="AE246" s="6">
        <f t="shared" si="50"/>
        <v>0</v>
      </c>
    </row>
    <row r="247" spans="1:31">
      <c r="A247" s="11" t="s">
        <v>204</v>
      </c>
      <c r="B247" s="11"/>
      <c r="C247" s="11" t="s">
        <v>11</v>
      </c>
      <c r="E247" s="6">
        <v>988563</v>
      </c>
      <c r="G247" s="6">
        <v>0</v>
      </c>
      <c r="I247" s="2">
        <f t="shared" si="51"/>
        <v>4679397</v>
      </c>
      <c r="K247" s="6">
        <v>5667960</v>
      </c>
      <c r="M247" s="2">
        <f t="shared" si="52"/>
        <v>1155767</v>
      </c>
      <c r="O247" s="6">
        <f>229876+3528946</f>
        <v>3758822</v>
      </c>
      <c r="Q247" s="6">
        <v>4914589</v>
      </c>
      <c r="S247" s="6">
        <f>9542+132057</f>
        <v>141599</v>
      </c>
      <c r="U247" s="6">
        <f>77372+80603+81+26215</f>
        <v>184271</v>
      </c>
      <c r="W247" s="6">
        <v>125445</v>
      </c>
      <c r="Y247" s="6">
        <f>7941+60397+8788+237412</f>
        <v>314538</v>
      </c>
      <c r="AA247" s="6">
        <v>-12482</v>
      </c>
      <c r="AC247" s="12">
        <f t="shared" si="49"/>
        <v>753371</v>
      </c>
      <c r="AE247" s="6">
        <f t="shared" si="50"/>
        <v>0</v>
      </c>
    </row>
    <row r="248" spans="1:31">
      <c r="A248" s="11" t="s">
        <v>344</v>
      </c>
      <c r="B248" s="11"/>
      <c r="C248" s="11" t="s">
        <v>34</v>
      </c>
      <c r="E248" s="6">
        <v>3158903</v>
      </c>
      <c r="G248" s="6">
        <v>0</v>
      </c>
      <c r="I248" s="2">
        <f t="shared" si="51"/>
        <v>1920726</v>
      </c>
      <c r="K248" s="6">
        <v>5079629</v>
      </c>
      <c r="M248" s="2">
        <f t="shared" si="52"/>
        <v>729916</v>
      </c>
      <c r="O248" s="6">
        <v>1469051</v>
      </c>
      <c r="Q248" s="6">
        <v>2198967</v>
      </c>
      <c r="S248" s="6">
        <v>9524</v>
      </c>
      <c r="U248" s="6">
        <v>894042</v>
      </c>
      <c r="W248" s="6">
        <v>0</v>
      </c>
      <c r="Y248" s="6">
        <v>24973</v>
      </c>
      <c r="AA248" s="6">
        <v>1952123</v>
      </c>
      <c r="AC248" s="12">
        <f t="shared" si="49"/>
        <v>2880662</v>
      </c>
      <c r="AE248" s="6">
        <f t="shared" si="50"/>
        <v>0</v>
      </c>
    </row>
    <row r="249" spans="1:31" hidden="1">
      <c r="A249" s="10" t="s">
        <v>891</v>
      </c>
      <c r="B249" s="10"/>
      <c r="C249" s="10" t="s">
        <v>60</v>
      </c>
      <c r="I249" s="2">
        <f t="shared" ref="I249" si="53">K249-E249-G249</f>
        <v>0</v>
      </c>
      <c r="M249" s="2">
        <f t="shared" ref="M249" si="54">Q249-O249</f>
        <v>0</v>
      </c>
      <c r="AC249" s="12">
        <f t="shared" ref="AC249" si="55">S249+U249+W249+Y249+AA249</f>
        <v>0</v>
      </c>
      <c r="AE249" s="6">
        <f t="shared" ref="AE249" si="56">+E249+G249+I249-M249-O249-W249-U249-S249-Y249-AA249</f>
        <v>0</v>
      </c>
    </row>
    <row r="250" spans="1:31">
      <c r="A250" s="11" t="s">
        <v>522</v>
      </c>
      <c r="B250" s="11"/>
      <c r="C250" s="11" t="s">
        <v>64</v>
      </c>
      <c r="E250" s="6">
        <v>1705396</v>
      </c>
      <c r="G250" s="6">
        <v>0</v>
      </c>
      <c r="I250" s="2">
        <f t="shared" si="51"/>
        <v>18199845</v>
      </c>
      <c r="K250" s="6">
        <v>19905241</v>
      </c>
      <c r="M250" s="2">
        <f t="shared" si="52"/>
        <v>3715296</v>
      </c>
      <c r="O250" s="6">
        <f>1661436+16180668</f>
        <v>17842104</v>
      </c>
      <c r="Q250" s="6">
        <v>21557400</v>
      </c>
      <c r="S250" s="6">
        <f>65762+34085</f>
        <v>99847</v>
      </c>
      <c r="U250" s="6">
        <f>1813+508403+34580+6163+44979</f>
        <v>595938</v>
      </c>
      <c r="W250" s="6">
        <v>3943</v>
      </c>
      <c r="Y250" s="6">
        <f>5110+3383+30985+9789+287660+772469+6270</f>
        <v>1115666</v>
      </c>
      <c r="AA250" s="6">
        <v>-3467553</v>
      </c>
      <c r="AC250" s="12">
        <f t="shared" si="49"/>
        <v>-1652159</v>
      </c>
      <c r="AE250" s="6">
        <f t="shared" si="50"/>
        <v>0</v>
      </c>
    </row>
    <row r="251" spans="1:31">
      <c r="A251" s="11" t="s">
        <v>761</v>
      </c>
      <c r="B251" s="11"/>
      <c r="C251" s="11" t="s">
        <v>64</v>
      </c>
      <c r="E251" s="6">
        <v>13660323</v>
      </c>
      <c r="G251" s="6">
        <v>95611</v>
      </c>
      <c r="I251" s="2">
        <f t="shared" si="51"/>
        <v>9050993</v>
      </c>
      <c r="K251" s="6">
        <v>22806927</v>
      </c>
      <c r="M251" s="2">
        <f t="shared" si="52"/>
        <v>3082106</v>
      </c>
      <c r="O251" s="6">
        <v>8744449</v>
      </c>
      <c r="Q251" s="6">
        <v>11826555</v>
      </c>
      <c r="S251" s="6">
        <v>28716</v>
      </c>
      <c r="U251" s="6">
        <v>8091503</v>
      </c>
      <c r="W251" s="6">
        <v>136845</v>
      </c>
      <c r="Y251" s="6">
        <v>25618</v>
      </c>
      <c r="AA251" s="6">
        <v>2697690</v>
      </c>
      <c r="AC251" s="12">
        <f t="shared" si="49"/>
        <v>10980372</v>
      </c>
      <c r="AE251" s="6">
        <f t="shared" si="50"/>
        <v>0</v>
      </c>
    </row>
    <row r="252" spans="1:31">
      <c r="A252" s="11" t="s">
        <v>430</v>
      </c>
      <c r="B252" s="11"/>
      <c r="C252" s="11" t="s">
        <v>50</v>
      </c>
      <c r="E252" s="6">
        <f>13796557+44198323</f>
        <v>57994880</v>
      </c>
      <c r="G252" s="6">
        <v>2007350</v>
      </c>
      <c r="I252" s="2">
        <f t="shared" si="51"/>
        <v>31823753</v>
      </c>
      <c r="K252" s="6">
        <v>91825983</v>
      </c>
      <c r="M252" s="2">
        <f t="shared" si="52"/>
        <v>12475989</v>
      </c>
      <c r="O252" s="6">
        <f>28473086+434109</f>
        <v>28907195</v>
      </c>
      <c r="Q252" s="6">
        <v>41383184</v>
      </c>
      <c r="S252" s="6">
        <v>304840</v>
      </c>
      <c r="U252" s="6">
        <v>45073912</v>
      </c>
      <c r="W252" s="6">
        <v>11000</v>
      </c>
      <c r="Y252" s="6">
        <v>665515</v>
      </c>
      <c r="AA252" s="6">
        <v>4387532</v>
      </c>
      <c r="AC252" s="12">
        <f t="shared" si="49"/>
        <v>50442799</v>
      </c>
      <c r="AE252" s="6">
        <f t="shared" si="50"/>
        <v>0</v>
      </c>
    </row>
    <row r="253" spans="1:31">
      <c r="A253" s="11" t="s">
        <v>509</v>
      </c>
      <c r="B253" s="11"/>
      <c r="C253" s="11" t="s">
        <v>63</v>
      </c>
      <c r="E253" s="6">
        <f>16819149+3027432</f>
        <v>19846581</v>
      </c>
      <c r="G253" s="6">
        <v>0</v>
      </c>
      <c r="I253" s="2">
        <f t="shared" si="51"/>
        <v>45573561</v>
      </c>
      <c r="K253" s="6">
        <v>65420142</v>
      </c>
      <c r="M253" s="2">
        <f t="shared" si="52"/>
        <v>8063566</v>
      </c>
      <c r="O253" s="6">
        <f>38985243+2035040</f>
        <v>41020283</v>
      </c>
      <c r="Q253" s="6">
        <v>49083849</v>
      </c>
      <c r="S253" s="6">
        <v>56788</v>
      </c>
      <c r="U253" s="6">
        <f>4469722+2939021+95458+216107+805+154621+76234</f>
        <v>7951968</v>
      </c>
      <c r="W253" s="6">
        <v>0</v>
      </c>
      <c r="Y253" s="6">
        <f>143853+416618+9980+301136+12499</f>
        <v>884086</v>
      </c>
      <c r="AA253" s="6">
        <v>7443451</v>
      </c>
      <c r="AC253" s="12">
        <f t="shared" si="49"/>
        <v>16336293</v>
      </c>
      <c r="AE253" s="6">
        <f t="shared" si="50"/>
        <v>0</v>
      </c>
    </row>
    <row r="254" spans="1:31">
      <c r="A254" s="11" t="s">
        <v>474</v>
      </c>
      <c r="B254" s="11"/>
      <c r="C254" s="11" t="s">
        <v>58</v>
      </c>
      <c r="E254" s="6">
        <v>5337906</v>
      </c>
      <c r="G254" s="6">
        <v>0</v>
      </c>
      <c r="I254" s="2">
        <f t="shared" si="51"/>
        <v>2311270</v>
      </c>
      <c r="K254" s="6">
        <v>7649176</v>
      </c>
      <c r="M254" s="2">
        <f t="shared" si="52"/>
        <v>1805270</v>
      </c>
      <c r="O254" s="6">
        <v>1442388</v>
      </c>
      <c r="Q254" s="6">
        <v>3247658</v>
      </c>
      <c r="S254" s="6">
        <v>75915</v>
      </c>
      <c r="U254" s="6">
        <v>589695</v>
      </c>
      <c r="W254" s="6">
        <v>0</v>
      </c>
      <c r="Y254" s="6">
        <v>222703</v>
      </c>
      <c r="AA254" s="6">
        <v>3513205</v>
      </c>
      <c r="AC254" s="12">
        <f t="shared" si="49"/>
        <v>4401518</v>
      </c>
      <c r="AE254" s="6">
        <f t="shared" si="50"/>
        <v>0</v>
      </c>
    </row>
    <row r="255" spans="1:31">
      <c r="A255" s="11" t="s">
        <v>286</v>
      </c>
      <c r="B255" s="11"/>
      <c r="C255" s="11" t="s">
        <v>24</v>
      </c>
      <c r="E255" s="6">
        <f>7637572+12426</f>
        <v>7649998</v>
      </c>
      <c r="G255" s="6">
        <v>26629</v>
      </c>
      <c r="I255" s="2">
        <f t="shared" si="51"/>
        <v>11218298</v>
      </c>
      <c r="K255" s="6">
        <v>18894925</v>
      </c>
      <c r="M255" s="2">
        <f t="shared" si="52"/>
        <v>1991914</v>
      </c>
      <c r="O255" s="6">
        <f>8222106+882520</f>
        <v>9104626</v>
      </c>
      <c r="Q255" s="6">
        <v>11096540</v>
      </c>
      <c r="S255" s="6">
        <f>9104+5360</f>
        <v>14464</v>
      </c>
      <c r="U255" s="6">
        <f>449162+98903+26767+15814+26629</f>
        <v>617275</v>
      </c>
      <c r="W255" s="6">
        <v>0</v>
      </c>
      <c r="Y255" s="6">
        <f>109103+120387+4160+30188+3640000+62966</f>
        <v>3966804</v>
      </c>
      <c r="AA255" s="6">
        <v>3199842</v>
      </c>
      <c r="AC255" s="12">
        <f t="shared" si="49"/>
        <v>7798385</v>
      </c>
      <c r="AE255" s="6">
        <f t="shared" si="50"/>
        <v>0</v>
      </c>
    </row>
    <row r="256" spans="1:31">
      <c r="A256" s="11" t="s">
        <v>269</v>
      </c>
      <c r="B256" s="11"/>
      <c r="C256" s="11" t="s">
        <v>20</v>
      </c>
      <c r="E256" s="6">
        <v>5016337</v>
      </c>
      <c r="G256" s="6">
        <v>0</v>
      </c>
      <c r="I256" s="2">
        <f t="shared" si="51"/>
        <v>19089022</v>
      </c>
      <c r="K256" s="6">
        <v>24105359</v>
      </c>
      <c r="M256" s="2">
        <f t="shared" si="52"/>
        <v>1941946</v>
      </c>
      <c r="O256" s="6">
        <v>16701856</v>
      </c>
      <c r="Q256" s="6">
        <v>18643802</v>
      </c>
      <c r="S256" s="6">
        <v>0</v>
      </c>
      <c r="U256" s="6">
        <v>3142299</v>
      </c>
      <c r="W256" s="6">
        <v>0</v>
      </c>
      <c r="Y256" s="6">
        <v>43383</v>
      </c>
      <c r="AA256" s="6">
        <v>2275875</v>
      </c>
      <c r="AC256" s="12">
        <f t="shared" si="49"/>
        <v>5461557</v>
      </c>
      <c r="AE256" s="6">
        <f t="shared" si="50"/>
        <v>0</v>
      </c>
    </row>
    <row r="257" spans="1:31">
      <c r="A257" s="11" t="s">
        <v>363</v>
      </c>
      <c r="B257" s="11"/>
      <c r="C257" s="11" t="s">
        <v>39</v>
      </c>
      <c r="E257" s="6">
        <v>9535624</v>
      </c>
      <c r="G257" s="6">
        <v>0</v>
      </c>
      <c r="I257" s="2">
        <f t="shared" si="51"/>
        <v>10605201</v>
      </c>
      <c r="K257" s="6">
        <v>20140825</v>
      </c>
      <c r="M257" s="2">
        <f t="shared" si="52"/>
        <v>4255870</v>
      </c>
      <c r="O257" s="6">
        <v>9400306</v>
      </c>
      <c r="Q257" s="6">
        <v>13656176</v>
      </c>
      <c r="S257" s="6">
        <v>100257</v>
      </c>
      <c r="U257" s="6">
        <v>7751300</v>
      </c>
      <c r="W257" s="6">
        <v>76368</v>
      </c>
      <c r="Y257" s="6">
        <v>627583</v>
      </c>
      <c r="AA257" s="6">
        <v>-2070859</v>
      </c>
      <c r="AC257" s="12">
        <f t="shared" si="49"/>
        <v>6484649</v>
      </c>
      <c r="AE257" s="6">
        <f t="shared" si="50"/>
        <v>0</v>
      </c>
    </row>
    <row r="258" spans="1:31">
      <c r="A258" s="11" t="s">
        <v>762</v>
      </c>
      <c r="B258" s="11"/>
      <c r="C258" s="11" t="s">
        <v>32</v>
      </c>
      <c r="E258" s="6">
        <v>33323245</v>
      </c>
      <c r="G258" s="6">
        <v>0</v>
      </c>
      <c r="I258" s="2">
        <f t="shared" si="51"/>
        <v>32494305</v>
      </c>
      <c r="K258" s="6">
        <v>65817550</v>
      </c>
      <c r="M258" s="2">
        <f t="shared" si="52"/>
        <v>2584670</v>
      </c>
      <c r="O258" s="6">
        <f>730564+19920696</f>
        <v>20651260</v>
      </c>
      <c r="Q258" s="6">
        <v>23235930</v>
      </c>
      <c r="S258" s="6">
        <v>15290</v>
      </c>
      <c r="U258" s="6">
        <f>3669227+231809+106913+2131+130740</f>
        <v>4140820</v>
      </c>
      <c r="W258" s="6">
        <f>1889260+1246100</f>
        <v>3135360</v>
      </c>
      <c r="Y258" s="6">
        <f>6421+87204+2730091+10599+10030</f>
        <v>2844345</v>
      </c>
      <c r="AA258" s="6">
        <v>32445805</v>
      </c>
      <c r="AC258" s="12">
        <f t="shared" si="49"/>
        <v>42581620</v>
      </c>
      <c r="AE258" s="6">
        <f t="shared" si="50"/>
        <v>0</v>
      </c>
    </row>
    <row r="259" spans="1:31" hidden="1">
      <c r="A259" s="11" t="s">
        <v>795</v>
      </c>
      <c r="B259" s="11"/>
      <c r="C259" s="11" t="s">
        <v>43</v>
      </c>
      <c r="I259" s="2">
        <f t="shared" si="51"/>
        <v>0</v>
      </c>
      <c r="M259" s="2">
        <f t="shared" si="52"/>
        <v>0</v>
      </c>
      <c r="AC259" s="12">
        <f t="shared" si="49"/>
        <v>0</v>
      </c>
      <c r="AE259" s="6">
        <f t="shared" si="50"/>
        <v>0</v>
      </c>
    </row>
    <row r="260" spans="1:31">
      <c r="A260" s="11" t="s">
        <v>536</v>
      </c>
      <c r="B260" s="11"/>
      <c r="C260" s="11" t="s">
        <v>65</v>
      </c>
      <c r="E260" s="6">
        <v>5713831</v>
      </c>
      <c r="G260" s="6">
        <v>0</v>
      </c>
      <c r="I260" s="2">
        <f t="shared" si="51"/>
        <v>5566654</v>
      </c>
      <c r="K260" s="6">
        <v>11280485</v>
      </c>
      <c r="M260" s="2">
        <f t="shared" si="52"/>
        <v>2311675</v>
      </c>
      <c r="O260" s="6">
        <v>4788872</v>
      </c>
      <c r="Q260" s="6">
        <v>7100547</v>
      </c>
      <c r="S260" s="6">
        <v>62649</v>
      </c>
      <c r="U260" s="6">
        <v>1958195</v>
      </c>
      <c r="W260" s="6">
        <v>0</v>
      </c>
      <c r="Y260" s="6">
        <v>758575</v>
      </c>
      <c r="AA260" s="6">
        <v>1400519</v>
      </c>
      <c r="AC260" s="12">
        <f t="shared" si="49"/>
        <v>4179938</v>
      </c>
      <c r="AE260" s="6">
        <f t="shared" si="50"/>
        <v>0</v>
      </c>
    </row>
    <row r="261" spans="1:31">
      <c r="A261" s="11" t="s">
        <v>369</v>
      </c>
      <c r="B261" s="11"/>
      <c r="C261" s="11" t="s">
        <v>366</v>
      </c>
      <c r="E261" s="6">
        <v>3935556</v>
      </c>
      <c r="G261" s="6">
        <f>57339+187603+380735</f>
        <v>625677</v>
      </c>
      <c r="I261" s="2">
        <f t="shared" si="51"/>
        <v>6934486</v>
      </c>
      <c r="K261" s="6">
        <v>11495719</v>
      </c>
      <c r="M261" s="2">
        <f t="shared" si="52"/>
        <v>1985322</v>
      </c>
      <c r="O261" s="6">
        <v>6173668</v>
      </c>
      <c r="Q261" s="6">
        <v>8158990</v>
      </c>
      <c r="S261" s="6">
        <v>23820</v>
      </c>
      <c r="U261" s="6">
        <v>2097368</v>
      </c>
      <c r="W261" s="6">
        <v>87111</v>
      </c>
      <c r="Y261" s="6">
        <v>719927</v>
      </c>
      <c r="AA261" s="6">
        <v>408503</v>
      </c>
      <c r="AC261" s="12">
        <f t="shared" si="49"/>
        <v>3336729</v>
      </c>
      <c r="AE261" s="6">
        <f t="shared" si="50"/>
        <v>0</v>
      </c>
    </row>
    <row r="262" spans="1:31" hidden="1">
      <c r="A262" s="11" t="s">
        <v>668</v>
      </c>
      <c r="B262" s="11"/>
      <c r="C262" s="11" t="s">
        <v>61</v>
      </c>
      <c r="I262" s="2">
        <f t="shared" si="51"/>
        <v>0</v>
      </c>
      <c r="M262" s="2">
        <f t="shared" si="52"/>
        <v>0</v>
      </c>
      <c r="AC262" s="12">
        <f t="shared" si="49"/>
        <v>0</v>
      </c>
      <c r="AE262" s="6">
        <f t="shared" si="50"/>
        <v>0</v>
      </c>
    </row>
    <row r="263" spans="1:31" hidden="1">
      <c r="A263" s="11" t="s">
        <v>679</v>
      </c>
      <c r="B263" s="11"/>
      <c r="C263" s="11" t="s">
        <v>38</v>
      </c>
      <c r="I263" s="2">
        <f t="shared" si="51"/>
        <v>0</v>
      </c>
      <c r="M263" s="2">
        <f t="shared" si="52"/>
        <v>0</v>
      </c>
      <c r="AC263" s="12">
        <f t="shared" si="49"/>
        <v>0</v>
      </c>
      <c r="AE263" s="6">
        <f t="shared" si="50"/>
        <v>0</v>
      </c>
    </row>
    <row r="264" spans="1:31">
      <c r="A264" s="11" t="s">
        <v>497</v>
      </c>
      <c r="B264" s="11"/>
      <c r="C264" s="11" t="s">
        <v>62</v>
      </c>
      <c r="E264" s="6">
        <v>23139417</v>
      </c>
      <c r="G264" s="6">
        <v>0</v>
      </c>
      <c r="I264" s="2">
        <f t="shared" si="51"/>
        <v>49212575</v>
      </c>
      <c r="K264" s="6">
        <v>72351992</v>
      </c>
      <c r="M264" s="2">
        <f t="shared" si="52"/>
        <v>6023811</v>
      </c>
      <c r="O264" s="6">
        <f>1511402+44771545</f>
        <v>46282947</v>
      </c>
      <c r="Q264" s="6">
        <v>52306758</v>
      </c>
      <c r="S264" s="6">
        <f>174676+67927+16589</f>
        <v>259192</v>
      </c>
      <c r="U264" s="6">
        <f>4299731+1124725+203327+14403+326022</f>
        <v>5968208</v>
      </c>
      <c r="W264" s="6">
        <v>281217</v>
      </c>
      <c r="Y264" s="6">
        <f>49401+361565+3090+10297+54059+66853</f>
        <v>545265</v>
      </c>
      <c r="AA264" s="6">
        <v>12991352</v>
      </c>
      <c r="AC264" s="12">
        <f t="shared" si="49"/>
        <v>20045234</v>
      </c>
      <c r="AE264" s="6">
        <f t="shared" si="50"/>
        <v>0</v>
      </c>
    </row>
    <row r="265" spans="1:31">
      <c r="A265" s="11" t="s">
        <v>404</v>
      </c>
      <c r="B265" s="11"/>
      <c r="C265" s="11" t="s">
        <v>45</v>
      </c>
      <c r="E265" s="6">
        <v>4031020</v>
      </c>
      <c r="G265" s="6">
        <v>0</v>
      </c>
      <c r="I265" s="2">
        <f t="shared" si="51"/>
        <v>6311010</v>
      </c>
      <c r="K265" s="6">
        <v>10342030</v>
      </c>
      <c r="M265" s="2">
        <f t="shared" si="52"/>
        <v>1192892</v>
      </c>
      <c r="O265" s="6">
        <f>498766+5705080</f>
        <v>6203846</v>
      </c>
      <c r="Q265" s="6">
        <v>7396738</v>
      </c>
      <c r="S265" s="6">
        <f>3818+12236</f>
        <v>16054</v>
      </c>
      <c r="U265" s="6">
        <f>31650+964825+190362+6352+37974+32320</f>
        <v>1263483</v>
      </c>
      <c r="W265" s="6">
        <v>0</v>
      </c>
      <c r="Y265" s="6">
        <f>444666+28919+16533</f>
        <v>490118</v>
      </c>
      <c r="AA265" s="6">
        <v>1175637</v>
      </c>
      <c r="AC265" s="12">
        <f t="shared" si="49"/>
        <v>2945292</v>
      </c>
      <c r="AE265" s="6">
        <f t="shared" si="50"/>
        <v>0</v>
      </c>
    </row>
    <row r="266" spans="1:31">
      <c r="A266" s="11" t="s">
        <v>460</v>
      </c>
      <c r="B266" s="11"/>
      <c r="C266" s="11" t="s">
        <v>56</v>
      </c>
      <c r="E266" s="6">
        <v>3298011</v>
      </c>
      <c r="G266" s="6">
        <v>50662</v>
      </c>
      <c r="I266" s="2">
        <f t="shared" si="51"/>
        <v>5124265</v>
      </c>
      <c r="K266" s="6">
        <v>8472938</v>
      </c>
      <c r="M266" s="2">
        <f t="shared" si="52"/>
        <v>1872421</v>
      </c>
      <c r="O266" s="6">
        <f>423348+4035720</f>
        <v>4459068</v>
      </c>
      <c r="Q266" s="6">
        <v>6331489</v>
      </c>
      <c r="S266" s="6">
        <f>63495+27330</f>
        <v>90825</v>
      </c>
      <c r="U266" s="6">
        <f>247520+5876+5961+50662+25339+19833</f>
        <v>355191</v>
      </c>
      <c r="W266" s="6">
        <f>50177+11000</f>
        <v>61177</v>
      </c>
      <c r="Y266" s="6">
        <f>10824+73023+67+16759+204265</f>
        <v>304938</v>
      </c>
      <c r="AA266" s="6">
        <v>1329318</v>
      </c>
      <c r="AC266" s="12">
        <f t="shared" si="49"/>
        <v>2141449</v>
      </c>
      <c r="AE266" s="6">
        <f t="shared" si="50"/>
        <v>0</v>
      </c>
    </row>
    <row r="267" spans="1:31">
      <c r="A267" s="11" t="s">
        <v>209</v>
      </c>
      <c r="B267" s="11"/>
      <c r="C267" s="11" t="s">
        <v>12</v>
      </c>
      <c r="E267" s="6">
        <v>7317381</v>
      </c>
      <c r="G267" s="6">
        <v>0</v>
      </c>
      <c r="I267" s="2">
        <f t="shared" si="51"/>
        <v>7920834</v>
      </c>
      <c r="K267" s="6">
        <v>15238215</v>
      </c>
      <c r="M267" s="2">
        <f t="shared" si="52"/>
        <v>2061652</v>
      </c>
      <c r="O267" s="6">
        <v>4957263</v>
      </c>
      <c r="Q267" s="6">
        <v>7018915</v>
      </c>
      <c r="S267" s="6">
        <v>82870</v>
      </c>
      <c r="U267" s="6">
        <v>3052633</v>
      </c>
      <c r="W267" s="6">
        <v>2178774</v>
      </c>
      <c r="Y267" s="6">
        <v>236683</v>
      </c>
      <c r="AA267" s="6">
        <v>2668340</v>
      </c>
      <c r="AC267" s="12">
        <f t="shared" si="49"/>
        <v>8219300</v>
      </c>
      <c r="AE267" s="6">
        <f t="shared" si="50"/>
        <v>0</v>
      </c>
    </row>
    <row r="268" spans="1:31">
      <c r="A268" s="11" t="s">
        <v>397</v>
      </c>
      <c r="B268" s="11"/>
      <c r="C268" s="11" t="s">
        <v>398</v>
      </c>
      <c r="E268" s="6">
        <v>6509117</v>
      </c>
      <c r="G268" s="6">
        <v>3882</v>
      </c>
      <c r="I268" s="2">
        <f t="shared" si="51"/>
        <v>6440546</v>
      </c>
      <c r="K268" s="6">
        <v>12953545</v>
      </c>
      <c r="M268" s="2">
        <f t="shared" si="52"/>
        <v>1377201</v>
      </c>
      <c r="O268" s="6">
        <f>398890+3028604</f>
        <v>3427494</v>
      </c>
      <c r="Q268" s="6">
        <v>4804695</v>
      </c>
      <c r="S268" s="6">
        <f>22586+55767</f>
        <v>78353</v>
      </c>
      <c r="U268" s="6">
        <f>1665703+64697+179264+23710+3882+41454</f>
        <v>1978710</v>
      </c>
      <c r="W268" s="6">
        <v>0</v>
      </c>
      <c r="Y268" s="6">
        <f>3486+99336+295+35764+30881+1324861</f>
        <v>1494623</v>
      </c>
      <c r="AA268" s="6">
        <v>4597164</v>
      </c>
      <c r="AC268" s="12">
        <f t="shared" si="49"/>
        <v>8148850</v>
      </c>
      <c r="AE268" s="6">
        <f t="shared" si="50"/>
        <v>0</v>
      </c>
    </row>
    <row r="269" spans="1:31">
      <c r="A269" s="11" t="s">
        <v>680</v>
      </c>
      <c r="B269" s="11"/>
      <c r="C269" s="11" t="s">
        <v>50</v>
      </c>
      <c r="E269" s="6">
        <v>2752991</v>
      </c>
      <c r="G269" s="6">
        <v>0</v>
      </c>
      <c r="I269" s="2">
        <f t="shared" si="51"/>
        <v>3967034</v>
      </c>
      <c r="K269" s="6">
        <v>6720025</v>
      </c>
      <c r="M269" s="2">
        <f t="shared" si="52"/>
        <v>659055</v>
      </c>
      <c r="O269" s="6">
        <f>814520+2497219</f>
        <v>3311739</v>
      </c>
      <c r="Q269" s="6">
        <v>3970794</v>
      </c>
      <c r="S269" s="6">
        <f>36788+9263</f>
        <v>46051</v>
      </c>
      <c r="U269" s="6">
        <f>11881+6661+3282+4503+752+3115</f>
        <v>30194</v>
      </c>
      <c r="W269" s="6">
        <v>11000</v>
      </c>
      <c r="Y269" s="6">
        <f>20771+86904+9500+9873+3053</f>
        <v>130101</v>
      </c>
      <c r="AA269" s="6">
        <v>2531885</v>
      </c>
      <c r="AC269" s="12">
        <f t="shared" si="49"/>
        <v>2749231</v>
      </c>
      <c r="AE269" s="6">
        <f t="shared" si="50"/>
        <v>0</v>
      </c>
    </row>
    <row r="270" spans="1:31" hidden="1">
      <c r="A270" s="11" t="s">
        <v>872</v>
      </c>
      <c r="B270" s="11"/>
      <c r="C270" s="11" t="s">
        <v>467</v>
      </c>
      <c r="I270" s="2">
        <f t="shared" si="51"/>
        <v>0</v>
      </c>
      <c r="M270" s="2">
        <f t="shared" si="52"/>
        <v>0</v>
      </c>
      <c r="AC270" s="12">
        <f t="shared" si="49"/>
        <v>0</v>
      </c>
      <c r="AE270" s="6">
        <f t="shared" si="50"/>
        <v>0</v>
      </c>
    </row>
    <row r="271" spans="1:31">
      <c r="A271" s="11" t="s">
        <v>374</v>
      </c>
      <c r="B271" s="11"/>
      <c r="C271" s="11" t="s">
        <v>42</v>
      </c>
      <c r="E271" s="6">
        <v>11592727</v>
      </c>
      <c r="G271" s="6">
        <v>0</v>
      </c>
      <c r="I271" s="2">
        <f t="shared" si="51"/>
        <v>8082789</v>
      </c>
      <c r="K271" s="6">
        <v>19675516</v>
      </c>
      <c r="M271" s="2">
        <f t="shared" si="52"/>
        <v>1256942</v>
      </c>
      <c r="O271" s="6">
        <f>861863+5877043</f>
        <v>6738906</v>
      </c>
      <c r="Q271" s="6">
        <v>7995848</v>
      </c>
      <c r="S271" s="6">
        <f>14702+13277+35300</f>
        <v>63279</v>
      </c>
      <c r="U271" s="6">
        <f>3162+142701+34340+96356</f>
        <v>276559</v>
      </c>
      <c r="W271" s="6">
        <v>0</v>
      </c>
      <c r="Y271" s="6">
        <f>10378+285756+345</f>
        <v>296479</v>
      </c>
      <c r="AA271" s="6">
        <v>11043351</v>
      </c>
      <c r="AC271" s="12">
        <f t="shared" si="49"/>
        <v>11679668</v>
      </c>
      <c r="AE271" s="6">
        <f t="shared" si="50"/>
        <v>0</v>
      </c>
    </row>
    <row r="272" spans="1:31">
      <c r="A272" s="11" t="s">
        <v>399</v>
      </c>
      <c r="B272" s="11"/>
      <c r="C272" s="11" t="s">
        <v>398</v>
      </c>
      <c r="E272" s="6">
        <v>5100014</v>
      </c>
      <c r="G272" s="6">
        <v>0</v>
      </c>
      <c r="I272" s="2">
        <f t="shared" si="51"/>
        <v>8642104</v>
      </c>
      <c r="K272" s="6">
        <v>13742118</v>
      </c>
      <c r="M272" s="2">
        <f t="shared" si="52"/>
        <v>2522031</v>
      </c>
      <c r="O272" s="6">
        <f>684660+4553332</f>
        <v>5237992</v>
      </c>
      <c r="Q272" s="6">
        <v>7760023</v>
      </c>
      <c r="S272" s="6">
        <v>16175</v>
      </c>
      <c r="U272" s="6">
        <f>1320769+2432761+181997+191950+114139+37874</f>
        <v>4279490</v>
      </c>
      <c r="W272" s="6">
        <v>11000</v>
      </c>
      <c r="Y272" s="6">
        <f>20657+14123+70774+546050</f>
        <v>651604</v>
      </c>
      <c r="AA272" s="6">
        <v>1023826</v>
      </c>
      <c r="AC272" s="12">
        <f t="shared" si="49"/>
        <v>5982095</v>
      </c>
      <c r="AE272" s="6">
        <f t="shared" si="50"/>
        <v>0</v>
      </c>
    </row>
    <row r="273" spans="1:31">
      <c r="A273" s="11" t="s">
        <v>523</v>
      </c>
      <c r="B273" s="11"/>
      <c r="C273" s="11" t="s">
        <v>64</v>
      </c>
      <c r="E273" s="6">
        <v>3375373</v>
      </c>
      <c r="G273" s="6">
        <v>36774</v>
      </c>
      <c r="I273" s="2">
        <f t="shared" si="51"/>
        <v>3945831</v>
      </c>
      <c r="K273" s="6">
        <v>7357978</v>
      </c>
      <c r="M273" s="2">
        <f t="shared" si="52"/>
        <v>760499</v>
      </c>
      <c r="O273" s="6">
        <v>3922264</v>
      </c>
      <c r="Q273" s="6">
        <v>4682763</v>
      </c>
      <c r="S273" s="6">
        <v>3418</v>
      </c>
      <c r="U273" s="6">
        <v>1045993</v>
      </c>
      <c r="W273" s="6">
        <v>0</v>
      </c>
      <c r="Y273" s="6">
        <v>34139</v>
      </c>
      <c r="AA273" s="6">
        <v>1591665</v>
      </c>
      <c r="AC273" s="12">
        <f t="shared" si="49"/>
        <v>2675215</v>
      </c>
      <c r="AE273" s="6">
        <f t="shared" si="50"/>
        <v>0</v>
      </c>
    </row>
    <row r="274" spans="1:31" hidden="1">
      <c r="A274" s="10" t="s">
        <v>873</v>
      </c>
      <c r="B274" s="10"/>
      <c r="C274" s="10" t="s">
        <v>467</v>
      </c>
      <c r="E274" s="6">
        <v>0</v>
      </c>
      <c r="G274" s="6">
        <v>0</v>
      </c>
      <c r="I274" s="2">
        <f t="shared" ref="I274" si="57">K274-E274-G274</f>
        <v>0</v>
      </c>
      <c r="K274" s="6">
        <v>0</v>
      </c>
      <c r="M274" s="2">
        <f t="shared" ref="M274" si="58">Q274-O274</f>
        <v>0</v>
      </c>
      <c r="O274" s="6">
        <v>0</v>
      </c>
      <c r="Q274" s="6">
        <v>0</v>
      </c>
      <c r="S274" s="6">
        <v>0</v>
      </c>
      <c r="U274" s="6">
        <v>0</v>
      </c>
      <c r="W274" s="6">
        <v>0</v>
      </c>
      <c r="Y274" s="6">
        <v>0</v>
      </c>
      <c r="AA274" s="6">
        <v>0</v>
      </c>
      <c r="AC274" s="12">
        <f t="shared" ref="AC274" si="59">S274+U274+W274+Y274+AA274</f>
        <v>0</v>
      </c>
      <c r="AE274" s="6">
        <f t="shared" ref="AE274" si="60">+E274+G274+I274-M274-O274-W274-U274-S274-Y274-AA274</f>
        <v>0</v>
      </c>
    </row>
    <row r="275" spans="1:31">
      <c r="A275" s="11" t="s">
        <v>287</v>
      </c>
      <c r="B275" s="11"/>
      <c r="C275" s="11" t="s">
        <v>24</v>
      </c>
      <c r="E275" s="6">
        <v>995912</v>
      </c>
      <c r="G275" s="6">
        <v>0</v>
      </c>
      <c r="I275" s="2">
        <f t="shared" si="51"/>
        <v>541228</v>
      </c>
      <c r="K275" s="6">
        <v>1537140</v>
      </c>
      <c r="M275" s="2">
        <f t="shared" si="52"/>
        <v>48815</v>
      </c>
      <c r="O275" s="6">
        <f>57565+397236</f>
        <v>454801</v>
      </c>
      <c r="Q275" s="6">
        <v>503616</v>
      </c>
      <c r="S275" s="6">
        <v>1550</v>
      </c>
      <c r="U275" s="6">
        <v>0</v>
      </c>
      <c r="W275" s="6">
        <v>136548</v>
      </c>
      <c r="Y275" s="6">
        <f>41858+6955+846613</f>
        <v>895426</v>
      </c>
      <c r="AA275" s="6">
        <v>0</v>
      </c>
      <c r="AC275" s="12">
        <f t="shared" si="49"/>
        <v>1033524</v>
      </c>
      <c r="AE275" s="6">
        <f t="shared" si="50"/>
        <v>0</v>
      </c>
    </row>
    <row r="276" spans="1:31">
      <c r="A276" s="11" t="s">
        <v>314</v>
      </c>
      <c r="B276" s="11"/>
      <c r="C276" s="11" t="s">
        <v>30</v>
      </c>
      <c r="E276" s="6">
        <v>17971407</v>
      </c>
      <c r="G276" s="6">
        <v>0</v>
      </c>
      <c r="I276" s="2">
        <f t="shared" si="51"/>
        <v>29751974</v>
      </c>
      <c r="K276" s="6">
        <v>47723381</v>
      </c>
      <c r="M276" s="2">
        <f t="shared" si="52"/>
        <v>5186056</v>
      </c>
      <c r="O276" s="6">
        <v>24603696</v>
      </c>
      <c r="Q276" s="6">
        <v>29789752</v>
      </c>
      <c r="S276" s="6">
        <v>91796</v>
      </c>
      <c r="U276" s="6">
        <v>5633437</v>
      </c>
      <c r="W276" s="6">
        <v>0</v>
      </c>
      <c r="Y276" s="6">
        <v>8626626</v>
      </c>
      <c r="AA276" s="6">
        <v>3581770</v>
      </c>
      <c r="AC276" s="12">
        <f t="shared" si="49"/>
        <v>17933629</v>
      </c>
      <c r="AE276" s="6">
        <f t="shared" si="50"/>
        <v>0</v>
      </c>
    </row>
    <row r="277" spans="1:31">
      <c r="A277" s="11" t="s">
        <v>461</v>
      </c>
      <c r="B277" s="11"/>
      <c r="C277" s="11" t="s">
        <v>56</v>
      </c>
      <c r="E277" s="6">
        <f>18571546+7500</f>
        <v>18579046</v>
      </c>
      <c r="G277" s="6">
        <v>0</v>
      </c>
      <c r="I277" s="2">
        <f t="shared" si="51"/>
        <v>24920100</v>
      </c>
      <c r="K277" s="6">
        <v>43499146</v>
      </c>
      <c r="M277" s="2">
        <f t="shared" si="52"/>
        <v>4351022</v>
      </c>
      <c r="O277" s="6">
        <v>22314602</v>
      </c>
      <c r="Q277" s="6">
        <v>26665624</v>
      </c>
      <c r="S277" s="6">
        <v>119251</v>
      </c>
      <c r="U277" s="6">
        <v>1253267</v>
      </c>
      <c r="W277" s="6">
        <v>0</v>
      </c>
      <c r="Y277" s="6">
        <v>5191025</v>
      </c>
      <c r="AA277" s="6">
        <v>10269979</v>
      </c>
      <c r="AC277" s="12">
        <f t="shared" ref="AC277:AC342" si="61">S277+U277+W277+Y277+AA277</f>
        <v>16833522</v>
      </c>
      <c r="AE277" s="6">
        <f t="shared" ref="AE277:AE342" si="62">+E277+G277+I277-M277-O277-W277-U277-S277-Y277-AA277</f>
        <v>0</v>
      </c>
    </row>
    <row r="278" spans="1:31">
      <c r="A278" s="11" t="s">
        <v>341</v>
      </c>
      <c r="B278" s="11"/>
      <c r="C278" s="11" t="s">
        <v>339</v>
      </c>
      <c r="E278" s="6">
        <v>17488957</v>
      </c>
      <c r="G278" s="6">
        <v>0</v>
      </c>
      <c r="I278" s="2">
        <f t="shared" si="51"/>
        <v>23847389</v>
      </c>
      <c r="K278" s="6">
        <v>41336346</v>
      </c>
      <c r="M278" s="2">
        <f t="shared" si="52"/>
        <v>2508093</v>
      </c>
      <c r="O278" s="6">
        <v>21524011</v>
      </c>
      <c r="Q278" s="6">
        <v>24032104</v>
      </c>
      <c r="S278" s="6">
        <v>64310</v>
      </c>
      <c r="U278" s="6">
        <v>14269686</v>
      </c>
      <c r="W278" s="6">
        <v>0</v>
      </c>
      <c r="Y278" s="6">
        <v>465149</v>
      </c>
      <c r="AA278" s="6">
        <v>2505097</v>
      </c>
      <c r="AC278" s="12">
        <f t="shared" si="61"/>
        <v>17304242</v>
      </c>
      <c r="AE278" s="6">
        <f t="shared" si="62"/>
        <v>0</v>
      </c>
    </row>
    <row r="279" spans="1:31">
      <c r="A279" s="11" t="s">
        <v>431</v>
      </c>
      <c r="B279" s="11"/>
      <c r="C279" s="11" t="s">
        <v>50</v>
      </c>
      <c r="E279" s="6">
        <f>7447163+12367281</f>
        <v>19814444</v>
      </c>
      <c r="G279" s="6">
        <v>12801</v>
      </c>
      <c r="I279" s="2">
        <f t="shared" si="51"/>
        <v>61918605</v>
      </c>
      <c r="K279" s="6">
        <v>81745850</v>
      </c>
      <c r="M279" s="2">
        <f t="shared" si="52"/>
        <v>11329521</v>
      </c>
      <c r="O279" s="6">
        <v>57792653</v>
      </c>
      <c r="Q279" s="6">
        <v>69122174</v>
      </c>
      <c r="S279" s="6">
        <v>172105</v>
      </c>
      <c r="U279" s="6">
        <v>5996748</v>
      </c>
      <c r="W279" s="6">
        <v>0</v>
      </c>
      <c r="Y279" s="6">
        <v>755801</v>
      </c>
      <c r="AA279" s="6">
        <v>5699022</v>
      </c>
      <c r="AC279" s="12">
        <f t="shared" si="61"/>
        <v>12623676</v>
      </c>
      <c r="AE279" s="6">
        <f t="shared" si="62"/>
        <v>0</v>
      </c>
    </row>
    <row r="280" spans="1:31" s="28" customFormat="1">
      <c r="A280" s="27" t="s">
        <v>637</v>
      </c>
      <c r="B280" s="27"/>
      <c r="C280" s="27" t="s">
        <v>44</v>
      </c>
      <c r="E280" s="28">
        <f>12737094+5157+220414</f>
        <v>12962665</v>
      </c>
      <c r="G280" s="28">
        <v>0</v>
      </c>
      <c r="I280" s="30">
        <f t="shared" si="51"/>
        <v>7372097</v>
      </c>
      <c r="K280" s="28">
        <v>20334762</v>
      </c>
      <c r="M280" s="30">
        <f t="shared" si="52"/>
        <v>2664454</v>
      </c>
      <c r="O280" s="28">
        <f>622103+5771393</f>
        <v>6393496</v>
      </c>
      <c r="Q280" s="28">
        <v>9057950</v>
      </c>
      <c r="S280" s="28">
        <f>15660+9110</f>
        <v>24770</v>
      </c>
      <c r="U280" s="28">
        <f>1313200+5472813+255397+37406+13536+460+2284+34910</f>
        <v>7130006</v>
      </c>
      <c r="W280" s="28">
        <f>7392+85612+37587</f>
        <v>130591</v>
      </c>
      <c r="Y280" s="28">
        <f>70827+59350+2000+17762+36315+405490+992173</f>
        <v>1583917</v>
      </c>
      <c r="AA280" s="28">
        <v>2407528</v>
      </c>
      <c r="AC280" s="37">
        <f t="shared" si="61"/>
        <v>11276812</v>
      </c>
      <c r="AE280" s="28">
        <f t="shared" si="62"/>
        <v>0</v>
      </c>
    </row>
    <row r="281" spans="1:31">
      <c r="A281" s="11" t="s">
        <v>721</v>
      </c>
      <c r="B281" s="11"/>
      <c r="C281" s="11" t="s">
        <v>69</v>
      </c>
      <c r="E281" s="6">
        <v>14063824</v>
      </c>
      <c r="G281" s="6">
        <v>0</v>
      </c>
      <c r="I281" s="2">
        <f t="shared" si="51"/>
        <v>30174714</v>
      </c>
      <c r="K281" s="6">
        <v>44238538</v>
      </c>
      <c r="M281" s="2">
        <f t="shared" si="52"/>
        <v>4218461</v>
      </c>
      <c r="O281" s="6">
        <v>27463832</v>
      </c>
      <c r="Q281" s="6">
        <v>31682293</v>
      </c>
      <c r="S281" s="6">
        <v>0</v>
      </c>
      <c r="U281" s="6">
        <v>4360381</v>
      </c>
      <c r="W281" s="6">
        <v>11000</v>
      </c>
      <c r="Y281" s="6">
        <v>404358</v>
      </c>
      <c r="AA281" s="6">
        <v>7780506</v>
      </c>
      <c r="AC281" s="12">
        <f t="shared" si="61"/>
        <v>12556245</v>
      </c>
      <c r="AE281" s="6">
        <f t="shared" si="62"/>
        <v>0</v>
      </c>
    </row>
    <row r="282" spans="1:31" hidden="1">
      <c r="A282" s="11" t="s">
        <v>693</v>
      </c>
      <c r="B282" s="11"/>
      <c r="C282" s="11" t="s">
        <v>41</v>
      </c>
      <c r="E282" s="9"/>
      <c r="G282" s="9"/>
      <c r="I282" s="2">
        <f t="shared" si="51"/>
        <v>0</v>
      </c>
      <c r="K282" s="9"/>
      <c r="M282" s="2">
        <f t="shared" si="52"/>
        <v>0</v>
      </c>
      <c r="O282" s="9"/>
      <c r="Q282" s="9"/>
      <c r="S282" s="9"/>
      <c r="U282" s="9"/>
      <c r="W282" s="9"/>
      <c r="Y282" s="9"/>
      <c r="AA282" s="9"/>
      <c r="AC282" s="12">
        <f t="shared" si="61"/>
        <v>0</v>
      </c>
      <c r="AE282" s="6">
        <f t="shared" si="62"/>
        <v>0</v>
      </c>
    </row>
    <row r="283" spans="1:31">
      <c r="A283" s="11" t="s">
        <v>524</v>
      </c>
      <c r="B283" s="11"/>
      <c r="C283" s="11" t="s">
        <v>64</v>
      </c>
      <c r="E283" s="6">
        <v>5868299</v>
      </c>
      <c r="G283" s="6">
        <v>0</v>
      </c>
      <c r="I283" s="2">
        <f t="shared" si="51"/>
        <v>4982661</v>
      </c>
      <c r="K283" s="6">
        <v>10850960</v>
      </c>
      <c r="M283" s="2">
        <f t="shared" si="52"/>
        <v>1675217</v>
      </c>
      <c r="O283" s="6">
        <f>1659010+3138732</f>
        <v>4797742</v>
      </c>
      <c r="Q283" s="6">
        <v>6472959</v>
      </c>
      <c r="S283" s="6">
        <f>10231+34105</f>
        <v>44336</v>
      </c>
      <c r="U283" s="6">
        <f>859438+1006664+330281+264742+3216+3617+30637</f>
        <v>2498595</v>
      </c>
      <c r="W283" s="6">
        <v>0</v>
      </c>
      <c r="Y283" s="6">
        <f>40214+591926+1469+185408</f>
        <v>819017</v>
      </c>
      <c r="AA283" s="6">
        <v>1016053</v>
      </c>
      <c r="AC283" s="12">
        <f t="shared" si="61"/>
        <v>4378001</v>
      </c>
      <c r="AE283" s="6">
        <f t="shared" si="62"/>
        <v>0</v>
      </c>
    </row>
    <row r="284" spans="1:31">
      <c r="A284" s="11" t="s">
        <v>498</v>
      </c>
      <c r="B284" s="11"/>
      <c r="C284" s="11" t="s">
        <v>62</v>
      </c>
      <c r="E284" s="6">
        <v>6197220</v>
      </c>
      <c r="G284" s="6">
        <v>95898</v>
      </c>
      <c r="I284" s="2">
        <f t="shared" si="51"/>
        <v>15458539</v>
      </c>
      <c r="K284" s="6">
        <v>21751657</v>
      </c>
      <c r="M284" s="2">
        <f t="shared" si="52"/>
        <v>4188918</v>
      </c>
      <c r="O284" s="6">
        <v>14329215</v>
      </c>
      <c r="Q284" s="6">
        <v>18518133</v>
      </c>
      <c r="S284" s="6">
        <v>0</v>
      </c>
      <c r="U284" s="6">
        <v>1524516</v>
      </c>
      <c r="W284" s="6">
        <v>0</v>
      </c>
      <c r="Y284" s="6">
        <v>490918</v>
      </c>
      <c r="AA284" s="6">
        <v>1218090</v>
      </c>
      <c r="AC284" s="12">
        <f t="shared" si="61"/>
        <v>3233524</v>
      </c>
      <c r="AE284" s="6">
        <f t="shared" si="62"/>
        <v>0</v>
      </c>
    </row>
    <row r="285" spans="1:31" hidden="1">
      <c r="A285" s="11" t="s">
        <v>796</v>
      </c>
      <c r="B285" s="11"/>
      <c r="C285" s="11" t="s">
        <v>72</v>
      </c>
      <c r="I285" s="2">
        <f t="shared" si="51"/>
        <v>0</v>
      </c>
      <c r="M285" s="2">
        <f t="shared" si="52"/>
        <v>0</v>
      </c>
      <c r="AC285" s="12">
        <f t="shared" si="61"/>
        <v>0</v>
      </c>
      <c r="AE285" s="6">
        <f t="shared" si="62"/>
        <v>0</v>
      </c>
    </row>
    <row r="286" spans="1:31">
      <c r="A286" s="11" t="s">
        <v>525</v>
      </c>
      <c r="B286" s="11"/>
      <c r="C286" s="11" t="s">
        <v>64</v>
      </c>
      <c r="E286" s="6">
        <v>2466683</v>
      </c>
      <c r="G286" s="6">
        <v>422</v>
      </c>
      <c r="I286" s="2">
        <f t="shared" si="51"/>
        <v>8989333</v>
      </c>
      <c r="K286" s="6">
        <v>11456438</v>
      </c>
      <c r="M286" s="2">
        <f t="shared" si="52"/>
        <v>1638938</v>
      </c>
      <c r="O286" s="6">
        <v>8784130</v>
      </c>
      <c r="Q286" s="6">
        <v>10423068</v>
      </c>
      <c r="S286" s="6">
        <v>112029</v>
      </c>
      <c r="U286" s="6">
        <v>442958</v>
      </c>
      <c r="W286" s="6">
        <v>0</v>
      </c>
      <c r="Y286" s="6">
        <v>49435</v>
      </c>
      <c r="AA286" s="6">
        <v>428948</v>
      </c>
      <c r="AC286" s="12">
        <f t="shared" si="61"/>
        <v>1033370</v>
      </c>
      <c r="AE286" s="6">
        <f t="shared" si="62"/>
        <v>0</v>
      </c>
    </row>
    <row r="287" spans="1:31">
      <c r="A287" s="11" t="s">
        <v>270</v>
      </c>
      <c r="B287" s="11"/>
      <c r="C287" s="11" t="s">
        <v>20</v>
      </c>
      <c r="E287" s="6">
        <v>27555762</v>
      </c>
      <c r="G287" s="6">
        <v>0</v>
      </c>
      <c r="I287" s="2">
        <f t="shared" si="51"/>
        <v>53676780</v>
      </c>
      <c r="K287" s="6">
        <v>81232542</v>
      </c>
      <c r="M287" s="2">
        <f t="shared" si="52"/>
        <v>12454719</v>
      </c>
      <c r="O287" s="6">
        <f>38670300+4791641</f>
        <v>43461941</v>
      </c>
      <c r="Q287" s="6">
        <v>55916660</v>
      </c>
      <c r="S287" s="6">
        <v>0</v>
      </c>
      <c r="U287" s="6">
        <f>6242757+1396542+10263+165148+22081+433413+1883+87143+296596</f>
        <v>8655826</v>
      </c>
      <c r="W287" s="6">
        <f>662767+105156</f>
        <v>767923</v>
      </c>
      <c r="Y287" s="6">
        <f>94987+533018+4010+2500525+77297</f>
        <v>3209837</v>
      </c>
      <c r="AA287" s="6">
        <v>12682296</v>
      </c>
      <c r="AC287" s="12">
        <f t="shared" si="61"/>
        <v>25315882</v>
      </c>
      <c r="AE287" s="6">
        <f t="shared" si="62"/>
        <v>0</v>
      </c>
    </row>
    <row r="288" spans="1:31">
      <c r="A288" s="11" t="s">
        <v>630</v>
      </c>
      <c r="B288" s="11"/>
      <c r="C288" s="11" t="s">
        <v>42</v>
      </c>
      <c r="E288" s="6">
        <f>3429676+5699734</f>
        <v>9129410</v>
      </c>
      <c r="G288" s="6">
        <v>0</v>
      </c>
      <c r="I288" s="2">
        <f t="shared" si="51"/>
        <v>15116473</v>
      </c>
      <c r="K288" s="6">
        <v>24245883</v>
      </c>
      <c r="M288" s="2">
        <f t="shared" si="52"/>
        <v>2980360</v>
      </c>
      <c r="O288" s="6">
        <f>14014277+6478</f>
        <v>14020755</v>
      </c>
      <c r="Q288" s="6">
        <v>17001115</v>
      </c>
      <c r="S288" s="6">
        <v>230383</v>
      </c>
      <c r="U288" s="6">
        <v>1207365</v>
      </c>
      <c r="W288" s="6">
        <v>228576</v>
      </c>
      <c r="Y288" s="6">
        <v>105140</v>
      </c>
      <c r="AA288" s="6">
        <v>5473304</v>
      </c>
      <c r="AC288" s="12">
        <f t="shared" si="61"/>
        <v>7244768</v>
      </c>
      <c r="AE288" s="6">
        <f t="shared" si="62"/>
        <v>0</v>
      </c>
    </row>
    <row r="289" spans="1:31">
      <c r="A289" s="11" t="s">
        <v>223</v>
      </c>
      <c r="B289" s="11"/>
      <c r="C289" s="11" t="s">
        <v>221</v>
      </c>
      <c r="E289" s="6">
        <f>41124629+1976054</f>
        <v>43100683</v>
      </c>
      <c r="G289" s="6">
        <v>0</v>
      </c>
      <c r="I289" s="2">
        <f t="shared" si="51"/>
        <v>102489369</v>
      </c>
      <c r="K289" s="6">
        <v>145590052</v>
      </c>
      <c r="M289" s="2">
        <f t="shared" si="52"/>
        <v>23343960</v>
      </c>
      <c r="O289" s="6">
        <v>99222700</v>
      </c>
      <c r="Q289" s="6">
        <v>122566660</v>
      </c>
      <c r="S289" s="6">
        <v>63434</v>
      </c>
      <c r="U289" s="6">
        <v>12214013</v>
      </c>
      <c r="W289" s="6">
        <v>0</v>
      </c>
      <c r="Y289" s="6">
        <v>1340988</v>
      </c>
      <c r="AA289" s="6">
        <v>9404957</v>
      </c>
      <c r="AC289" s="12">
        <f t="shared" si="61"/>
        <v>23023392</v>
      </c>
      <c r="AE289" s="6">
        <f t="shared" si="62"/>
        <v>0</v>
      </c>
    </row>
    <row r="290" spans="1:31" hidden="1">
      <c r="A290" s="11" t="s">
        <v>797</v>
      </c>
      <c r="B290" s="11"/>
      <c r="C290" s="11" t="s">
        <v>79</v>
      </c>
      <c r="I290" s="2">
        <f t="shared" si="51"/>
        <v>0</v>
      </c>
      <c r="M290" s="2">
        <f t="shared" si="52"/>
        <v>0</v>
      </c>
      <c r="AC290" s="12">
        <f t="shared" si="61"/>
        <v>0</v>
      </c>
      <c r="AE290" s="6">
        <f t="shared" si="62"/>
        <v>0</v>
      </c>
    </row>
    <row r="291" spans="1:31">
      <c r="A291" s="11" t="s">
        <v>295</v>
      </c>
      <c r="B291" s="11"/>
      <c r="C291" s="11" t="s">
        <v>25</v>
      </c>
      <c r="E291" s="6">
        <v>39566366</v>
      </c>
      <c r="G291" s="6">
        <v>0</v>
      </c>
      <c r="I291" s="2">
        <f t="shared" si="51"/>
        <v>30468566</v>
      </c>
      <c r="K291" s="6">
        <v>70034932</v>
      </c>
      <c r="M291" s="2">
        <f t="shared" si="52"/>
        <v>7009459</v>
      </c>
      <c r="O291" s="6">
        <v>26096942</v>
      </c>
      <c r="Q291" s="6">
        <v>33106401</v>
      </c>
      <c r="S291" s="6">
        <v>211941</v>
      </c>
      <c r="U291" s="6">
        <v>1274814</v>
      </c>
      <c r="W291" s="6">
        <v>1617061</v>
      </c>
      <c r="Y291" s="6">
        <v>10101403</v>
      </c>
      <c r="AA291" s="6">
        <v>23723312</v>
      </c>
      <c r="AC291" s="12">
        <f t="shared" si="61"/>
        <v>36928531</v>
      </c>
      <c r="AE291" s="6">
        <f t="shared" si="62"/>
        <v>0</v>
      </c>
    </row>
    <row r="292" spans="1:31" hidden="1">
      <c r="A292" s="11" t="s">
        <v>729</v>
      </c>
      <c r="B292" s="11"/>
      <c r="C292" s="11" t="s">
        <v>69</v>
      </c>
      <c r="I292" s="2">
        <f t="shared" si="51"/>
        <v>0</v>
      </c>
      <c r="M292" s="2">
        <f t="shared" si="52"/>
        <v>0</v>
      </c>
      <c r="AC292" s="12">
        <f t="shared" si="61"/>
        <v>0</v>
      </c>
      <c r="AE292" s="6">
        <f t="shared" si="62"/>
        <v>0</v>
      </c>
    </row>
    <row r="293" spans="1:31">
      <c r="A293" s="11" t="s">
        <v>315</v>
      </c>
      <c r="B293" s="11"/>
      <c r="C293" s="11" t="s">
        <v>30</v>
      </c>
      <c r="E293" s="6">
        <v>273700</v>
      </c>
      <c r="G293" s="6">
        <v>164522</v>
      </c>
      <c r="I293" s="2">
        <f t="shared" si="51"/>
        <v>2495260</v>
      </c>
      <c r="K293" s="6">
        <v>2933482</v>
      </c>
      <c r="M293" s="2">
        <f t="shared" si="52"/>
        <v>3556006</v>
      </c>
      <c r="O293" s="6">
        <v>1766573</v>
      </c>
      <c r="Q293" s="6">
        <v>5322579</v>
      </c>
      <c r="S293" s="6">
        <v>30651</v>
      </c>
      <c r="U293" s="6">
        <v>226157</v>
      </c>
      <c r="W293" s="6">
        <v>0</v>
      </c>
      <c r="Y293" s="6">
        <v>0</v>
      </c>
      <c r="AA293" s="6">
        <v>-2645905</v>
      </c>
      <c r="AC293" s="12">
        <f t="shared" si="61"/>
        <v>-2389097</v>
      </c>
      <c r="AE293" s="6">
        <f t="shared" si="62"/>
        <v>0</v>
      </c>
    </row>
    <row r="294" spans="1:31" hidden="1">
      <c r="A294" s="11" t="s">
        <v>763</v>
      </c>
      <c r="B294" s="11"/>
      <c r="C294" s="11" t="s">
        <v>112</v>
      </c>
      <c r="I294" s="2"/>
      <c r="M294" s="2"/>
      <c r="AC294" s="12"/>
    </row>
    <row r="295" spans="1:31" hidden="1">
      <c r="A295" s="11" t="s">
        <v>681</v>
      </c>
      <c r="B295" s="11"/>
      <c r="C295" s="11" t="s">
        <v>467</v>
      </c>
      <c r="I295" s="2">
        <f t="shared" ref="I295:I364" si="63">K295-E295-G295</f>
        <v>0</v>
      </c>
      <c r="M295" s="2">
        <f t="shared" ref="M295:M364" si="64">Q295-O295</f>
        <v>0</v>
      </c>
      <c r="AC295" s="12">
        <f t="shared" si="61"/>
        <v>0</v>
      </c>
      <c r="AE295" s="6">
        <f t="shared" si="62"/>
        <v>0</v>
      </c>
    </row>
    <row r="296" spans="1:31" hidden="1">
      <c r="A296" s="11" t="s">
        <v>798</v>
      </c>
      <c r="B296" s="11"/>
      <c r="C296" s="11" t="s">
        <v>110</v>
      </c>
      <c r="I296" s="2">
        <f t="shared" si="63"/>
        <v>0</v>
      </c>
      <c r="M296" s="2">
        <f t="shared" si="64"/>
        <v>0</v>
      </c>
      <c r="AC296" s="12">
        <f t="shared" si="61"/>
        <v>0</v>
      </c>
      <c r="AE296" s="6">
        <f t="shared" si="62"/>
        <v>0</v>
      </c>
    </row>
    <row r="297" spans="1:31">
      <c r="A297" s="11" t="s">
        <v>799</v>
      </c>
      <c r="B297" s="11"/>
      <c r="C297" s="11" t="s">
        <v>33</v>
      </c>
      <c r="E297" s="6">
        <v>6920817</v>
      </c>
      <c r="G297" s="6">
        <v>0</v>
      </c>
      <c r="I297" s="2">
        <f>K297-E297-G297</f>
        <v>5682961</v>
      </c>
      <c r="K297" s="6">
        <v>12603778</v>
      </c>
      <c r="M297" s="2">
        <f>Q297-O297</f>
        <v>1443843</v>
      </c>
      <c r="O297" s="6">
        <v>4124668</v>
      </c>
      <c r="Q297" s="6">
        <v>5568511</v>
      </c>
      <c r="S297" s="6">
        <v>11240</v>
      </c>
      <c r="U297" s="6">
        <v>674421</v>
      </c>
      <c r="W297" s="6">
        <v>240056</v>
      </c>
      <c r="Y297" s="6">
        <v>659530</v>
      </c>
      <c r="AA297" s="6">
        <v>5450020</v>
      </c>
      <c r="AC297" s="12">
        <f>S297+U297+W297+Y297+AA297</f>
        <v>7035267</v>
      </c>
      <c r="AE297" s="6">
        <f>+E297+G297+I297-M297-O297-W297-U297-S297-Y297-AA297</f>
        <v>0</v>
      </c>
    </row>
    <row r="298" spans="1:31">
      <c r="A298" s="11" t="s">
        <v>345</v>
      </c>
      <c r="B298" s="11"/>
      <c r="C298" s="11" t="s">
        <v>34</v>
      </c>
      <c r="E298" s="6">
        <v>6486696</v>
      </c>
      <c r="G298" s="6">
        <v>0</v>
      </c>
      <c r="I298" s="2">
        <f t="shared" si="63"/>
        <v>5989912</v>
      </c>
      <c r="K298" s="6">
        <v>12476608</v>
      </c>
      <c r="M298" s="2">
        <f t="shared" si="64"/>
        <v>1337176</v>
      </c>
      <c r="O298" s="6">
        <v>4752196</v>
      </c>
      <c r="Q298" s="6">
        <v>6089372</v>
      </c>
      <c r="S298" s="6">
        <v>26496</v>
      </c>
      <c r="U298" s="6">
        <v>776489</v>
      </c>
      <c r="W298" s="6">
        <v>0</v>
      </c>
      <c r="Y298" s="6">
        <v>211618</v>
      </c>
      <c r="AA298" s="6">
        <v>5372633</v>
      </c>
      <c r="AC298" s="12">
        <f t="shared" si="61"/>
        <v>6387236</v>
      </c>
      <c r="AE298" s="6">
        <f t="shared" si="62"/>
        <v>0</v>
      </c>
    </row>
    <row r="299" spans="1:31">
      <c r="A299" s="11" t="s">
        <v>526</v>
      </c>
      <c r="B299" s="11"/>
      <c r="C299" s="11" t="s">
        <v>64</v>
      </c>
      <c r="E299" s="6">
        <f>2186452+155157</f>
        <v>2341609</v>
      </c>
      <c r="G299" s="6">
        <v>46526</v>
      </c>
      <c r="I299" s="2">
        <f t="shared" si="63"/>
        <v>10791623</v>
      </c>
      <c r="K299" s="6">
        <v>13179758</v>
      </c>
      <c r="M299" s="2">
        <f t="shared" si="64"/>
        <v>5697322</v>
      </c>
      <c r="O299" s="6">
        <v>10405142</v>
      </c>
      <c r="Q299" s="6">
        <f>5697322+10405142</f>
        <v>16102464</v>
      </c>
      <c r="S299" s="6">
        <v>42624</v>
      </c>
      <c r="U299" s="6">
        <v>1457578</v>
      </c>
      <c r="W299" s="6">
        <v>0</v>
      </c>
      <c r="Y299" s="6">
        <v>0</v>
      </c>
      <c r="AA299" s="6">
        <v>-4422908</v>
      </c>
      <c r="AC299" s="12">
        <f t="shared" si="61"/>
        <v>-2922706</v>
      </c>
      <c r="AE299" s="6">
        <f t="shared" si="62"/>
        <v>0</v>
      </c>
    </row>
    <row r="300" spans="1:31">
      <c r="A300" s="11" t="s">
        <v>744</v>
      </c>
      <c r="B300" s="11"/>
      <c r="C300" s="11" t="s">
        <v>25</v>
      </c>
      <c r="E300" s="6">
        <v>13033753</v>
      </c>
      <c r="G300" s="6">
        <v>0</v>
      </c>
      <c r="I300" s="2">
        <f t="shared" si="63"/>
        <v>5402572</v>
      </c>
      <c r="K300" s="6">
        <v>18436325</v>
      </c>
      <c r="M300" s="2">
        <f t="shared" si="64"/>
        <v>2146303</v>
      </c>
      <c r="O300" s="6">
        <v>4291611</v>
      </c>
      <c r="Q300" s="6">
        <v>6437914</v>
      </c>
      <c r="S300" s="6">
        <v>0</v>
      </c>
      <c r="U300" s="6">
        <v>7770399</v>
      </c>
      <c r="W300" s="6">
        <v>0</v>
      </c>
      <c r="Y300" s="6">
        <v>90594</v>
      </c>
      <c r="AA300" s="6">
        <v>4137418</v>
      </c>
      <c r="AC300" s="12">
        <f t="shared" si="61"/>
        <v>11998411</v>
      </c>
      <c r="AE300" s="6">
        <f t="shared" si="62"/>
        <v>0</v>
      </c>
    </row>
    <row r="301" spans="1:31" hidden="1">
      <c r="A301" s="11" t="s">
        <v>874</v>
      </c>
      <c r="B301" s="11"/>
      <c r="C301" s="11" t="s">
        <v>42</v>
      </c>
      <c r="E301" s="6">
        <v>0</v>
      </c>
      <c r="G301" s="6">
        <v>0</v>
      </c>
      <c r="I301" s="2">
        <f t="shared" si="63"/>
        <v>0</v>
      </c>
      <c r="K301" s="6">
        <v>0</v>
      </c>
      <c r="M301" s="2">
        <f t="shared" si="64"/>
        <v>0</v>
      </c>
      <c r="O301" s="6">
        <v>0</v>
      </c>
      <c r="Q301" s="6">
        <v>0</v>
      </c>
      <c r="S301" s="6">
        <v>0</v>
      </c>
      <c r="U301" s="6">
        <v>0</v>
      </c>
      <c r="W301" s="6">
        <v>0</v>
      </c>
      <c r="Y301" s="6">
        <v>0</v>
      </c>
      <c r="AA301" s="6">
        <v>0</v>
      </c>
      <c r="AC301" s="12">
        <f t="shared" si="61"/>
        <v>0</v>
      </c>
      <c r="AE301" s="6">
        <f t="shared" si="62"/>
        <v>0</v>
      </c>
    </row>
    <row r="302" spans="1:31">
      <c r="A302" s="11" t="s">
        <v>375</v>
      </c>
      <c r="B302" s="11"/>
      <c r="C302" s="11" t="s">
        <v>42</v>
      </c>
      <c r="E302" s="6">
        <v>10413994</v>
      </c>
      <c r="G302" s="6">
        <v>1025</v>
      </c>
      <c r="I302" s="2">
        <f t="shared" si="63"/>
        <v>6595820</v>
      </c>
      <c r="K302" s="6">
        <v>17010839</v>
      </c>
      <c r="M302" s="2">
        <f t="shared" si="64"/>
        <v>2128607</v>
      </c>
      <c r="O302" s="6">
        <v>5237498</v>
      </c>
      <c r="Q302" s="6">
        <v>7366105</v>
      </c>
      <c r="S302" s="6">
        <v>272252</v>
      </c>
      <c r="U302" s="6">
        <f>838966+2369477+222404+144416+48563+4070+12212</f>
        <v>3640108</v>
      </c>
      <c r="W302" s="6">
        <v>99625</v>
      </c>
      <c r="Y302" s="6">
        <f>41742+426755</f>
        <v>468497</v>
      </c>
      <c r="AA302" s="6">
        <v>5164252</v>
      </c>
      <c r="AC302" s="12">
        <f t="shared" si="61"/>
        <v>9644734</v>
      </c>
      <c r="AE302" s="6">
        <f t="shared" si="62"/>
        <v>0</v>
      </c>
    </row>
    <row r="303" spans="1:31" hidden="1">
      <c r="A303" s="11" t="s">
        <v>682</v>
      </c>
      <c r="B303" s="11"/>
      <c r="C303" s="11" t="s">
        <v>10</v>
      </c>
      <c r="I303" s="2">
        <f t="shared" si="63"/>
        <v>0</v>
      </c>
      <c r="M303" s="2">
        <f t="shared" si="64"/>
        <v>0</v>
      </c>
      <c r="AC303" s="12">
        <f t="shared" si="61"/>
        <v>0</v>
      </c>
      <c r="AE303" s="6">
        <f t="shared" si="62"/>
        <v>0</v>
      </c>
    </row>
    <row r="304" spans="1:31">
      <c r="A304" s="11" t="s">
        <v>541</v>
      </c>
      <c r="B304" s="11"/>
      <c r="C304" s="11" t="s">
        <v>67</v>
      </c>
      <c r="E304" s="6">
        <f>12681663+31593+2512</f>
        <v>12715768</v>
      </c>
      <c r="G304" s="6">
        <v>0</v>
      </c>
      <c r="I304" s="2">
        <f t="shared" si="63"/>
        <v>3301585</v>
      </c>
      <c r="K304" s="6">
        <v>16017353</v>
      </c>
      <c r="M304" s="2">
        <f t="shared" si="64"/>
        <v>841075</v>
      </c>
      <c r="O304" s="6">
        <f>154206+2792419</f>
        <v>2946625</v>
      </c>
      <c r="Q304" s="6">
        <v>3787700</v>
      </c>
      <c r="S304" s="6">
        <f>11380+8189</f>
        <v>19569</v>
      </c>
      <c r="U304" s="6">
        <f>367452+1001843+204455+187999+2512+2761+26664</f>
        <v>1793686</v>
      </c>
      <c r="W304" s="6">
        <v>5673</v>
      </c>
      <c r="Y304" s="6">
        <f>300+26264+169</f>
        <v>26733</v>
      </c>
      <c r="AA304" s="6">
        <v>10383992</v>
      </c>
      <c r="AC304" s="12">
        <f t="shared" si="61"/>
        <v>12229653</v>
      </c>
      <c r="AE304" s="6">
        <f t="shared" si="62"/>
        <v>0</v>
      </c>
    </row>
    <row r="305" spans="1:31">
      <c r="A305" s="11" t="s">
        <v>766</v>
      </c>
      <c r="B305" s="11"/>
      <c r="C305" s="11" t="s">
        <v>112</v>
      </c>
      <c r="E305" s="6">
        <v>5071323</v>
      </c>
      <c r="G305" s="6">
        <v>0</v>
      </c>
      <c r="I305" s="2">
        <f t="shared" si="63"/>
        <v>2411747</v>
      </c>
      <c r="K305" s="6">
        <v>7483070</v>
      </c>
      <c r="M305" s="2">
        <f t="shared" si="64"/>
        <v>885500</v>
      </c>
      <c r="O305" s="6">
        <v>2288156</v>
      </c>
      <c r="Q305" s="6">
        <v>3173656</v>
      </c>
      <c r="S305" s="6">
        <v>30947</v>
      </c>
      <c r="U305" s="6">
        <f>1377217+21374</f>
        <v>1398591</v>
      </c>
      <c r="W305" s="6">
        <v>0</v>
      </c>
      <c r="Y305" s="6">
        <v>73508</v>
      </c>
      <c r="AA305" s="6">
        <v>2806368</v>
      </c>
      <c r="AC305" s="12">
        <f t="shared" si="61"/>
        <v>4309414</v>
      </c>
      <c r="AE305" s="6">
        <f t="shared" si="62"/>
        <v>0</v>
      </c>
    </row>
    <row r="306" spans="1:31">
      <c r="A306" s="11" t="s">
        <v>545</v>
      </c>
      <c r="B306" s="11"/>
      <c r="C306" s="11" t="s">
        <v>69</v>
      </c>
      <c r="E306" s="6">
        <f>15151176+18000</f>
        <v>15169176</v>
      </c>
      <c r="G306" s="6">
        <v>0</v>
      </c>
      <c r="I306" s="2">
        <f t="shared" si="63"/>
        <v>36667454</v>
      </c>
      <c r="K306" s="6">
        <v>51836630</v>
      </c>
      <c r="M306" s="2">
        <f t="shared" si="64"/>
        <v>11564883</v>
      </c>
      <c r="O306" s="6">
        <v>34643720</v>
      </c>
      <c r="Q306" s="6">
        <v>46208603</v>
      </c>
      <c r="S306" s="6">
        <v>24627</v>
      </c>
      <c r="U306" s="6">
        <v>5024644</v>
      </c>
      <c r="W306" s="6">
        <v>1243505</v>
      </c>
      <c r="Y306" s="6">
        <v>915473</v>
      </c>
      <c r="AA306" s="6">
        <v>-1580222</v>
      </c>
      <c r="AC306" s="12">
        <f t="shared" si="61"/>
        <v>5628027</v>
      </c>
      <c r="AE306" s="6">
        <f t="shared" si="62"/>
        <v>0</v>
      </c>
    </row>
    <row r="307" spans="1:31" hidden="1">
      <c r="A307" s="11" t="s">
        <v>800</v>
      </c>
      <c r="B307" s="11"/>
      <c r="C307" s="11" t="s">
        <v>32</v>
      </c>
      <c r="E307" s="6">
        <v>0</v>
      </c>
      <c r="G307" s="6">
        <v>0</v>
      </c>
      <c r="I307" s="2">
        <f t="shared" si="63"/>
        <v>0</v>
      </c>
      <c r="K307" s="6">
        <v>0</v>
      </c>
      <c r="M307" s="2">
        <f t="shared" si="64"/>
        <v>0</v>
      </c>
      <c r="O307" s="6">
        <v>0</v>
      </c>
      <c r="Q307" s="6">
        <v>0</v>
      </c>
      <c r="S307" s="6">
        <v>0</v>
      </c>
      <c r="U307" s="6">
        <v>0</v>
      </c>
      <c r="W307" s="6">
        <v>0</v>
      </c>
      <c r="Y307" s="6">
        <v>0</v>
      </c>
      <c r="AA307" s="6">
        <v>0</v>
      </c>
      <c r="AC307" s="12">
        <f t="shared" si="61"/>
        <v>0</v>
      </c>
      <c r="AE307" s="6">
        <f t="shared" si="62"/>
        <v>0</v>
      </c>
    </row>
    <row r="308" spans="1:31">
      <c r="A308" s="11" t="s">
        <v>453</v>
      </c>
      <c r="B308" s="11"/>
      <c r="C308" s="11" t="s">
        <v>54</v>
      </c>
      <c r="E308" s="6">
        <f>8984133+104300</f>
        <v>9088433</v>
      </c>
      <c r="G308" s="6">
        <v>0</v>
      </c>
      <c r="I308" s="2">
        <f t="shared" si="63"/>
        <v>8935510</v>
      </c>
      <c r="K308" s="6">
        <v>18023943</v>
      </c>
      <c r="M308" s="2">
        <f t="shared" si="64"/>
        <v>2446141</v>
      </c>
      <c r="O308" s="6">
        <f>714002+6733521</f>
        <v>7447523</v>
      </c>
      <c r="Q308" s="6">
        <v>9893664</v>
      </c>
      <c r="S308" s="6">
        <f>35048+104300</f>
        <v>139348</v>
      </c>
      <c r="U308" s="6">
        <f>23321+2932+116420+9522+313712</f>
        <v>465907</v>
      </c>
      <c r="W308" s="6">
        <v>1820112</v>
      </c>
      <c r="Y308" s="6">
        <f>25491+31883</f>
        <v>57374</v>
      </c>
      <c r="AA308" s="6">
        <v>5647538</v>
      </c>
      <c r="AC308" s="12">
        <f t="shared" si="61"/>
        <v>8130279</v>
      </c>
      <c r="AE308" s="6">
        <f t="shared" si="62"/>
        <v>0</v>
      </c>
    </row>
    <row r="309" spans="1:31">
      <c r="A309" s="11" t="s">
        <v>352</v>
      </c>
      <c r="B309" s="11"/>
      <c r="C309" s="11" t="s">
        <v>35</v>
      </c>
      <c r="E309" s="6">
        <v>17376631</v>
      </c>
      <c r="G309" s="6">
        <v>0</v>
      </c>
      <c r="I309" s="2">
        <f t="shared" si="63"/>
        <v>14566653</v>
      </c>
      <c r="K309" s="6">
        <v>31943284</v>
      </c>
      <c r="M309" s="2">
        <f t="shared" si="64"/>
        <v>5834835</v>
      </c>
      <c r="O309" s="6">
        <f>11594009+380384</f>
        <v>11974393</v>
      </c>
      <c r="Q309" s="6">
        <v>17809228</v>
      </c>
      <c r="S309" s="6">
        <v>162859</v>
      </c>
      <c r="U309" s="6">
        <v>8999538</v>
      </c>
      <c r="W309" s="6">
        <v>0</v>
      </c>
      <c r="Y309" s="6">
        <v>275859</v>
      </c>
      <c r="AA309" s="6">
        <v>4695800</v>
      </c>
      <c r="AC309" s="12">
        <f t="shared" si="61"/>
        <v>14134056</v>
      </c>
      <c r="AE309" s="6">
        <f t="shared" si="62"/>
        <v>0</v>
      </c>
    </row>
    <row r="310" spans="1:31">
      <c r="A310" s="11" t="s">
        <v>400</v>
      </c>
      <c r="B310" s="11"/>
      <c r="C310" s="11" t="s">
        <v>398</v>
      </c>
      <c r="E310" s="6">
        <v>5336457</v>
      </c>
      <c r="G310" s="6">
        <v>0</v>
      </c>
      <c r="I310" s="2">
        <f t="shared" si="63"/>
        <v>9620211</v>
      </c>
      <c r="K310" s="6">
        <v>14956668</v>
      </c>
      <c r="M310" s="2">
        <f t="shared" si="64"/>
        <v>2973259</v>
      </c>
      <c r="O310" s="6">
        <v>4175931</v>
      </c>
      <c r="Q310" s="6">
        <v>7149190</v>
      </c>
      <c r="S310" s="6">
        <v>0</v>
      </c>
      <c r="U310" s="6">
        <f>3085355+569421+96158+576020+64689+68539</f>
        <v>4460182</v>
      </c>
      <c r="W310" s="6">
        <v>286400</v>
      </c>
      <c r="Y310" s="6">
        <f>51537+11453+277577+472215</f>
        <v>812782</v>
      </c>
      <c r="AA310" s="6">
        <v>2248114</v>
      </c>
      <c r="AC310" s="12">
        <f t="shared" si="61"/>
        <v>7807478</v>
      </c>
      <c r="AE310" s="6">
        <f t="shared" si="62"/>
        <v>0</v>
      </c>
    </row>
    <row r="311" spans="1:31">
      <c r="A311" s="11" t="s">
        <v>386</v>
      </c>
      <c r="B311" s="11"/>
      <c r="C311" s="11" t="s">
        <v>44</v>
      </c>
      <c r="E311" s="6">
        <f>18456634+5236850+41872596</f>
        <v>65566080</v>
      </c>
      <c r="G311" s="6">
        <v>0</v>
      </c>
      <c r="I311" s="2">
        <f t="shared" si="63"/>
        <v>74708779</v>
      </c>
      <c r="K311" s="6">
        <v>140274859</v>
      </c>
      <c r="M311" s="2">
        <f t="shared" si="64"/>
        <v>18459659</v>
      </c>
      <c r="O311" s="6">
        <v>67684057</v>
      </c>
      <c r="Q311" s="6">
        <v>86143716</v>
      </c>
      <c r="S311" s="6">
        <v>49547</v>
      </c>
      <c r="U311" s="6">
        <v>57612150</v>
      </c>
      <c r="W311" s="6">
        <v>0</v>
      </c>
      <c r="Y311" s="6">
        <v>7629</v>
      </c>
      <c r="AA311" s="6">
        <v>-3538183</v>
      </c>
      <c r="AC311" s="12">
        <f t="shared" si="61"/>
        <v>54131143</v>
      </c>
      <c r="AE311" s="6">
        <f t="shared" si="62"/>
        <v>0</v>
      </c>
    </row>
    <row r="312" spans="1:31">
      <c r="A312" s="11" t="s">
        <v>527</v>
      </c>
      <c r="B312" s="11"/>
      <c r="C312" s="11" t="s">
        <v>64</v>
      </c>
      <c r="E312" s="6">
        <v>999548</v>
      </c>
      <c r="G312" s="6">
        <v>0</v>
      </c>
      <c r="I312" s="2">
        <f t="shared" si="63"/>
        <v>3794846</v>
      </c>
      <c r="K312" s="6">
        <v>4794394</v>
      </c>
      <c r="M312" s="2">
        <f t="shared" si="64"/>
        <v>705836</v>
      </c>
      <c r="O312" s="6">
        <f>3407845+353389</f>
        <v>3761234</v>
      </c>
      <c r="Q312" s="6">
        <v>4467070</v>
      </c>
      <c r="S312" s="6">
        <f>1832+2221</f>
        <v>4053</v>
      </c>
      <c r="U312" s="6">
        <f>117614+5153+112368+1579+2575+1280</f>
        <v>240569</v>
      </c>
      <c r="W312" s="6">
        <v>0</v>
      </c>
      <c r="Y312" s="6">
        <f>5810+83364+25477+32469+9108+682</f>
        <v>156910</v>
      </c>
      <c r="AA312" s="6">
        <v>-74208</v>
      </c>
      <c r="AC312" s="12">
        <f t="shared" si="61"/>
        <v>327324</v>
      </c>
      <c r="AE312" s="6">
        <f t="shared" si="62"/>
        <v>0</v>
      </c>
    </row>
    <row r="313" spans="1:31">
      <c r="A313" s="11" t="s">
        <v>683</v>
      </c>
      <c r="B313" s="11"/>
      <c r="C313" s="11" t="s">
        <v>11</v>
      </c>
      <c r="E313" s="6">
        <v>3160650</v>
      </c>
      <c r="G313" s="6">
        <v>0</v>
      </c>
      <c r="I313" s="2">
        <f t="shared" si="63"/>
        <v>5672522</v>
      </c>
      <c r="K313" s="6">
        <v>8833172</v>
      </c>
      <c r="M313" s="2">
        <f t="shared" si="64"/>
        <v>1511149</v>
      </c>
      <c r="O313" s="6">
        <f>294554+3752006</f>
        <v>4046560</v>
      </c>
      <c r="Q313" s="6">
        <v>5557709</v>
      </c>
      <c r="S313" s="6">
        <f>31075+45577+1252</f>
        <v>77904</v>
      </c>
      <c r="U313" s="6">
        <f>110270+7578+18998+76847+30438</f>
        <v>244131</v>
      </c>
      <c r="W313" s="6">
        <f>21837+12017+11000+280351</f>
        <v>325205</v>
      </c>
      <c r="Y313" s="6">
        <f>3027+45018+725250+2290</f>
        <v>775585</v>
      </c>
      <c r="AA313" s="6">
        <v>1852638</v>
      </c>
      <c r="AC313" s="12">
        <f t="shared" si="61"/>
        <v>3275463</v>
      </c>
      <c r="AE313" s="6">
        <f t="shared" si="62"/>
        <v>0</v>
      </c>
    </row>
    <row r="314" spans="1:31">
      <c r="A314" s="11" t="s">
        <v>499</v>
      </c>
      <c r="B314" s="11"/>
      <c r="C314" s="11" t="s">
        <v>62</v>
      </c>
      <c r="E314" s="6">
        <v>8025354</v>
      </c>
      <c r="G314" s="6">
        <v>155763</v>
      </c>
      <c r="I314" s="2">
        <f t="shared" si="63"/>
        <v>8825514</v>
      </c>
      <c r="K314" s="6">
        <v>17006631</v>
      </c>
      <c r="M314" s="2">
        <f t="shared" si="64"/>
        <v>4360230</v>
      </c>
      <c r="O314" s="6">
        <v>8052683</v>
      </c>
      <c r="Q314" s="6">
        <v>12412913</v>
      </c>
      <c r="S314" s="6">
        <v>86612</v>
      </c>
      <c r="U314" s="6">
        <v>4896030</v>
      </c>
      <c r="W314" s="6">
        <v>0</v>
      </c>
      <c r="Y314" s="6">
        <v>353287</v>
      </c>
      <c r="AA314" s="6">
        <v>-742211</v>
      </c>
      <c r="AC314" s="12">
        <f t="shared" si="61"/>
        <v>4593718</v>
      </c>
      <c r="AE314" s="6">
        <f t="shared" si="62"/>
        <v>0</v>
      </c>
    </row>
    <row r="315" spans="1:31">
      <c r="A315" s="11" t="s">
        <v>324</v>
      </c>
      <c r="B315" s="11"/>
      <c r="C315" s="11" t="s">
        <v>32</v>
      </c>
      <c r="E315" s="6">
        <v>9873368</v>
      </c>
      <c r="G315" s="6">
        <v>0</v>
      </c>
      <c r="I315" s="2">
        <f t="shared" si="63"/>
        <v>29604713</v>
      </c>
      <c r="K315" s="6">
        <v>39478081</v>
      </c>
      <c r="M315" s="2">
        <f t="shared" si="64"/>
        <v>10513912</v>
      </c>
      <c r="O315" s="6">
        <v>21603205</v>
      </c>
      <c r="Q315" s="6">
        <v>32117117</v>
      </c>
      <c r="S315" s="6">
        <v>30196</v>
      </c>
      <c r="U315" s="6">
        <v>3387431</v>
      </c>
      <c r="W315" s="6">
        <v>0</v>
      </c>
      <c r="Y315" s="6">
        <v>3549098</v>
      </c>
      <c r="AA315" s="6">
        <v>394239</v>
      </c>
      <c r="AC315" s="12">
        <f t="shared" si="61"/>
        <v>7360964</v>
      </c>
      <c r="AE315" s="6">
        <f t="shared" si="62"/>
        <v>0</v>
      </c>
    </row>
    <row r="316" spans="1:31">
      <c r="A316" s="11" t="s">
        <v>684</v>
      </c>
      <c r="B316" s="11"/>
      <c r="C316" s="11" t="s">
        <v>45</v>
      </c>
      <c r="E316" s="6">
        <f>4454842+224138</f>
        <v>4678980</v>
      </c>
      <c r="G316" s="6">
        <v>0</v>
      </c>
      <c r="I316" s="2">
        <f t="shared" si="63"/>
        <v>1718212</v>
      </c>
      <c r="K316" s="6">
        <v>6397192</v>
      </c>
      <c r="M316" s="2">
        <f t="shared" si="64"/>
        <v>1248684</v>
      </c>
      <c r="O316" s="6">
        <f>125974+865061</f>
        <v>991035</v>
      </c>
      <c r="Q316" s="6">
        <v>2239719</v>
      </c>
      <c r="S316" s="6">
        <f>5237+716957</f>
        <v>722194</v>
      </c>
      <c r="U316" s="6">
        <f>141110+109866+565372+274761+1728+20+26170</f>
        <v>1119027</v>
      </c>
      <c r="W316" s="6">
        <f>744753+27977+298887+223084</f>
        <v>1294701</v>
      </c>
      <c r="Y316" s="6">
        <f>503+32127+562566+1232+452702</f>
        <v>1049130</v>
      </c>
      <c r="AA316" s="6">
        <v>-27579</v>
      </c>
      <c r="AC316" s="12">
        <f t="shared" si="61"/>
        <v>4157473</v>
      </c>
      <c r="AE316" s="6">
        <f t="shared" si="62"/>
        <v>0</v>
      </c>
    </row>
    <row r="317" spans="1:31">
      <c r="A317" s="11" t="s">
        <v>801</v>
      </c>
      <c r="B317" s="11"/>
      <c r="C317" s="11" t="s">
        <v>110</v>
      </c>
      <c r="E317" s="6">
        <v>4483631</v>
      </c>
      <c r="G317" s="6">
        <v>0</v>
      </c>
      <c r="I317" s="2">
        <f t="shared" si="63"/>
        <v>2617932</v>
      </c>
      <c r="K317" s="6">
        <v>7101563</v>
      </c>
      <c r="M317" s="2">
        <f t="shared" si="64"/>
        <v>543307</v>
      </c>
      <c r="O317" s="6">
        <f>110508+1861591</f>
        <v>1972099</v>
      </c>
      <c r="Q317" s="6">
        <v>2515406</v>
      </c>
      <c r="S317" s="6">
        <f>4319+31154</f>
        <v>35473</v>
      </c>
      <c r="U317" s="6">
        <f>88551+2248+9819+36665+21355</f>
        <v>158638</v>
      </c>
      <c r="W317" s="6">
        <v>100465</v>
      </c>
      <c r="Y317" s="6">
        <f>1906+4883+156689</f>
        <v>163478</v>
      </c>
      <c r="AA317" s="6">
        <v>4128103</v>
      </c>
      <c r="AC317" s="12">
        <f t="shared" si="61"/>
        <v>4586157</v>
      </c>
      <c r="AE317" s="6">
        <f t="shared" si="62"/>
        <v>0</v>
      </c>
    </row>
    <row r="318" spans="1:31">
      <c r="A318" s="11" t="s">
        <v>351</v>
      </c>
      <c r="B318" s="11"/>
      <c r="C318" s="11" t="s">
        <v>348</v>
      </c>
      <c r="E318" s="6">
        <v>8932530</v>
      </c>
      <c r="G318" s="6">
        <v>0</v>
      </c>
      <c r="I318" s="2">
        <f t="shared" si="63"/>
        <v>2549232</v>
      </c>
      <c r="K318" s="6">
        <v>11481762</v>
      </c>
      <c r="M318" s="2">
        <f t="shared" si="64"/>
        <v>1376109</v>
      </c>
      <c r="O318" s="6">
        <v>2214367</v>
      </c>
      <c r="Q318" s="6">
        <v>3590476</v>
      </c>
      <c r="S318" s="6">
        <v>532</v>
      </c>
      <c r="U318" s="6">
        <v>1432939</v>
      </c>
      <c r="W318" s="6">
        <v>11000</v>
      </c>
      <c r="Y318" s="6">
        <v>309854</v>
      </c>
      <c r="AA318" s="6">
        <v>6136961</v>
      </c>
      <c r="AC318" s="12">
        <f t="shared" si="61"/>
        <v>7891286</v>
      </c>
      <c r="AE318" s="6">
        <f t="shared" si="62"/>
        <v>0</v>
      </c>
    </row>
    <row r="319" spans="1:31">
      <c r="A319" s="11" t="s">
        <v>711</v>
      </c>
      <c r="B319" s="11"/>
      <c r="C319" s="11" t="s">
        <v>50</v>
      </c>
      <c r="E319" s="6">
        <v>14872051</v>
      </c>
      <c r="G319" s="6">
        <v>0</v>
      </c>
      <c r="I319" s="2">
        <f t="shared" si="63"/>
        <v>11983230</v>
      </c>
      <c r="K319" s="6">
        <v>26855281</v>
      </c>
      <c r="M319" s="2">
        <f t="shared" si="64"/>
        <v>5187601</v>
      </c>
      <c r="O319" s="6">
        <v>10646416</v>
      </c>
      <c r="Q319" s="6">
        <v>15834017</v>
      </c>
      <c r="S319" s="6">
        <v>16378</v>
      </c>
      <c r="U319" s="6">
        <v>4060697</v>
      </c>
      <c r="W319" s="6">
        <v>131433</v>
      </c>
      <c r="Y319" s="6">
        <v>541941</v>
      </c>
      <c r="AA319" s="6">
        <v>6270815</v>
      </c>
      <c r="AC319" s="12">
        <f t="shared" si="61"/>
        <v>11021264</v>
      </c>
      <c r="AE319" s="6">
        <f t="shared" si="62"/>
        <v>0</v>
      </c>
    </row>
    <row r="320" spans="1:31">
      <c r="A320" s="11" t="s">
        <v>325</v>
      </c>
      <c r="B320" s="11"/>
      <c r="C320" s="11" t="s">
        <v>32</v>
      </c>
      <c r="E320" s="6">
        <v>8336389</v>
      </c>
      <c r="G320" s="6">
        <v>12275</v>
      </c>
      <c r="I320" s="2">
        <f t="shared" si="63"/>
        <v>15631553</v>
      </c>
      <c r="K320" s="6">
        <v>23980217</v>
      </c>
      <c r="M320" s="2">
        <f t="shared" si="64"/>
        <v>2774940</v>
      </c>
      <c r="O320" s="6">
        <v>10404164</v>
      </c>
      <c r="Q320" s="6">
        <v>13179104</v>
      </c>
      <c r="S320" s="6">
        <v>0</v>
      </c>
      <c r="U320" s="6">
        <v>1974782</v>
      </c>
      <c r="W320" s="6">
        <v>0</v>
      </c>
      <c r="Y320" s="6">
        <v>269121</v>
      </c>
      <c r="AA320" s="6">
        <v>8557210</v>
      </c>
      <c r="AC320" s="12">
        <f t="shared" si="61"/>
        <v>10801113</v>
      </c>
      <c r="AE320" s="6">
        <f t="shared" si="62"/>
        <v>0</v>
      </c>
    </row>
    <row r="321" spans="1:31">
      <c r="A321" s="11" t="s">
        <v>224</v>
      </c>
      <c r="B321" s="11"/>
      <c r="C321" s="11" t="s">
        <v>221</v>
      </c>
      <c r="E321" s="6">
        <v>3566979</v>
      </c>
      <c r="G321" s="6">
        <v>0</v>
      </c>
      <c r="I321" s="2">
        <f t="shared" si="63"/>
        <v>6049735</v>
      </c>
      <c r="K321" s="6">
        <v>9616714</v>
      </c>
      <c r="M321" s="2">
        <f t="shared" si="64"/>
        <v>1459004</v>
      </c>
      <c r="O321" s="6">
        <v>5536740</v>
      </c>
      <c r="Q321" s="6">
        <v>6995744</v>
      </c>
      <c r="S321" s="6">
        <v>7824</v>
      </c>
      <c r="U321" s="6">
        <v>1432739</v>
      </c>
      <c r="W321" s="6">
        <v>0</v>
      </c>
      <c r="Y321" s="6">
        <v>129467</v>
      </c>
      <c r="AA321" s="6">
        <v>1050940</v>
      </c>
      <c r="AC321" s="12">
        <f t="shared" si="61"/>
        <v>2620970</v>
      </c>
      <c r="AE321" s="6">
        <f t="shared" si="62"/>
        <v>0</v>
      </c>
    </row>
    <row r="322" spans="1:31" hidden="1">
      <c r="A322" s="11" t="s">
        <v>730</v>
      </c>
      <c r="B322" s="11"/>
      <c r="C322" s="11" t="s">
        <v>41</v>
      </c>
      <c r="E322" s="6">
        <v>0</v>
      </c>
      <c r="G322" s="6">
        <v>0</v>
      </c>
      <c r="I322" s="2">
        <f t="shared" si="63"/>
        <v>0</v>
      </c>
      <c r="K322" s="6">
        <v>0</v>
      </c>
      <c r="M322" s="2">
        <f t="shared" si="64"/>
        <v>0</v>
      </c>
      <c r="O322" s="6">
        <v>0</v>
      </c>
      <c r="Q322" s="6">
        <v>0</v>
      </c>
      <c r="S322" s="6">
        <v>0</v>
      </c>
      <c r="U322" s="6">
        <v>0</v>
      </c>
      <c r="W322" s="6">
        <v>0</v>
      </c>
      <c r="Y322" s="6">
        <v>0</v>
      </c>
      <c r="AA322" s="6">
        <v>0</v>
      </c>
      <c r="AC322" s="12">
        <f t="shared" si="61"/>
        <v>0</v>
      </c>
      <c r="AE322" s="6">
        <f t="shared" si="62"/>
        <v>0</v>
      </c>
    </row>
    <row r="323" spans="1:31">
      <c r="A323" s="11" t="s">
        <v>224</v>
      </c>
      <c r="B323" s="11"/>
      <c r="C323" s="11" t="s">
        <v>110</v>
      </c>
      <c r="E323" s="6">
        <f>38536655+32563</f>
        <v>38569218</v>
      </c>
      <c r="G323" s="6">
        <v>0</v>
      </c>
      <c r="I323" s="2">
        <f t="shared" si="63"/>
        <v>12562751</v>
      </c>
      <c r="K323" s="6">
        <v>51131969</v>
      </c>
      <c r="M323" s="2">
        <f t="shared" si="64"/>
        <v>4239590</v>
      </c>
      <c r="O323" s="6">
        <f>3935090+6948015</f>
        <v>10883105</v>
      </c>
      <c r="Q323" s="6">
        <v>15122695</v>
      </c>
      <c r="S323" s="6">
        <v>11055</v>
      </c>
      <c r="U323" s="6">
        <f>464477+30224877+390472+294913+17844+370+60887+10196</f>
        <v>31464036</v>
      </c>
      <c r="W323" s="6">
        <v>0</v>
      </c>
      <c r="Y323" s="6">
        <f>5750+60238+2391566+51483+65130</f>
        <v>2574167</v>
      </c>
      <c r="AA323" s="6">
        <v>1960016</v>
      </c>
      <c r="AC323" s="12">
        <f t="shared" si="61"/>
        <v>36009274</v>
      </c>
      <c r="AE323" s="6">
        <f t="shared" si="62"/>
        <v>0</v>
      </c>
    </row>
    <row r="324" spans="1:31">
      <c r="A324" s="11" t="s">
        <v>694</v>
      </c>
      <c r="B324" s="11"/>
      <c r="C324" s="11" t="s">
        <v>398</v>
      </c>
      <c r="E324" s="6">
        <v>7161535</v>
      </c>
      <c r="G324" s="6">
        <v>0</v>
      </c>
      <c r="I324" s="2">
        <f t="shared" si="63"/>
        <v>5971144</v>
      </c>
      <c r="K324" s="6">
        <v>13132679</v>
      </c>
      <c r="M324" s="2">
        <f t="shared" si="64"/>
        <v>1792246</v>
      </c>
      <c r="O324" s="6">
        <v>4321827</v>
      </c>
      <c r="Q324" s="6">
        <v>6114073</v>
      </c>
      <c r="S324" s="6">
        <v>0</v>
      </c>
      <c r="U324" s="6">
        <v>718730</v>
      </c>
      <c r="W324" s="6">
        <v>970</v>
      </c>
      <c r="Y324" s="6">
        <v>288521</v>
      </c>
      <c r="AA324" s="6">
        <v>6010385</v>
      </c>
      <c r="AC324" s="12">
        <f t="shared" si="61"/>
        <v>7018606</v>
      </c>
      <c r="AE324" s="6">
        <f t="shared" si="62"/>
        <v>0</v>
      </c>
    </row>
    <row r="325" spans="1:31">
      <c r="A325" s="11" t="s">
        <v>605</v>
      </c>
      <c r="B325" s="11"/>
      <c r="C325" s="11" t="s">
        <v>200</v>
      </c>
      <c r="E325" s="6">
        <v>8299041</v>
      </c>
      <c r="G325" s="6">
        <v>20025</v>
      </c>
      <c r="I325" s="2">
        <f t="shared" si="63"/>
        <v>8656595</v>
      </c>
      <c r="K325" s="6">
        <v>16975661</v>
      </c>
      <c r="M325" s="2">
        <f t="shared" si="64"/>
        <v>1062823</v>
      </c>
      <c r="O325" s="6">
        <v>8154354</v>
      </c>
      <c r="Q325" s="6">
        <v>9217177</v>
      </c>
      <c r="S325" s="6">
        <v>48057</v>
      </c>
      <c r="U325" s="6">
        <v>2759336</v>
      </c>
      <c r="W325" s="6">
        <v>0</v>
      </c>
      <c r="Y325" s="6">
        <v>1023466</v>
      </c>
      <c r="AA325" s="6">
        <v>3927625</v>
      </c>
      <c r="AC325" s="12">
        <f t="shared" si="61"/>
        <v>7758484</v>
      </c>
      <c r="AE325" s="6">
        <f t="shared" si="62"/>
        <v>0</v>
      </c>
    </row>
    <row r="326" spans="1:31" hidden="1">
      <c r="A326" s="11" t="s">
        <v>805</v>
      </c>
      <c r="B326" s="11"/>
      <c r="C326" s="11" t="s">
        <v>63</v>
      </c>
      <c r="E326" s="6">
        <v>0</v>
      </c>
      <c r="G326" s="6">
        <v>0</v>
      </c>
      <c r="I326" s="2">
        <f t="shared" ref="I326" si="65">K326-E326-G326</f>
        <v>0</v>
      </c>
      <c r="K326" s="6">
        <v>0</v>
      </c>
      <c r="M326" s="2">
        <f t="shared" ref="M326" si="66">Q326-O326</f>
        <v>0</v>
      </c>
      <c r="O326" s="6">
        <v>0</v>
      </c>
      <c r="Q326" s="6">
        <v>0</v>
      </c>
      <c r="S326" s="6">
        <v>0</v>
      </c>
      <c r="U326" s="6">
        <v>0</v>
      </c>
      <c r="W326" s="6">
        <v>0</v>
      </c>
      <c r="Y326" s="6">
        <v>0</v>
      </c>
      <c r="AA326" s="6">
        <v>0</v>
      </c>
      <c r="AC326" s="12">
        <f t="shared" ref="AC326" si="67">S326+U326+W326+Y326+AA326</f>
        <v>0</v>
      </c>
      <c r="AE326" s="6">
        <f t="shared" ref="AE326" si="68">+E326+G326+I326-M326-O326-W326-U326-S326-Y326-AA326</f>
        <v>0</v>
      </c>
    </row>
    <row r="327" spans="1:31">
      <c r="A327" s="11" t="s">
        <v>469</v>
      </c>
      <c r="B327" s="11"/>
      <c r="C327" s="11" t="s">
        <v>110</v>
      </c>
      <c r="E327" s="6">
        <v>14207096</v>
      </c>
      <c r="G327" s="6">
        <v>4982</v>
      </c>
      <c r="I327" s="2">
        <f t="shared" si="63"/>
        <v>25245677</v>
      </c>
      <c r="K327" s="6">
        <v>39457755</v>
      </c>
      <c r="M327" s="2">
        <f t="shared" si="64"/>
        <v>6701224</v>
      </c>
      <c r="O327" s="6">
        <f>14677683+6413749</f>
        <v>21091432</v>
      </c>
      <c r="Q327" s="6">
        <v>27792656</v>
      </c>
      <c r="S327" s="6">
        <f>180340+22415</f>
        <v>202755</v>
      </c>
      <c r="U327" s="6">
        <f>8496962+2608610+198991+278233+137436+84830+4982+13999+118751</f>
        <v>11942794</v>
      </c>
      <c r="W327" s="6">
        <v>0</v>
      </c>
      <c r="Y327" s="6">
        <v>0</v>
      </c>
      <c r="AA327" s="6">
        <v>-480450</v>
      </c>
      <c r="AC327" s="12">
        <f t="shared" si="61"/>
        <v>11665099</v>
      </c>
      <c r="AE327" s="6">
        <f t="shared" si="62"/>
        <v>0</v>
      </c>
    </row>
    <row r="328" spans="1:31">
      <c r="A328" s="11" t="s">
        <v>722</v>
      </c>
      <c r="B328" s="11"/>
      <c r="C328" s="11" t="s">
        <v>20</v>
      </c>
      <c r="E328" s="6">
        <v>30442124</v>
      </c>
      <c r="G328" s="6">
        <v>338718</v>
      </c>
      <c r="I328" s="2">
        <f t="shared" si="63"/>
        <v>21762174</v>
      </c>
      <c r="K328" s="6">
        <v>52543016</v>
      </c>
      <c r="M328" s="2">
        <f t="shared" si="64"/>
        <v>9606356</v>
      </c>
      <c r="O328" s="6">
        <v>18359590</v>
      </c>
      <c r="Q328" s="6">
        <v>27965946</v>
      </c>
      <c r="S328" s="6">
        <v>0</v>
      </c>
      <c r="U328" s="6">
        <v>26428432</v>
      </c>
      <c r="W328" s="6">
        <v>0</v>
      </c>
      <c r="Y328" s="6">
        <v>59005</v>
      </c>
      <c r="AA328" s="6">
        <v>-1910367</v>
      </c>
      <c r="AC328" s="12">
        <f t="shared" si="61"/>
        <v>24577070</v>
      </c>
      <c r="AE328" s="6">
        <f t="shared" si="62"/>
        <v>0</v>
      </c>
    </row>
    <row r="329" spans="1:31">
      <c r="A329" s="11" t="s">
        <v>205</v>
      </c>
      <c r="B329" s="11"/>
      <c r="C329" s="11" t="s">
        <v>11</v>
      </c>
      <c r="E329" s="6">
        <f>2528434+5112</f>
        <v>2533546</v>
      </c>
      <c r="G329" s="6">
        <v>0</v>
      </c>
      <c r="I329" s="2">
        <f t="shared" si="63"/>
        <v>3141290</v>
      </c>
      <c r="K329" s="6">
        <v>5674836</v>
      </c>
      <c r="M329" s="2">
        <f t="shared" si="64"/>
        <v>935677</v>
      </c>
      <c r="O329" s="6">
        <f>2145104+258881</f>
        <v>2403985</v>
      </c>
      <c r="Q329" s="6">
        <v>3339662</v>
      </c>
      <c r="S329" s="6">
        <f>10529+11924</f>
        <v>22453</v>
      </c>
      <c r="U329" s="6">
        <f>501625+174370+118631+16832+40888</f>
        <v>852346</v>
      </c>
      <c r="W329" s="6">
        <v>2491</v>
      </c>
      <c r="Y329" s="6">
        <f>4284+2366+2337+13929+449550</f>
        <v>472466</v>
      </c>
      <c r="AA329" s="6">
        <v>985418</v>
      </c>
      <c r="AC329" s="12">
        <f t="shared" si="61"/>
        <v>2335174</v>
      </c>
      <c r="AE329" s="6">
        <f t="shared" si="62"/>
        <v>0</v>
      </c>
    </row>
    <row r="330" spans="1:31">
      <c r="A330" s="11" t="s">
        <v>528</v>
      </c>
      <c r="B330" s="11"/>
      <c r="C330" s="11" t="s">
        <v>64</v>
      </c>
      <c r="E330" s="6">
        <v>3664087</v>
      </c>
      <c r="G330" s="6">
        <v>0</v>
      </c>
      <c r="I330" s="2">
        <f t="shared" si="63"/>
        <v>2907762</v>
      </c>
      <c r="K330" s="6">
        <v>6571849</v>
      </c>
      <c r="M330" s="2">
        <f t="shared" si="64"/>
        <v>881177</v>
      </c>
      <c r="O330" s="6">
        <v>2861543</v>
      </c>
      <c r="Q330" s="6">
        <v>3742720</v>
      </c>
      <c r="S330" s="6">
        <v>11280</v>
      </c>
      <c r="U330" s="6">
        <v>631426</v>
      </c>
      <c r="W330" s="6">
        <v>1706</v>
      </c>
      <c r="Y330" s="6">
        <v>36530</v>
      </c>
      <c r="AA330" s="6">
        <v>2148187</v>
      </c>
      <c r="AC330" s="12">
        <f t="shared" si="61"/>
        <v>2829129</v>
      </c>
      <c r="AE330" s="6">
        <f t="shared" si="62"/>
        <v>0</v>
      </c>
    </row>
    <row r="331" spans="1:31">
      <c r="A331" s="11" t="s">
        <v>288</v>
      </c>
      <c r="B331" s="11"/>
      <c r="C331" s="11" t="s">
        <v>24</v>
      </c>
      <c r="E331" s="6">
        <v>1400923</v>
      </c>
      <c r="G331" s="6">
        <v>0</v>
      </c>
      <c r="I331" s="2">
        <f t="shared" si="63"/>
        <v>6198933</v>
      </c>
      <c r="K331" s="6">
        <v>7599856</v>
      </c>
      <c r="M331" s="2">
        <f t="shared" si="64"/>
        <v>1422140</v>
      </c>
      <c r="O331" s="6">
        <f>4794699+518196</f>
        <v>5312895</v>
      </c>
      <c r="Q331" s="6">
        <v>6735035</v>
      </c>
      <c r="S331" s="6">
        <v>1707</v>
      </c>
      <c r="U331" s="6">
        <f>70909+8047+77005+17624</f>
        <v>173585</v>
      </c>
      <c r="W331" s="6">
        <v>0</v>
      </c>
      <c r="Y331" s="6">
        <f>1873+90867</f>
        <v>92740</v>
      </c>
      <c r="AA331" s="6">
        <v>596789</v>
      </c>
      <c r="AC331" s="12">
        <f t="shared" si="61"/>
        <v>864821</v>
      </c>
      <c r="AE331" s="6">
        <f t="shared" si="62"/>
        <v>0</v>
      </c>
    </row>
    <row r="332" spans="1:31">
      <c r="A332" s="11" t="s">
        <v>326</v>
      </c>
      <c r="B332" s="11"/>
      <c r="C332" s="11" t="s">
        <v>32</v>
      </c>
      <c r="E332" s="6">
        <v>13518413</v>
      </c>
      <c r="G332" s="6">
        <v>140000</v>
      </c>
      <c r="I332" s="2">
        <f t="shared" si="63"/>
        <v>19401446</v>
      </c>
      <c r="K332" s="6">
        <v>33059859</v>
      </c>
      <c r="M332" s="2">
        <f t="shared" si="64"/>
        <v>5142428</v>
      </c>
      <c r="O332" s="6">
        <v>9894897</v>
      </c>
      <c r="Q332" s="6">
        <v>15037325</v>
      </c>
      <c r="S332" s="6">
        <v>5481</v>
      </c>
      <c r="U332" s="6">
        <v>1736391</v>
      </c>
      <c r="W332" s="6">
        <v>8388946</v>
      </c>
      <c r="Y332" s="6">
        <v>0</v>
      </c>
      <c r="AA332" s="6">
        <v>7891716</v>
      </c>
      <c r="AC332" s="12">
        <f t="shared" si="61"/>
        <v>18022534</v>
      </c>
      <c r="AE332" s="6">
        <f t="shared" si="62"/>
        <v>0</v>
      </c>
    </row>
    <row r="333" spans="1:31" hidden="1">
      <c r="A333" s="11" t="s">
        <v>612</v>
      </c>
      <c r="B333" s="11"/>
      <c r="C333" s="11" t="s">
        <v>70</v>
      </c>
      <c r="E333" s="6">
        <v>0</v>
      </c>
      <c r="G333" s="6">
        <v>0</v>
      </c>
      <c r="I333" s="2">
        <f t="shared" si="63"/>
        <v>0</v>
      </c>
      <c r="K333" s="6">
        <v>0</v>
      </c>
      <c r="M333" s="2">
        <f t="shared" si="64"/>
        <v>0</v>
      </c>
      <c r="O333" s="6">
        <v>0</v>
      </c>
      <c r="Q333" s="6">
        <v>0</v>
      </c>
      <c r="S333" s="6">
        <v>0</v>
      </c>
      <c r="U333" s="6">
        <v>0</v>
      </c>
      <c r="W333" s="6">
        <v>0</v>
      </c>
      <c r="Y333" s="6">
        <v>0</v>
      </c>
      <c r="AA333" s="6">
        <v>0</v>
      </c>
      <c r="AC333" s="12">
        <f t="shared" si="61"/>
        <v>0</v>
      </c>
      <c r="AE333" s="6">
        <f t="shared" si="62"/>
        <v>0</v>
      </c>
    </row>
    <row r="334" spans="1:31">
      <c r="A334" s="11" t="s">
        <v>410</v>
      </c>
      <c r="B334" s="11"/>
      <c r="C334" s="11" t="s">
        <v>46</v>
      </c>
      <c r="E334" s="6">
        <v>16609462</v>
      </c>
      <c r="G334" s="6">
        <v>0</v>
      </c>
      <c r="I334" s="2">
        <f t="shared" si="63"/>
        <v>14960677</v>
      </c>
      <c r="K334" s="6">
        <v>31570139</v>
      </c>
      <c r="M334" s="2">
        <f t="shared" si="64"/>
        <v>6981016</v>
      </c>
      <c r="O334" s="6">
        <v>9721866</v>
      </c>
      <c r="Q334" s="6">
        <v>16702882</v>
      </c>
      <c r="S334" s="6">
        <v>135157</v>
      </c>
      <c r="U334" s="6">
        <v>2030786</v>
      </c>
      <c r="W334" s="6">
        <v>0</v>
      </c>
      <c r="Y334" s="6">
        <v>326111</v>
      </c>
      <c r="AA334" s="6">
        <v>12375203</v>
      </c>
      <c r="AC334" s="12">
        <f t="shared" si="61"/>
        <v>14867257</v>
      </c>
      <c r="AE334" s="6">
        <f t="shared" si="62"/>
        <v>0</v>
      </c>
    </row>
    <row r="335" spans="1:31" hidden="1">
      <c r="A335" s="11" t="s">
        <v>685</v>
      </c>
      <c r="B335" s="11"/>
      <c r="C335" s="11" t="s">
        <v>422</v>
      </c>
      <c r="E335" s="6">
        <v>0</v>
      </c>
      <c r="G335" s="6">
        <v>0</v>
      </c>
      <c r="I335" s="2">
        <f t="shared" si="63"/>
        <v>0</v>
      </c>
      <c r="K335" s="6">
        <v>0</v>
      </c>
      <c r="M335" s="2">
        <f t="shared" si="64"/>
        <v>0</v>
      </c>
      <c r="O335" s="6">
        <v>0</v>
      </c>
      <c r="Q335" s="6">
        <v>0</v>
      </c>
      <c r="S335" s="6">
        <v>0</v>
      </c>
      <c r="U335" s="6">
        <v>0</v>
      </c>
      <c r="W335" s="6">
        <v>0</v>
      </c>
      <c r="Y335" s="6">
        <v>0</v>
      </c>
      <c r="AA335" s="6">
        <v>0</v>
      </c>
      <c r="AC335" s="12">
        <f t="shared" si="61"/>
        <v>0</v>
      </c>
      <c r="AE335" s="6">
        <f t="shared" si="62"/>
        <v>0</v>
      </c>
    </row>
    <row r="336" spans="1:31">
      <c r="A336" s="11" t="s">
        <v>500</v>
      </c>
      <c r="B336" s="11"/>
      <c r="C336" s="11" t="s">
        <v>62</v>
      </c>
      <c r="E336" s="6">
        <v>10304024</v>
      </c>
      <c r="G336" s="6">
        <v>0</v>
      </c>
      <c r="I336" s="2">
        <f t="shared" si="63"/>
        <v>9947913</v>
      </c>
      <c r="K336" s="6">
        <v>20251937</v>
      </c>
      <c r="M336" s="2">
        <f t="shared" si="64"/>
        <v>2749537</v>
      </c>
      <c r="O336" s="6">
        <f>7955384+472203</f>
        <v>8427587</v>
      </c>
      <c r="Q336" s="6">
        <v>11177124</v>
      </c>
      <c r="S336" s="6">
        <f>158930+13513</f>
        <v>172443</v>
      </c>
      <c r="U336" s="6">
        <f>1234527+370071+41021+20506+8144+17233+193994</f>
        <v>1885496</v>
      </c>
      <c r="W336" s="6">
        <f>342331+10000</f>
        <v>352331</v>
      </c>
      <c r="Y336" s="6">
        <f>299697+121984+4439+1781396</f>
        <v>2207516</v>
      </c>
      <c r="AA336" s="6">
        <v>4457027</v>
      </c>
      <c r="AC336" s="12">
        <f t="shared" si="61"/>
        <v>9074813</v>
      </c>
      <c r="AE336" s="6">
        <f t="shared" si="62"/>
        <v>0</v>
      </c>
    </row>
    <row r="337" spans="1:31">
      <c r="A337" s="11" t="s">
        <v>216</v>
      </c>
      <c r="B337" s="11"/>
      <c r="C337" s="11" t="s">
        <v>15</v>
      </c>
      <c r="E337" s="6">
        <v>1798917</v>
      </c>
      <c r="G337" s="6">
        <f>11000+28245</f>
        <v>39245</v>
      </c>
      <c r="I337" s="2">
        <f t="shared" si="63"/>
        <v>4127854</v>
      </c>
      <c r="K337" s="6">
        <v>5966016</v>
      </c>
      <c r="M337" s="2">
        <f t="shared" si="64"/>
        <v>1823343</v>
      </c>
      <c r="O337" s="6">
        <v>3363082</v>
      </c>
      <c r="Q337" s="6">
        <v>5186425</v>
      </c>
      <c r="S337" s="6">
        <v>39395</v>
      </c>
      <c r="U337" s="6">
        <f>925848+226584+142279+118145+16947+21293+11000</f>
        <v>1462096</v>
      </c>
      <c r="W337" s="6">
        <v>0</v>
      </c>
      <c r="Y337" s="6">
        <v>0</v>
      </c>
      <c r="AA337" s="6">
        <v>-721900</v>
      </c>
      <c r="AC337" s="12">
        <f t="shared" si="61"/>
        <v>779591</v>
      </c>
      <c r="AE337" s="6">
        <f t="shared" si="62"/>
        <v>0</v>
      </c>
    </row>
    <row r="338" spans="1:31">
      <c r="A338" s="11" t="s">
        <v>767</v>
      </c>
      <c r="B338" s="11"/>
      <c r="C338" s="11" t="s">
        <v>66</v>
      </c>
      <c r="E338" s="6">
        <f>8398255+1751245</f>
        <v>10149500</v>
      </c>
      <c r="G338" s="6">
        <v>0</v>
      </c>
      <c r="I338" s="2">
        <f t="shared" si="63"/>
        <v>30138831</v>
      </c>
      <c r="K338" s="6">
        <v>40288331</v>
      </c>
      <c r="M338" s="2">
        <f t="shared" si="64"/>
        <v>8363774</v>
      </c>
      <c r="O338" s="6">
        <f>1702907+26113691</f>
        <v>27816598</v>
      </c>
      <c r="Q338" s="6">
        <v>36180372</v>
      </c>
      <c r="S338" s="6">
        <f>13902+77965</f>
        <v>91867</v>
      </c>
      <c r="U338" s="6">
        <f>281578+5748355+248822+24286+142879+53290</f>
        <v>6499210</v>
      </c>
      <c r="W338" s="6">
        <v>0</v>
      </c>
      <c r="Y338" s="6">
        <v>0</v>
      </c>
      <c r="AA338" s="6">
        <v>-2483118</v>
      </c>
      <c r="AC338" s="12">
        <f t="shared" si="61"/>
        <v>4107959</v>
      </c>
      <c r="AE338" s="6">
        <f t="shared" si="62"/>
        <v>0</v>
      </c>
    </row>
    <row r="339" spans="1:31">
      <c r="A339" s="11" t="s">
        <v>546</v>
      </c>
      <c r="B339" s="11"/>
      <c r="C339" s="11" t="s">
        <v>69</v>
      </c>
      <c r="E339" s="6">
        <v>69642547</v>
      </c>
      <c r="G339" s="6">
        <v>85593</v>
      </c>
      <c r="I339" s="2">
        <f t="shared" si="63"/>
        <v>79008402</v>
      </c>
      <c r="K339" s="6">
        <v>148736542</v>
      </c>
      <c r="M339" s="2">
        <f t="shared" si="64"/>
        <v>26067244</v>
      </c>
      <c r="O339" s="6">
        <v>74409234</v>
      </c>
      <c r="Q339" s="6">
        <v>100476478</v>
      </c>
      <c r="S339" s="6">
        <v>40450</v>
      </c>
      <c r="U339" s="6">
        <v>23567432</v>
      </c>
      <c r="W339" s="6">
        <v>0</v>
      </c>
      <c r="Y339" s="6">
        <v>453699</v>
      </c>
      <c r="AA339" s="6">
        <v>24198483</v>
      </c>
      <c r="AC339" s="12">
        <f t="shared" si="61"/>
        <v>48260064</v>
      </c>
      <c r="AE339" s="6">
        <f t="shared" si="62"/>
        <v>0</v>
      </c>
    </row>
    <row r="340" spans="1:31">
      <c r="A340" s="11" t="s">
        <v>501</v>
      </c>
      <c r="B340" s="11"/>
      <c r="C340" s="11" t="s">
        <v>62</v>
      </c>
      <c r="E340" s="6">
        <f>9583665+96260+2561974</f>
        <v>12241899</v>
      </c>
      <c r="G340" s="6">
        <v>0</v>
      </c>
      <c r="I340" s="2">
        <f t="shared" si="63"/>
        <v>17625303</v>
      </c>
      <c r="K340" s="6">
        <v>29867202</v>
      </c>
      <c r="M340" s="2">
        <f t="shared" si="64"/>
        <v>5337444</v>
      </c>
      <c r="O340" s="6">
        <v>15987725</v>
      </c>
      <c r="Q340" s="6">
        <v>21325169</v>
      </c>
      <c r="S340" s="6">
        <v>0</v>
      </c>
      <c r="U340" s="6">
        <v>7262431</v>
      </c>
      <c r="W340" s="6">
        <v>0</v>
      </c>
      <c r="Y340" s="6">
        <v>485521</v>
      </c>
      <c r="AA340" s="6">
        <v>794081</v>
      </c>
      <c r="AC340" s="12">
        <f t="shared" si="61"/>
        <v>8542033</v>
      </c>
      <c r="AE340" s="6">
        <f t="shared" si="62"/>
        <v>0</v>
      </c>
    </row>
    <row r="341" spans="1:31">
      <c r="A341" s="11" t="s">
        <v>529</v>
      </c>
      <c r="B341" s="11"/>
      <c r="C341" s="11" t="s">
        <v>64</v>
      </c>
      <c r="E341" s="6">
        <v>1340634</v>
      </c>
      <c r="G341" s="6">
        <v>0</v>
      </c>
      <c r="I341" s="2">
        <f t="shared" si="63"/>
        <v>5275399</v>
      </c>
      <c r="K341" s="6">
        <v>6616033</v>
      </c>
      <c r="M341" s="2">
        <f t="shared" si="64"/>
        <v>1265104</v>
      </c>
      <c r="O341" s="6">
        <f>567753+4612052</f>
        <v>5179805</v>
      </c>
      <c r="Q341" s="6">
        <v>6444909</v>
      </c>
      <c r="S341" s="6">
        <f>49441+11983</f>
        <v>61424</v>
      </c>
      <c r="U341" s="6">
        <f>1277+5972+6288</f>
        <v>13537</v>
      </c>
      <c r="W341" s="6">
        <v>67068</v>
      </c>
      <c r="Y341" s="6">
        <f>19451+36568+23</f>
        <v>56042</v>
      </c>
      <c r="AA341" s="6">
        <v>-26947</v>
      </c>
      <c r="AC341" s="12">
        <f t="shared" si="61"/>
        <v>171124</v>
      </c>
      <c r="AE341" s="6">
        <f t="shared" si="62"/>
        <v>0</v>
      </c>
    </row>
    <row r="342" spans="1:31" hidden="1">
      <c r="A342" s="10" t="s">
        <v>878</v>
      </c>
      <c r="B342" s="11"/>
      <c r="C342" s="11" t="s">
        <v>115</v>
      </c>
      <c r="E342" s="6">
        <v>0</v>
      </c>
      <c r="G342" s="6">
        <v>0</v>
      </c>
      <c r="I342" s="2">
        <f t="shared" si="63"/>
        <v>0</v>
      </c>
      <c r="K342" s="6">
        <v>0</v>
      </c>
      <c r="M342" s="2">
        <f t="shared" si="64"/>
        <v>0</v>
      </c>
      <c r="O342" s="6">
        <v>0</v>
      </c>
      <c r="Q342" s="6">
        <v>0</v>
      </c>
      <c r="S342" s="6">
        <v>0</v>
      </c>
      <c r="U342" s="6">
        <v>0</v>
      </c>
      <c r="W342" s="6">
        <v>0</v>
      </c>
      <c r="Y342" s="6">
        <v>0</v>
      </c>
      <c r="AA342" s="6">
        <v>0</v>
      </c>
      <c r="AC342" s="12">
        <f t="shared" si="61"/>
        <v>0</v>
      </c>
      <c r="AE342" s="6">
        <f t="shared" si="62"/>
        <v>0</v>
      </c>
    </row>
    <row r="343" spans="1:31">
      <c r="A343" s="11" t="s">
        <v>723</v>
      </c>
      <c r="B343" s="11"/>
      <c r="C343" s="11" t="s">
        <v>20</v>
      </c>
      <c r="E343" s="6">
        <v>44369510</v>
      </c>
      <c r="G343" s="6">
        <v>0</v>
      </c>
      <c r="I343" s="2">
        <f t="shared" si="63"/>
        <v>58814505</v>
      </c>
      <c r="K343" s="6">
        <v>103184015</v>
      </c>
      <c r="M343" s="2">
        <f t="shared" si="64"/>
        <v>11946644</v>
      </c>
      <c r="O343" s="6">
        <v>48927825</v>
      </c>
      <c r="Q343" s="6">
        <v>60874469</v>
      </c>
      <c r="S343" s="6">
        <v>174508</v>
      </c>
      <c r="U343" s="6">
        <v>14877031</v>
      </c>
      <c r="W343" s="6">
        <v>1306753</v>
      </c>
      <c r="Y343" s="6">
        <v>2958085</v>
      </c>
      <c r="AA343" s="6">
        <v>22993169</v>
      </c>
      <c r="AC343" s="12">
        <f t="shared" ref="AC343:AC409" si="69">S343+U343+W343+Y343+AA343</f>
        <v>42309546</v>
      </c>
      <c r="AE343" s="6">
        <f t="shared" ref="AE343:AE409" si="70">+E343+G343+I343-M343-O343-W343-U343-S343-Y343-AA343</f>
        <v>0</v>
      </c>
    </row>
    <row r="344" spans="1:31">
      <c r="A344" s="11" t="s">
        <v>445</v>
      </c>
      <c r="B344" s="11"/>
      <c r="C344" s="11" t="s">
        <v>51</v>
      </c>
      <c r="E344" s="6">
        <f>5272478+2052</f>
        <v>5274530</v>
      </c>
      <c r="G344" s="6">
        <v>0</v>
      </c>
      <c r="I344" s="2">
        <f t="shared" si="63"/>
        <v>4651232</v>
      </c>
      <c r="K344" s="6">
        <v>9925762</v>
      </c>
      <c r="M344" s="2">
        <f t="shared" si="64"/>
        <v>3422251</v>
      </c>
      <c r="O344" s="6">
        <v>2780519</v>
      </c>
      <c r="Q344" s="6">
        <v>6202770</v>
      </c>
      <c r="S344" s="6">
        <v>37575</v>
      </c>
      <c r="U344" s="6">
        <v>1407241</v>
      </c>
      <c r="W344" s="6">
        <v>1323992</v>
      </c>
      <c r="Y344" s="6">
        <v>995531</v>
      </c>
      <c r="AA344" s="6">
        <v>-41347</v>
      </c>
      <c r="AC344" s="12">
        <f t="shared" si="69"/>
        <v>3722992</v>
      </c>
      <c r="AE344" s="6">
        <f t="shared" si="70"/>
        <v>0</v>
      </c>
    </row>
    <row r="345" spans="1:31" hidden="1">
      <c r="A345" s="11" t="s">
        <v>806</v>
      </c>
      <c r="B345" s="11"/>
      <c r="C345" s="11" t="s">
        <v>33</v>
      </c>
      <c r="I345" s="2">
        <f t="shared" si="63"/>
        <v>0</v>
      </c>
      <c r="M345" s="2">
        <f t="shared" si="64"/>
        <v>0</v>
      </c>
      <c r="AC345" s="12">
        <f t="shared" si="69"/>
        <v>0</v>
      </c>
      <c r="AE345" s="6">
        <f t="shared" si="70"/>
        <v>0</v>
      </c>
    </row>
    <row r="346" spans="1:31">
      <c r="A346" s="11" t="s">
        <v>638</v>
      </c>
      <c r="B346" s="11"/>
      <c r="C346" s="11" t="s">
        <v>64</v>
      </c>
      <c r="E346" s="6">
        <v>1158126</v>
      </c>
      <c r="G346" s="6">
        <v>21725</v>
      </c>
      <c r="I346" s="2">
        <f t="shared" si="63"/>
        <v>2211280</v>
      </c>
      <c r="K346" s="6">
        <v>3391131</v>
      </c>
      <c r="M346" s="2">
        <f t="shared" si="64"/>
        <v>713655</v>
      </c>
      <c r="O346" s="6">
        <v>2206030</v>
      </c>
      <c r="Q346" s="6">
        <v>2919685</v>
      </c>
      <c r="S346" s="6">
        <v>22043</v>
      </c>
      <c r="U346" s="6">
        <v>446045</v>
      </c>
      <c r="W346" s="6">
        <v>17728</v>
      </c>
      <c r="Y346" s="6">
        <v>3254</v>
      </c>
      <c r="AA346" s="6">
        <v>-17624</v>
      </c>
      <c r="AC346" s="12">
        <f t="shared" si="69"/>
        <v>471446</v>
      </c>
      <c r="AE346" s="6">
        <f t="shared" si="70"/>
        <v>0</v>
      </c>
    </row>
    <row r="347" spans="1:31">
      <c r="A347" s="11" t="s">
        <v>768</v>
      </c>
      <c r="B347" s="11"/>
      <c r="C347" s="11" t="s">
        <v>228</v>
      </c>
      <c r="E347" s="6">
        <f>1071406+150625</f>
        <v>1222031</v>
      </c>
      <c r="G347" s="6">
        <v>0</v>
      </c>
      <c r="I347" s="2">
        <f t="shared" si="63"/>
        <v>3548430</v>
      </c>
      <c r="K347" s="6">
        <v>4770461</v>
      </c>
      <c r="M347" s="2">
        <f t="shared" si="64"/>
        <v>1454870</v>
      </c>
      <c r="O347" s="6">
        <f>325234+2293867</f>
        <v>2619101</v>
      </c>
      <c r="Q347" s="6">
        <v>4073971</v>
      </c>
      <c r="S347" s="6">
        <f>1726+3609+119021</f>
        <v>124356</v>
      </c>
      <c r="U347" s="6">
        <f>211321+584717+59846</f>
        <v>855884</v>
      </c>
      <c r="W347" s="6">
        <v>20357</v>
      </c>
      <c r="Y347" s="6">
        <v>0</v>
      </c>
      <c r="AA347" s="6">
        <v>-304107</v>
      </c>
      <c r="AC347" s="12">
        <f t="shared" si="69"/>
        <v>696490</v>
      </c>
      <c r="AE347" s="6">
        <f t="shared" si="70"/>
        <v>0</v>
      </c>
    </row>
    <row r="348" spans="1:31">
      <c r="A348" s="11" t="s">
        <v>418</v>
      </c>
      <c r="B348" s="11"/>
      <c r="C348" s="11" t="s">
        <v>47</v>
      </c>
      <c r="E348" s="6">
        <v>29690107</v>
      </c>
      <c r="G348" s="6">
        <v>0</v>
      </c>
      <c r="I348" s="2">
        <f t="shared" si="63"/>
        <v>53285840</v>
      </c>
      <c r="K348" s="6">
        <v>82975947</v>
      </c>
      <c r="M348" s="2">
        <f t="shared" si="64"/>
        <v>8564283</v>
      </c>
      <c r="O348" s="6">
        <v>47264673</v>
      </c>
      <c r="Q348" s="6">
        <f>8564283+47264673</f>
        <v>55828956</v>
      </c>
      <c r="S348" s="6">
        <v>120753</v>
      </c>
      <c r="U348" s="6">
        <v>10657660</v>
      </c>
      <c r="W348" s="6">
        <v>0</v>
      </c>
      <c r="Y348" s="6">
        <v>1107297</v>
      </c>
      <c r="AA348" s="6">
        <v>15261281</v>
      </c>
      <c r="AC348" s="12">
        <f t="shared" si="69"/>
        <v>27146991</v>
      </c>
      <c r="AE348" s="6">
        <f t="shared" si="70"/>
        <v>0</v>
      </c>
    </row>
    <row r="349" spans="1:31">
      <c r="A349" s="11" t="s">
        <v>421</v>
      </c>
      <c r="B349" s="11"/>
      <c r="C349" s="11" t="s">
        <v>420</v>
      </c>
      <c r="E349" s="6">
        <v>1705572</v>
      </c>
      <c r="G349" s="6">
        <v>68154</v>
      </c>
      <c r="I349" s="2">
        <f t="shared" si="63"/>
        <v>5249763</v>
      </c>
      <c r="K349" s="6">
        <v>7023489</v>
      </c>
      <c r="M349" s="2">
        <f t="shared" si="64"/>
        <v>2032501</v>
      </c>
      <c r="O349" s="6">
        <v>3115417</v>
      </c>
      <c r="Q349" s="6">
        <v>5147918</v>
      </c>
      <c r="S349" s="6">
        <v>93600</v>
      </c>
      <c r="U349" s="6">
        <v>1123122</v>
      </c>
      <c r="W349" s="6">
        <v>0</v>
      </c>
      <c r="Y349" s="6">
        <v>327107</v>
      </c>
      <c r="AA349" s="6">
        <v>331742</v>
      </c>
      <c r="AC349" s="12">
        <f t="shared" si="69"/>
        <v>1875571</v>
      </c>
      <c r="AE349" s="6">
        <f t="shared" si="70"/>
        <v>0</v>
      </c>
    </row>
    <row r="350" spans="1:31">
      <c r="A350" s="11" t="s">
        <v>769</v>
      </c>
      <c r="B350" s="11"/>
      <c r="C350" s="11" t="s">
        <v>41</v>
      </c>
      <c r="E350" s="6">
        <v>60833728</v>
      </c>
      <c r="G350" s="6">
        <v>0</v>
      </c>
      <c r="I350" s="2">
        <f t="shared" si="63"/>
        <v>63852790</v>
      </c>
      <c r="K350" s="6">
        <v>124686518</v>
      </c>
      <c r="M350" s="2">
        <f t="shared" si="64"/>
        <v>14175170</v>
      </c>
      <c r="O350" s="6">
        <v>56981982</v>
      </c>
      <c r="Q350" s="6">
        <v>71157152</v>
      </c>
      <c r="S350" s="6">
        <v>143139</v>
      </c>
      <c r="U350" s="6">
        <v>1252123</v>
      </c>
      <c r="W350" s="6">
        <v>213221</v>
      </c>
      <c r="Y350" s="6">
        <v>13254424</v>
      </c>
      <c r="AA350" s="6">
        <v>38666459</v>
      </c>
      <c r="AC350" s="12">
        <f t="shared" si="69"/>
        <v>53529366</v>
      </c>
      <c r="AE350" s="6">
        <f t="shared" si="70"/>
        <v>0</v>
      </c>
    </row>
    <row r="351" spans="1:31">
      <c r="A351" s="11" t="s">
        <v>424</v>
      </c>
      <c r="B351" s="11"/>
      <c r="C351" s="11" t="s">
        <v>48</v>
      </c>
      <c r="E351" s="6">
        <v>3588211</v>
      </c>
      <c r="G351" s="6">
        <v>62203</v>
      </c>
      <c r="I351" s="2">
        <f t="shared" si="63"/>
        <v>6815689</v>
      </c>
      <c r="K351" s="6">
        <v>10466103</v>
      </c>
      <c r="M351" s="2">
        <f t="shared" si="64"/>
        <v>1991486</v>
      </c>
      <c r="O351" s="6">
        <f>594568+3961125</f>
        <v>4555693</v>
      </c>
      <c r="Q351" s="6">
        <v>6547179</v>
      </c>
      <c r="S351" s="6">
        <f>58317+24650</f>
        <v>82967</v>
      </c>
      <c r="U351" s="6">
        <f>903473+1920053+263946+107358+3903+44064+73225</f>
        <v>3316022</v>
      </c>
      <c r="W351" s="6">
        <v>0</v>
      </c>
      <c r="Y351" s="6">
        <f>3363+46468+932+47941</f>
        <v>98704</v>
      </c>
      <c r="AA351" s="6">
        <v>421231</v>
      </c>
      <c r="AC351" s="12">
        <f t="shared" si="69"/>
        <v>3918924</v>
      </c>
      <c r="AE351" s="6">
        <f t="shared" si="70"/>
        <v>0</v>
      </c>
    </row>
    <row r="352" spans="1:31">
      <c r="A352" s="11" t="s">
        <v>297</v>
      </c>
      <c r="B352" s="11"/>
      <c r="C352" s="11" t="s">
        <v>26</v>
      </c>
      <c r="E352" s="6">
        <f>13239274+3581937</f>
        <v>16821211</v>
      </c>
      <c r="G352" s="6">
        <v>268239</v>
      </c>
      <c r="I352" s="2">
        <f t="shared" si="63"/>
        <v>15086911</v>
      </c>
      <c r="K352" s="6">
        <v>32176361</v>
      </c>
      <c r="M352" s="2">
        <f t="shared" si="64"/>
        <v>3021840</v>
      </c>
      <c r="O352" s="6">
        <v>9159469</v>
      </c>
      <c r="Q352" s="6">
        <v>12181309</v>
      </c>
      <c r="S352" s="6">
        <v>10072</v>
      </c>
      <c r="U352" s="6">
        <v>6335207</v>
      </c>
      <c r="W352" s="6">
        <v>1020315</v>
      </c>
      <c r="Y352" s="6">
        <v>3385419</v>
      </c>
      <c r="AA352" s="6">
        <v>9244039</v>
      </c>
      <c r="AC352" s="12">
        <f t="shared" si="69"/>
        <v>19995052</v>
      </c>
      <c r="AE352" s="6">
        <f t="shared" si="70"/>
        <v>0</v>
      </c>
    </row>
    <row r="353" spans="1:31">
      <c r="A353" s="11" t="s">
        <v>432</v>
      </c>
      <c r="B353" s="11"/>
      <c r="C353" s="11" t="s">
        <v>50</v>
      </c>
      <c r="E353" s="6">
        <f>20608221+39632</f>
        <v>20647853</v>
      </c>
      <c r="G353" s="6">
        <v>26609441</v>
      </c>
      <c r="I353" s="2">
        <f t="shared" si="63"/>
        <v>33798076</v>
      </c>
      <c r="K353" s="6">
        <v>81055370</v>
      </c>
      <c r="M353" s="2">
        <f t="shared" si="64"/>
        <v>27952174</v>
      </c>
      <c r="O353" s="6">
        <v>30941849</v>
      </c>
      <c r="Q353" s="6">
        <v>58894023</v>
      </c>
      <c r="S353" s="6">
        <v>27141</v>
      </c>
      <c r="U353" s="6">
        <v>30412219</v>
      </c>
      <c r="W353" s="6">
        <v>11000</v>
      </c>
      <c r="Y353" s="6">
        <v>448365</v>
      </c>
      <c r="AA353" s="6">
        <v>-8737378</v>
      </c>
      <c r="AC353" s="12">
        <f t="shared" si="69"/>
        <v>22161347</v>
      </c>
      <c r="AE353" s="6">
        <f t="shared" si="70"/>
        <v>0</v>
      </c>
    </row>
    <row r="354" spans="1:31" hidden="1">
      <c r="A354" s="11" t="s">
        <v>812</v>
      </c>
      <c r="B354" s="11"/>
      <c r="C354" s="11" t="s">
        <v>53</v>
      </c>
      <c r="I354" s="2">
        <f t="shared" si="63"/>
        <v>0</v>
      </c>
      <c r="M354" s="2">
        <f t="shared" si="64"/>
        <v>0</v>
      </c>
      <c r="AC354" s="12">
        <f t="shared" si="69"/>
        <v>0</v>
      </c>
      <c r="AE354" s="6">
        <f t="shared" si="70"/>
        <v>0</v>
      </c>
    </row>
    <row r="355" spans="1:31">
      <c r="A355" s="11" t="s">
        <v>225</v>
      </c>
      <c r="B355" s="11"/>
      <c r="C355" s="11" t="s">
        <v>221</v>
      </c>
      <c r="E355" s="6">
        <v>4937505</v>
      </c>
      <c r="G355" s="6">
        <v>24610</v>
      </c>
      <c r="I355" s="2">
        <f t="shared" si="63"/>
        <v>41888195</v>
      </c>
      <c r="K355" s="6">
        <v>46850310</v>
      </c>
      <c r="M355" s="2">
        <f t="shared" si="64"/>
        <v>9200222</v>
      </c>
      <c r="O355" s="6">
        <v>38536755</v>
      </c>
      <c r="Q355" s="6">
        <v>47736977</v>
      </c>
      <c r="S355" s="6">
        <v>29397</v>
      </c>
      <c r="U355" s="6">
        <v>3278435</v>
      </c>
      <c r="W355" s="6">
        <v>8111</v>
      </c>
      <c r="Y355" s="6">
        <v>306347</v>
      </c>
      <c r="AA355" s="6">
        <v>-4508957</v>
      </c>
      <c r="AC355" s="12">
        <f t="shared" si="69"/>
        <v>-886667</v>
      </c>
      <c r="AE355" s="6">
        <f t="shared" si="70"/>
        <v>0</v>
      </c>
    </row>
    <row r="356" spans="1:31">
      <c r="A356" s="11" t="s">
        <v>387</v>
      </c>
      <c r="B356" s="11"/>
      <c r="C356" s="11" t="s">
        <v>44</v>
      </c>
      <c r="E356" s="6">
        <f>9633022+3555</f>
        <v>9636577</v>
      </c>
      <c r="G356" s="6">
        <v>4372941</v>
      </c>
      <c r="I356" s="2">
        <f t="shared" si="63"/>
        <v>13437848</v>
      </c>
      <c r="K356" s="6">
        <v>27447366</v>
      </c>
      <c r="M356" s="2">
        <f t="shared" si="64"/>
        <v>5635247</v>
      </c>
      <c r="O356" s="6">
        <v>11298662</v>
      </c>
      <c r="Q356" s="6">
        <v>16933909</v>
      </c>
      <c r="S356" s="6">
        <v>221116</v>
      </c>
      <c r="U356" s="6">
        <v>7489644</v>
      </c>
      <c r="W356" s="6">
        <v>204134</v>
      </c>
      <c r="Y356" s="6">
        <v>455069</v>
      </c>
      <c r="AA356" s="6">
        <v>2143494</v>
      </c>
      <c r="AC356" s="12">
        <f t="shared" si="69"/>
        <v>10513457</v>
      </c>
      <c r="AE356" s="6">
        <f t="shared" si="70"/>
        <v>0</v>
      </c>
    </row>
    <row r="357" spans="1:31">
      <c r="A357" s="11" t="s">
        <v>770</v>
      </c>
      <c r="B357" s="11"/>
      <c r="C357" s="11" t="s">
        <v>113</v>
      </c>
      <c r="E357" s="6">
        <v>20771251</v>
      </c>
      <c r="G357" s="6">
        <v>10051</v>
      </c>
      <c r="I357" s="2">
        <f t="shared" si="63"/>
        <v>38917755</v>
      </c>
      <c r="K357" s="6">
        <v>59699057</v>
      </c>
      <c r="M357" s="2">
        <f t="shared" si="64"/>
        <v>6622131</v>
      </c>
      <c r="O357" s="6">
        <v>34371260</v>
      </c>
      <c r="Q357" s="6">
        <v>40993391</v>
      </c>
      <c r="S357" s="6">
        <v>126137</v>
      </c>
      <c r="U357" s="6">
        <v>5447045</v>
      </c>
      <c r="W357" s="6">
        <v>0</v>
      </c>
      <c r="Y357" s="6">
        <v>2438397</v>
      </c>
      <c r="AA357" s="6">
        <v>10694087</v>
      </c>
      <c r="AC357" s="12">
        <f t="shared" si="69"/>
        <v>18705666</v>
      </c>
      <c r="AE357" s="6">
        <f t="shared" si="70"/>
        <v>0</v>
      </c>
    </row>
    <row r="358" spans="1:31" hidden="1">
      <c r="A358" s="11" t="s">
        <v>613</v>
      </c>
      <c r="B358" s="11"/>
      <c r="C358" s="11" t="s">
        <v>552</v>
      </c>
      <c r="I358" s="2">
        <f t="shared" si="63"/>
        <v>0</v>
      </c>
      <c r="M358" s="2">
        <f t="shared" si="64"/>
        <v>0</v>
      </c>
      <c r="AC358" s="12">
        <f t="shared" si="69"/>
        <v>0</v>
      </c>
      <c r="AE358" s="6">
        <f t="shared" si="70"/>
        <v>0</v>
      </c>
    </row>
    <row r="359" spans="1:31" hidden="1">
      <c r="A359" s="11" t="s">
        <v>892</v>
      </c>
      <c r="B359" s="11"/>
      <c r="C359" s="11" t="s">
        <v>467</v>
      </c>
      <c r="I359" s="2">
        <f t="shared" si="63"/>
        <v>0</v>
      </c>
      <c r="M359" s="2">
        <f t="shared" si="64"/>
        <v>0</v>
      </c>
      <c r="AC359" s="12">
        <f t="shared" si="69"/>
        <v>0</v>
      </c>
      <c r="AE359" s="6">
        <f t="shared" si="70"/>
        <v>0</v>
      </c>
    </row>
    <row r="360" spans="1:31" hidden="1">
      <c r="A360" s="11" t="s">
        <v>807</v>
      </c>
      <c r="B360" s="11"/>
      <c r="C360" s="11" t="s">
        <v>48</v>
      </c>
      <c r="I360" s="2">
        <f t="shared" si="63"/>
        <v>0</v>
      </c>
      <c r="M360" s="2">
        <f t="shared" si="64"/>
        <v>0</v>
      </c>
      <c r="AC360" s="12">
        <f t="shared" si="69"/>
        <v>0</v>
      </c>
      <c r="AE360" s="6">
        <f t="shared" si="70"/>
        <v>0</v>
      </c>
    </row>
    <row r="361" spans="1:31">
      <c r="A361" s="11" t="s">
        <v>502</v>
      </c>
      <c r="B361" s="11"/>
      <c r="C361" s="11" t="s">
        <v>62</v>
      </c>
      <c r="E361" s="6">
        <v>2084900</v>
      </c>
      <c r="G361" s="6">
        <v>0</v>
      </c>
      <c r="I361" s="2">
        <f t="shared" si="63"/>
        <v>7284662</v>
      </c>
      <c r="K361" s="6">
        <v>9369562</v>
      </c>
      <c r="M361" s="2">
        <f t="shared" si="64"/>
        <v>2706884</v>
      </c>
      <c r="O361" s="6">
        <v>5600382</v>
      </c>
      <c r="Q361" s="6">
        <v>8307266</v>
      </c>
      <c r="S361" s="6">
        <v>580449</v>
      </c>
      <c r="U361" s="6">
        <v>1303783</v>
      </c>
      <c r="W361" s="6">
        <v>0</v>
      </c>
      <c r="Y361" s="6">
        <v>5500</v>
      </c>
      <c r="AA361" s="6">
        <v>-827436</v>
      </c>
      <c r="AC361" s="12">
        <f t="shared" si="69"/>
        <v>1062296</v>
      </c>
      <c r="AE361" s="6">
        <f t="shared" si="70"/>
        <v>0</v>
      </c>
    </row>
    <row r="362" spans="1:31">
      <c r="A362" s="11" t="s">
        <v>482</v>
      </c>
      <c r="B362" s="11"/>
      <c r="C362" s="11" t="s">
        <v>59</v>
      </c>
      <c r="E362" s="6">
        <v>2496573</v>
      </c>
      <c r="G362" s="6">
        <v>0</v>
      </c>
      <c r="I362" s="2">
        <f t="shared" si="63"/>
        <v>2636362</v>
      </c>
      <c r="K362" s="6">
        <v>5132935</v>
      </c>
      <c r="M362" s="2">
        <f t="shared" si="64"/>
        <v>1275928</v>
      </c>
      <c r="O362" s="6">
        <v>2300675</v>
      </c>
      <c r="Q362" s="6">
        <v>3576603</v>
      </c>
      <c r="S362" s="6">
        <v>0</v>
      </c>
      <c r="U362" s="6">
        <v>1210580</v>
      </c>
      <c r="W362" s="6">
        <v>38709</v>
      </c>
      <c r="Y362" s="6">
        <v>268980</v>
      </c>
      <c r="AA362" s="6">
        <v>38063</v>
      </c>
      <c r="AC362" s="12">
        <f t="shared" si="69"/>
        <v>1556332</v>
      </c>
      <c r="AE362" s="6">
        <f t="shared" si="70"/>
        <v>0</v>
      </c>
    </row>
    <row r="363" spans="1:31">
      <c r="A363" s="11" t="s">
        <v>213</v>
      </c>
      <c r="B363" s="11"/>
      <c r="C363" s="11" t="s">
        <v>14</v>
      </c>
      <c r="E363" s="6">
        <v>1247110</v>
      </c>
      <c r="G363" s="6">
        <v>10076</v>
      </c>
      <c r="I363" s="2">
        <f t="shared" si="63"/>
        <v>4705447</v>
      </c>
      <c r="K363" s="6">
        <v>5962633</v>
      </c>
      <c r="M363" s="2">
        <f t="shared" si="64"/>
        <v>1113473</v>
      </c>
      <c r="O363" s="6">
        <v>3837066</v>
      </c>
      <c r="Q363" s="6">
        <v>4950539</v>
      </c>
      <c r="S363" s="6">
        <v>35253</v>
      </c>
      <c r="U363" s="6">
        <v>828578</v>
      </c>
      <c r="W363" s="6">
        <v>0</v>
      </c>
      <c r="Y363" s="6">
        <v>68339</v>
      </c>
      <c r="AA363" s="6">
        <v>79924</v>
      </c>
      <c r="AC363" s="12">
        <f t="shared" si="69"/>
        <v>1012094</v>
      </c>
      <c r="AE363" s="6">
        <f t="shared" si="70"/>
        <v>0</v>
      </c>
    </row>
    <row r="364" spans="1:31" hidden="1">
      <c r="A364" s="11" t="s">
        <v>640</v>
      </c>
      <c r="B364" s="11"/>
      <c r="C364" s="11" t="s">
        <v>21</v>
      </c>
      <c r="I364" s="2">
        <f t="shared" si="63"/>
        <v>0</v>
      </c>
      <c r="M364" s="2">
        <f t="shared" si="64"/>
        <v>0</v>
      </c>
      <c r="AC364" s="12">
        <f t="shared" si="69"/>
        <v>0</v>
      </c>
      <c r="AE364" s="6">
        <f t="shared" si="70"/>
        <v>0</v>
      </c>
    </row>
    <row r="365" spans="1:31">
      <c r="A365" s="11" t="s">
        <v>510</v>
      </c>
      <c r="B365" s="11"/>
      <c r="C365" s="11" t="s">
        <v>63</v>
      </c>
      <c r="E365" s="6">
        <f>3567473+1015</f>
        <v>3568488</v>
      </c>
      <c r="G365" s="6">
        <v>38414</v>
      </c>
      <c r="I365" s="2">
        <f t="shared" ref="I365:I433" si="71">K365-E365-G365</f>
        <v>3743346</v>
      </c>
      <c r="K365" s="6">
        <v>7350248</v>
      </c>
      <c r="M365" s="2">
        <f t="shared" ref="M365:M433" si="72">Q365-O365</f>
        <v>994286</v>
      </c>
      <c r="O365" s="6">
        <v>3304593</v>
      </c>
      <c r="Q365" s="6">
        <v>4298879</v>
      </c>
      <c r="S365" s="6">
        <v>0</v>
      </c>
      <c r="U365" s="6">
        <v>805064</v>
      </c>
      <c r="W365" s="6">
        <v>0</v>
      </c>
      <c r="Y365" s="6">
        <v>151908</v>
      </c>
      <c r="AA365" s="6">
        <v>2094397</v>
      </c>
      <c r="AC365" s="12">
        <f t="shared" si="69"/>
        <v>3051369</v>
      </c>
      <c r="AE365" s="6">
        <f t="shared" si="70"/>
        <v>0</v>
      </c>
    </row>
    <row r="366" spans="1:31" hidden="1">
      <c r="A366" s="11" t="s">
        <v>621</v>
      </c>
      <c r="B366" s="11"/>
      <c r="C366" s="11" t="s">
        <v>558</v>
      </c>
      <c r="I366" s="2">
        <f t="shared" si="71"/>
        <v>0</v>
      </c>
      <c r="M366" s="2">
        <f t="shared" si="72"/>
        <v>0</v>
      </c>
      <c r="AC366" s="12">
        <f t="shared" si="69"/>
        <v>0</v>
      </c>
      <c r="AE366" s="6">
        <f t="shared" si="70"/>
        <v>0</v>
      </c>
    </row>
    <row r="367" spans="1:31" hidden="1">
      <c r="A367" s="10" t="s">
        <v>879</v>
      </c>
      <c r="B367" s="11"/>
      <c r="C367" s="11" t="s">
        <v>221</v>
      </c>
      <c r="E367" s="6">
        <v>0</v>
      </c>
      <c r="G367" s="6">
        <v>0</v>
      </c>
      <c r="I367" s="2">
        <f t="shared" si="71"/>
        <v>0</v>
      </c>
      <c r="K367" s="6">
        <v>0</v>
      </c>
      <c r="M367" s="2">
        <f t="shared" si="72"/>
        <v>0</v>
      </c>
      <c r="O367" s="6">
        <v>0</v>
      </c>
      <c r="Q367" s="6">
        <v>0</v>
      </c>
      <c r="S367" s="6">
        <v>0</v>
      </c>
      <c r="U367" s="6">
        <v>0</v>
      </c>
      <c r="W367" s="6">
        <v>0</v>
      </c>
      <c r="Y367" s="6">
        <v>0</v>
      </c>
      <c r="AA367" s="6">
        <v>0</v>
      </c>
      <c r="AC367" s="12">
        <f t="shared" si="69"/>
        <v>0</v>
      </c>
      <c r="AE367" s="6">
        <f t="shared" si="70"/>
        <v>0</v>
      </c>
    </row>
    <row r="368" spans="1:31">
      <c r="A368" s="11" t="s">
        <v>356</v>
      </c>
      <c r="B368" s="11"/>
      <c r="C368" s="11" t="s">
        <v>37</v>
      </c>
      <c r="E368" s="6">
        <v>1104019</v>
      </c>
      <c r="G368" s="6">
        <v>5235</v>
      </c>
      <c r="I368" s="2">
        <f t="shared" si="71"/>
        <v>2779343</v>
      </c>
      <c r="K368" s="6">
        <v>3888597</v>
      </c>
      <c r="M368" s="2">
        <f t="shared" si="72"/>
        <v>1043173</v>
      </c>
      <c r="O368" s="6">
        <f>133125+1799632</f>
        <v>1932757</v>
      </c>
      <c r="Q368" s="6">
        <v>2975930</v>
      </c>
      <c r="S368" s="6">
        <f>3659+3237+648</f>
        <v>7544</v>
      </c>
      <c r="U368" s="6">
        <f>172063+10257+212+14776+4893+5235</f>
        <v>207436</v>
      </c>
      <c r="W368" s="6">
        <v>0</v>
      </c>
      <c r="Y368" s="6">
        <f>2858+59548+1062+21729+9036</f>
        <v>94233</v>
      </c>
      <c r="AA368" s="6">
        <v>603454</v>
      </c>
      <c r="AC368" s="12">
        <f t="shared" si="69"/>
        <v>912667</v>
      </c>
      <c r="AE368" s="6">
        <f t="shared" si="70"/>
        <v>0</v>
      </c>
    </row>
    <row r="369" spans="1:31" hidden="1">
      <c r="A369" s="11" t="s">
        <v>808</v>
      </c>
      <c r="B369" s="11"/>
      <c r="C369" s="11" t="s">
        <v>552</v>
      </c>
      <c r="I369" s="2">
        <f t="shared" si="71"/>
        <v>0</v>
      </c>
      <c r="M369" s="2">
        <f t="shared" si="72"/>
        <v>0</v>
      </c>
      <c r="AC369" s="12">
        <f t="shared" si="69"/>
        <v>0</v>
      </c>
      <c r="AE369" s="6">
        <f t="shared" si="70"/>
        <v>0</v>
      </c>
    </row>
    <row r="370" spans="1:31">
      <c r="A370" s="11" t="s">
        <v>439</v>
      </c>
      <c r="B370" s="11"/>
      <c r="C370" s="11" t="s">
        <v>440</v>
      </c>
      <c r="E370" s="6">
        <f>13804849+19504</f>
        <v>13824353</v>
      </c>
      <c r="G370" s="6">
        <v>76683</v>
      </c>
      <c r="I370" s="2">
        <f t="shared" si="71"/>
        <v>7334767</v>
      </c>
      <c r="K370" s="6">
        <v>21235803</v>
      </c>
      <c r="M370" s="2">
        <f t="shared" si="72"/>
        <v>2568242</v>
      </c>
      <c r="O370" s="6">
        <v>5999962</v>
      </c>
      <c r="Q370" s="6">
        <f>2568242+5999962</f>
        <v>8568204</v>
      </c>
      <c r="S370" s="6">
        <v>65519</v>
      </c>
      <c r="U370" s="6">
        <v>5842606</v>
      </c>
      <c r="W370" s="6">
        <v>0</v>
      </c>
      <c r="Y370" s="6">
        <v>5100903</v>
      </c>
      <c r="AA370" s="6">
        <v>1658571</v>
      </c>
      <c r="AC370" s="12">
        <f t="shared" si="69"/>
        <v>12667599</v>
      </c>
      <c r="AE370" s="6">
        <f t="shared" si="70"/>
        <v>0</v>
      </c>
    </row>
    <row r="371" spans="1:31">
      <c r="A371" s="11" t="s">
        <v>771</v>
      </c>
      <c r="B371" s="11"/>
      <c r="C371" s="11" t="s">
        <v>78</v>
      </c>
      <c r="E371" s="6">
        <v>5797766</v>
      </c>
      <c r="G371" s="6">
        <v>0</v>
      </c>
      <c r="I371" s="2">
        <f t="shared" si="71"/>
        <v>6025794</v>
      </c>
      <c r="K371" s="6">
        <v>11823560</v>
      </c>
      <c r="M371" s="2">
        <f t="shared" si="72"/>
        <v>1486592</v>
      </c>
      <c r="O371" s="6">
        <v>4655799</v>
      </c>
      <c r="Q371" s="6">
        <v>6142391</v>
      </c>
      <c r="S371" s="6">
        <v>0</v>
      </c>
      <c r="U371" s="6">
        <v>2890882</v>
      </c>
      <c r="W371" s="6">
        <v>0</v>
      </c>
      <c r="Y371" s="6">
        <v>188513</v>
      </c>
      <c r="AA371" s="6">
        <v>2601774</v>
      </c>
      <c r="AC371" s="12">
        <f t="shared" si="69"/>
        <v>5681169</v>
      </c>
      <c r="AE371" s="6">
        <f t="shared" si="70"/>
        <v>0</v>
      </c>
    </row>
    <row r="372" spans="1:31" hidden="1">
      <c r="A372" s="10" t="s">
        <v>880</v>
      </c>
      <c r="B372" s="11"/>
      <c r="C372" s="11" t="s">
        <v>40</v>
      </c>
      <c r="E372" s="6">
        <v>0</v>
      </c>
      <c r="G372" s="6">
        <v>0</v>
      </c>
      <c r="I372" s="2">
        <f t="shared" si="71"/>
        <v>0</v>
      </c>
      <c r="K372" s="6">
        <v>0</v>
      </c>
      <c r="M372" s="2">
        <f t="shared" si="72"/>
        <v>0</v>
      </c>
      <c r="O372" s="6">
        <v>0</v>
      </c>
      <c r="Q372" s="6">
        <v>0</v>
      </c>
      <c r="S372" s="6">
        <v>0</v>
      </c>
      <c r="U372" s="6">
        <v>0</v>
      </c>
      <c r="W372" s="6">
        <v>0</v>
      </c>
      <c r="Y372" s="6">
        <v>0</v>
      </c>
      <c r="AA372" s="6">
        <v>0</v>
      </c>
      <c r="AC372" s="12">
        <f t="shared" si="69"/>
        <v>0</v>
      </c>
      <c r="AE372" s="6">
        <f t="shared" si="70"/>
        <v>0</v>
      </c>
    </row>
    <row r="373" spans="1:31">
      <c r="A373" s="11" t="s">
        <v>712</v>
      </c>
      <c r="B373" s="11"/>
      <c r="C373" s="11" t="s">
        <v>32</v>
      </c>
      <c r="E373" s="6">
        <v>5401158</v>
      </c>
      <c r="G373" s="6">
        <v>302301</v>
      </c>
      <c r="I373" s="2">
        <f t="shared" si="71"/>
        <v>16600678</v>
      </c>
      <c r="K373" s="6">
        <v>22304137</v>
      </c>
      <c r="M373" s="2">
        <f t="shared" si="72"/>
        <v>5276558</v>
      </c>
      <c r="O373" s="6">
        <v>9967735</v>
      </c>
      <c r="Q373" s="6">
        <v>15244293</v>
      </c>
      <c r="S373" s="6">
        <v>13362</v>
      </c>
      <c r="U373" s="6">
        <v>2720671</v>
      </c>
      <c r="W373" s="6">
        <v>0</v>
      </c>
      <c r="Y373" s="6">
        <v>1459676</v>
      </c>
      <c r="AA373" s="6">
        <v>2866135</v>
      </c>
      <c r="AC373" s="12">
        <f t="shared" si="69"/>
        <v>7059844</v>
      </c>
      <c r="AE373" s="6">
        <f t="shared" si="70"/>
        <v>0</v>
      </c>
    </row>
    <row r="374" spans="1:31" s="28" customFormat="1">
      <c r="A374" s="27" t="s">
        <v>346</v>
      </c>
      <c r="B374" s="27"/>
      <c r="C374" s="27" t="s">
        <v>34</v>
      </c>
      <c r="E374" s="28">
        <v>12071650</v>
      </c>
      <c r="G374" s="28">
        <v>51337</v>
      </c>
      <c r="I374" s="30">
        <f t="shared" si="71"/>
        <v>11763122</v>
      </c>
      <c r="K374" s="28">
        <v>23886109</v>
      </c>
      <c r="M374" s="30">
        <f t="shared" si="72"/>
        <v>2924260</v>
      </c>
      <c r="O374" s="28">
        <v>10051008</v>
      </c>
      <c r="Q374" s="28">
        <v>12975268</v>
      </c>
      <c r="S374" s="28">
        <v>139950</v>
      </c>
      <c r="U374" s="28">
        <v>2503959</v>
      </c>
      <c r="W374" s="28">
        <v>0</v>
      </c>
      <c r="Y374" s="28">
        <v>473303</v>
      </c>
      <c r="AA374" s="28">
        <v>7793629</v>
      </c>
      <c r="AC374" s="37">
        <f t="shared" si="69"/>
        <v>10910841</v>
      </c>
      <c r="AE374" s="28">
        <f t="shared" si="70"/>
        <v>0</v>
      </c>
    </row>
    <row r="375" spans="1:31" hidden="1">
      <c r="A375" s="11" t="s">
        <v>765</v>
      </c>
      <c r="B375" s="11"/>
      <c r="C375" s="11" t="s">
        <v>57</v>
      </c>
      <c r="I375" s="2"/>
      <c r="M375" s="2"/>
      <c r="AC375" s="12"/>
    </row>
    <row r="376" spans="1:31">
      <c r="A376" s="11" t="s">
        <v>211</v>
      </c>
      <c r="B376" s="11"/>
      <c r="C376" s="11" t="s">
        <v>13</v>
      </c>
      <c r="E376" s="6">
        <f>5943713+11852+179700</f>
        <v>6135265</v>
      </c>
      <c r="G376" s="6">
        <v>20713</v>
      </c>
      <c r="I376" s="2">
        <f t="shared" si="71"/>
        <v>3145873</v>
      </c>
      <c r="K376" s="6">
        <v>9301851</v>
      </c>
      <c r="M376" s="2">
        <f t="shared" si="72"/>
        <v>1659646</v>
      </c>
      <c r="O376" s="6">
        <v>2548331</v>
      </c>
      <c r="Q376" s="6">
        <v>4207977</v>
      </c>
      <c r="S376" s="6">
        <v>1348</v>
      </c>
      <c r="U376" s="6">
        <v>2993457</v>
      </c>
      <c r="W376" s="6">
        <v>0</v>
      </c>
      <c r="Y376" s="6">
        <v>59108</v>
      </c>
      <c r="AA376" s="6">
        <v>2039961</v>
      </c>
      <c r="AC376" s="12">
        <f t="shared" si="69"/>
        <v>5093874</v>
      </c>
      <c r="AE376" s="6">
        <f t="shared" si="70"/>
        <v>0</v>
      </c>
    </row>
    <row r="377" spans="1:31">
      <c r="A377" s="11" t="s">
        <v>608</v>
      </c>
      <c r="B377" s="11"/>
      <c r="C377" s="11" t="s">
        <v>27</v>
      </c>
      <c r="E377" s="6">
        <v>25526830</v>
      </c>
      <c r="G377" s="6">
        <v>0</v>
      </c>
      <c r="I377" s="2">
        <f t="shared" si="71"/>
        <v>46402981</v>
      </c>
      <c r="K377" s="6">
        <v>71929811</v>
      </c>
      <c r="M377" s="2">
        <f t="shared" si="72"/>
        <v>7430405</v>
      </c>
      <c r="O377" s="6">
        <v>28738340</v>
      </c>
      <c r="Q377" s="6">
        <v>36168745</v>
      </c>
      <c r="S377" s="6">
        <v>18417</v>
      </c>
      <c r="U377" s="6">
        <f>7285473+1525240+127845+876496+89000+2054+155361</f>
        <v>10061469</v>
      </c>
      <c r="W377" s="6">
        <v>0</v>
      </c>
      <c r="Y377" s="6">
        <f>160423+1044528+187963+29068+100733</f>
        <v>1522715</v>
      </c>
      <c r="AA377" s="6">
        <v>24158465</v>
      </c>
      <c r="AC377" s="12">
        <f t="shared" si="69"/>
        <v>35761066</v>
      </c>
      <c r="AE377" s="6">
        <f t="shared" si="70"/>
        <v>0</v>
      </c>
    </row>
    <row r="378" spans="1:31">
      <c r="A378" s="11" t="s">
        <v>483</v>
      </c>
      <c r="B378" s="11"/>
      <c r="C378" s="11" t="s">
        <v>59</v>
      </c>
      <c r="E378" s="6">
        <v>9867997</v>
      </c>
      <c r="G378" s="6">
        <v>0</v>
      </c>
      <c r="I378" s="2">
        <f t="shared" si="71"/>
        <v>2814345</v>
      </c>
      <c r="K378" s="6">
        <v>12682342</v>
      </c>
      <c r="M378" s="2">
        <f t="shared" si="72"/>
        <v>2433813</v>
      </c>
      <c r="O378" s="6">
        <v>2532744</v>
      </c>
      <c r="Q378" s="6">
        <v>4966557</v>
      </c>
      <c r="S378" s="6">
        <v>19993</v>
      </c>
      <c r="U378" s="6">
        <v>6540162</v>
      </c>
      <c r="W378" s="6">
        <v>0</v>
      </c>
      <c r="Y378" s="6">
        <v>715950</v>
      </c>
      <c r="AA378" s="6">
        <v>439680</v>
      </c>
      <c r="AC378" s="12">
        <f t="shared" si="69"/>
        <v>7715785</v>
      </c>
      <c r="AE378" s="6">
        <f t="shared" si="70"/>
        <v>0</v>
      </c>
    </row>
    <row r="379" spans="1:31">
      <c r="A379" s="11" t="s">
        <v>214</v>
      </c>
      <c r="B379" s="11"/>
      <c r="C379" s="11" t="s">
        <v>14</v>
      </c>
      <c r="E379" s="6">
        <v>7779185</v>
      </c>
      <c r="G379" s="6">
        <v>0</v>
      </c>
      <c r="I379" s="2">
        <f t="shared" si="71"/>
        <v>3530812</v>
      </c>
      <c r="K379" s="6">
        <v>11309997</v>
      </c>
      <c r="M379" s="2">
        <f t="shared" si="72"/>
        <v>1081499</v>
      </c>
      <c r="O379" s="6">
        <v>2600747</v>
      </c>
      <c r="Q379" s="6">
        <v>3682246</v>
      </c>
      <c r="S379" s="6">
        <v>10582</v>
      </c>
      <c r="U379" s="6">
        <v>1567199</v>
      </c>
      <c r="W379" s="6">
        <v>0</v>
      </c>
      <c r="Y379" s="6">
        <v>14569</v>
      </c>
      <c r="AA379" s="6">
        <v>6035401</v>
      </c>
      <c r="AC379" s="12">
        <f t="shared" si="69"/>
        <v>7627751</v>
      </c>
      <c r="AE379" s="6">
        <f t="shared" si="70"/>
        <v>0</v>
      </c>
    </row>
    <row r="380" spans="1:31" hidden="1">
      <c r="A380" s="11" t="s">
        <v>706</v>
      </c>
      <c r="B380" s="11"/>
      <c r="C380" s="11" t="s">
        <v>14</v>
      </c>
      <c r="I380" s="2">
        <f t="shared" si="71"/>
        <v>0</v>
      </c>
      <c r="M380" s="2">
        <f t="shared" si="72"/>
        <v>0</v>
      </c>
      <c r="AC380" s="12">
        <f t="shared" si="69"/>
        <v>0</v>
      </c>
      <c r="AE380" s="6">
        <f t="shared" si="70"/>
        <v>0</v>
      </c>
    </row>
    <row r="381" spans="1:31">
      <c r="A381" s="11" t="s">
        <v>433</v>
      </c>
      <c r="B381" s="11"/>
      <c r="C381" s="11" t="s">
        <v>50</v>
      </c>
      <c r="E381" s="6">
        <v>6836958</v>
      </c>
      <c r="G381" s="6">
        <v>0</v>
      </c>
      <c r="I381" s="2">
        <f t="shared" si="71"/>
        <v>3601728</v>
      </c>
      <c r="K381" s="6">
        <v>10438686</v>
      </c>
      <c r="M381" s="2">
        <f t="shared" si="72"/>
        <v>1503717</v>
      </c>
      <c r="O381" s="6">
        <v>2856248</v>
      </c>
      <c r="Q381" s="6">
        <v>4359965</v>
      </c>
      <c r="S381" s="6">
        <v>8368</v>
      </c>
      <c r="U381" s="6">
        <v>1361557</v>
      </c>
      <c r="W381" s="6">
        <v>22868</v>
      </c>
      <c r="Y381" s="6">
        <v>791393</v>
      </c>
      <c r="AA381" s="6">
        <v>3894535</v>
      </c>
      <c r="AC381" s="12">
        <f t="shared" si="69"/>
        <v>6078721</v>
      </c>
      <c r="AE381" s="6">
        <f t="shared" si="70"/>
        <v>0</v>
      </c>
    </row>
    <row r="382" spans="1:31" hidden="1">
      <c r="A382" s="11" t="s">
        <v>809</v>
      </c>
      <c r="B382" s="11"/>
      <c r="C382" s="11" t="s">
        <v>451</v>
      </c>
      <c r="I382" s="2">
        <f t="shared" si="71"/>
        <v>0</v>
      </c>
      <c r="M382" s="2">
        <f t="shared" si="72"/>
        <v>0</v>
      </c>
      <c r="AC382" s="12">
        <f t="shared" si="69"/>
        <v>0</v>
      </c>
      <c r="AE382" s="6">
        <f t="shared" si="70"/>
        <v>0</v>
      </c>
    </row>
    <row r="383" spans="1:31">
      <c r="A383" s="11" t="s">
        <v>357</v>
      </c>
      <c r="B383" s="11"/>
      <c r="C383" s="11" t="s">
        <v>37</v>
      </c>
      <c r="E383" s="6">
        <v>3063712</v>
      </c>
      <c r="G383" s="6">
        <v>0</v>
      </c>
      <c r="I383" s="2">
        <f t="shared" si="71"/>
        <v>3119599</v>
      </c>
      <c r="K383" s="6">
        <v>6183311</v>
      </c>
      <c r="M383" s="2">
        <f t="shared" si="72"/>
        <v>1396129</v>
      </c>
      <c r="O383" s="6">
        <v>2168253</v>
      </c>
      <c r="Q383" s="6">
        <v>3564382</v>
      </c>
      <c r="S383" s="6">
        <v>11208</v>
      </c>
      <c r="U383" s="6">
        <v>1151378</v>
      </c>
      <c r="W383" s="6">
        <v>0</v>
      </c>
      <c r="Y383" s="6">
        <v>650111</v>
      </c>
      <c r="AA383" s="6">
        <v>806232</v>
      </c>
      <c r="AC383" s="12">
        <f t="shared" si="69"/>
        <v>2618929</v>
      </c>
      <c r="AE383" s="6">
        <f t="shared" si="70"/>
        <v>0</v>
      </c>
    </row>
    <row r="384" spans="1:31">
      <c r="A384" s="11" t="s">
        <v>226</v>
      </c>
      <c r="B384" s="11"/>
      <c r="C384" s="11" t="s">
        <v>221</v>
      </c>
      <c r="E384" s="6">
        <v>4164718</v>
      </c>
      <c r="G384" s="6">
        <v>0</v>
      </c>
      <c r="I384" s="2">
        <f t="shared" si="71"/>
        <v>1590445</v>
      </c>
      <c r="K384" s="6">
        <v>5755163</v>
      </c>
      <c r="M384" s="2">
        <f t="shared" si="72"/>
        <v>904042</v>
      </c>
      <c r="O384" s="6">
        <v>1264052</v>
      </c>
      <c r="Q384" s="6">
        <v>2168094</v>
      </c>
      <c r="S384" s="6">
        <v>7458</v>
      </c>
      <c r="U384" s="6">
        <v>493614</v>
      </c>
      <c r="W384" s="6">
        <v>0</v>
      </c>
      <c r="Y384" s="6">
        <v>3170293</v>
      </c>
      <c r="AA384" s="6">
        <v>-84296</v>
      </c>
      <c r="AC384" s="12">
        <f t="shared" si="69"/>
        <v>3587069</v>
      </c>
      <c r="AE384" s="6">
        <f t="shared" si="70"/>
        <v>0</v>
      </c>
    </row>
    <row r="385" spans="1:31">
      <c r="A385" s="11" t="s">
        <v>537</v>
      </c>
      <c r="B385" s="11"/>
      <c r="C385" s="11" t="s">
        <v>65</v>
      </c>
      <c r="E385" s="6">
        <v>9444828</v>
      </c>
      <c r="G385" s="6">
        <v>0</v>
      </c>
      <c r="I385" s="2">
        <f t="shared" si="71"/>
        <v>13216223</v>
      </c>
      <c r="K385" s="6">
        <f>22660846+205</f>
        <v>22661051</v>
      </c>
      <c r="M385" s="2">
        <f t="shared" si="72"/>
        <v>3849675</v>
      </c>
      <c r="O385" s="6">
        <v>11179440</v>
      </c>
      <c r="Q385" s="6">
        <v>15029115</v>
      </c>
      <c r="S385" s="6">
        <f>44881+19279</f>
        <v>64160</v>
      </c>
      <c r="U385" s="6">
        <f>698554+774548+261972</f>
        <v>1735074</v>
      </c>
      <c r="W385" s="6">
        <v>0</v>
      </c>
      <c r="Y385" s="6">
        <v>0</v>
      </c>
      <c r="AA385" s="6">
        <v>5832702</v>
      </c>
      <c r="AC385" s="12">
        <f t="shared" si="69"/>
        <v>7631936</v>
      </c>
      <c r="AE385" s="6">
        <f t="shared" si="70"/>
        <v>0</v>
      </c>
    </row>
    <row r="386" spans="1:31">
      <c r="A386" s="11" t="s">
        <v>772</v>
      </c>
      <c r="B386" s="11"/>
      <c r="C386" s="11" t="s">
        <v>113</v>
      </c>
      <c r="E386" s="6">
        <v>22509893</v>
      </c>
      <c r="G386" s="6">
        <v>0</v>
      </c>
      <c r="I386" s="2">
        <f t="shared" si="71"/>
        <v>13324001</v>
      </c>
      <c r="K386" s="6">
        <v>35833894</v>
      </c>
      <c r="M386" s="2">
        <f t="shared" si="72"/>
        <v>2593329</v>
      </c>
      <c r="O386" s="6">
        <v>12448222</v>
      </c>
      <c r="Q386" s="6">
        <v>15041551</v>
      </c>
      <c r="S386" s="6">
        <v>0</v>
      </c>
      <c r="U386" s="6">
        <v>147142</v>
      </c>
      <c r="W386" s="6">
        <v>11505</v>
      </c>
      <c r="Y386" s="6">
        <v>3312443</v>
      </c>
      <c r="AA386" s="6">
        <v>17321253</v>
      </c>
      <c r="AC386" s="12">
        <f t="shared" si="69"/>
        <v>20792343</v>
      </c>
      <c r="AE386" s="6">
        <f t="shared" si="70"/>
        <v>0</v>
      </c>
    </row>
    <row r="387" spans="1:31" hidden="1">
      <c r="A387" s="11" t="s">
        <v>810</v>
      </c>
      <c r="B387" s="11"/>
      <c r="C387" s="11" t="s">
        <v>60</v>
      </c>
      <c r="I387" s="2">
        <f t="shared" si="71"/>
        <v>0</v>
      </c>
      <c r="M387" s="2">
        <f t="shared" si="72"/>
        <v>0</v>
      </c>
      <c r="AC387" s="12">
        <f t="shared" si="69"/>
        <v>0</v>
      </c>
      <c r="AE387" s="6">
        <f t="shared" si="70"/>
        <v>0</v>
      </c>
    </row>
    <row r="388" spans="1:31">
      <c r="A388" s="11" t="s">
        <v>376</v>
      </c>
      <c r="B388" s="11"/>
      <c r="C388" s="11" t="s">
        <v>42</v>
      </c>
      <c r="E388" s="6">
        <v>37281815</v>
      </c>
      <c r="G388" s="6">
        <v>0</v>
      </c>
      <c r="I388" s="2">
        <f t="shared" si="71"/>
        <v>34311784</v>
      </c>
      <c r="K388" s="6">
        <v>71593599</v>
      </c>
      <c r="M388" s="2">
        <f t="shared" si="72"/>
        <v>10178122</v>
      </c>
      <c r="O388" s="6">
        <f>5858357+23830980</f>
        <v>29689337</v>
      </c>
      <c r="Q388" s="6">
        <v>39867459</v>
      </c>
      <c r="S388" s="6">
        <f>36233+79192</f>
        <v>115425</v>
      </c>
      <c r="U388" s="6">
        <f>3136030+13216054+1931248+628250+81833+228665+72805</f>
        <v>19294885</v>
      </c>
      <c r="W388" s="6">
        <f>189878+763383</f>
        <v>953261</v>
      </c>
      <c r="Y388" s="6">
        <f>36541+1586287+708+1559504+16944</f>
        <v>3199984</v>
      </c>
      <c r="AA388" s="6">
        <v>8162585</v>
      </c>
      <c r="AC388" s="12">
        <f t="shared" si="69"/>
        <v>31726140</v>
      </c>
      <c r="AE388" s="6">
        <f t="shared" si="70"/>
        <v>0</v>
      </c>
    </row>
    <row r="389" spans="1:31" hidden="1">
      <c r="A389" s="10" t="s">
        <v>881</v>
      </c>
      <c r="B389" s="11"/>
      <c r="C389" s="11" t="s">
        <v>30</v>
      </c>
      <c r="E389" s="6">
        <v>0</v>
      </c>
      <c r="G389" s="6">
        <v>0</v>
      </c>
      <c r="I389" s="2">
        <f t="shared" si="71"/>
        <v>0</v>
      </c>
      <c r="K389" s="6">
        <v>0</v>
      </c>
      <c r="M389" s="2">
        <f t="shared" si="72"/>
        <v>0</v>
      </c>
      <c r="O389" s="6">
        <v>0</v>
      </c>
      <c r="Q389" s="6">
        <v>0</v>
      </c>
      <c r="S389" s="6">
        <v>0</v>
      </c>
      <c r="U389" s="6">
        <v>0</v>
      </c>
      <c r="W389" s="6">
        <v>0</v>
      </c>
      <c r="Y389" s="6">
        <v>0</v>
      </c>
      <c r="AA389" s="6">
        <v>0</v>
      </c>
      <c r="AC389" s="12">
        <f t="shared" si="69"/>
        <v>0</v>
      </c>
      <c r="AE389" s="6">
        <f t="shared" si="70"/>
        <v>0</v>
      </c>
    </row>
    <row r="390" spans="1:31">
      <c r="A390" s="11" t="s">
        <v>773</v>
      </c>
      <c r="B390" s="11"/>
      <c r="C390" s="11" t="s">
        <v>65</v>
      </c>
      <c r="E390" s="6">
        <v>1605984</v>
      </c>
      <c r="G390" s="6">
        <v>0</v>
      </c>
      <c r="I390" s="2">
        <f t="shared" si="71"/>
        <v>3687521</v>
      </c>
      <c r="K390" s="6">
        <v>5293505</v>
      </c>
      <c r="M390" s="2">
        <f t="shared" si="72"/>
        <v>1787398</v>
      </c>
      <c r="O390" s="6">
        <f>363590+2408978</f>
        <v>2772568</v>
      </c>
      <c r="Q390" s="6">
        <v>4559966</v>
      </c>
      <c r="S390" s="6">
        <v>8382</v>
      </c>
      <c r="U390" s="6">
        <f>314230+92719+185814+1450+36856+144773+18895</f>
        <v>794737</v>
      </c>
      <c r="W390" s="6">
        <f>50432+18760</f>
        <v>69192</v>
      </c>
      <c r="Y390" s="6">
        <f>65811+222839+4866+9538+21070+129656</f>
        <v>453780</v>
      </c>
      <c r="AA390" s="6">
        <v>-592552</v>
      </c>
      <c r="AC390" s="12">
        <f t="shared" si="69"/>
        <v>733539</v>
      </c>
      <c r="AE390" s="6">
        <f t="shared" si="70"/>
        <v>0</v>
      </c>
    </row>
    <row r="391" spans="1:31">
      <c r="A391" s="11" t="s">
        <v>774</v>
      </c>
      <c r="B391" s="11"/>
      <c r="C391" s="11" t="s">
        <v>64</v>
      </c>
      <c r="E391" s="6">
        <v>2145361</v>
      </c>
      <c r="G391" s="6">
        <v>2208</v>
      </c>
      <c r="I391" s="2">
        <f t="shared" si="71"/>
        <v>4150652</v>
      </c>
      <c r="K391" s="6">
        <v>6298221</v>
      </c>
      <c r="M391" s="2">
        <f t="shared" si="72"/>
        <v>1557682</v>
      </c>
      <c r="O391" s="6">
        <v>4077305</v>
      </c>
      <c r="Q391" s="6">
        <f>1557682+4077305</f>
        <v>5634987</v>
      </c>
      <c r="S391" s="6">
        <v>12776</v>
      </c>
      <c r="U391" s="6">
        <v>859132</v>
      </c>
      <c r="W391" s="6">
        <v>0</v>
      </c>
      <c r="Y391" s="6">
        <v>252803</v>
      </c>
      <c r="AA391" s="6">
        <v>-461477</v>
      </c>
      <c r="AC391" s="12">
        <f t="shared" si="69"/>
        <v>663234</v>
      </c>
      <c r="AE391" s="6">
        <f t="shared" si="70"/>
        <v>0</v>
      </c>
    </row>
    <row r="392" spans="1:31" hidden="1">
      <c r="A392" s="11" t="s">
        <v>811</v>
      </c>
      <c r="B392" s="11"/>
      <c r="C392" s="11" t="s">
        <v>48</v>
      </c>
      <c r="I392" s="2">
        <f t="shared" si="71"/>
        <v>0</v>
      </c>
      <c r="M392" s="2">
        <f t="shared" si="72"/>
        <v>0</v>
      </c>
      <c r="AC392" s="12">
        <f t="shared" si="69"/>
        <v>0</v>
      </c>
      <c r="AE392" s="6">
        <f t="shared" si="70"/>
        <v>0</v>
      </c>
    </row>
    <row r="393" spans="1:31">
      <c r="A393" s="11" t="s">
        <v>606</v>
      </c>
      <c r="B393" s="11"/>
      <c r="C393" s="11" t="s">
        <v>64</v>
      </c>
      <c r="E393" s="6">
        <v>34637467</v>
      </c>
      <c r="G393" s="6">
        <v>0</v>
      </c>
      <c r="I393" s="2">
        <f t="shared" si="71"/>
        <v>23113746</v>
      </c>
      <c r="K393" s="6">
        <v>57751213</v>
      </c>
      <c r="M393" s="2">
        <f t="shared" si="72"/>
        <v>8038547</v>
      </c>
      <c r="O393" s="6">
        <v>22503233</v>
      </c>
      <c r="Q393" s="6">
        <v>30541780</v>
      </c>
      <c r="S393" s="6">
        <v>3720</v>
      </c>
      <c r="U393" s="6">
        <v>28257021</v>
      </c>
      <c r="W393" s="6">
        <v>983442</v>
      </c>
      <c r="Y393" s="6">
        <v>43811</v>
      </c>
      <c r="AA393" s="6">
        <v>-2078561</v>
      </c>
      <c r="AC393" s="12">
        <f t="shared" si="69"/>
        <v>27209433</v>
      </c>
      <c r="AE393" s="6">
        <f t="shared" si="70"/>
        <v>0</v>
      </c>
    </row>
    <row r="394" spans="1:31">
      <c r="A394" s="11" t="s">
        <v>449</v>
      </c>
      <c r="B394" s="11"/>
      <c r="C394" s="11" t="s">
        <v>52</v>
      </c>
      <c r="E394" s="6">
        <v>3137944</v>
      </c>
      <c r="G394" s="6">
        <v>59714</v>
      </c>
      <c r="I394" s="2">
        <f t="shared" si="71"/>
        <v>4867486</v>
      </c>
      <c r="K394" s="6">
        <v>8065144</v>
      </c>
      <c r="M394" s="2">
        <f t="shared" si="72"/>
        <v>1528019</v>
      </c>
      <c r="O394" s="6">
        <v>3679806</v>
      </c>
      <c r="Q394" s="6">
        <v>5207825</v>
      </c>
      <c r="S394" s="6">
        <v>119925</v>
      </c>
      <c r="U394" s="6">
        <v>35771</v>
      </c>
      <c r="W394" s="6">
        <v>0</v>
      </c>
      <c r="Y394" s="6">
        <v>899839</v>
      </c>
      <c r="AA394" s="6">
        <v>1801784</v>
      </c>
      <c r="AC394" s="12">
        <f t="shared" si="69"/>
        <v>2857319</v>
      </c>
      <c r="AE394" s="6">
        <f t="shared" si="70"/>
        <v>0</v>
      </c>
    </row>
    <row r="395" spans="1:31">
      <c r="A395" s="11" t="s">
        <v>511</v>
      </c>
      <c r="B395" s="11"/>
      <c r="C395" s="11" t="s">
        <v>63</v>
      </c>
      <c r="E395" s="6">
        <v>9462478</v>
      </c>
      <c r="G395" s="6">
        <v>285248</v>
      </c>
      <c r="I395" s="2">
        <f t="shared" si="71"/>
        <v>33841220</v>
      </c>
      <c r="K395" s="6">
        <v>43588946</v>
      </c>
      <c r="M395" s="2">
        <f t="shared" si="72"/>
        <v>2991472</v>
      </c>
      <c r="O395" s="6">
        <v>29630622</v>
      </c>
      <c r="Q395" s="6">
        <v>32622094</v>
      </c>
      <c r="S395" s="6">
        <v>64926</v>
      </c>
      <c r="U395" s="6">
        <v>3153960</v>
      </c>
      <c r="W395" s="6">
        <v>0</v>
      </c>
      <c r="Y395" s="6">
        <v>1498652</v>
      </c>
      <c r="AA395" s="6">
        <v>6249314</v>
      </c>
      <c r="AC395" s="12">
        <f t="shared" si="69"/>
        <v>10966852</v>
      </c>
      <c r="AE395" s="6">
        <f t="shared" si="70"/>
        <v>0</v>
      </c>
    </row>
    <row r="396" spans="1:31">
      <c r="A396" s="11" t="s">
        <v>556</v>
      </c>
      <c r="B396" s="11"/>
      <c r="C396" s="11" t="s">
        <v>72</v>
      </c>
      <c r="E396" s="6">
        <v>9096454</v>
      </c>
      <c r="G396" s="6">
        <v>0</v>
      </c>
      <c r="I396" s="2">
        <f t="shared" si="71"/>
        <v>4920790</v>
      </c>
      <c r="K396" s="6">
        <v>14017244</v>
      </c>
      <c r="M396" s="2">
        <f t="shared" si="72"/>
        <v>2232512</v>
      </c>
      <c r="O396" s="6">
        <v>4030650</v>
      </c>
      <c r="Q396" s="6">
        <v>6263162</v>
      </c>
      <c r="S396" s="6">
        <v>9070</v>
      </c>
      <c r="U396" s="6">
        <v>4848984</v>
      </c>
      <c r="W396" s="6">
        <v>0</v>
      </c>
      <c r="Y396" s="6">
        <v>305862</v>
      </c>
      <c r="AA396" s="6">
        <v>2590166</v>
      </c>
      <c r="AC396" s="12">
        <f t="shared" si="69"/>
        <v>7754082</v>
      </c>
      <c r="AE396" s="6">
        <f t="shared" si="70"/>
        <v>0</v>
      </c>
    </row>
    <row r="397" spans="1:31" hidden="1">
      <c r="A397" s="11" t="s">
        <v>813</v>
      </c>
      <c r="B397" s="11"/>
      <c r="C397" s="11" t="s">
        <v>53</v>
      </c>
      <c r="I397" s="2">
        <f t="shared" si="71"/>
        <v>0</v>
      </c>
      <c r="M397" s="2">
        <f t="shared" si="72"/>
        <v>0</v>
      </c>
      <c r="AC397" s="12">
        <f t="shared" si="69"/>
        <v>0</v>
      </c>
      <c r="AE397" s="6">
        <f t="shared" si="70"/>
        <v>0</v>
      </c>
    </row>
    <row r="398" spans="1:31">
      <c r="A398" s="11" t="s">
        <v>503</v>
      </c>
      <c r="B398" s="11"/>
      <c r="C398" s="11" t="s">
        <v>62</v>
      </c>
      <c r="E398" s="6">
        <v>8120133</v>
      </c>
      <c r="G398" s="6">
        <v>2542</v>
      </c>
      <c r="I398" s="2">
        <f t="shared" si="71"/>
        <v>24800497</v>
      </c>
      <c r="K398" s="6">
        <v>32923172</v>
      </c>
      <c r="M398" s="2">
        <f t="shared" si="72"/>
        <v>6355008</v>
      </c>
      <c r="O398" s="6">
        <f>22475527+475216</f>
        <v>22950743</v>
      </c>
      <c r="Q398" s="6">
        <v>29305751</v>
      </c>
      <c r="S398" s="6">
        <v>131910</v>
      </c>
      <c r="U398" s="6">
        <f>1734410+46585+124593+152140+35670+21204+2542</f>
        <v>2117144</v>
      </c>
      <c r="W398" s="6">
        <v>87</v>
      </c>
      <c r="Y398" s="6">
        <f>76311+341835+146+43198+20121</f>
        <v>481611</v>
      </c>
      <c r="AA398" s="6">
        <v>886669</v>
      </c>
      <c r="AC398" s="12">
        <f t="shared" si="69"/>
        <v>3617421</v>
      </c>
      <c r="AE398" s="6">
        <f t="shared" si="70"/>
        <v>0</v>
      </c>
    </row>
    <row r="399" spans="1:31" hidden="1">
      <c r="A399" s="11" t="s">
        <v>814</v>
      </c>
      <c r="B399" s="11"/>
      <c r="C399" s="11" t="s">
        <v>552</v>
      </c>
      <c r="I399" s="2">
        <f t="shared" si="71"/>
        <v>0</v>
      </c>
      <c r="M399" s="2">
        <f t="shared" si="72"/>
        <v>0</v>
      </c>
      <c r="AC399" s="12">
        <f t="shared" si="69"/>
        <v>0</v>
      </c>
      <c r="AE399" s="6">
        <f t="shared" si="70"/>
        <v>0</v>
      </c>
    </row>
    <row r="400" spans="1:31">
      <c r="A400" s="11" t="s">
        <v>709</v>
      </c>
      <c r="B400" s="11"/>
      <c r="C400" s="11" t="s">
        <v>32</v>
      </c>
      <c r="E400" s="6">
        <v>2853637</v>
      </c>
      <c r="G400" s="6">
        <v>0</v>
      </c>
      <c r="I400" s="2">
        <f t="shared" si="71"/>
        <v>5387726</v>
      </c>
      <c r="K400" s="6">
        <v>8241363</v>
      </c>
      <c r="M400" s="2">
        <f t="shared" si="72"/>
        <v>1398208</v>
      </c>
      <c r="O400" s="6">
        <v>3258543</v>
      </c>
      <c r="Q400" s="6">
        <v>4656751</v>
      </c>
      <c r="S400" s="6">
        <v>10752</v>
      </c>
      <c r="U400" s="6">
        <v>2988478</v>
      </c>
      <c r="W400" s="6">
        <v>22263</v>
      </c>
      <c r="Y400" s="6">
        <v>1201</v>
      </c>
      <c r="AA400" s="6">
        <v>561918</v>
      </c>
      <c r="AC400" s="12">
        <f t="shared" si="69"/>
        <v>3584612</v>
      </c>
      <c r="AE400" s="6">
        <f t="shared" si="70"/>
        <v>0</v>
      </c>
    </row>
    <row r="401" spans="1:31">
      <c r="A401" s="11" t="s">
        <v>377</v>
      </c>
      <c r="B401" s="11"/>
      <c r="C401" s="11" t="s">
        <v>42</v>
      </c>
      <c r="E401" s="6">
        <f>3208730+85042</f>
        <v>3293772</v>
      </c>
      <c r="G401" s="6">
        <v>27758</v>
      </c>
      <c r="I401" s="2">
        <f t="shared" si="71"/>
        <v>6403708</v>
      </c>
      <c r="K401" s="6">
        <v>9725238</v>
      </c>
      <c r="M401" s="2">
        <f t="shared" si="72"/>
        <v>2018879</v>
      </c>
      <c r="O401" s="6">
        <f>4748160+693641</f>
        <v>5441801</v>
      </c>
      <c r="Q401" s="6">
        <v>7460680</v>
      </c>
      <c r="S401" s="6">
        <v>1430</v>
      </c>
      <c r="U401" s="6">
        <f>382821+1570186+359772+80980+7631+27758</f>
        <v>2429148</v>
      </c>
      <c r="W401" s="6">
        <v>11000</v>
      </c>
      <c r="Y401" s="6">
        <f>23740+14100+141+5000</f>
        <v>42981</v>
      </c>
      <c r="AA401" s="6">
        <v>-220001</v>
      </c>
      <c r="AC401" s="12">
        <f t="shared" si="69"/>
        <v>2264558</v>
      </c>
      <c r="AE401" s="6">
        <f t="shared" si="70"/>
        <v>0</v>
      </c>
    </row>
    <row r="402" spans="1:31">
      <c r="A402" s="11" t="s">
        <v>271</v>
      </c>
      <c r="B402" s="11"/>
      <c r="C402" s="11" t="s">
        <v>20</v>
      </c>
      <c r="E402" s="6">
        <v>20578331</v>
      </c>
      <c r="G402" s="6">
        <v>223073</v>
      </c>
      <c r="I402" s="2">
        <f t="shared" si="71"/>
        <v>41981868</v>
      </c>
      <c r="K402" s="6">
        <v>62783272</v>
      </c>
      <c r="M402" s="2">
        <f t="shared" si="72"/>
        <v>9603447</v>
      </c>
      <c r="O402" s="6">
        <f>36248774+76915</f>
        <v>36325689</v>
      </c>
      <c r="Q402" s="6">
        <v>45929136</v>
      </c>
      <c r="S402" s="6">
        <v>29671</v>
      </c>
      <c r="U402" s="6">
        <v>1852125</v>
      </c>
      <c r="W402" s="6">
        <v>1303073</v>
      </c>
      <c r="Y402" s="6">
        <v>2946806</v>
      </c>
      <c r="AA402" s="6">
        <v>10722461</v>
      </c>
      <c r="AC402" s="12">
        <f t="shared" si="69"/>
        <v>16854136</v>
      </c>
      <c r="AE402" s="6">
        <f t="shared" si="70"/>
        <v>0</v>
      </c>
    </row>
    <row r="403" spans="1:31">
      <c r="A403" s="11" t="s">
        <v>388</v>
      </c>
      <c r="B403" s="11"/>
      <c r="C403" s="11" t="s">
        <v>44</v>
      </c>
      <c r="E403" s="6">
        <v>2937131</v>
      </c>
      <c r="G403" s="6">
        <v>0</v>
      </c>
      <c r="I403" s="2">
        <f t="shared" si="71"/>
        <v>24396686</v>
      </c>
      <c r="K403" s="6">
        <v>27333817</v>
      </c>
      <c r="M403" s="2">
        <f t="shared" si="72"/>
        <v>6163551</v>
      </c>
      <c r="O403" s="6">
        <v>20205872</v>
      </c>
      <c r="Q403" s="6">
        <v>26369423</v>
      </c>
      <c r="S403" s="6">
        <v>0</v>
      </c>
      <c r="U403" s="6">
        <v>932875</v>
      </c>
      <c r="W403" s="6">
        <v>0</v>
      </c>
      <c r="Y403" s="6">
        <v>417359</v>
      </c>
      <c r="AA403" s="6">
        <v>-385840</v>
      </c>
      <c r="AC403" s="12">
        <f t="shared" si="69"/>
        <v>964394</v>
      </c>
      <c r="AE403" s="6">
        <f t="shared" si="70"/>
        <v>0</v>
      </c>
    </row>
    <row r="404" spans="1:31">
      <c r="A404" s="11" t="s">
        <v>272</v>
      </c>
      <c r="B404" s="11"/>
      <c r="C404" s="11" t="s">
        <v>20</v>
      </c>
      <c r="E404" s="6">
        <v>16259136</v>
      </c>
      <c r="G404" s="6">
        <v>0</v>
      </c>
      <c r="I404" s="2">
        <f t="shared" si="71"/>
        <v>39946140</v>
      </c>
      <c r="K404" s="6">
        <v>56205276</v>
      </c>
      <c r="M404" s="2">
        <f t="shared" si="72"/>
        <v>5688582</v>
      </c>
      <c r="O404" s="6">
        <v>34580799</v>
      </c>
      <c r="Q404" s="6">
        <v>40269381</v>
      </c>
      <c r="S404" s="6">
        <v>156737</v>
      </c>
      <c r="U404" s="6">
        <v>5450520</v>
      </c>
      <c r="W404" s="6">
        <v>1200</v>
      </c>
      <c r="Y404" s="6">
        <v>1922864</v>
      </c>
      <c r="AA404" s="6">
        <v>8404574</v>
      </c>
      <c r="AC404" s="12">
        <f t="shared" si="69"/>
        <v>15935895</v>
      </c>
      <c r="AE404" s="6">
        <f t="shared" si="70"/>
        <v>0</v>
      </c>
    </row>
    <row r="405" spans="1:31">
      <c r="A405" s="11" t="s">
        <v>540</v>
      </c>
      <c r="B405" s="11"/>
      <c r="C405" s="11" t="s">
        <v>66</v>
      </c>
      <c r="E405" s="6">
        <f>12223636+16484</f>
        <v>12240120</v>
      </c>
      <c r="G405" s="6">
        <v>0</v>
      </c>
      <c r="I405" s="2">
        <f t="shared" si="71"/>
        <v>5447759</v>
      </c>
      <c r="K405" s="6">
        <v>17687879</v>
      </c>
      <c r="M405" s="2">
        <f t="shared" si="72"/>
        <v>1872273</v>
      </c>
      <c r="O405" s="6">
        <v>4365002</v>
      </c>
      <c r="Q405" s="6">
        <v>6237275</v>
      </c>
      <c r="S405" s="6">
        <v>2762</v>
      </c>
      <c r="U405" s="6">
        <v>1868115</v>
      </c>
      <c r="W405" s="6">
        <v>0</v>
      </c>
      <c r="Y405" s="6">
        <v>1024563</v>
      </c>
      <c r="AA405" s="6">
        <v>8555164</v>
      </c>
      <c r="AC405" s="12">
        <f t="shared" si="69"/>
        <v>11450604</v>
      </c>
      <c r="AE405" s="6">
        <f t="shared" si="70"/>
        <v>0</v>
      </c>
    </row>
    <row r="406" spans="1:31">
      <c r="A406" s="11" t="s">
        <v>233</v>
      </c>
      <c r="B406" s="11"/>
      <c r="C406" s="11" t="s">
        <v>17</v>
      </c>
      <c r="E406" s="6">
        <f>6597480+13770+11763</f>
        <v>6623013</v>
      </c>
      <c r="G406" s="6">
        <v>0</v>
      </c>
      <c r="I406" s="2">
        <f t="shared" si="71"/>
        <v>12664096</v>
      </c>
      <c r="K406" s="6">
        <v>19287109</v>
      </c>
      <c r="M406" s="2">
        <f t="shared" si="72"/>
        <v>4410907</v>
      </c>
      <c r="O406" s="6">
        <v>8810898</v>
      </c>
      <c r="Q406" s="6">
        <v>13221805</v>
      </c>
      <c r="S406" s="6">
        <v>105913</v>
      </c>
      <c r="U406" s="6">
        <v>1729277</v>
      </c>
      <c r="W406" s="6">
        <v>0</v>
      </c>
      <c r="Y406" s="6">
        <v>3290323</v>
      </c>
      <c r="AA406" s="6">
        <v>939791</v>
      </c>
      <c r="AC406" s="12">
        <f t="shared" si="69"/>
        <v>6065304</v>
      </c>
      <c r="AE406" s="6">
        <f t="shared" si="70"/>
        <v>0</v>
      </c>
    </row>
    <row r="407" spans="1:31" hidden="1">
      <c r="A407" s="11" t="s">
        <v>815</v>
      </c>
      <c r="B407" s="11"/>
      <c r="C407" s="11" t="s">
        <v>22</v>
      </c>
      <c r="I407" s="2">
        <f t="shared" si="71"/>
        <v>0</v>
      </c>
      <c r="M407" s="2">
        <f t="shared" si="72"/>
        <v>0</v>
      </c>
      <c r="AC407" s="12">
        <f t="shared" si="69"/>
        <v>0</v>
      </c>
      <c r="AE407" s="6">
        <f t="shared" si="70"/>
        <v>0</v>
      </c>
    </row>
    <row r="408" spans="1:31" hidden="1">
      <c r="A408" s="11" t="s">
        <v>816</v>
      </c>
      <c r="B408" s="11"/>
      <c r="C408" s="11" t="s">
        <v>451</v>
      </c>
      <c r="I408" s="2">
        <f t="shared" si="71"/>
        <v>0</v>
      </c>
      <c r="M408" s="2">
        <f t="shared" si="72"/>
        <v>0</v>
      </c>
      <c r="AC408" s="12">
        <f t="shared" si="69"/>
        <v>0</v>
      </c>
      <c r="AE408" s="6">
        <f t="shared" si="70"/>
        <v>0</v>
      </c>
    </row>
    <row r="409" spans="1:31">
      <c r="A409" s="11" t="s">
        <v>434</v>
      </c>
      <c r="B409" s="11"/>
      <c r="C409" s="11" t="s">
        <v>50</v>
      </c>
      <c r="E409" s="6">
        <v>69689088</v>
      </c>
      <c r="G409" s="6">
        <v>26642</v>
      </c>
      <c r="I409" s="2">
        <f t="shared" si="71"/>
        <v>58163521</v>
      </c>
      <c r="K409" s="6">
        <v>127879251</v>
      </c>
      <c r="M409" s="2">
        <f t="shared" si="72"/>
        <v>8120923</v>
      </c>
      <c r="O409" s="6">
        <v>55913907</v>
      </c>
      <c r="Q409" s="6">
        <v>64034830</v>
      </c>
      <c r="S409" s="6">
        <v>0</v>
      </c>
      <c r="U409" s="6">
        <v>57331319</v>
      </c>
      <c r="W409" s="6">
        <v>0</v>
      </c>
      <c r="Y409" s="6">
        <v>1541482</v>
      </c>
      <c r="AA409" s="6">
        <v>4971620</v>
      </c>
      <c r="AC409" s="12">
        <f t="shared" si="69"/>
        <v>63844421</v>
      </c>
      <c r="AE409" s="6">
        <f t="shared" si="70"/>
        <v>0</v>
      </c>
    </row>
    <row r="410" spans="1:31">
      <c r="A410" s="11" t="s">
        <v>442</v>
      </c>
      <c r="B410" s="11"/>
      <c r="C410" s="11" t="s">
        <v>78</v>
      </c>
      <c r="E410" s="6">
        <f>1605320+47318+2399283</f>
        <v>4051921</v>
      </c>
      <c r="G410" s="6">
        <v>0</v>
      </c>
      <c r="I410" s="2">
        <f t="shared" si="71"/>
        <v>5692040</v>
      </c>
      <c r="K410" s="6">
        <v>9743961</v>
      </c>
      <c r="M410" s="2">
        <f t="shared" si="72"/>
        <v>1616545</v>
      </c>
      <c r="O410" s="6">
        <f>3541293+1012837</f>
        <v>4554130</v>
      </c>
      <c r="Q410" s="6">
        <v>6170675</v>
      </c>
      <c r="S410" s="6">
        <f>13901+16474+25748</f>
        <v>56123</v>
      </c>
      <c r="U410" s="6">
        <f>329718+2865183+123452+72073+801+226+72411+16558</f>
        <v>3480422</v>
      </c>
      <c r="W410" s="6">
        <v>8259</v>
      </c>
      <c r="Y410" s="6">
        <f>19989+29406+14247+75225+120</f>
        <v>138987</v>
      </c>
      <c r="AA410" s="6">
        <v>-110505</v>
      </c>
      <c r="AC410" s="12">
        <f t="shared" ref="AC410:AC476" si="73">S410+U410+W410+Y410+AA410</f>
        <v>3573286</v>
      </c>
      <c r="AE410" s="6">
        <f t="shared" ref="AE410:AE476" si="74">+E410+G410+I410-M410-O410-W410-U410-S410-Y410-AA410</f>
        <v>0</v>
      </c>
    </row>
    <row r="411" spans="1:31">
      <c r="A411" s="11" t="s">
        <v>378</v>
      </c>
      <c r="B411" s="11"/>
      <c r="C411" s="11" t="s">
        <v>42</v>
      </c>
      <c r="E411" s="6">
        <f>7078588+2394</f>
        <v>7080982</v>
      </c>
      <c r="G411" s="6">
        <v>0</v>
      </c>
      <c r="I411" s="2">
        <f t="shared" si="71"/>
        <v>8088145</v>
      </c>
      <c r="K411" s="6">
        <v>15169127</v>
      </c>
      <c r="M411" s="2">
        <f t="shared" si="72"/>
        <v>1505021</v>
      </c>
      <c r="O411" s="6">
        <v>6885978</v>
      </c>
      <c r="Q411" s="6">
        <v>8390999</v>
      </c>
      <c r="S411" s="6">
        <v>16011</v>
      </c>
      <c r="U411" s="6">
        <v>1022596</v>
      </c>
      <c r="W411" s="6">
        <v>0</v>
      </c>
      <c r="Y411" s="6">
        <v>80051</v>
      </c>
      <c r="AA411" s="6">
        <v>5659470</v>
      </c>
      <c r="AC411" s="12">
        <f t="shared" si="73"/>
        <v>6778128</v>
      </c>
      <c r="AE411" s="6">
        <f t="shared" si="74"/>
        <v>0</v>
      </c>
    </row>
    <row r="412" spans="1:31">
      <c r="A412" s="11" t="s">
        <v>378</v>
      </c>
      <c r="B412" s="11"/>
      <c r="C412" s="11" t="s">
        <v>50</v>
      </c>
      <c r="E412" s="6">
        <f>7048826+2000+54198</f>
        <v>7105024</v>
      </c>
      <c r="G412" s="6">
        <v>0</v>
      </c>
      <c r="I412" s="2">
        <f t="shared" si="71"/>
        <v>12006178</v>
      </c>
      <c r="K412" s="6">
        <v>19111202</v>
      </c>
      <c r="M412" s="2">
        <f t="shared" si="72"/>
        <v>2185871</v>
      </c>
      <c r="O412" s="6">
        <v>8956953</v>
      </c>
      <c r="Q412" s="6">
        <v>11142824</v>
      </c>
      <c r="S412" s="6">
        <v>11859</v>
      </c>
      <c r="U412" s="6">
        <v>3260911</v>
      </c>
      <c r="W412" s="6">
        <v>0</v>
      </c>
      <c r="Y412" s="6">
        <v>492307</v>
      </c>
      <c r="AA412" s="6">
        <v>4203301</v>
      </c>
      <c r="AC412" s="12">
        <f t="shared" si="73"/>
        <v>7968378</v>
      </c>
      <c r="AE412" s="6">
        <f t="shared" si="74"/>
        <v>0</v>
      </c>
    </row>
    <row r="413" spans="1:31">
      <c r="A413" s="11" t="s">
        <v>327</v>
      </c>
      <c r="B413" s="11"/>
      <c r="C413" s="11" t="s">
        <v>32</v>
      </c>
      <c r="E413" s="6">
        <v>25381921</v>
      </c>
      <c r="G413" s="6">
        <v>0</v>
      </c>
      <c r="I413" s="2">
        <f t="shared" si="71"/>
        <v>49274620</v>
      </c>
      <c r="K413" s="6">
        <v>74656541</v>
      </c>
      <c r="M413" s="2">
        <f t="shared" si="72"/>
        <v>9932544</v>
      </c>
      <c r="O413" s="6">
        <v>29817381</v>
      </c>
      <c r="Q413" s="6">
        <v>39749925</v>
      </c>
      <c r="S413" s="6">
        <v>127763</v>
      </c>
      <c r="U413" s="6">
        <v>3065950</v>
      </c>
      <c r="W413" s="6">
        <v>5467230</v>
      </c>
      <c r="Y413" s="6">
        <v>812264</v>
      </c>
      <c r="AA413" s="6">
        <v>25433409</v>
      </c>
      <c r="AC413" s="12">
        <f t="shared" si="73"/>
        <v>34906616</v>
      </c>
      <c r="AE413" s="6">
        <f t="shared" si="74"/>
        <v>0</v>
      </c>
    </row>
    <row r="414" spans="1:31">
      <c r="A414" s="11" t="s">
        <v>597</v>
      </c>
      <c r="B414" s="11"/>
      <c r="C414" s="11" t="s">
        <v>59</v>
      </c>
      <c r="E414" s="6">
        <v>1955882</v>
      </c>
      <c r="G414" s="6">
        <v>87229</v>
      </c>
      <c r="I414" s="2">
        <f t="shared" si="71"/>
        <v>2929468</v>
      </c>
      <c r="K414" s="6">
        <v>4972579</v>
      </c>
      <c r="M414" s="2">
        <f t="shared" si="72"/>
        <v>2439330</v>
      </c>
      <c r="O414" s="6">
        <v>2338193</v>
      </c>
      <c r="Q414" s="6">
        <v>4777523</v>
      </c>
      <c r="S414" s="6">
        <v>0</v>
      </c>
      <c r="U414" s="6">
        <v>1104383</v>
      </c>
      <c r="W414" s="6">
        <v>73918</v>
      </c>
      <c r="Y414" s="6">
        <v>86811</v>
      </c>
      <c r="AA414" s="6">
        <v>-1070056</v>
      </c>
      <c r="AC414" s="12">
        <f t="shared" si="73"/>
        <v>195056</v>
      </c>
      <c r="AE414" s="6">
        <f t="shared" si="74"/>
        <v>0</v>
      </c>
    </row>
    <row r="415" spans="1:31">
      <c r="A415" s="11" t="s">
        <v>327</v>
      </c>
      <c r="B415" s="11"/>
      <c r="C415" s="11" t="s">
        <v>62</v>
      </c>
      <c r="E415" s="6">
        <f>12301425+541220</f>
        <v>12842645</v>
      </c>
      <c r="G415" s="6">
        <v>110000</v>
      </c>
      <c r="I415" s="2">
        <f t="shared" si="71"/>
        <v>11565221</v>
      </c>
      <c r="K415" s="6">
        <v>24517866</v>
      </c>
      <c r="M415" s="2">
        <f t="shared" si="72"/>
        <v>5338485</v>
      </c>
      <c r="O415" s="6">
        <f>2610942+7122434</f>
        <v>9733376</v>
      </c>
      <c r="Q415" s="6">
        <v>15071861</v>
      </c>
      <c r="S415" s="6">
        <f>69580+12916</f>
        <v>82496</v>
      </c>
      <c r="U415" s="6">
        <f>1272812+7201184+255427+43155+33836+3996</f>
        <v>8810410</v>
      </c>
      <c r="W415" s="6">
        <v>50132</v>
      </c>
      <c r="Y415" s="6">
        <f>51670+122837+272</f>
        <v>174779</v>
      </c>
      <c r="AA415" s="6">
        <v>328188</v>
      </c>
      <c r="AC415" s="12">
        <f t="shared" si="73"/>
        <v>9446005</v>
      </c>
      <c r="AE415" s="6">
        <f t="shared" si="74"/>
        <v>0</v>
      </c>
    </row>
    <row r="416" spans="1:31">
      <c r="A416" s="11" t="s">
        <v>234</v>
      </c>
      <c r="B416" s="11"/>
      <c r="C416" s="11" t="s">
        <v>17</v>
      </c>
      <c r="E416" s="6">
        <v>6966706</v>
      </c>
      <c r="G416" s="6">
        <f>38512160+540914</f>
        <v>39053074</v>
      </c>
      <c r="I416" s="2">
        <f t="shared" si="71"/>
        <v>20082040</v>
      </c>
      <c r="K416" s="6">
        <v>66101820</v>
      </c>
      <c r="M416" s="2">
        <f t="shared" si="72"/>
        <v>4626898</v>
      </c>
      <c r="O416" s="6">
        <v>18226081</v>
      </c>
      <c r="Q416" s="6">
        <v>22852979</v>
      </c>
      <c r="S416" s="6">
        <v>46025</v>
      </c>
      <c r="U416" s="6">
        <v>40219130</v>
      </c>
      <c r="W416" s="6">
        <v>110797</v>
      </c>
      <c r="Y416" s="6">
        <v>37880</v>
      </c>
      <c r="AA416" s="6">
        <v>2835009</v>
      </c>
      <c r="AC416" s="12">
        <f t="shared" si="73"/>
        <v>43248841</v>
      </c>
      <c r="AE416" s="6">
        <f t="shared" si="74"/>
        <v>0</v>
      </c>
    </row>
    <row r="417" spans="1:31" hidden="1">
      <c r="A417" s="11" t="s">
        <v>739</v>
      </c>
      <c r="B417" s="11"/>
      <c r="C417" s="11" t="s">
        <v>71</v>
      </c>
      <c r="I417" s="2"/>
      <c r="M417" s="2"/>
      <c r="AC417" s="12"/>
    </row>
    <row r="418" spans="1:31" hidden="1">
      <c r="A418" s="10" t="s">
        <v>882</v>
      </c>
      <c r="B418" s="11"/>
      <c r="C418" s="11" t="s">
        <v>72</v>
      </c>
      <c r="E418" s="6">
        <v>0</v>
      </c>
      <c r="G418" s="6">
        <v>0</v>
      </c>
      <c r="I418" s="2">
        <f t="shared" si="71"/>
        <v>0</v>
      </c>
      <c r="K418" s="6">
        <v>0</v>
      </c>
      <c r="M418" s="2">
        <f t="shared" si="72"/>
        <v>0</v>
      </c>
      <c r="O418" s="6">
        <v>0</v>
      </c>
      <c r="Q418" s="6">
        <v>0</v>
      </c>
      <c r="S418" s="6">
        <v>0</v>
      </c>
      <c r="U418" s="6">
        <v>0</v>
      </c>
      <c r="W418" s="6">
        <v>0</v>
      </c>
      <c r="Y418" s="6">
        <v>0</v>
      </c>
      <c r="AA418" s="6">
        <v>0</v>
      </c>
      <c r="AC418" s="12">
        <f t="shared" si="73"/>
        <v>0</v>
      </c>
      <c r="AE418" s="6">
        <f t="shared" si="74"/>
        <v>0</v>
      </c>
    </row>
    <row r="419" spans="1:31">
      <c r="A419" s="11" t="s">
        <v>512</v>
      </c>
      <c r="B419" s="11"/>
      <c r="C419" s="11" t="s">
        <v>63</v>
      </c>
      <c r="E419" s="6">
        <v>8005001</v>
      </c>
      <c r="G419" s="6">
        <v>15909</v>
      </c>
      <c r="I419" s="2">
        <f t="shared" si="71"/>
        <v>9339372</v>
      </c>
      <c r="K419" s="6">
        <v>17360282</v>
      </c>
      <c r="M419" s="2">
        <f t="shared" si="72"/>
        <v>2144863</v>
      </c>
      <c r="O419" s="6">
        <v>8223854</v>
      </c>
      <c r="Q419" s="6">
        <v>10368717</v>
      </c>
      <c r="S419" s="6">
        <v>51534</v>
      </c>
      <c r="U419" s="6">
        <v>3764912</v>
      </c>
      <c r="W419" s="6">
        <v>11000</v>
      </c>
      <c r="Y419" s="6">
        <v>3171692</v>
      </c>
      <c r="AA419" s="6">
        <v>-7573</v>
      </c>
      <c r="AC419" s="12">
        <f t="shared" si="73"/>
        <v>6991565</v>
      </c>
      <c r="AE419" s="6">
        <f t="shared" si="74"/>
        <v>0</v>
      </c>
    </row>
    <row r="420" spans="1:31">
      <c r="A420" s="11" t="s">
        <v>358</v>
      </c>
      <c r="B420" s="11"/>
      <c r="C420" s="11" t="s">
        <v>37</v>
      </c>
      <c r="E420" s="6">
        <v>10803181</v>
      </c>
      <c r="G420" s="6">
        <v>627994</v>
      </c>
      <c r="I420" s="2">
        <f t="shared" si="71"/>
        <v>9474296</v>
      </c>
      <c r="K420" s="6">
        <v>20905471</v>
      </c>
      <c r="M420" s="2">
        <f t="shared" si="72"/>
        <v>2830221</v>
      </c>
      <c r="O420" s="6">
        <v>7304042</v>
      </c>
      <c r="Q420" s="6">
        <v>10134263</v>
      </c>
      <c r="S420" s="6">
        <v>0</v>
      </c>
      <c r="U420" s="6">
        <v>3967894</v>
      </c>
      <c r="W420" s="6">
        <v>0</v>
      </c>
      <c r="Y420" s="6">
        <v>5027433</v>
      </c>
      <c r="AA420" s="6">
        <v>1775881</v>
      </c>
      <c r="AC420" s="12">
        <f t="shared" si="73"/>
        <v>10771208</v>
      </c>
      <c r="AE420" s="6">
        <f t="shared" si="74"/>
        <v>0</v>
      </c>
    </row>
    <row r="421" spans="1:31" hidden="1">
      <c r="A421" s="11" t="s">
        <v>817</v>
      </c>
      <c r="B421" s="11"/>
      <c r="C421" s="11" t="s">
        <v>71</v>
      </c>
      <c r="I421" s="2">
        <f t="shared" ref="I421" si="75">K421-E421-G421</f>
        <v>0</v>
      </c>
      <c r="M421" s="2">
        <f t="shared" ref="M421" si="76">Q421-O421</f>
        <v>0</v>
      </c>
      <c r="AC421" s="12">
        <f t="shared" ref="AC421" si="77">S421+U421+W421+Y421+AA421</f>
        <v>0</v>
      </c>
      <c r="AE421" s="6">
        <f t="shared" ref="AE421" si="78">+E421+G421+I421-M421-O421-W421-U421-S421-Y421-AA421</f>
        <v>0</v>
      </c>
    </row>
    <row r="422" spans="1:31">
      <c r="A422" s="11" t="s">
        <v>631</v>
      </c>
      <c r="B422" s="11"/>
      <c r="C422" s="11" t="s">
        <v>32</v>
      </c>
      <c r="E422" s="6">
        <v>6017135</v>
      </c>
      <c r="G422" s="6">
        <v>20000</v>
      </c>
      <c r="I422" s="2">
        <f t="shared" si="71"/>
        <v>16948580</v>
      </c>
      <c r="K422" s="6">
        <v>22985715</v>
      </c>
      <c r="M422" s="2">
        <f t="shared" si="72"/>
        <v>3611810</v>
      </c>
      <c r="O422" s="6">
        <v>10903047</v>
      </c>
      <c r="Q422" s="6">
        <v>14514857</v>
      </c>
      <c r="S422" s="6">
        <v>30622</v>
      </c>
      <c r="U422" s="6">
        <v>107304</v>
      </c>
      <c r="W422" s="6">
        <v>600000</v>
      </c>
      <c r="Y422" s="6">
        <v>1760074</v>
      </c>
      <c r="AA422" s="6">
        <v>5972858</v>
      </c>
      <c r="AC422" s="12">
        <f t="shared" si="73"/>
        <v>8470858</v>
      </c>
      <c r="AE422" s="6">
        <f t="shared" si="74"/>
        <v>0</v>
      </c>
    </row>
    <row r="423" spans="1:31" hidden="1">
      <c r="A423" s="11" t="s">
        <v>738</v>
      </c>
      <c r="B423" s="11"/>
      <c r="C423" s="11" t="s">
        <v>38</v>
      </c>
      <c r="I423" s="2"/>
      <c r="M423" s="2"/>
      <c r="AC423" s="12"/>
    </row>
    <row r="424" spans="1:31">
      <c r="A424" s="11" t="s">
        <v>328</v>
      </c>
      <c r="B424" s="11"/>
      <c r="C424" s="11" t="s">
        <v>32</v>
      </c>
      <c r="E424" s="6">
        <v>24428841</v>
      </c>
      <c r="G424" s="6">
        <v>380716</v>
      </c>
      <c r="I424" s="2">
        <f t="shared" si="71"/>
        <v>39491714</v>
      </c>
      <c r="K424" s="6">
        <v>64301271</v>
      </c>
      <c r="M424" s="2">
        <f t="shared" si="72"/>
        <v>8324038</v>
      </c>
      <c r="O424" s="6">
        <v>27745888</v>
      </c>
      <c r="Q424" s="6">
        <v>36069926</v>
      </c>
      <c r="S424" s="6">
        <v>3832</v>
      </c>
      <c r="U424" s="6">
        <v>3997885</v>
      </c>
      <c r="W424" s="6">
        <v>6038603</v>
      </c>
      <c r="Y424" s="6">
        <v>5456159</v>
      </c>
      <c r="AA424" s="6">
        <v>12734866</v>
      </c>
      <c r="AC424" s="12">
        <f t="shared" si="73"/>
        <v>28231345</v>
      </c>
      <c r="AE424" s="6">
        <f t="shared" si="74"/>
        <v>0</v>
      </c>
    </row>
    <row r="425" spans="1:31">
      <c r="A425" s="11" t="s">
        <v>435</v>
      </c>
      <c r="B425" s="11"/>
      <c r="C425" s="11" t="s">
        <v>50</v>
      </c>
      <c r="E425" s="6">
        <f>3329493+2468</f>
        <v>3331961</v>
      </c>
      <c r="G425" s="6">
        <v>0</v>
      </c>
      <c r="I425" s="2">
        <f t="shared" si="71"/>
        <v>16139235</v>
      </c>
      <c r="K425" s="6">
        <v>19471196</v>
      </c>
      <c r="M425" s="2">
        <f t="shared" si="72"/>
        <v>3406582</v>
      </c>
      <c r="O425" s="6">
        <v>14515474</v>
      </c>
      <c r="Q425" s="6">
        <v>17922056</v>
      </c>
      <c r="S425" s="6">
        <v>26143</v>
      </c>
      <c r="U425" s="6">
        <v>1951389</v>
      </c>
      <c r="W425" s="6">
        <v>172280</v>
      </c>
      <c r="Y425" s="6">
        <v>1301979</v>
      </c>
      <c r="AA425" s="6">
        <v>-1902651</v>
      </c>
      <c r="AC425" s="12">
        <f t="shared" si="73"/>
        <v>1549140</v>
      </c>
      <c r="AE425" s="6">
        <f t="shared" si="74"/>
        <v>0</v>
      </c>
    </row>
    <row r="426" spans="1:31">
      <c r="A426" s="11" t="s">
        <v>389</v>
      </c>
      <c r="B426" s="11"/>
      <c r="C426" s="11" t="s">
        <v>44</v>
      </c>
      <c r="E426" s="6">
        <v>1054397</v>
      </c>
      <c r="G426" s="6">
        <v>0</v>
      </c>
      <c r="I426" s="2">
        <f t="shared" si="71"/>
        <v>6961463</v>
      </c>
      <c r="K426" s="6">
        <v>8015860</v>
      </c>
      <c r="M426" s="2">
        <f t="shared" si="72"/>
        <v>1737729</v>
      </c>
      <c r="O426" s="6">
        <v>4665812</v>
      </c>
      <c r="Q426" s="6">
        <v>6403541</v>
      </c>
      <c r="S426" s="6">
        <v>2482</v>
      </c>
      <c r="U426" s="6">
        <v>467557</v>
      </c>
      <c r="W426" s="6">
        <v>0</v>
      </c>
      <c r="Y426" s="6">
        <v>488638</v>
      </c>
      <c r="AA426" s="6">
        <v>653642</v>
      </c>
      <c r="AC426" s="12">
        <f t="shared" si="73"/>
        <v>1612319</v>
      </c>
      <c r="AE426" s="6">
        <f t="shared" si="74"/>
        <v>0</v>
      </c>
    </row>
    <row r="427" spans="1:31" hidden="1">
      <c r="A427" s="11" t="s">
        <v>614</v>
      </c>
      <c r="B427" s="11"/>
      <c r="C427" s="11" t="s">
        <v>60</v>
      </c>
      <c r="I427" s="2">
        <f t="shared" si="71"/>
        <v>0</v>
      </c>
      <c r="M427" s="2">
        <f t="shared" si="72"/>
        <v>0</v>
      </c>
      <c r="AC427" s="12">
        <f t="shared" si="73"/>
        <v>0</v>
      </c>
      <c r="AE427" s="6">
        <f t="shared" si="74"/>
        <v>0</v>
      </c>
    </row>
    <row r="428" spans="1:31">
      <c r="A428" s="11" t="s">
        <v>284</v>
      </c>
      <c r="B428" s="11"/>
      <c r="C428" s="11" t="s">
        <v>23</v>
      </c>
      <c r="E428" s="6">
        <v>79291288</v>
      </c>
      <c r="G428" s="6">
        <v>0</v>
      </c>
      <c r="I428" s="2">
        <f t="shared" si="71"/>
        <v>167954330</v>
      </c>
      <c r="K428" s="6">
        <v>247245618</v>
      </c>
      <c r="M428" s="2">
        <f t="shared" si="72"/>
        <v>23874827</v>
      </c>
      <c r="O428" s="6">
        <v>136716815</v>
      </c>
      <c r="Q428" s="6">
        <v>160591642</v>
      </c>
      <c r="S428" s="6">
        <v>548974</v>
      </c>
      <c r="U428" s="6">
        <f>15076856+30901768+123+404250+2172745+26985+186127+106103</f>
        <v>48874957</v>
      </c>
      <c r="W428" s="6">
        <v>0</v>
      </c>
      <c r="Y428" s="6">
        <v>1582214</v>
      </c>
      <c r="AA428" s="6">
        <v>35647831</v>
      </c>
      <c r="AC428" s="12">
        <f t="shared" si="73"/>
        <v>86653976</v>
      </c>
      <c r="AE428" s="6">
        <f t="shared" si="74"/>
        <v>0</v>
      </c>
    </row>
    <row r="429" spans="1:31">
      <c r="A429" s="11" t="s">
        <v>273</v>
      </c>
      <c r="B429" s="11"/>
      <c r="C429" s="11" t="s">
        <v>20</v>
      </c>
      <c r="E429" s="6">
        <v>12559113</v>
      </c>
      <c r="G429" s="6">
        <v>0</v>
      </c>
      <c r="I429" s="2">
        <f t="shared" si="71"/>
        <v>30795885</v>
      </c>
      <c r="K429" s="6">
        <v>43354998</v>
      </c>
      <c r="M429" s="2">
        <f t="shared" si="72"/>
        <v>7654592</v>
      </c>
      <c r="O429" s="6">
        <v>26028256</v>
      </c>
      <c r="Q429" s="6">
        <v>33682848</v>
      </c>
      <c r="S429" s="6">
        <v>323703</v>
      </c>
      <c r="U429" s="6">
        <v>4261229</v>
      </c>
      <c r="W429" s="6">
        <v>10000</v>
      </c>
      <c r="Y429" s="6">
        <v>1330113</v>
      </c>
      <c r="AA429" s="6">
        <v>3747105</v>
      </c>
      <c r="AC429" s="12">
        <f t="shared" si="73"/>
        <v>9672150</v>
      </c>
      <c r="AE429" s="6">
        <f t="shared" si="74"/>
        <v>0</v>
      </c>
    </row>
    <row r="430" spans="1:31">
      <c r="A430" s="11" t="s">
        <v>470</v>
      </c>
      <c r="B430" s="11"/>
      <c r="C430" s="11" t="s">
        <v>110</v>
      </c>
      <c r="E430" s="6">
        <v>7594787</v>
      </c>
      <c r="G430" s="6">
        <v>0</v>
      </c>
      <c r="I430" s="2">
        <f t="shared" si="71"/>
        <v>10197062</v>
      </c>
      <c r="K430" s="6">
        <v>17791849</v>
      </c>
      <c r="M430" s="2">
        <f t="shared" si="72"/>
        <v>2326061</v>
      </c>
      <c r="O430" s="6">
        <f>7524623+562791</f>
        <v>8087414</v>
      </c>
      <c r="Q430" s="6">
        <v>10413475</v>
      </c>
      <c r="S430" s="6">
        <f>255263+2627</f>
        <v>257890</v>
      </c>
      <c r="U430" s="6">
        <f>2563806+45094+9567+61098+1974</f>
        <v>2681539</v>
      </c>
      <c r="W430" s="6">
        <v>0</v>
      </c>
      <c r="Y430" s="6">
        <f>74147+1552</f>
        <v>75699</v>
      </c>
      <c r="AA430" s="6">
        <v>4363246</v>
      </c>
      <c r="AC430" s="12">
        <f t="shared" si="73"/>
        <v>7378374</v>
      </c>
      <c r="AE430" s="6">
        <f t="shared" si="74"/>
        <v>0</v>
      </c>
    </row>
    <row r="431" spans="1:31">
      <c r="A431" s="11" t="s">
        <v>274</v>
      </c>
      <c r="B431" s="11"/>
      <c r="C431" s="11" t="s">
        <v>20</v>
      </c>
      <c r="E431" s="6">
        <f>38613295+556884</f>
        <v>39170179</v>
      </c>
      <c r="G431" s="6">
        <v>0</v>
      </c>
      <c r="I431" s="2">
        <f t="shared" si="71"/>
        <v>43969398</v>
      </c>
      <c r="K431" s="6">
        <v>83139577</v>
      </c>
      <c r="M431" s="2">
        <f t="shared" si="72"/>
        <v>6094699</v>
      </c>
      <c r="O431" s="6">
        <f>2890508+35417050</f>
        <v>38307558</v>
      </c>
      <c r="Q431" s="6">
        <v>44402257</v>
      </c>
      <c r="S431" s="6">
        <f>115942+7601+21440</f>
        <v>144983</v>
      </c>
      <c r="U431" s="6">
        <f>3711201+5497833+199912+3155+3610+89441</f>
        <v>9505152</v>
      </c>
      <c r="W431" s="6">
        <v>51446</v>
      </c>
      <c r="Y431" s="6">
        <f>1716+67067+77836+3068521+189863</f>
        <v>3405003</v>
      </c>
      <c r="AA431" s="6">
        <v>25630736</v>
      </c>
      <c r="AC431" s="12">
        <f t="shared" si="73"/>
        <v>38737320</v>
      </c>
      <c r="AE431" s="6">
        <f t="shared" si="74"/>
        <v>0</v>
      </c>
    </row>
    <row r="432" spans="1:31">
      <c r="A432" s="11" t="s">
        <v>391</v>
      </c>
      <c r="B432" s="11"/>
      <c r="C432" s="11" t="s">
        <v>115</v>
      </c>
      <c r="E432" s="6">
        <v>15886729</v>
      </c>
      <c r="G432" s="6">
        <v>0</v>
      </c>
      <c r="I432" s="2">
        <f t="shared" si="71"/>
        <v>23804772</v>
      </c>
      <c r="K432" s="6">
        <v>39691501</v>
      </c>
      <c r="M432" s="2">
        <f t="shared" si="72"/>
        <v>5356576</v>
      </c>
      <c r="O432" s="6">
        <f>1239466+21094920</f>
        <v>22334386</v>
      </c>
      <c r="Q432" s="6">
        <v>27690962</v>
      </c>
      <c r="S432" s="6">
        <f>26696+42865</f>
        <v>69561</v>
      </c>
      <c r="U432" s="6">
        <f>1166792+3343717+384594+27532+1267+59735+102853</f>
        <v>5086490</v>
      </c>
      <c r="W432" s="6">
        <v>555555</v>
      </c>
      <c r="Y432" s="6">
        <f>64525+480187+596537+248372+17962</f>
        <v>1407583</v>
      </c>
      <c r="AA432" s="6">
        <v>4881350</v>
      </c>
      <c r="AC432" s="12">
        <f t="shared" si="73"/>
        <v>12000539</v>
      </c>
      <c r="AE432" s="6">
        <f t="shared" si="74"/>
        <v>0</v>
      </c>
    </row>
    <row r="433" spans="1:31" hidden="1">
      <c r="A433" s="11" t="s">
        <v>818</v>
      </c>
      <c r="B433" s="11"/>
      <c r="C433" s="11" t="s">
        <v>71</v>
      </c>
      <c r="I433" s="2">
        <f t="shared" si="71"/>
        <v>0</v>
      </c>
      <c r="M433" s="2">
        <f t="shared" si="72"/>
        <v>0</v>
      </c>
      <c r="AC433" s="12">
        <f t="shared" si="73"/>
        <v>0</v>
      </c>
      <c r="AE433" s="6">
        <f t="shared" si="74"/>
        <v>0</v>
      </c>
    </row>
    <row r="434" spans="1:31" hidden="1">
      <c r="A434" s="10" t="s">
        <v>883</v>
      </c>
      <c r="B434" s="11"/>
      <c r="C434" s="11" t="s">
        <v>62</v>
      </c>
      <c r="E434" s="6">
        <v>0</v>
      </c>
      <c r="G434" s="6">
        <v>0</v>
      </c>
      <c r="I434" s="2">
        <f>K434-E434-G434</f>
        <v>0</v>
      </c>
      <c r="K434" s="6">
        <v>0</v>
      </c>
      <c r="M434" s="2">
        <f>Q434-O434</f>
        <v>0</v>
      </c>
      <c r="O434" s="6">
        <v>0</v>
      </c>
      <c r="Q434" s="6">
        <v>0</v>
      </c>
      <c r="S434" s="6">
        <v>0</v>
      </c>
      <c r="U434" s="6">
        <v>0</v>
      </c>
      <c r="W434" s="6">
        <v>0</v>
      </c>
      <c r="Y434" s="6">
        <v>0</v>
      </c>
      <c r="AA434" s="6">
        <v>0</v>
      </c>
      <c r="AC434" s="12">
        <f t="shared" si="73"/>
        <v>0</v>
      </c>
      <c r="AE434" s="6">
        <f t="shared" si="74"/>
        <v>0</v>
      </c>
    </row>
    <row r="435" spans="1:31">
      <c r="A435" s="11" t="s">
        <v>557</v>
      </c>
      <c r="B435" s="11"/>
      <c r="C435" s="11" t="s">
        <v>72</v>
      </c>
      <c r="E435" s="6">
        <v>12364458</v>
      </c>
      <c r="G435" s="6">
        <f>123994+242179</f>
        <v>366173</v>
      </c>
      <c r="I435" s="2">
        <f>K435-E435-G435</f>
        <v>9112053</v>
      </c>
      <c r="K435" s="6">
        <v>21842684</v>
      </c>
      <c r="M435" s="2">
        <f>Q435-O435</f>
        <v>2439465</v>
      </c>
      <c r="O435" s="6">
        <v>7739379</v>
      </c>
      <c r="Q435" s="6">
        <v>10178844</v>
      </c>
      <c r="S435" s="6">
        <v>39858</v>
      </c>
      <c r="U435" s="6">
        <v>8875400</v>
      </c>
      <c r="W435" s="6">
        <v>286144</v>
      </c>
      <c r="Y435" s="6">
        <v>211031</v>
      </c>
      <c r="AA435" s="6">
        <v>2251407</v>
      </c>
      <c r="AC435" s="12">
        <f t="shared" si="73"/>
        <v>11663840</v>
      </c>
      <c r="AE435" s="6">
        <f t="shared" si="74"/>
        <v>0</v>
      </c>
    </row>
    <row r="436" spans="1:31">
      <c r="A436" s="11" t="s">
        <v>392</v>
      </c>
      <c r="B436" s="11"/>
      <c r="C436" s="11" t="s">
        <v>115</v>
      </c>
      <c r="E436" s="6">
        <f>2454460+2252923</f>
        <v>4707383</v>
      </c>
      <c r="G436" s="6">
        <v>204319</v>
      </c>
      <c r="I436" s="2">
        <f>K436-E436-G436</f>
        <v>10348081</v>
      </c>
      <c r="K436" s="6">
        <v>15259783</v>
      </c>
      <c r="M436" s="2">
        <f>Q436-O436</f>
        <v>1362220</v>
      </c>
      <c r="O436" s="6">
        <f>9824474+3363</f>
        <v>9827837</v>
      </c>
      <c r="Q436" s="6">
        <v>11190057</v>
      </c>
      <c r="S436" s="6">
        <v>94495</v>
      </c>
      <c r="U436" s="6">
        <v>533659</v>
      </c>
      <c r="W436" s="6">
        <v>5700</v>
      </c>
      <c r="Y436" s="6">
        <v>166883</v>
      </c>
      <c r="AA436" s="6">
        <v>3268989</v>
      </c>
      <c r="AC436" s="12">
        <f t="shared" si="73"/>
        <v>4069726</v>
      </c>
      <c r="AE436" s="6">
        <f t="shared" si="74"/>
        <v>0</v>
      </c>
    </row>
    <row r="437" spans="1:31" hidden="1">
      <c r="A437" s="11" t="s">
        <v>710</v>
      </c>
      <c r="B437" s="11"/>
      <c r="C437" s="11" t="s">
        <v>467</v>
      </c>
      <c r="I437" s="2">
        <f t="shared" ref="I437:I487" si="79">K437-E437-G437</f>
        <v>0</v>
      </c>
      <c r="M437" s="2">
        <f t="shared" ref="M437:M487" si="80">Q437-O437</f>
        <v>0</v>
      </c>
      <c r="AC437" s="12">
        <f t="shared" si="73"/>
        <v>0</v>
      </c>
      <c r="AE437" s="6">
        <f t="shared" si="74"/>
        <v>0</v>
      </c>
    </row>
    <row r="438" spans="1:31" hidden="1">
      <c r="A438" s="11" t="s">
        <v>819</v>
      </c>
      <c r="B438" s="11"/>
      <c r="C438" s="11" t="s">
        <v>467</v>
      </c>
      <c r="I438" s="2">
        <f t="shared" si="79"/>
        <v>0</v>
      </c>
      <c r="M438" s="2">
        <f t="shared" si="80"/>
        <v>0</v>
      </c>
      <c r="AC438" s="12">
        <f t="shared" si="73"/>
        <v>0</v>
      </c>
      <c r="AE438" s="6">
        <f t="shared" si="74"/>
        <v>0</v>
      </c>
    </row>
    <row r="439" spans="1:31" hidden="1">
      <c r="A439" s="11" t="s">
        <v>820</v>
      </c>
      <c r="B439" s="11"/>
      <c r="C439" s="11" t="s">
        <v>41</v>
      </c>
      <c r="I439" s="2">
        <f t="shared" si="79"/>
        <v>0</v>
      </c>
      <c r="M439" s="2">
        <f t="shared" si="80"/>
        <v>0</v>
      </c>
      <c r="AC439" s="12">
        <f t="shared" si="73"/>
        <v>0</v>
      </c>
      <c r="AE439" s="6">
        <f t="shared" si="74"/>
        <v>0</v>
      </c>
    </row>
    <row r="440" spans="1:31" hidden="1">
      <c r="A440" s="11" t="s">
        <v>784</v>
      </c>
      <c r="B440" s="11"/>
      <c r="C440" s="11" t="s">
        <v>41</v>
      </c>
      <c r="I440" s="2">
        <f t="shared" si="79"/>
        <v>0</v>
      </c>
      <c r="M440" s="2">
        <f t="shared" si="80"/>
        <v>0</v>
      </c>
      <c r="AC440" s="12">
        <f t="shared" si="73"/>
        <v>0</v>
      </c>
      <c r="AE440" s="6">
        <f t="shared" si="74"/>
        <v>0</v>
      </c>
    </row>
    <row r="441" spans="1:31">
      <c r="A441" s="11" t="s">
        <v>475</v>
      </c>
      <c r="B441" s="11"/>
      <c r="C441" s="11" t="s">
        <v>58</v>
      </c>
      <c r="E441" s="6">
        <v>3991496</v>
      </c>
      <c r="G441" s="6">
        <v>0</v>
      </c>
      <c r="I441" s="2">
        <f t="shared" si="79"/>
        <v>2112602</v>
      </c>
      <c r="K441" s="6">
        <v>6104098</v>
      </c>
      <c r="M441" s="2">
        <f t="shared" si="80"/>
        <v>1196118</v>
      </c>
      <c r="O441" s="6">
        <v>1740522</v>
      </c>
      <c r="Q441" s="6">
        <v>2936640</v>
      </c>
      <c r="S441" s="6">
        <v>3000</v>
      </c>
      <c r="U441" s="6">
        <v>1127210</v>
      </c>
      <c r="W441" s="6">
        <v>0</v>
      </c>
      <c r="Y441" s="6">
        <v>63073</v>
      </c>
      <c r="AA441" s="6">
        <v>1974175</v>
      </c>
      <c r="AC441" s="12">
        <f t="shared" si="73"/>
        <v>3167458</v>
      </c>
      <c r="AE441" s="6">
        <f t="shared" si="74"/>
        <v>0</v>
      </c>
    </row>
    <row r="442" spans="1:31" hidden="1">
      <c r="A442" s="11" t="s">
        <v>686</v>
      </c>
      <c r="B442" s="11"/>
      <c r="C442" s="11" t="s">
        <v>467</v>
      </c>
      <c r="I442" s="2">
        <f t="shared" si="79"/>
        <v>0</v>
      </c>
      <c r="M442" s="2">
        <f t="shared" si="80"/>
        <v>0</v>
      </c>
      <c r="AC442" s="12">
        <f t="shared" si="73"/>
        <v>0</v>
      </c>
      <c r="AE442" s="6">
        <f t="shared" si="74"/>
        <v>0</v>
      </c>
    </row>
    <row r="443" spans="1:31" hidden="1">
      <c r="A443" s="11" t="s">
        <v>687</v>
      </c>
      <c r="B443" s="11"/>
      <c r="C443" s="11" t="s">
        <v>422</v>
      </c>
      <c r="I443" s="2">
        <f t="shared" si="79"/>
        <v>0</v>
      </c>
      <c r="M443" s="2">
        <f t="shared" si="80"/>
        <v>0</v>
      </c>
      <c r="AC443" s="12">
        <f t="shared" si="73"/>
        <v>0</v>
      </c>
      <c r="AE443" s="6">
        <f t="shared" si="74"/>
        <v>0</v>
      </c>
    </row>
    <row r="444" spans="1:31">
      <c r="A444" s="11" t="s">
        <v>275</v>
      </c>
      <c r="B444" s="11"/>
      <c r="C444" s="11" t="s">
        <v>20</v>
      </c>
      <c r="E444" s="6">
        <v>21958555</v>
      </c>
      <c r="G444" s="6">
        <v>13091</v>
      </c>
      <c r="I444" s="2">
        <f t="shared" si="79"/>
        <v>105277393</v>
      </c>
      <c r="K444" s="6">
        <v>127249039</v>
      </c>
      <c r="M444" s="2">
        <f t="shared" si="80"/>
        <v>15518053</v>
      </c>
      <c r="O444" s="6">
        <v>89096614</v>
      </c>
      <c r="Q444" s="6">
        <v>104614667</v>
      </c>
      <c r="S444" s="6">
        <v>355341</v>
      </c>
      <c r="U444" s="6">
        <v>5817346</v>
      </c>
      <c r="W444" s="6">
        <v>0</v>
      </c>
      <c r="Y444" s="6">
        <v>2247126</v>
      </c>
      <c r="AA444" s="6">
        <v>14214559</v>
      </c>
      <c r="AC444" s="12">
        <f t="shared" si="73"/>
        <v>22634372</v>
      </c>
      <c r="AE444" s="6">
        <f t="shared" si="74"/>
        <v>0</v>
      </c>
    </row>
    <row r="445" spans="1:31">
      <c r="A445" s="11" t="s">
        <v>347</v>
      </c>
      <c r="B445" s="11"/>
      <c r="C445" s="11" t="s">
        <v>34</v>
      </c>
      <c r="E445" s="6">
        <v>3283206</v>
      </c>
      <c r="G445" s="6">
        <v>0</v>
      </c>
      <c r="I445" s="2">
        <f t="shared" si="79"/>
        <v>6250066</v>
      </c>
      <c r="K445" s="6">
        <v>9533272</v>
      </c>
      <c r="M445" s="2">
        <f t="shared" si="80"/>
        <v>1971258</v>
      </c>
      <c r="O445" s="6">
        <v>5258421</v>
      </c>
      <c r="Q445" s="6">
        <v>7229679</v>
      </c>
      <c r="S445" s="6">
        <v>5781</v>
      </c>
      <c r="U445" s="6">
        <v>1494387</v>
      </c>
      <c r="W445" s="6">
        <v>0</v>
      </c>
      <c r="Y445" s="6">
        <v>83115</v>
      </c>
      <c r="AA445" s="6">
        <v>720310</v>
      </c>
      <c r="AC445" s="12">
        <f t="shared" si="73"/>
        <v>2303593</v>
      </c>
      <c r="AE445" s="6">
        <f t="shared" si="74"/>
        <v>0</v>
      </c>
    </row>
    <row r="446" spans="1:31" hidden="1">
      <c r="A446" s="11" t="s">
        <v>775</v>
      </c>
      <c r="B446" s="11"/>
      <c r="C446" s="11" t="s">
        <v>450</v>
      </c>
      <c r="I446" s="2">
        <f t="shared" si="79"/>
        <v>0</v>
      </c>
      <c r="M446" s="2">
        <f t="shared" si="80"/>
        <v>0</v>
      </c>
      <c r="AC446" s="12">
        <f t="shared" si="73"/>
        <v>0</v>
      </c>
      <c r="AE446" s="6">
        <f t="shared" si="74"/>
        <v>0</v>
      </c>
    </row>
    <row r="447" spans="1:31">
      <c r="A447" s="11" t="s">
        <v>289</v>
      </c>
      <c r="B447" s="11"/>
      <c r="C447" s="11" t="s">
        <v>24</v>
      </c>
      <c r="E447" s="6">
        <f>5253043+1771+77975</f>
        <v>5332789</v>
      </c>
      <c r="G447" s="6">
        <v>0</v>
      </c>
      <c r="I447" s="2">
        <f t="shared" si="79"/>
        <v>15335073</v>
      </c>
      <c r="K447" s="6">
        <v>20667862</v>
      </c>
      <c r="M447" s="2">
        <f t="shared" si="80"/>
        <v>4602755</v>
      </c>
      <c r="O447" s="6">
        <f>2864329+10482712</f>
        <v>13347041</v>
      </c>
      <c r="Q447" s="6">
        <v>17949796</v>
      </c>
      <c r="S447" s="6">
        <f>113851+49882</f>
        <v>163733</v>
      </c>
      <c r="U447" s="6">
        <f>405484+62428+330816</f>
        <v>798728</v>
      </c>
      <c r="W447" s="6">
        <v>0</v>
      </c>
      <c r="Y447" s="6">
        <f>19179+201904+2430495+84606</f>
        <v>2736184</v>
      </c>
      <c r="AA447" s="6">
        <v>-980579</v>
      </c>
      <c r="AC447" s="12">
        <f t="shared" si="73"/>
        <v>2718066</v>
      </c>
      <c r="AE447" s="6">
        <f t="shared" si="74"/>
        <v>0</v>
      </c>
    </row>
    <row r="448" spans="1:31" hidden="1">
      <c r="A448" s="11" t="s">
        <v>688</v>
      </c>
      <c r="B448" s="11"/>
      <c r="C448" s="11" t="s">
        <v>10</v>
      </c>
      <c r="I448" s="2">
        <f t="shared" si="79"/>
        <v>0</v>
      </c>
      <c r="M448" s="2">
        <f t="shared" si="80"/>
        <v>0</v>
      </c>
      <c r="AC448" s="12">
        <f t="shared" si="73"/>
        <v>0</v>
      </c>
      <c r="AE448" s="6">
        <f t="shared" si="74"/>
        <v>0</v>
      </c>
    </row>
    <row r="449" spans="1:31">
      <c r="A449" s="11" t="s">
        <v>202</v>
      </c>
      <c r="B449" s="11"/>
      <c r="C449" s="11" t="s">
        <v>41</v>
      </c>
      <c r="E449" s="6">
        <v>36847182</v>
      </c>
      <c r="G449" s="6">
        <v>58165</v>
      </c>
      <c r="I449" s="2">
        <f t="shared" si="79"/>
        <v>15999440</v>
      </c>
      <c r="K449" s="6">
        <v>52904787</v>
      </c>
      <c r="M449" s="2">
        <f t="shared" si="80"/>
        <v>3308022</v>
      </c>
      <c r="O449" s="6">
        <v>14588273</v>
      </c>
      <c r="Q449" s="6">
        <v>17896295</v>
      </c>
      <c r="S449" s="6">
        <v>311833</v>
      </c>
      <c r="U449" s="6">
        <v>1488780</v>
      </c>
      <c r="W449" s="6">
        <v>671508</v>
      </c>
      <c r="Y449" s="6">
        <v>14204064</v>
      </c>
      <c r="AA449" s="6">
        <v>18332307</v>
      </c>
      <c r="AC449" s="12">
        <f t="shared" si="73"/>
        <v>35008492</v>
      </c>
      <c r="AE449" s="6">
        <f t="shared" si="74"/>
        <v>0</v>
      </c>
    </row>
    <row r="450" spans="1:31">
      <c r="A450" s="11" t="s">
        <v>202</v>
      </c>
      <c r="B450" s="11"/>
      <c r="C450" s="11" t="s">
        <v>62</v>
      </c>
      <c r="E450" s="6">
        <v>23598022</v>
      </c>
      <c r="G450" s="6">
        <v>0</v>
      </c>
      <c r="I450" s="2">
        <f t="shared" si="79"/>
        <v>19533378</v>
      </c>
      <c r="K450" s="6">
        <v>43131400</v>
      </c>
      <c r="M450" s="2">
        <f t="shared" si="80"/>
        <v>5669330</v>
      </c>
      <c r="O450" s="6">
        <v>17819254</v>
      </c>
      <c r="Q450" s="6">
        <v>23488584</v>
      </c>
      <c r="S450" s="6">
        <v>140771</v>
      </c>
      <c r="U450" s="6">
        <v>709159</v>
      </c>
      <c r="W450" s="6">
        <v>0</v>
      </c>
      <c r="Y450" s="6">
        <v>2579253</v>
      </c>
      <c r="AA450" s="6">
        <v>16213633</v>
      </c>
      <c r="AC450" s="12">
        <f t="shared" si="73"/>
        <v>19642816</v>
      </c>
      <c r="AE450" s="6">
        <f t="shared" si="74"/>
        <v>0</v>
      </c>
    </row>
    <row r="451" spans="1:31">
      <c r="A451" s="11" t="s">
        <v>776</v>
      </c>
      <c r="B451" s="11"/>
      <c r="C451" s="11" t="s">
        <v>72</v>
      </c>
      <c r="E451" s="6">
        <v>5301737</v>
      </c>
      <c r="G451" s="6">
        <v>1270</v>
      </c>
      <c r="I451" s="2">
        <f t="shared" si="79"/>
        <v>29927046</v>
      </c>
      <c r="K451" s="6">
        <v>35230053</v>
      </c>
      <c r="M451" s="2">
        <f t="shared" si="80"/>
        <v>6348401</v>
      </c>
      <c r="O451" s="6">
        <f>929649+23534032</f>
        <v>24463681</v>
      </c>
      <c r="Q451" s="6">
        <v>30812082</v>
      </c>
      <c r="S451" s="6">
        <f>20296+24044</f>
        <v>44340</v>
      </c>
      <c r="U451" s="6">
        <f>1973696+923866+397446+284849+29982+9328+16545+1270+40333</f>
        <v>3677315</v>
      </c>
      <c r="W451" s="6">
        <f>610447+11000</f>
        <v>621447</v>
      </c>
      <c r="Y451" s="6">
        <f>121477+87085+50001</f>
        <v>258563</v>
      </c>
      <c r="AA451" s="6">
        <v>-183694</v>
      </c>
      <c r="AC451" s="12">
        <f t="shared" si="73"/>
        <v>4417971</v>
      </c>
      <c r="AE451" s="6">
        <f t="shared" si="74"/>
        <v>0</v>
      </c>
    </row>
    <row r="452" spans="1:31" hidden="1">
      <c r="A452" s="11" t="s">
        <v>896</v>
      </c>
      <c r="B452" s="11"/>
      <c r="C452" s="11" t="s">
        <v>28</v>
      </c>
      <c r="I452" s="2">
        <f t="shared" si="79"/>
        <v>0</v>
      </c>
      <c r="M452" s="2">
        <f t="shared" si="80"/>
        <v>0</v>
      </c>
      <c r="AC452" s="12">
        <f t="shared" si="73"/>
        <v>0</v>
      </c>
      <c r="AE452" s="6">
        <f t="shared" si="74"/>
        <v>0</v>
      </c>
    </row>
    <row r="453" spans="1:31">
      <c r="A453" s="11" t="s">
        <v>296</v>
      </c>
      <c r="B453" s="11"/>
      <c r="C453" s="11" t="s">
        <v>25</v>
      </c>
      <c r="E453" s="6">
        <f>47438904+940493</f>
        <v>48379397</v>
      </c>
      <c r="G453" s="6">
        <v>22684</v>
      </c>
      <c r="I453" s="2">
        <f t="shared" si="79"/>
        <v>56505368</v>
      </c>
      <c r="K453" s="6">
        <v>104907449</v>
      </c>
      <c r="M453" s="2">
        <f t="shared" si="80"/>
        <v>16314600</v>
      </c>
      <c r="O453" s="6">
        <f>45240074+4449902</f>
        <v>49689976</v>
      </c>
      <c r="Q453" s="6">
        <v>66004576</v>
      </c>
      <c r="S453" s="6">
        <f>54900+111539</f>
        <v>166439</v>
      </c>
      <c r="U453" s="6">
        <f>15883788+9173728+3843434+676739+11777+469749+22684+114795</f>
        <v>30196694</v>
      </c>
      <c r="W453" s="6">
        <v>300000</v>
      </c>
      <c r="Y453" s="6">
        <f>170070+1164705+9678+157992+548055</f>
        <v>2050500</v>
      </c>
      <c r="AA453" s="6">
        <v>6189240</v>
      </c>
      <c r="AC453" s="12">
        <f t="shared" si="73"/>
        <v>38902873</v>
      </c>
      <c r="AE453" s="6">
        <f t="shared" si="74"/>
        <v>0</v>
      </c>
    </row>
    <row r="454" spans="1:31" hidden="1">
      <c r="A454" s="11" t="s">
        <v>821</v>
      </c>
      <c r="B454" s="11"/>
      <c r="C454" s="11" t="s">
        <v>28</v>
      </c>
      <c r="I454" s="2">
        <f t="shared" si="79"/>
        <v>0</v>
      </c>
      <c r="M454" s="2">
        <f t="shared" si="80"/>
        <v>0</v>
      </c>
      <c r="AC454" s="12">
        <f t="shared" si="73"/>
        <v>0</v>
      </c>
      <c r="AE454" s="6">
        <f t="shared" si="74"/>
        <v>0</v>
      </c>
    </row>
    <row r="455" spans="1:31">
      <c r="A455" s="11" t="s">
        <v>425</v>
      </c>
      <c r="B455" s="11"/>
      <c r="C455" s="11" t="s">
        <v>48</v>
      </c>
      <c r="E455" s="6">
        <v>43742860</v>
      </c>
      <c r="G455" s="6">
        <v>762</v>
      </c>
      <c r="I455" s="2">
        <f t="shared" si="79"/>
        <v>39168249</v>
      </c>
      <c r="K455" s="6">
        <v>82911871</v>
      </c>
      <c r="M455" s="2">
        <f t="shared" si="80"/>
        <v>4703456</v>
      </c>
      <c r="O455" s="6">
        <f>10349815+24957754</f>
        <v>35307569</v>
      </c>
      <c r="Q455" s="6">
        <v>40011025</v>
      </c>
      <c r="S455" s="6">
        <v>46452</v>
      </c>
      <c r="U455" s="6">
        <v>35123558</v>
      </c>
      <c r="W455" s="6">
        <v>0</v>
      </c>
      <c r="Y455" s="6">
        <v>676253</v>
      </c>
      <c r="AA455" s="6">
        <v>7054583</v>
      </c>
      <c r="AC455" s="12">
        <f t="shared" si="73"/>
        <v>42900846</v>
      </c>
      <c r="AE455" s="6">
        <f t="shared" si="74"/>
        <v>0</v>
      </c>
    </row>
    <row r="456" spans="1:31">
      <c r="A456" s="11" t="s">
        <v>306</v>
      </c>
      <c r="B456" s="11"/>
      <c r="C456" s="11" t="s">
        <v>62</v>
      </c>
      <c r="E456" s="6">
        <v>15495198</v>
      </c>
      <c r="G456" s="6">
        <v>5387</v>
      </c>
      <c r="I456" s="2">
        <f t="shared" si="79"/>
        <v>32533435</v>
      </c>
      <c r="K456" s="6">
        <v>48034020</v>
      </c>
      <c r="M456" s="2">
        <f t="shared" si="80"/>
        <v>5993242</v>
      </c>
      <c r="O456" s="6">
        <f>1851802+28341810</f>
        <v>30193612</v>
      </c>
      <c r="Q456" s="6">
        <v>36186854</v>
      </c>
      <c r="S456" s="6">
        <f>121900+31490+377</f>
        <v>153767</v>
      </c>
      <c r="U456" s="6">
        <f>2732388+948359+868575+150165+1171+90099+2705+6680+5387</f>
        <v>4805529</v>
      </c>
      <c r="W456" s="6">
        <v>0</v>
      </c>
      <c r="Y456" s="6">
        <f>1301430+504116+129329</f>
        <v>1934875</v>
      </c>
      <c r="AA456" s="6">
        <v>4952995</v>
      </c>
      <c r="AC456" s="12">
        <f t="shared" si="73"/>
        <v>11847166</v>
      </c>
      <c r="AE456" s="6">
        <f t="shared" si="74"/>
        <v>0</v>
      </c>
    </row>
    <row r="457" spans="1:31">
      <c r="A457" s="11" t="s">
        <v>411</v>
      </c>
      <c r="B457" s="11"/>
      <c r="C457" s="11" t="s">
        <v>46</v>
      </c>
      <c r="E457" s="6">
        <v>4304212</v>
      </c>
      <c r="G457" s="6">
        <v>0</v>
      </c>
      <c r="I457" s="2">
        <f t="shared" si="79"/>
        <v>4332608</v>
      </c>
      <c r="K457" s="6">
        <v>8636820</v>
      </c>
      <c r="M457" s="2">
        <f t="shared" si="80"/>
        <v>1388592</v>
      </c>
      <c r="O457" s="6">
        <v>2292254</v>
      </c>
      <c r="Q457" s="6">
        <v>3680846</v>
      </c>
      <c r="S457" s="6">
        <v>23968</v>
      </c>
      <c r="U457" s="6">
        <v>785225</v>
      </c>
      <c r="W457" s="6">
        <v>11000</v>
      </c>
      <c r="Y457" s="6">
        <v>1304861</v>
      </c>
      <c r="AA457" s="6">
        <v>2830920</v>
      </c>
      <c r="AC457" s="12">
        <f t="shared" si="73"/>
        <v>4955974</v>
      </c>
      <c r="AE457" s="6">
        <f t="shared" si="74"/>
        <v>0</v>
      </c>
    </row>
    <row r="458" spans="1:31">
      <c r="A458" s="11" t="s">
        <v>471</v>
      </c>
      <c r="B458" s="11"/>
      <c r="C458" s="11" t="s">
        <v>110</v>
      </c>
      <c r="E458" s="6">
        <f>3869901+313310</f>
        <v>4183211</v>
      </c>
      <c r="G458" s="6">
        <v>25818</v>
      </c>
      <c r="I458" s="2">
        <f t="shared" si="79"/>
        <v>2283597</v>
      </c>
      <c r="K458" s="6">
        <v>6492626</v>
      </c>
      <c r="M458" s="2">
        <f t="shared" si="80"/>
        <v>1038419</v>
      </c>
      <c r="O458" s="6">
        <f>1269156+309715</f>
        <v>1578871</v>
      </c>
      <c r="Q458" s="6">
        <v>2617290</v>
      </c>
      <c r="S458" s="6">
        <f>59427+25523</f>
        <v>84950</v>
      </c>
      <c r="U458" s="6">
        <f>199754+584606+200527+47941+1+10658+2293+25818+97217</f>
        <v>1168815</v>
      </c>
      <c r="W458" s="6">
        <f>102874+179445</f>
        <v>282319</v>
      </c>
      <c r="Y458" s="6">
        <f>29549+111953+356773+376+49635+2197</f>
        <v>550483</v>
      </c>
      <c r="AA458" s="6">
        <v>1788769</v>
      </c>
      <c r="AC458" s="12">
        <f t="shared" si="73"/>
        <v>3875336</v>
      </c>
      <c r="AE458" s="6">
        <f t="shared" si="74"/>
        <v>0</v>
      </c>
    </row>
    <row r="459" spans="1:31">
      <c r="A459" s="11" t="s">
        <v>724</v>
      </c>
      <c r="B459" s="11"/>
      <c r="C459" s="11" t="s">
        <v>45</v>
      </c>
      <c r="E459" s="6">
        <v>4121570</v>
      </c>
      <c r="G459" s="6">
        <v>77235</v>
      </c>
      <c r="I459" s="2">
        <f t="shared" si="79"/>
        <v>12114586</v>
      </c>
      <c r="K459" s="6">
        <v>16313391</v>
      </c>
      <c r="M459" s="2">
        <f t="shared" si="80"/>
        <v>3422837</v>
      </c>
      <c r="O459" s="6">
        <v>12034176</v>
      </c>
      <c r="Q459" s="6">
        <v>15457013</v>
      </c>
      <c r="S459" s="6">
        <v>13282</v>
      </c>
      <c r="U459" s="6">
        <v>1870516</v>
      </c>
      <c r="W459" s="6">
        <v>247765</v>
      </c>
      <c r="Y459" s="6">
        <v>218441</v>
      </c>
      <c r="AA459" s="6">
        <v>-1493626</v>
      </c>
      <c r="AC459" s="12">
        <f t="shared" si="73"/>
        <v>856378</v>
      </c>
      <c r="AE459" s="6">
        <f t="shared" si="74"/>
        <v>0</v>
      </c>
    </row>
    <row r="460" spans="1:31" hidden="1">
      <c r="A460" s="11" t="s">
        <v>822</v>
      </c>
      <c r="B460" s="11"/>
      <c r="C460" s="11" t="s">
        <v>53</v>
      </c>
      <c r="I460" s="2">
        <f t="shared" si="79"/>
        <v>0</v>
      </c>
      <c r="M460" s="2">
        <f t="shared" si="80"/>
        <v>0</v>
      </c>
      <c r="AC460" s="12">
        <f t="shared" si="73"/>
        <v>0</v>
      </c>
      <c r="AE460" s="6">
        <f t="shared" si="74"/>
        <v>0</v>
      </c>
    </row>
    <row r="461" spans="1:31">
      <c r="A461" s="11" t="s">
        <v>484</v>
      </c>
      <c r="B461" s="11"/>
      <c r="C461" s="11" t="s">
        <v>59</v>
      </c>
      <c r="E461" s="6">
        <v>7022888</v>
      </c>
      <c r="G461" s="6">
        <v>29872</v>
      </c>
      <c r="I461" s="2">
        <f t="shared" si="79"/>
        <v>7762978</v>
      </c>
      <c r="K461" s="6">
        <v>14815738</v>
      </c>
      <c r="M461" s="2">
        <f t="shared" si="80"/>
        <v>2704171</v>
      </c>
      <c r="O461" s="6">
        <v>6811974</v>
      </c>
      <c r="Q461" s="6">
        <v>9516145</v>
      </c>
      <c r="S461" s="6">
        <v>55459</v>
      </c>
      <c r="U461" s="6">
        <v>3985841</v>
      </c>
      <c r="W461" s="6">
        <v>812796</v>
      </c>
      <c r="Y461" s="6">
        <v>684054</v>
      </c>
      <c r="AA461" s="6">
        <v>-238557</v>
      </c>
      <c r="AC461" s="12">
        <f t="shared" si="73"/>
        <v>5299593</v>
      </c>
      <c r="AE461" s="6">
        <f t="shared" si="74"/>
        <v>0</v>
      </c>
    </row>
    <row r="462" spans="1:31" hidden="1">
      <c r="A462" s="11" t="s">
        <v>689</v>
      </c>
      <c r="B462" s="11"/>
      <c r="C462" s="11" t="s">
        <v>57</v>
      </c>
      <c r="I462" s="2">
        <f t="shared" si="79"/>
        <v>0</v>
      </c>
      <c r="M462" s="2">
        <f t="shared" si="80"/>
        <v>0</v>
      </c>
      <c r="AC462" s="12">
        <f t="shared" si="73"/>
        <v>0</v>
      </c>
      <c r="AE462" s="6">
        <f t="shared" si="74"/>
        <v>0</v>
      </c>
    </row>
    <row r="463" spans="1:31">
      <c r="A463" s="11" t="s">
        <v>329</v>
      </c>
      <c r="B463" s="11"/>
      <c r="C463" s="11" t="s">
        <v>32</v>
      </c>
      <c r="E463" s="6">
        <v>133511352</v>
      </c>
      <c r="G463" s="6">
        <v>727605</v>
      </c>
      <c r="I463" s="2">
        <f t="shared" si="79"/>
        <v>57745638</v>
      </c>
      <c r="K463" s="6">
        <v>191984595</v>
      </c>
      <c r="M463" s="2">
        <f t="shared" si="80"/>
        <v>18467860</v>
      </c>
      <c r="O463" s="6">
        <v>36608418</v>
      </c>
      <c r="Q463" s="6">
        <v>55076278</v>
      </c>
      <c r="S463" s="6">
        <v>31428</v>
      </c>
      <c r="U463" s="6">
        <v>120710497</v>
      </c>
      <c r="W463" s="6">
        <v>11000</v>
      </c>
      <c r="Y463" s="6">
        <v>1665971</v>
      </c>
      <c r="AA463" s="6">
        <v>14489421</v>
      </c>
      <c r="AC463" s="12">
        <f t="shared" si="73"/>
        <v>136908317</v>
      </c>
      <c r="AE463" s="6">
        <f t="shared" si="74"/>
        <v>0</v>
      </c>
    </row>
    <row r="464" spans="1:31" hidden="1">
      <c r="A464" s="11" t="s">
        <v>823</v>
      </c>
      <c r="B464" s="11"/>
      <c r="C464" s="11" t="s">
        <v>53</v>
      </c>
      <c r="I464" s="2">
        <f t="shared" ref="I464" si="81">K464-E464-G464</f>
        <v>0</v>
      </c>
      <c r="M464" s="2">
        <f t="shared" ref="M464" si="82">Q464-O464</f>
        <v>0</v>
      </c>
      <c r="AC464" s="12">
        <f t="shared" ref="AC464" si="83">S464+U464+W464+Y464+AA464</f>
        <v>0</v>
      </c>
      <c r="AE464" s="6">
        <f t="shared" ref="AE464" si="84">+E464+G464+I464-M464-O464-W464-U464-S464-Y464-AA464</f>
        <v>0</v>
      </c>
    </row>
    <row r="465" spans="1:31" hidden="1">
      <c r="A465" s="11" t="s">
        <v>824</v>
      </c>
      <c r="B465" s="11"/>
      <c r="C465" s="11" t="s">
        <v>12</v>
      </c>
      <c r="I465" s="2">
        <f t="shared" si="79"/>
        <v>0</v>
      </c>
      <c r="M465" s="2">
        <f t="shared" si="80"/>
        <v>0</v>
      </c>
      <c r="AC465" s="12">
        <f t="shared" si="73"/>
        <v>0</v>
      </c>
      <c r="AE465" s="6">
        <f t="shared" si="74"/>
        <v>0</v>
      </c>
    </row>
    <row r="466" spans="1:31">
      <c r="A466" s="11" t="s">
        <v>632</v>
      </c>
      <c r="B466" s="11"/>
      <c r="C466" s="11" t="s">
        <v>56</v>
      </c>
      <c r="E466" s="6">
        <f>5826297+12446</f>
        <v>5838743</v>
      </c>
      <c r="G466" s="6">
        <v>0</v>
      </c>
      <c r="I466" s="2">
        <f t="shared" si="79"/>
        <v>12626708</v>
      </c>
      <c r="K466" s="6">
        <v>18465451</v>
      </c>
      <c r="M466" s="2">
        <f t="shared" si="80"/>
        <v>4282660</v>
      </c>
      <c r="O466" s="6">
        <f>10168969+1151920</f>
        <v>11320889</v>
      </c>
      <c r="Q466" s="6">
        <v>15603549</v>
      </c>
      <c r="S466" s="6">
        <v>4652</v>
      </c>
      <c r="U466" s="6">
        <f>122948+2492034+672489+368+30171+23462+21446+4782</f>
        <v>3367700</v>
      </c>
      <c r="W466" s="6">
        <v>0</v>
      </c>
      <c r="Y466" s="6">
        <v>0</v>
      </c>
      <c r="AA466" s="6">
        <v>-510450</v>
      </c>
      <c r="AC466" s="12">
        <f t="shared" si="73"/>
        <v>2861902</v>
      </c>
      <c r="AE466" s="6">
        <f t="shared" si="74"/>
        <v>0</v>
      </c>
    </row>
    <row r="467" spans="1:31">
      <c r="A467" s="11" t="s">
        <v>330</v>
      </c>
      <c r="B467" s="11"/>
      <c r="C467" s="11" t="s">
        <v>32</v>
      </c>
      <c r="E467" s="6">
        <v>3236071</v>
      </c>
      <c r="G467" s="6">
        <v>0</v>
      </c>
      <c r="I467" s="2">
        <f t="shared" si="79"/>
        <v>7900223</v>
      </c>
      <c r="K467" s="6">
        <v>11136294</v>
      </c>
      <c r="M467" s="2">
        <f t="shared" si="80"/>
        <v>1349796</v>
      </c>
      <c r="O467" s="6">
        <v>4797024</v>
      </c>
      <c r="Q467" s="6">
        <v>6146820</v>
      </c>
      <c r="S467" s="6">
        <v>114823</v>
      </c>
      <c r="U467" s="6">
        <f>82390+123192+6875+95270+12317+54956</f>
        <v>375000</v>
      </c>
      <c r="W467" s="6">
        <f>84658+77891</f>
        <v>162549</v>
      </c>
      <c r="Y467" s="6">
        <f>41364+142820</f>
        <v>184184</v>
      </c>
      <c r="AA467" s="6">
        <v>4152918</v>
      </c>
      <c r="AC467" s="12">
        <f t="shared" si="73"/>
        <v>4989474</v>
      </c>
      <c r="AE467" s="6">
        <f t="shared" si="74"/>
        <v>0</v>
      </c>
    </row>
    <row r="468" spans="1:31">
      <c r="A468" s="11" t="s">
        <v>513</v>
      </c>
      <c r="B468" s="11"/>
      <c r="C468" s="11" t="s">
        <v>63</v>
      </c>
      <c r="E468" s="6">
        <f>20668131+11761</f>
        <v>20679892</v>
      </c>
      <c r="G468" s="6">
        <v>0</v>
      </c>
      <c r="I468" s="2">
        <f t="shared" si="79"/>
        <v>30398189</v>
      </c>
      <c r="K468" s="6">
        <v>51078081</v>
      </c>
      <c r="M468" s="2">
        <f t="shared" si="80"/>
        <v>4348629</v>
      </c>
      <c r="O468" s="6">
        <v>27324416</v>
      </c>
      <c r="Q468" s="6">
        <v>31673045</v>
      </c>
      <c r="S468" s="6">
        <v>0</v>
      </c>
      <c r="U468" s="6">
        <v>5157727</v>
      </c>
      <c r="W468" s="6">
        <v>58069</v>
      </c>
      <c r="Y468" s="6">
        <v>1011539</v>
      </c>
      <c r="AA468" s="6">
        <v>13177701</v>
      </c>
      <c r="AC468" s="12">
        <f t="shared" si="73"/>
        <v>19405036</v>
      </c>
      <c r="AE468" s="6">
        <f t="shared" si="74"/>
        <v>0</v>
      </c>
    </row>
    <row r="469" spans="1:31" hidden="1">
      <c r="A469" s="11" t="s">
        <v>825</v>
      </c>
      <c r="B469" s="11"/>
      <c r="C469" s="11" t="s">
        <v>27</v>
      </c>
      <c r="I469" s="2">
        <f t="shared" si="79"/>
        <v>0</v>
      </c>
      <c r="M469" s="2">
        <f t="shared" si="80"/>
        <v>0</v>
      </c>
      <c r="AC469" s="12">
        <f t="shared" si="73"/>
        <v>0</v>
      </c>
      <c r="AE469" s="6">
        <f t="shared" si="74"/>
        <v>0</v>
      </c>
    </row>
    <row r="470" spans="1:31">
      <c r="A470" s="11" t="s">
        <v>276</v>
      </c>
      <c r="B470" s="11"/>
      <c r="C470" s="11" t="s">
        <v>20</v>
      </c>
      <c r="E470" s="6">
        <v>85195</v>
      </c>
      <c r="G470" s="6">
        <v>136327</v>
      </c>
      <c r="I470" s="2">
        <f t="shared" si="79"/>
        <v>13192700</v>
      </c>
      <c r="K470" s="6">
        <v>13414222</v>
      </c>
      <c r="M470" s="2">
        <f t="shared" si="80"/>
        <v>1992942</v>
      </c>
      <c r="O470" s="6">
        <v>11585292</v>
      </c>
      <c r="Q470" s="6">
        <v>13578234</v>
      </c>
      <c r="S470" s="6">
        <v>0</v>
      </c>
      <c r="U470" s="6">
        <v>44435</v>
      </c>
      <c r="W470" s="6">
        <v>50990</v>
      </c>
      <c r="Y470" s="6">
        <v>0</v>
      </c>
      <c r="AA470" s="6">
        <v>-259437</v>
      </c>
      <c r="AC470" s="12">
        <f t="shared" si="73"/>
        <v>-164012</v>
      </c>
      <c r="AE470" s="6">
        <f t="shared" si="74"/>
        <v>0</v>
      </c>
    </row>
    <row r="471" spans="1:31" ht="12" customHeight="1">
      <c r="A471" s="11" t="s">
        <v>412</v>
      </c>
      <c r="B471" s="11"/>
      <c r="C471" s="11" t="s">
        <v>46</v>
      </c>
      <c r="E471" s="6">
        <v>3131483</v>
      </c>
      <c r="G471" s="6">
        <v>0</v>
      </c>
      <c r="I471" s="2">
        <f t="shared" si="79"/>
        <v>3378425</v>
      </c>
      <c r="K471" s="6">
        <v>6509908</v>
      </c>
      <c r="M471" s="2">
        <f t="shared" si="80"/>
        <v>782345</v>
      </c>
      <c r="O471" s="6">
        <v>2254473</v>
      </c>
      <c r="Q471" s="6">
        <v>3036818</v>
      </c>
      <c r="S471" s="6">
        <v>65578</v>
      </c>
      <c r="U471" s="6">
        <v>157508</v>
      </c>
      <c r="W471" s="6">
        <v>0</v>
      </c>
      <c r="Y471" s="6">
        <v>18650</v>
      </c>
      <c r="AA471" s="6">
        <v>3231354</v>
      </c>
      <c r="AC471" s="12">
        <f t="shared" si="73"/>
        <v>3473090</v>
      </c>
      <c r="AE471" s="6">
        <f t="shared" si="74"/>
        <v>0</v>
      </c>
    </row>
    <row r="472" spans="1:31" hidden="1">
      <c r="A472" s="11" t="s">
        <v>897</v>
      </c>
      <c r="B472" s="11"/>
      <c r="C472" s="11" t="s">
        <v>339</v>
      </c>
      <c r="E472" s="6">
        <v>0</v>
      </c>
      <c r="G472" s="6">
        <v>0</v>
      </c>
      <c r="I472" s="2">
        <f t="shared" si="79"/>
        <v>0</v>
      </c>
      <c r="K472" s="6">
        <v>0</v>
      </c>
      <c r="M472" s="2">
        <f t="shared" si="80"/>
        <v>0</v>
      </c>
      <c r="O472" s="6">
        <v>0</v>
      </c>
      <c r="Q472" s="6">
        <v>0</v>
      </c>
      <c r="S472" s="6">
        <v>0</v>
      </c>
      <c r="U472" s="6">
        <v>0</v>
      </c>
      <c r="W472" s="6">
        <v>0</v>
      </c>
      <c r="Y472" s="6">
        <v>0</v>
      </c>
      <c r="AA472" s="6">
        <v>0</v>
      </c>
      <c r="AC472" s="12">
        <f t="shared" si="73"/>
        <v>0</v>
      </c>
      <c r="AE472" s="6">
        <f t="shared" si="74"/>
        <v>0</v>
      </c>
    </row>
    <row r="473" spans="1:31">
      <c r="A473" s="11" t="s">
        <v>254</v>
      </c>
      <c r="B473" s="11"/>
      <c r="C473" s="11" t="s">
        <v>19</v>
      </c>
      <c r="E473" s="6">
        <v>4795989</v>
      </c>
      <c r="G473" s="6">
        <v>0</v>
      </c>
      <c r="I473" s="2">
        <f t="shared" si="79"/>
        <v>3101764</v>
      </c>
      <c r="K473" s="6">
        <v>7897753</v>
      </c>
      <c r="M473" s="2">
        <f t="shared" si="80"/>
        <v>1275239</v>
      </c>
      <c r="O473" s="6">
        <f>290126+2249252</f>
        <v>2539378</v>
      </c>
      <c r="Q473" s="6">
        <v>3814617</v>
      </c>
      <c r="S473" s="6">
        <v>18827</v>
      </c>
      <c r="U473" s="6">
        <f>571200+5599+173617+490281+33495+12386+25167+76549</f>
        <v>1388294</v>
      </c>
      <c r="W473" s="6">
        <f>35+9000+15000</f>
        <v>24035</v>
      </c>
      <c r="Y473" s="6">
        <f>48199+3+1979</f>
        <v>50181</v>
      </c>
      <c r="AA473" s="6">
        <v>2601799</v>
      </c>
      <c r="AC473" s="12">
        <f t="shared" si="73"/>
        <v>4083136</v>
      </c>
      <c r="AE473" s="6">
        <f t="shared" si="74"/>
        <v>0</v>
      </c>
    </row>
    <row r="474" spans="1:31" hidden="1">
      <c r="A474" s="11" t="s">
        <v>826</v>
      </c>
      <c r="B474" s="11"/>
      <c r="C474" s="11" t="s">
        <v>77</v>
      </c>
      <c r="I474" s="2">
        <f t="shared" si="79"/>
        <v>0</v>
      </c>
      <c r="M474" s="2">
        <f t="shared" si="80"/>
        <v>0</v>
      </c>
      <c r="AC474" s="12">
        <f t="shared" si="73"/>
        <v>0</v>
      </c>
      <c r="AE474" s="6">
        <f t="shared" si="74"/>
        <v>0</v>
      </c>
    </row>
    <row r="475" spans="1:31" hidden="1">
      <c r="A475" s="11" t="s">
        <v>827</v>
      </c>
      <c r="B475" s="11"/>
      <c r="C475" s="11" t="s">
        <v>71</v>
      </c>
      <c r="I475" s="2">
        <f t="shared" si="79"/>
        <v>0</v>
      </c>
      <c r="M475" s="2">
        <f t="shared" si="80"/>
        <v>0</v>
      </c>
      <c r="AC475" s="12">
        <f t="shared" si="73"/>
        <v>0</v>
      </c>
      <c r="AE475" s="6">
        <f t="shared" si="74"/>
        <v>0</v>
      </c>
    </row>
    <row r="476" spans="1:31">
      <c r="A476" s="11" t="s">
        <v>413</v>
      </c>
      <c r="B476" s="11"/>
      <c r="C476" s="11" t="s">
        <v>46</v>
      </c>
      <c r="E476" s="6">
        <f>4575059+111</f>
        <v>4575170</v>
      </c>
      <c r="G476" s="6">
        <v>0</v>
      </c>
      <c r="I476" s="2">
        <f t="shared" si="79"/>
        <v>7660983</v>
      </c>
      <c r="K476" s="6">
        <v>12236153</v>
      </c>
      <c r="M476" s="2">
        <f t="shared" si="80"/>
        <v>2112775</v>
      </c>
      <c r="O476" s="6">
        <v>4423979</v>
      </c>
      <c r="Q476" s="6">
        <v>6536754</v>
      </c>
      <c r="S476" s="6">
        <v>312269</v>
      </c>
      <c r="U476" s="6">
        <v>2535070</v>
      </c>
      <c r="W476" s="6">
        <v>0</v>
      </c>
      <c r="Y476" s="6">
        <v>86540</v>
      </c>
      <c r="AA476" s="6">
        <v>2765520</v>
      </c>
      <c r="AC476" s="12">
        <f t="shared" si="73"/>
        <v>5699399</v>
      </c>
      <c r="AE476" s="6">
        <f t="shared" si="74"/>
        <v>0</v>
      </c>
    </row>
    <row r="477" spans="1:31">
      <c r="A477" s="11" t="s">
        <v>255</v>
      </c>
      <c r="B477" s="11"/>
      <c r="C477" s="11" t="s">
        <v>19</v>
      </c>
      <c r="E477" s="6">
        <v>7978754</v>
      </c>
      <c r="G477" s="6">
        <v>0</v>
      </c>
      <c r="I477" s="2">
        <f t="shared" si="79"/>
        <v>10095058</v>
      </c>
      <c r="K477" s="6">
        <v>18073812</v>
      </c>
      <c r="M477" s="2">
        <f t="shared" si="80"/>
        <v>2270585</v>
      </c>
      <c r="O477" s="6">
        <v>8915194</v>
      </c>
      <c r="Q477" s="6">
        <v>11185779</v>
      </c>
      <c r="S477" s="6">
        <v>224864</v>
      </c>
      <c r="U477" s="6">
        <v>2076759</v>
      </c>
      <c r="W477" s="6">
        <v>39169</v>
      </c>
      <c r="Y477" s="6">
        <v>1835113</v>
      </c>
      <c r="AA477" s="6">
        <v>2712128</v>
      </c>
      <c r="AC477" s="12">
        <f t="shared" ref="AC477:AC539" si="85">S477+U477+W477+Y477+AA477</f>
        <v>6888033</v>
      </c>
      <c r="AE477" s="6">
        <f t="shared" ref="AE477:AE539" si="86">+E477+G477+I477-M477-O477-W477-U477-S477-Y477-AA477</f>
        <v>0</v>
      </c>
    </row>
    <row r="478" spans="1:31" hidden="1">
      <c r="A478" s="11" t="s">
        <v>828</v>
      </c>
      <c r="B478" s="11"/>
      <c r="C478" s="11" t="s">
        <v>339</v>
      </c>
      <c r="I478" s="2">
        <f t="shared" si="79"/>
        <v>0</v>
      </c>
      <c r="M478" s="2">
        <f t="shared" si="80"/>
        <v>0</v>
      </c>
      <c r="AC478" s="12">
        <f t="shared" si="85"/>
        <v>0</v>
      </c>
      <c r="AE478" s="6">
        <f t="shared" si="86"/>
        <v>0</v>
      </c>
    </row>
    <row r="479" spans="1:31" s="28" customFormat="1">
      <c r="A479" s="27" t="s">
        <v>379</v>
      </c>
      <c r="B479" s="27"/>
      <c r="C479" s="27" t="s">
        <v>41</v>
      </c>
      <c r="E479" s="28">
        <f>3365730+2500000</f>
        <v>5865730</v>
      </c>
      <c r="G479" s="28">
        <v>0</v>
      </c>
      <c r="I479" s="30">
        <f t="shared" si="79"/>
        <v>27912308</v>
      </c>
      <c r="K479" s="28">
        <v>33778038</v>
      </c>
      <c r="M479" s="30">
        <f t="shared" si="80"/>
        <v>5272774</v>
      </c>
      <c r="O479" s="28">
        <v>25412410</v>
      </c>
      <c r="Q479" s="28">
        <v>30685184</v>
      </c>
      <c r="S479" s="28">
        <v>130388</v>
      </c>
      <c r="U479" s="28">
        <v>4496389</v>
      </c>
      <c r="W479" s="28">
        <v>0</v>
      </c>
      <c r="Y479" s="28">
        <v>211330</v>
      </c>
      <c r="AA479" s="28">
        <v>-1745253</v>
      </c>
      <c r="AC479" s="37">
        <f t="shared" si="85"/>
        <v>3092854</v>
      </c>
      <c r="AE479" s="28">
        <f t="shared" si="86"/>
        <v>0</v>
      </c>
    </row>
    <row r="480" spans="1:31">
      <c r="A480" s="11" t="s">
        <v>379</v>
      </c>
      <c r="B480" s="11"/>
      <c r="C480" s="11" t="s">
        <v>43</v>
      </c>
      <c r="E480" s="6">
        <v>1256449</v>
      </c>
      <c r="G480" s="6">
        <v>17111</v>
      </c>
      <c r="I480" s="2">
        <f t="shared" si="79"/>
        <v>2182924</v>
      </c>
      <c r="K480" s="6">
        <v>3456484</v>
      </c>
      <c r="M480" s="2">
        <f t="shared" si="80"/>
        <v>808230</v>
      </c>
      <c r="O480" s="6">
        <f>207055+1408194</f>
        <v>1615249</v>
      </c>
      <c r="Q480" s="6">
        <v>2423479</v>
      </c>
      <c r="S480" s="6">
        <v>8111</v>
      </c>
      <c r="U480" s="6">
        <f>240267+246063+61098+80982+1+22292+17111+198</f>
        <v>668012</v>
      </c>
      <c r="W480" s="6">
        <v>0</v>
      </c>
      <c r="Y480" s="6">
        <f>6282+22346+1693+205886+4711</f>
        <v>240918</v>
      </c>
      <c r="AA480" s="6">
        <v>115964</v>
      </c>
      <c r="AC480" s="12">
        <f t="shared" si="85"/>
        <v>1033005</v>
      </c>
      <c r="AE480" s="6">
        <f t="shared" si="86"/>
        <v>0</v>
      </c>
    </row>
    <row r="481" spans="1:31">
      <c r="A481" s="11" t="s">
        <v>370</v>
      </c>
      <c r="B481" s="11"/>
      <c r="C481" s="11" t="s">
        <v>366</v>
      </c>
      <c r="E481" s="6">
        <v>9307731</v>
      </c>
      <c r="G481" s="6">
        <v>279156</v>
      </c>
      <c r="I481" s="2">
        <f t="shared" si="79"/>
        <v>4687098</v>
      </c>
      <c r="K481" s="6">
        <v>14273985</v>
      </c>
      <c r="M481" s="2">
        <f t="shared" si="80"/>
        <v>2727439</v>
      </c>
      <c r="O481" s="6">
        <v>3808709</v>
      </c>
      <c r="Q481" s="6">
        <v>6536148</v>
      </c>
      <c r="S481" s="6">
        <v>17864</v>
      </c>
      <c r="U481" s="6">
        <v>6815911</v>
      </c>
      <c r="W481" s="6">
        <v>0</v>
      </c>
      <c r="Y481" s="6">
        <v>283404</v>
      </c>
      <c r="AA481" s="6">
        <v>620658</v>
      </c>
      <c r="AC481" s="12">
        <f t="shared" si="85"/>
        <v>7737837</v>
      </c>
      <c r="AE481" s="6">
        <f t="shared" si="86"/>
        <v>0</v>
      </c>
    </row>
    <row r="482" spans="1:31">
      <c r="A482" s="11" t="s">
        <v>713</v>
      </c>
      <c r="B482" s="11"/>
      <c r="C482" s="11" t="s">
        <v>20</v>
      </c>
      <c r="E482" s="6">
        <v>28441756</v>
      </c>
      <c r="G482" s="6">
        <v>0</v>
      </c>
      <c r="I482" s="2">
        <f t="shared" si="79"/>
        <v>30621080</v>
      </c>
      <c r="K482" s="6">
        <v>59062836</v>
      </c>
      <c r="M482" s="2">
        <f t="shared" si="80"/>
        <v>7857410</v>
      </c>
      <c r="O482" s="6">
        <f>1912659+24267296</f>
        <v>26179955</v>
      </c>
      <c r="Q482" s="6">
        <v>34037365</v>
      </c>
      <c r="S482" s="6">
        <f>41962+12327+11610</f>
        <v>65899</v>
      </c>
      <c r="U482" s="6">
        <f>2624034+20049093+53430+166320+510+11473+37323</f>
        <v>22942183</v>
      </c>
      <c r="W482" s="6">
        <f>48604+19915</f>
        <v>68519</v>
      </c>
      <c r="Y482" s="6">
        <f>93507+405460+2575+23077+694396</f>
        <v>1219015</v>
      </c>
      <c r="AA482" s="6">
        <v>729855</v>
      </c>
      <c r="AC482" s="12">
        <f t="shared" si="85"/>
        <v>25025471</v>
      </c>
      <c r="AE482" s="6">
        <f t="shared" si="86"/>
        <v>0</v>
      </c>
    </row>
    <row r="483" spans="1:31">
      <c r="A483" s="11" t="s">
        <v>321</v>
      </c>
      <c r="B483" s="11"/>
      <c r="C483" s="11" t="s">
        <v>31</v>
      </c>
      <c r="E483" s="6">
        <v>3543050</v>
      </c>
      <c r="G483" s="6">
        <v>7903</v>
      </c>
      <c r="I483" s="2">
        <f t="shared" si="79"/>
        <v>7792576</v>
      </c>
      <c r="K483" s="6">
        <v>11343529</v>
      </c>
      <c r="M483" s="2">
        <f t="shared" si="80"/>
        <v>2088722</v>
      </c>
      <c r="O483" s="6">
        <v>5272106</v>
      </c>
      <c r="Q483" s="6">
        <v>7360828</v>
      </c>
      <c r="S483" s="6">
        <f>95237+36773+7903</f>
        <v>139913</v>
      </c>
      <c r="U483" s="6">
        <f>36094+21960+36249+126348+27427+215725</f>
        <v>463803</v>
      </c>
      <c r="W483" s="6">
        <v>38000</v>
      </c>
      <c r="Y483" s="6">
        <f>224610+74562</f>
        <v>299172</v>
      </c>
      <c r="AA483" s="6">
        <v>3041813</v>
      </c>
      <c r="AC483" s="12">
        <f t="shared" si="85"/>
        <v>3982701</v>
      </c>
      <c r="AE483" s="6">
        <f t="shared" si="86"/>
        <v>0</v>
      </c>
    </row>
    <row r="484" spans="1:31">
      <c r="A484" s="11" t="s">
        <v>462</v>
      </c>
      <c r="B484" s="11"/>
      <c r="C484" s="11" t="s">
        <v>56</v>
      </c>
      <c r="E484" s="6">
        <v>2311521</v>
      </c>
      <c r="G484" s="6">
        <v>0</v>
      </c>
      <c r="I484" s="2">
        <f t="shared" si="79"/>
        <v>6629690</v>
      </c>
      <c r="K484" s="6">
        <v>8941211</v>
      </c>
      <c r="M484" s="2">
        <f t="shared" si="80"/>
        <v>1267340</v>
      </c>
      <c r="O484" s="6">
        <v>6128381</v>
      </c>
      <c r="Q484" s="6">
        <v>7395721</v>
      </c>
      <c r="S484" s="6">
        <v>0</v>
      </c>
      <c r="U484" s="6">
        <v>920064</v>
      </c>
      <c r="W484" s="6">
        <v>0</v>
      </c>
      <c r="Y484" s="6">
        <v>169948</v>
      </c>
      <c r="AA484" s="6">
        <v>455478</v>
      </c>
      <c r="AC484" s="12">
        <f t="shared" si="85"/>
        <v>1545490</v>
      </c>
      <c r="AE484" s="6">
        <f t="shared" si="86"/>
        <v>0</v>
      </c>
    </row>
    <row r="485" spans="1:31">
      <c r="A485" s="11" t="s">
        <v>714</v>
      </c>
      <c r="B485" s="11"/>
      <c r="C485" s="11" t="s">
        <v>221</v>
      </c>
      <c r="E485" s="6">
        <f>14089283+339849</f>
        <v>14429132</v>
      </c>
      <c r="G485" s="6">
        <v>392800</v>
      </c>
      <c r="I485" s="2">
        <f t="shared" si="79"/>
        <v>15086654</v>
      </c>
      <c r="K485" s="6">
        <v>29908586</v>
      </c>
      <c r="M485" s="2">
        <f t="shared" si="80"/>
        <v>2962316</v>
      </c>
      <c r="O485" s="6">
        <v>13557224</v>
      </c>
      <c r="Q485" s="6">
        <v>16519540</v>
      </c>
      <c r="S485" s="6">
        <v>14554</v>
      </c>
      <c r="U485" s="6">
        <v>8444988</v>
      </c>
      <c r="W485" s="6">
        <v>0</v>
      </c>
      <c r="Y485" s="6">
        <v>431008</v>
      </c>
      <c r="AA485" s="6">
        <v>4498496</v>
      </c>
      <c r="AC485" s="12">
        <f t="shared" si="85"/>
        <v>13389046</v>
      </c>
      <c r="AE485" s="6">
        <f t="shared" si="86"/>
        <v>0</v>
      </c>
    </row>
    <row r="486" spans="1:31">
      <c r="A486" s="11" t="s">
        <v>777</v>
      </c>
      <c r="B486" s="11"/>
      <c r="C486" s="11" t="s">
        <v>72</v>
      </c>
      <c r="E486" s="6">
        <v>8384090</v>
      </c>
      <c r="G486" s="6">
        <v>1722566</v>
      </c>
      <c r="I486" s="2">
        <f t="shared" si="79"/>
        <v>12778875</v>
      </c>
      <c r="K486" s="6">
        <v>22885531</v>
      </c>
      <c r="M486" s="2">
        <f t="shared" si="80"/>
        <v>3569510</v>
      </c>
      <c r="O486" s="6">
        <v>10926902</v>
      </c>
      <c r="Q486" s="6">
        <v>14496412</v>
      </c>
      <c r="S486" s="6">
        <v>57923</v>
      </c>
      <c r="U486" s="6">
        <v>1952378</v>
      </c>
      <c r="W486" s="6">
        <v>0</v>
      </c>
      <c r="Y486" s="6">
        <v>235477</v>
      </c>
      <c r="AA486" s="6">
        <v>6143341</v>
      </c>
      <c r="AC486" s="12">
        <f t="shared" si="85"/>
        <v>8389119</v>
      </c>
      <c r="AE486" s="6">
        <f t="shared" si="86"/>
        <v>0</v>
      </c>
    </row>
    <row r="487" spans="1:31">
      <c r="A487" s="11" t="s">
        <v>492</v>
      </c>
      <c r="B487" s="11"/>
      <c r="C487" s="11" t="s">
        <v>61</v>
      </c>
      <c r="E487" s="6">
        <f>2777162+1500+45145</f>
        <v>2823807</v>
      </c>
      <c r="G487" s="6">
        <v>3342</v>
      </c>
      <c r="I487" s="2">
        <f t="shared" si="79"/>
        <v>1678458</v>
      </c>
      <c r="K487" s="6">
        <v>4505607</v>
      </c>
      <c r="M487" s="2">
        <f t="shared" si="80"/>
        <v>732339</v>
      </c>
      <c r="O487" s="6">
        <v>1342398</v>
      </c>
      <c r="Q487" s="6">
        <v>2074737</v>
      </c>
      <c r="S487" s="6">
        <v>12234</v>
      </c>
      <c r="U487" s="6">
        <v>1148053</v>
      </c>
      <c r="W487" s="6">
        <v>0</v>
      </c>
      <c r="Y487" s="6">
        <v>1138768</v>
      </c>
      <c r="AA487" s="6">
        <v>131815</v>
      </c>
      <c r="AC487" s="12">
        <f t="shared" si="85"/>
        <v>2430870</v>
      </c>
      <c r="AE487" s="6">
        <f t="shared" si="86"/>
        <v>0</v>
      </c>
    </row>
    <row r="488" spans="1:31">
      <c r="A488" s="11" t="s">
        <v>607</v>
      </c>
      <c r="B488" s="11"/>
      <c r="C488" s="11" t="s">
        <v>112</v>
      </c>
      <c r="E488" s="6">
        <f>3758698+219795</f>
        <v>3978493</v>
      </c>
      <c r="G488" s="6">
        <v>0</v>
      </c>
      <c r="I488" s="2">
        <f t="shared" ref="I488:I537" si="87">K488-E488-G488</f>
        <v>9644466</v>
      </c>
      <c r="K488" s="6">
        <v>13622959</v>
      </c>
      <c r="M488" s="2">
        <f t="shared" ref="M488:M537" si="88">Q488-O488</f>
        <v>11381946</v>
      </c>
      <c r="O488" s="6">
        <v>739937</v>
      </c>
      <c r="Q488" s="6">
        <v>12121883</v>
      </c>
      <c r="S488" s="6">
        <f>11119+22738</f>
        <v>33857</v>
      </c>
      <c r="U488" s="6">
        <f>556613+101480+14311+9415+144256</f>
        <v>826075</v>
      </c>
      <c r="W488" s="6">
        <f>290256+11000</f>
        <v>301256</v>
      </c>
      <c r="Y488" s="6">
        <f>205666+220037</f>
        <v>425703</v>
      </c>
      <c r="AA488" s="6">
        <v>-85815</v>
      </c>
      <c r="AC488" s="12">
        <f t="shared" si="85"/>
        <v>1501076</v>
      </c>
      <c r="AE488" s="6">
        <f t="shared" si="86"/>
        <v>0</v>
      </c>
    </row>
    <row r="489" spans="1:31">
      <c r="A489" s="11" t="s">
        <v>290</v>
      </c>
      <c r="B489" s="11"/>
      <c r="C489" s="11" t="s">
        <v>24</v>
      </c>
      <c r="E489" s="6">
        <v>4028366</v>
      </c>
      <c r="G489" s="6">
        <v>0</v>
      </c>
      <c r="I489" s="2">
        <f t="shared" si="87"/>
        <v>22528517</v>
      </c>
      <c r="K489" s="6">
        <v>26556883</v>
      </c>
      <c r="M489" s="2">
        <f t="shared" si="88"/>
        <v>6588596</v>
      </c>
      <c r="O489" s="6">
        <v>19357848</v>
      </c>
      <c r="Q489" s="6">
        <v>25946444</v>
      </c>
      <c r="S489" s="6">
        <v>100108</v>
      </c>
      <c r="U489" s="6">
        <v>1674006</v>
      </c>
      <c r="W489" s="6">
        <v>0</v>
      </c>
      <c r="Y489" s="6">
        <v>371439</v>
      </c>
      <c r="AA489" s="6">
        <v>-1535114</v>
      </c>
      <c r="AC489" s="12">
        <f t="shared" si="85"/>
        <v>610439</v>
      </c>
      <c r="AE489" s="6">
        <f t="shared" si="86"/>
        <v>0</v>
      </c>
    </row>
    <row r="490" spans="1:31">
      <c r="A490" s="11" t="s">
        <v>504</v>
      </c>
      <c r="B490" s="11"/>
      <c r="C490" s="11" t="s">
        <v>62</v>
      </c>
      <c r="E490" s="6">
        <f>4842765+32625</f>
        <v>4875390</v>
      </c>
      <c r="G490" s="6">
        <v>0</v>
      </c>
      <c r="I490" s="2">
        <f t="shared" si="87"/>
        <v>4601449</v>
      </c>
      <c r="K490" s="6">
        <v>9476839</v>
      </c>
      <c r="M490" s="2">
        <f t="shared" si="88"/>
        <v>2069339</v>
      </c>
      <c r="O490" s="6">
        <f>444995+4330496</f>
        <v>4775491</v>
      </c>
      <c r="Q490" s="6">
        <v>6844830</v>
      </c>
      <c r="S490" s="6">
        <f>9515+9445</f>
        <v>18960</v>
      </c>
      <c r="U490" s="6">
        <f>557221+47345+238107+139560+29218+98666+3903</f>
        <v>1114020</v>
      </c>
      <c r="W490" s="6">
        <v>0</v>
      </c>
      <c r="Y490" s="6">
        <f>124308+118487+100+1333095</f>
        <v>1575990</v>
      </c>
      <c r="AA490" s="6">
        <v>-76961</v>
      </c>
      <c r="AC490" s="12">
        <f t="shared" si="85"/>
        <v>2632009</v>
      </c>
      <c r="AE490" s="6">
        <f t="shared" si="86"/>
        <v>0</v>
      </c>
    </row>
    <row r="491" spans="1:31">
      <c r="A491" s="11" t="s">
        <v>456</v>
      </c>
      <c r="B491" s="11"/>
      <c r="C491" s="11" t="s">
        <v>55</v>
      </c>
      <c r="E491" s="6">
        <f>8419778+20000</f>
        <v>8439778</v>
      </c>
      <c r="G491" s="6">
        <v>161461</v>
      </c>
      <c r="I491" s="2">
        <f t="shared" si="87"/>
        <v>3255467</v>
      </c>
      <c r="K491" s="6">
        <v>11856706</v>
      </c>
      <c r="M491" s="2">
        <f t="shared" si="88"/>
        <v>1814574</v>
      </c>
      <c r="O491" s="6">
        <v>2587617</v>
      </c>
      <c r="Q491" s="6">
        <v>4402191</v>
      </c>
      <c r="S491" s="6">
        <v>0</v>
      </c>
      <c r="U491" s="6">
        <v>1887694</v>
      </c>
      <c r="W491" s="6">
        <v>0</v>
      </c>
      <c r="Y491" s="6">
        <v>315609</v>
      </c>
      <c r="AA491" s="6">
        <v>5251212</v>
      </c>
      <c r="AC491" s="12">
        <f t="shared" si="85"/>
        <v>7454515</v>
      </c>
      <c r="AE491" s="6">
        <f t="shared" si="86"/>
        <v>0</v>
      </c>
    </row>
    <row r="492" spans="1:31">
      <c r="A492" s="11" t="s">
        <v>405</v>
      </c>
      <c r="B492" s="11"/>
      <c r="C492" s="11" t="s">
        <v>45</v>
      </c>
      <c r="E492" s="6">
        <v>1405053</v>
      </c>
      <c r="G492" s="6">
        <v>0</v>
      </c>
      <c r="I492" s="2">
        <f t="shared" si="87"/>
        <v>1911810</v>
      </c>
      <c r="K492" s="6">
        <v>3316863</v>
      </c>
      <c r="M492" s="2">
        <f t="shared" si="88"/>
        <v>744157</v>
      </c>
      <c r="O492" s="6">
        <v>1712511</v>
      </c>
      <c r="Q492" s="6">
        <v>2456668</v>
      </c>
      <c r="S492" s="6">
        <v>3452</v>
      </c>
      <c r="U492" s="6">
        <v>580420</v>
      </c>
      <c r="W492" s="6">
        <v>42062</v>
      </c>
      <c r="Y492" s="6">
        <v>39434</v>
      </c>
      <c r="AA492" s="6">
        <v>194827</v>
      </c>
      <c r="AC492" s="12">
        <f t="shared" si="85"/>
        <v>860195</v>
      </c>
      <c r="AE492" s="6">
        <f t="shared" si="86"/>
        <v>0</v>
      </c>
    </row>
    <row r="493" spans="1:31">
      <c r="A493" s="11" t="s">
        <v>487</v>
      </c>
      <c r="B493" s="11"/>
      <c r="C493" s="11" t="s">
        <v>60</v>
      </c>
      <c r="E493" s="6">
        <v>2156111</v>
      </c>
      <c r="G493" s="6">
        <v>0</v>
      </c>
      <c r="I493" s="2">
        <f t="shared" si="87"/>
        <v>3815864</v>
      </c>
      <c r="K493" s="6">
        <v>5971975</v>
      </c>
      <c r="M493" s="2">
        <f t="shared" si="88"/>
        <v>3702488</v>
      </c>
      <c r="O493" s="6">
        <v>408005</v>
      </c>
      <c r="Q493" s="6">
        <v>4110493</v>
      </c>
      <c r="S493" s="6">
        <f>16768+34416</f>
        <v>51184</v>
      </c>
      <c r="U493" s="6">
        <f>413837+316300+20</f>
        <v>730157</v>
      </c>
      <c r="W493" s="6">
        <f>523108+71178</f>
        <v>594286</v>
      </c>
      <c r="Y493" s="6">
        <f>2957+14809+7898+456810+44396</f>
        <v>526870</v>
      </c>
      <c r="AA493" s="6">
        <v>-41015</v>
      </c>
      <c r="AC493" s="12">
        <f t="shared" si="85"/>
        <v>1861482</v>
      </c>
      <c r="AE493" s="6">
        <f t="shared" si="86"/>
        <v>0</v>
      </c>
    </row>
    <row r="494" spans="1:31">
      <c r="A494" s="11" t="s">
        <v>217</v>
      </c>
      <c r="B494" s="11"/>
      <c r="C494" s="11" t="s">
        <v>15</v>
      </c>
      <c r="E494" s="6">
        <f>3067672+2126</f>
        <v>3069798</v>
      </c>
      <c r="G494" s="6">
        <v>0</v>
      </c>
      <c r="I494" s="2">
        <f t="shared" si="87"/>
        <v>3549150</v>
      </c>
      <c r="K494" s="6">
        <v>6618948</v>
      </c>
      <c r="M494" s="2">
        <f t="shared" si="88"/>
        <v>779106</v>
      </c>
      <c r="O494" s="6">
        <v>3375402</v>
      </c>
      <c r="Q494" s="6">
        <v>4154508</v>
      </c>
      <c r="S494" s="6">
        <f>2861+25781</f>
        <v>28642</v>
      </c>
      <c r="U494" s="6">
        <f>1271113+1500+4360+2126+27594+49805</f>
        <v>1356498</v>
      </c>
      <c r="W494" s="6">
        <v>0</v>
      </c>
      <c r="Y494" s="6">
        <v>786592</v>
      </c>
      <c r="AA494" s="6">
        <v>292708</v>
      </c>
      <c r="AC494" s="12">
        <f t="shared" si="85"/>
        <v>2464440</v>
      </c>
      <c r="AE494" s="6">
        <f t="shared" si="86"/>
        <v>0</v>
      </c>
    </row>
    <row r="495" spans="1:31">
      <c r="A495" s="11" t="s">
        <v>715</v>
      </c>
      <c r="B495" s="11"/>
      <c r="C495" s="11" t="s">
        <v>20</v>
      </c>
      <c r="E495" s="6">
        <v>29382816</v>
      </c>
      <c r="G495" s="6">
        <v>353070</v>
      </c>
      <c r="I495" s="2">
        <f t="shared" si="87"/>
        <v>76307086</v>
      </c>
      <c r="K495" s="6">
        <v>106042972</v>
      </c>
      <c r="M495" s="2">
        <f t="shared" si="88"/>
        <v>12070591</v>
      </c>
      <c r="O495" s="6">
        <v>65738621</v>
      </c>
      <c r="Q495" s="6">
        <v>77809212</v>
      </c>
      <c r="S495" s="6">
        <v>284268</v>
      </c>
      <c r="U495" s="6">
        <v>5047672</v>
      </c>
      <c r="W495" s="6">
        <v>0</v>
      </c>
      <c r="Y495" s="6">
        <v>8801392</v>
      </c>
      <c r="AA495" s="6">
        <v>14100428</v>
      </c>
      <c r="AC495" s="12">
        <f t="shared" si="85"/>
        <v>28233760</v>
      </c>
      <c r="AE495" s="6">
        <f t="shared" si="86"/>
        <v>0</v>
      </c>
    </row>
    <row r="496" spans="1:31" hidden="1">
      <c r="A496" s="11" t="s">
        <v>700</v>
      </c>
      <c r="B496" s="11"/>
      <c r="C496" s="11" t="s">
        <v>10</v>
      </c>
      <c r="I496" s="2">
        <f t="shared" si="87"/>
        <v>0</v>
      </c>
      <c r="M496" s="2">
        <f t="shared" si="88"/>
        <v>0</v>
      </c>
      <c r="AC496" s="12">
        <f t="shared" si="85"/>
        <v>0</v>
      </c>
      <c r="AE496" s="6">
        <f t="shared" si="86"/>
        <v>0</v>
      </c>
    </row>
    <row r="497" spans="1:31">
      <c r="A497" s="11" t="s">
        <v>789</v>
      </c>
      <c r="B497" s="11"/>
      <c r="C497" s="11" t="s">
        <v>44</v>
      </c>
      <c r="E497" s="6">
        <v>41042450</v>
      </c>
      <c r="G497" s="6">
        <v>0</v>
      </c>
      <c r="I497" s="2">
        <f t="shared" si="87"/>
        <v>13539493</v>
      </c>
      <c r="K497" s="6">
        <v>54581943</v>
      </c>
      <c r="M497" s="2">
        <f t="shared" si="88"/>
        <v>2731695</v>
      </c>
      <c r="O497" s="6">
        <v>11799359</v>
      </c>
      <c r="Q497" s="6">
        <v>14531054</v>
      </c>
      <c r="S497" s="6">
        <v>80846</v>
      </c>
      <c r="U497" s="6">
        <v>30417108</v>
      </c>
      <c r="W497" s="6">
        <v>0</v>
      </c>
      <c r="Y497" s="6">
        <v>609173</v>
      </c>
      <c r="AA497" s="6">
        <v>8943762</v>
      </c>
      <c r="AC497" s="12">
        <f t="shared" si="85"/>
        <v>40050889</v>
      </c>
      <c r="AE497" s="6">
        <f t="shared" si="86"/>
        <v>0</v>
      </c>
    </row>
    <row r="498" spans="1:31">
      <c r="A498" s="11" t="s">
        <v>472</v>
      </c>
      <c r="B498" s="11"/>
      <c r="C498" s="11" t="s">
        <v>110</v>
      </c>
      <c r="E498" s="6">
        <f>25435453+119217</f>
        <v>25554670</v>
      </c>
      <c r="G498" s="6">
        <v>0</v>
      </c>
      <c r="I498" s="2">
        <f t="shared" si="87"/>
        <v>11075766</v>
      </c>
      <c r="K498" s="6">
        <v>36630436</v>
      </c>
      <c r="M498" s="2">
        <f t="shared" si="88"/>
        <v>9005634</v>
      </c>
      <c r="O498" s="6">
        <v>4323297</v>
      </c>
      <c r="Q498" s="6">
        <v>13328931</v>
      </c>
      <c r="S498" s="6">
        <f>105803+77304</f>
        <v>183107</v>
      </c>
      <c r="U498" s="6">
        <f>568340+17474487+305887+38300+6381+244561+64011+12351</f>
        <v>18714318</v>
      </c>
      <c r="W498" s="6">
        <v>3737</v>
      </c>
      <c r="Y498" s="6">
        <f>22206+49130+590943+76224+1114602+511</f>
        <v>1853616</v>
      </c>
      <c r="AA498" s="6">
        <v>2546727</v>
      </c>
      <c r="AC498" s="12">
        <f t="shared" si="85"/>
        <v>23301505</v>
      </c>
      <c r="AE498" s="6">
        <f t="shared" si="86"/>
        <v>0</v>
      </c>
    </row>
    <row r="499" spans="1:31" hidden="1">
      <c r="A499" s="11" t="s">
        <v>833</v>
      </c>
      <c r="B499" s="11"/>
      <c r="C499" s="11" t="s">
        <v>61</v>
      </c>
      <c r="I499" s="2">
        <f t="shared" si="87"/>
        <v>0</v>
      </c>
      <c r="M499" s="2">
        <f t="shared" si="88"/>
        <v>0</v>
      </c>
      <c r="AC499" s="12">
        <f t="shared" si="85"/>
        <v>0</v>
      </c>
      <c r="AE499" s="6">
        <f t="shared" si="86"/>
        <v>0</v>
      </c>
    </row>
    <row r="500" spans="1:31">
      <c r="A500" s="11" t="s">
        <v>277</v>
      </c>
      <c r="B500" s="11"/>
      <c r="C500" s="11" t="s">
        <v>20</v>
      </c>
      <c r="E500" s="6">
        <v>30796430</v>
      </c>
      <c r="G500" s="6">
        <v>0</v>
      </c>
      <c r="I500" s="2">
        <f t="shared" si="87"/>
        <v>58306897</v>
      </c>
      <c r="K500" s="6">
        <v>89103327</v>
      </c>
      <c r="M500" s="2">
        <f t="shared" si="88"/>
        <v>53589768</v>
      </c>
      <c r="O500" s="6">
        <v>3705641</v>
      </c>
      <c r="Q500" s="6">
        <v>57295409</v>
      </c>
      <c r="S500" s="6">
        <f>79155+31305+34552</f>
        <v>145012</v>
      </c>
      <c r="U500" s="6">
        <f>2535300+9558325+112033+49618+18987+205163+61479</f>
        <v>12540905</v>
      </c>
      <c r="W500" s="6">
        <v>0</v>
      </c>
      <c r="Y500" s="6">
        <f>1430719+1469431+53685+6450+54924</f>
        <v>3015209</v>
      </c>
      <c r="AA500" s="6">
        <v>16106792</v>
      </c>
      <c r="AC500" s="12">
        <f t="shared" si="85"/>
        <v>31807918</v>
      </c>
      <c r="AE500" s="6">
        <f t="shared" si="86"/>
        <v>0</v>
      </c>
    </row>
    <row r="501" spans="1:31">
      <c r="A501" s="11" t="s">
        <v>633</v>
      </c>
      <c r="B501" s="11"/>
      <c r="C501" s="11" t="s">
        <v>37</v>
      </c>
      <c r="E501" s="6">
        <v>3068833</v>
      </c>
      <c r="G501" s="6">
        <v>5001</v>
      </c>
      <c r="I501" s="2">
        <f t="shared" si="87"/>
        <v>2292890</v>
      </c>
      <c r="K501" s="6">
        <v>5366724</v>
      </c>
      <c r="M501" s="2">
        <f t="shared" si="88"/>
        <v>2249229</v>
      </c>
      <c r="O501" s="6">
        <v>241266</v>
      </c>
      <c r="Q501" s="6">
        <v>2490495</v>
      </c>
      <c r="S501" s="6">
        <f>17799+14381</f>
        <v>32180</v>
      </c>
      <c r="U501" s="6">
        <f>356411+15650+45575+2947+29978+14497+5001</f>
        <v>470059</v>
      </c>
      <c r="W501" s="6">
        <v>0</v>
      </c>
      <c r="Y501" s="6">
        <f>2588+45892+560388+10629+1083+385+8925</f>
        <v>629890</v>
      </c>
      <c r="AA501" s="6">
        <v>1744100</v>
      </c>
      <c r="AC501" s="12">
        <f t="shared" si="85"/>
        <v>2876229</v>
      </c>
      <c r="AE501" s="6">
        <f t="shared" si="86"/>
        <v>0</v>
      </c>
    </row>
    <row r="502" spans="1:31">
      <c r="A502" s="11" t="s">
        <v>278</v>
      </c>
      <c r="B502" s="11"/>
      <c r="C502" s="11" t="s">
        <v>20</v>
      </c>
      <c r="E502" s="6">
        <f>12093820+47863</f>
        <v>12141683</v>
      </c>
      <c r="G502" s="6">
        <v>0</v>
      </c>
      <c r="I502" s="2">
        <f t="shared" si="87"/>
        <v>57539144</v>
      </c>
      <c r="K502" s="6">
        <v>69680827</v>
      </c>
      <c r="M502" s="2">
        <f t="shared" si="88"/>
        <v>14146833</v>
      </c>
      <c r="O502" s="6">
        <v>50941249</v>
      </c>
      <c r="Q502" s="6">
        <v>65088082</v>
      </c>
      <c r="S502" s="6">
        <v>640847</v>
      </c>
      <c r="U502" s="6">
        <v>1852339</v>
      </c>
      <c r="W502" s="6">
        <v>0</v>
      </c>
      <c r="Y502" s="6">
        <v>988997</v>
      </c>
      <c r="AA502" s="6">
        <v>1110562</v>
      </c>
      <c r="AC502" s="12">
        <f t="shared" si="85"/>
        <v>4592745</v>
      </c>
      <c r="AE502" s="6">
        <f t="shared" si="86"/>
        <v>0</v>
      </c>
    </row>
    <row r="503" spans="1:31">
      <c r="A503" s="11" t="s">
        <v>371</v>
      </c>
      <c r="B503" s="11"/>
      <c r="C503" s="11" t="s">
        <v>366</v>
      </c>
      <c r="E503" s="6">
        <f>10372281+10431</f>
        <v>10382712</v>
      </c>
      <c r="G503" s="6">
        <v>75643</v>
      </c>
      <c r="I503" s="2">
        <f t="shared" si="87"/>
        <v>4516020</v>
      </c>
      <c r="K503" s="6">
        <v>14974375</v>
      </c>
      <c r="M503" s="2">
        <f t="shared" si="88"/>
        <v>2051359</v>
      </c>
      <c r="O503" s="6">
        <v>3697765</v>
      </c>
      <c r="Q503" s="6">
        <v>5749124</v>
      </c>
      <c r="S503" s="6">
        <v>48778</v>
      </c>
      <c r="U503" s="6">
        <v>2945907</v>
      </c>
      <c r="W503" s="6">
        <v>555244</v>
      </c>
      <c r="Y503" s="6">
        <v>70033</v>
      </c>
      <c r="AA503" s="6">
        <v>5605289</v>
      </c>
      <c r="AC503" s="12">
        <f t="shared" si="85"/>
        <v>9225251</v>
      </c>
      <c r="AE503" s="6">
        <f t="shared" si="86"/>
        <v>0</v>
      </c>
    </row>
    <row r="504" spans="1:31">
      <c r="A504" s="11" t="s">
        <v>406</v>
      </c>
      <c r="B504" s="11"/>
      <c r="C504" s="11" t="s">
        <v>45</v>
      </c>
      <c r="E504" s="6">
        <v>3691403</v>
      </c>
      <c r="G504" s="6">
        <v>0</v>
      </c>
      <c r="I504" s="2">
        <f t="shared" si="87"/>
        <v>7011337</v>
      </c>
      <c r="K504" s="6">
        <v>10702740</v>
      </c>
      <c r="M504" s="2">
        <f t="shared" si="88"/>
        <v>8658975</v>
      </c>
      <c r="O504" s="6">
        <v>784606</v>
      </c>
      <c r="Q504" s="6">
        <v>9443581</v>
      </c>
      <c r="S504" s="6">
        <v>15904</v>
      </c>
      <c r="U504" s="6">
        <f>569356+174670+211982+37155+2466</f>
        <v>995629</v>
      </c>
      <c r="W504" s="6">
        <v>81410</v>
      </c>
      <c r="Y504" s="6">
        <f>35513+61430+9096+134492</f>
        <v>240531</v>
      </c>
      <c r="AA504" s="6">
        <v>-74315</v>
      </c>
      <c r="AC504" s="12">
        <f t="shared" si="85"/>
        <v>1259159</v>
      </c>
      <c r="AE504" s="6">
        <f t="shared" si="86"/>
        <v>0</v>
      </c>
    </row>
    <row r="505" spans="1:31">
      <c r="A505" s="11" t="s">
        <v>463</v>
      </c>
      <c r="B505" s="11"/>
      <c r="C505" s="11" t="s">
        <v>56</v>
      </c>
      <c r="E505" s="6">
        <v>15101354</v>
      </c>
      <c r="G505" s="6">
        <v>296500</v>
      </c>
      <c r="I505" s="2">
        <f t="shared" si="87"/>
        <v>7367269</v>
      </c>
      <c r="K505" s="6">
        <v>22765123</v>
      </c>
      <c r="M505" s="2">
        <f t="shared" si="88"/>
        <v>2767867</v>
      </c>
      <c r="O505" s="6">
        <v>6528015</v>
      </c>
      <c r="Q505" s="6">
        <v>9295882</v>
      </c>
      <c r="S505" s="6">
        <v>0</v>
      </c>
      <c r="U505" s="6">
        <v>5213352</v>
      </c>
      <c r="W505" s="6">
        <v>0</v>
      </c>
      <c r="Y505" s="6">
        <v>738421</v>
      </c>
      <c r="AA505" s="6">
        <v>7517468</v>
      </c>
      <c r="AC505" s="12">
        <f t="shared" si="85"/>
        <v>13469241</v>
      </c>
      <c r="AE505" s="6">
        <f t="shared" si="86"/>
        <v>0</v>
      </c>
    </row>
    <row r="506" spans="1:31">
      <c r="A506" s="11" t="s">
        <v>463</v>
      </c>
      <c r="B506" s="11"/>
      <c r="C506" s="11" t="s">
        <v>71</v>
      </c>
      <c r="E506" s="6">
        <v>2457304</v>
      </c>
      <c r="G506" s="6">
        <v>0</v>
      </c>
      <c r="I506" s="2">
        <f t="shared" si="87"/>
        <v>7349081</v>
      </c>
      <c r="K506" s="6">
        <v>9806385</v>
      </c>
      <c r="M506" s="2">
        <f t="shared" si="88"/>
        <v>1870510</v>
      </c>
      <c r="O506" s="6">
        <v>6538385</v>
      </c>
      <c r="Q506" s="6">
        <v>8408895</v>
      </c>
      <c r="S506" s="6">
        <v>8957</v>
      </c>
      <c r="U506" s="6">
        <v>794605</v>
      </c>
      <c r="W506" s="6">
        <v>0</v>
      </c>
      <c r="Y506" s="6">
        <v>596160</v>
      </c>
      <c r="AA506" s="6">
        <v>-2232</v>
      </c>
      <c r="AC506" s="12">
        <f t="shared" si="85"/>
        <v>1397490</v>
      </c>
      <c r="AE506" s="6">
        <f t="shared" si="86"/>
        <v>0</v>
      </c>
    </row>
    <row r="507" spans="1:31">
      <c r="A507" s="11" t="s">
        <v>235</v>
      </c>
      <c r="B507" s="11"/>
      <c r="C507" s="11" t="s">
        <v>17</v>
      </c>
      <c r="E507" s="6">
        <f>7052934+1225</f>
        <v>7054159</v>
      </c>
      <c r="G507" s="6">
        <v>0</v>
      </c>
      <c r="I507" s="2">
        <f t="shared" si="87"/>
        <v>2905088</v>
      </c>
      <c r="K507" s="6">
        <v>9959247</v>
      </c>
      <c r="M507" s="2">
        <f t="shared" si="88"/>
        <v>1280781</v>
      </c>
      <c r="O507" s="6">
        <v>1964573</v>
      </c>
      <c r="Q507" s="6">
        <v>3245354</v>
      </c>
      <c r="S507" s="6">
        <v>14045</v>
      </c>
      <c r="U507" s="6">
        <v>1134249</v>
      </c>
      <c r="W507" s="6">
        <v>1</v>
      </c>
      <c r="Y507" s="6">
        <v>882597</v>
      </c>
      <c r="AA507" s="6">
        <v>4683001</v>
      </c>
      <c r="AC507" s="12">
        <f t="shared" si="85"/>
        <v>6713893</v>
      </c>
      <c r="AE507" s="6">
        <f t="shared" si="86"/>
        <v>0</v>
      </c>
    </row>
    <row r="508" spans="1:31">
      <c r="A508" s="11" t="s">
        <v>235</v>
      </c>
      <c r="B508" s="11"/>
      <c r="C508" s="11" t="s">
        <v>58</v>
      </c>
      <c r="E508" s="6">
        <v>864251</v>
      </c>
      <c r="G508" s="6">
        <v>0</v>
      </c>
      <c r="I508" s="2">
        <f t="shared" si="87"/>
        <v>10367763</v>
      </c>
      <c r="K508" s="6">
        <v>11232014</v>
      </c>
      <c r="M508" s="2">
        <f t="shared" si="88"/>
        <v>1496390</v>
      </c>
      <c r="O508" s="6">
        <v>1868540</v>
      </c>
      <c r="Q508" s="6">
        <v>3364930</v>
      </c>
      <c r="S508" s="6">
        <v>0</v>
      </c>
      <c r="U508" s="6">
        <v>1304419</v>
      </c>
      <c r="W508" s="6">
        <v>0</v>
      </c>
      <c r="Y508" s="6">
        <v>451875</v>
      </c>
      <c r="AA508" s="6">
        <v>6110790</v>
      </c>
      <c r="AC508" s="12">
        <f t="shared" si="85"/>
        <v>7867084</v>
      </c>
      <c r="AE508" s="6">
        <f t="shared" si="86"/>
        <v>0</v>
      </c>
    </row>
    <row r="509" spans="1:31">
      <c r="A509" s="11" t="s">
        <v>645</v>
      </c>
      <c r="B509" s="11"/>
      <c r="C509" s="11" t="s">
        <v>112</v>
      </c>
      <c r="E509" s="6">
        <v>1168930</v>
      </c>
      <c r="G509" s="6">
        <v>0</v>
      </c>
      <c r="I509" s="2">
        <f>K509-E509-G509</f>
        <v>2735878</v>
      </c>
      <c r="K509" s="6">
        <v>3904808</v>
      </c>
      <c r="M509" s="2">
        <f>Q509-O509</f>
        <v>3053507</v>
      </c>
      <c r="O509" s="6">
        <v>383347</v>
      </c>
      <c r="Q509" s="6">
        <v>3436854</v>
      </c>
      <c r="S509" s="6">
        <f>9916+290</f>
        <v>10206</v>
      </c>
      <c r="U509" s="6">
        <f>469501+72230+66276+10410+139076+12500+11114</f>
        <v>781107</v>
      </c>
      <c r="W509" s="6">
        <v>0</v>
      </c>
      <c r="Y509" s="6">
        <v>0</v>
      </c>
      <c r="AA509" s="6">
        <v>-323359</v>
      </c>
      <c r="AC509" s="12">
        <f t="shared" si="85"/>
        <v>467954</v>
      </c>
      <c r="AE509" s="6">
        <f t="shared" si="86"/>
        <v>0</v>
      </c>
    </row>
    <row r="510" spans="1:31">
      <c r="A510" s="11" t="s">
        <v>250</v>
      </c>
      <c r="B510" s="11"/>
      <c r="C510" s="11" t="s">
        <v>420</v>
      </c>
      <c r="E510" s="6">
        <f>11873361+33013</f>
        <v>11906374</v>
      </c>
      <c r="G510" s="6">
        <v>441</v>
      </c>
      <c r="I510" s="2">
        <f t="shared" si="87"/>
        <v>4856068</v>
      </c>
      <c r="K510" s="6">
        <v>16762883</v>
      </c>
      <c r="M510" s="2">
        <f t="shared" si="88"/>
        <v>1347463</v>
      </c>
      <c r="O510" s="6">
        <v>2924077</v>
      </c>
      <c r="Q510" s="6">
        <v>4271540</v>
      </c>
      <c r="S510" s="6">
        <v>1834</v>
      </c>
      <c r="U510" s="6">
        <v>10285067</v>
      </c>
      <c r="W510" s="6">
        <v>0</v>
      </c>
      <c r="Y510" s="6">
        <v>462191</v>
      </c>
      <c r="AA510" s="6">
        <v>1742251</v>
      </c>
      <c r="AC510" s="12">
        <f t="shared" si="85"/>
        <v>12491343</v>
      </c>
      <c r="AE510" s="6">
        <f t="shared" si="86"/>
        <v>0</v>
      </c>
    </row>
    <row r="511" spans="1:31" hidden="1">
      <c r="A511" s="11" t="s">
        <v>701</v>
      </c>
      <c r="B511" s="11"/>
      <c r="C511" s="11" t="s">
        <v>451</v>
      </c>
      <c r="I511" s="2">
        <f t="shared" si="87"/>
        <v>0</v>
      </c>
      <c r="M511" s="2">
        <f t="shared" si="88"/>
        <v>0</v>
      </c>
      <c r="AC511" s="12">
        <f t="shared" si="85"/>
        <v>0</v>
      </c>
      <c r="AE511" s="6">
        <f t="shared" si="86"/>
        <v>0</v>
      </c>
    </row>
    <row r="512" spans="1:31">
      <c r="A512" s="11" t="s">
        <v>530</v>
      </c>
      <c r="B512" s="11"/>
      <c r="C512" s="11" t="s">
        <v>64</v>
      </c>
      <c r="E512" s="6">
        <v>4948792</v>
      </c>
      <c r="G512" s="6">
        <v>0</v>
      </c>
      <c r="I512" s="2">
        <f t="shared" si="87"/>
        <v>2194927</v>
      </c>
      <c r="K512" s="6">
        <v>7143719</v>
      </c>
      <c r="M512" s="2">
        <f t="shared" si="88"/>
        <v>581197</v>
      </c>
      <c r="O512" s="6">
        <v>2150027</v>
      </c>
      <c r="Q512" s="6">
        <v>2731224</v>
      </c>
      <c r="S512" s="6">
        <v>59</v>
      </c>
      <c r="U512" s="6">
        <v>3419346</v>
      </c>
      <c r="W512" s="6">
        <v>65708</v>
      </c>
      <c r="Y512" s="6">
        <v>618123</v>
      </c>
      <c r="AA512" s="6">
        <v>309259</v>
      </c>
      <c r="AC512" s="12">
        <f t="shared" si="85"/>
        <v>4412495</v>
      </c>
      <c r="AE512" s="6">
        <f t="shared" si="86"/>
        <v>0</v>
      </c>
    </row>
    <row r="513" spans="1:31" hidden="1">
      <c r="A513" s="11" t="s">
        <v>829</v>
      </c>
      <c r="B513" s="11"/>
      <c r="C513" s="11" t="s">
        <v>42</v>
      </c>
      <c r="I513" s="2">
        <f t="shared" si="87"/>
        <v>0</v>
      </c>
      <c r="M513" s="2">
        <f t="shared" si="88"/>
        <v>0</v>
      </c>
      <c r="AC513" s="12">
        <f t="shared" si="85"/>
        <v>0</v>
      </c>
      <c r="AE513" s="6">
        <f t="shared" si="86"/>
        <v>0</v>
      </c>
    </row>
    <row r="514" spans="1:31">
      <c r="A514" s="11" t="s">
        <v>331</v>
      </c>
      <c r="B514" s="11"/>
      <c r="C514" s="11" t="s">
        <v>32</v>
      </c>
      <c r="E514" s="6">
        <f>5111112+180000</f>
        <v>5291112</v>
      </c>
      <c r="G514" s="6">
        <v>0</v>
      </c>
      <c r="I514" s="2">
        <f t="shared" si="87"/>
        <v>14138982</v>
      </c>
      <c r="K514" s="6">
        <v>19430094</v>
      </c>
      <c r="M514" s="2">
        <f t="shared" si="88"/>
        <v>4179193</v>
      </c>
      <c r="O514" s="6">
        <v>8215603</v>
      </c>
      <c r="Q514" s="6">
        <v>12394796</v>
      </c>
      <c r="S514" s="6">
        <v>0</v>
      </c>
      <c r="U514" s="6">
        <v>3290874</v>
      </c>
      <c r="W514" s="6">
        <v>0</v>
      </c>
      <c r="Y514" s="6">
        <v>1335639</v>
      </c>
      <c r="AA514" s="6">
        <v>2408785</v>
      </c>
      <c r="AC514" s="12">
        <f t="shared" si="85"/>
        <v>7035298</v>
      </c>
      <c r="AE514" s="6">
        <f t="shared" si="86"/>
        <v>0</v>
      </c>
    </row>
    <row r="515" spans="1:31">
      <c r="A515" s="11" t="s">
        <v>307</v>
      </c>
      <c r="B515" s="11"/>
      <c r="C515" s="11" t="s">
        <v>27</v>
      </c>
      <c r="E515" s="6">
        <v>103459016</v>
      </c>
      <c r="G515" s="6">
        <v>0</v>
      </c>
      <c r="I515" s="2">
        <f t="shared" si="87"/>
        <v>133899071</v>
      </c>
      <c r="K515" s="6">
        <v>237358087</v>
      </c>
      <c r="M515" s="2">
        <f t="shared" si="88"/>
        <v>26741966</v>
      </c>
      <c r="O515" s="6">
        <v>79043045</v>
      </c>
      <c r="Q515" s="6">
        <v>105785011</v>
      </c>
      <c r="S515" s="6">
        <v>418471</v>
      </c>
      <c r="U515" s="6">
        <v>29426667</v>
      </c>
      <c r="W515" s="6">
        <v>1022557</v>
      </c>
      <c r="Y515" s="6">
        <v>2740409</v>
      </c>
      <c r="AA515" s="6">
        <v>97964972</v>
      </c>
      <c r="AC515" s="12">
        <f t="shared" si="85"/>
        <v>131573076</v>
      </c>
      <c r="AE515" s="6">
        <f t="shared" si="86"/>
        <v>0</v>
      </c>
    </row>
    <row r="516" spans="1:31" hidden="1">
      <c r="A516" s="11" t="s">
        <v>702</v>
      </c>
      <c r="B516" s="11"/>
      <c r="C516" s="11" t="s">
        <v>10</v>
      </c>
      <c r="I516" s="2">
        <f t="shared" si="87"/>
        <v>0</v>
      </c>
      <c r="M516" s="2">
        <f t="shared" si="88"/>
        <v>0</v>
      </c>
      <c r="AC516" s="12">
        <f t="shared" si="85"/>
        <v>0</v>
      </c>
      <c r="AE516" s="6">
        <f t="shared" si="86"/>
        <v>0</v>
      </c>
    </row>
    <row r="517" spans="1:31">
      <c r="A517" s="10" t="s">
        <v>847</v>
      </c>
      <c r="B517" s="11"/>
      <c r="C517" s="11" t="s">
        <v>69</v>
      </c>
      <c r="E517" s="6">
        <v>15411064</v>
      </c>
      <c r="G517" s="6">
        <f>96355+398066</f>
        <v>494421</v>
      </c>
      <c r="I517" s="2">
        <f t="shared" si="87"/>
        <v>34739188</v>
      </c>
      <c r="K517" s="6">
        <v>50644673</v>
      </c>
      <c r="M517" s="2">
        <f t="shared" si="88"/>
        <v>6333901</v>
      </c>
      <c r="O517" s="6">
        <v>32932086</v>
      </c>
      <c r="Q517" s="6">
        <v>39265987</v>
      </c>
      <c r="S517" s="6">
        <v>0</v>
      </c>
      <c r="U517" s="6">
        <v>5583549</v>
      </c>
      <c r="W517" s="6">
        <v>0</v>
      </c>
      <c r="Y517" s="6">
        <v>591509</v>
      </c>
      <c r="AA517" s="6">
        <v>5203628</v>
      </c>
      <c r="AC517" s="12">
        <f t="shared" si="85"/>
        <v>11378686</v>
      </c>
      <c r="AE517" s="6">
        <f t="shared" si="86"/>
        <v>0</v>
      </c>
    </row>
    <row r="518" spans="1:31">
      <c r="A518" s="11" t="s">
        <v>629</v>
      </c>
      <c r="B518" s="11"/>
      <c r="C518" s="11" t="s">
        <v>17</v>
      </c>
      <c r="E518" s="6">
        <f>41122334+1005698</f>
        <v>42128032</v>
      </c>
      <c r="G518" s="6">
        <v>0</v>
      </c>
      <c r="I518" s="2">
        <f t="shared" si="87"/>
        <v>37365570</v>
      </c>
      <c r="K518" s="6">
        <v>79493602</v>
      </c>
      <c r="M518" s="2">
        <f t="shared" si="88"/>
        <v>12128101</v>
      </c>
      <c r="O518" s="6">
        <v>29582415</v>
      </c>
      <c r="Q518" s="6">
        <v>41710516</v>
      </c>
      <c r="S518" s="6">
        <v>19567</v>
      </c>
      <c r="U518" s="6">
        <v>13424532</v>
      </c>
      <c r="W518" s="6">
        <v>139645</v>
      </c>
      <c r="Y518" s="6">
        <v>4889849</v>
      </c>
      <c r="AA518" s="6">
        <v>19309493</v>
      </c>
      <c r="AC518" s="12">
        <f t="shared" si="85"/>
        <v>37783086</v>
      </c>
      <c r="AE518" s="6">
        <f t="shared" si="86"/>
        <v>0</v>
      </c>
    </row>
    <row r="519" spans="1:31">
      <c r="A519" s="11" t="s">
        <v>716</v>
      </c>
      <c r="B519" s="11"/>
      <c r="C519" s="11" t="s">
        <v>115</v>
      </c>
      <c r="E519" s="6">
        <v>6623431</v>
      </c>
      <c r="G519" s="6">
        <v>0</v>
      </c>
      <c r="I519" s="2">
        <f t="shared" si="87"/>
        <v>28503421</v>
      </c>
      <c r="K519" s="6">
        <v>35126852</v>
      </c>
      <c r="M519" s="2">
        <f t="shared" si="88"/>
        <v>30415839</v>
      </c>
      <c r="O519" s="6">
        <v>1399083</v>
      </c>
      <c r="Q519" s="6">
        <v>31814922</v>
      </c>
      <c r="S519" s="6">
        <v>17352</v>
      </c>
      <c r="U519" s="6">
        <f>1650005+224866+348812+16306+84234</f>
        <v>2324223</v>
      </c>
      <c r="W519" s="6">
        <f>4840+310692</f>
        <v>315532</v>
      </c>
      <c r="Y519" s="6">
        <f>160713+702314+78464</f>
        <v>941491</v>
      </c>
      <c r="AA519" s="6">
        <v>-286668</v>
      </c>
      <c r="AC519" s="12">
        <f t="shared" si="85"/>
        <v>3311930</v>
      </c>
      <c r="AE519" s="6">
        <f t="shared" si="86"/>
        <v>0</v>
      </c>
    </row>
    <row r="520" spans="1:31">
      <c r="A520" s="11" t="s">
        <v>393</v>
      </c>
      <c r="B520" s="11"/>
      <c r="C520" s="11" t="s">
        <v>45</v>
      </c>
      <c r="E520" s="6">
        <v>5781592</v>
      </c>
      <c r="G520" s="6">
        <v>0</v>
      </c>
      <c r="I520" s="2">
        <f t="shared" si="87"/>
        <v>4647700</v>
      </c>
      <c r="K520" s="6">
        <v>10429292</v>
      </c>
      <c r="M520" s="2">
        <f t="shared" si="88"/>
        <v>5151769</v>
      </c>
      <c r="O520" s="6">
        <v>281734</v>
      </c>
      <c r="Q520" s="6">
        <v>5433503</v>
      </c>
      <c r="S520" s="6">
        <f>171+7411</f>
        <v>7582</v>
      </c>
      <c r="U520" s="6">
        <f>598661+3076453+33500+700</f>
        <v>3709314</v>
      </c>
      <c r="W520" s="6">
        <f>197049+18559</f>
        <v>215608</v>
      </c>
      <c r="Y520" s="6">
        <f>9003+17162+10917+1090672+2388</f>
        <v>1130142</v>
      </c>
      <c r="AA520" s="6">
        <v>-66857</v>
      </c>
      <c r="AC520" s="12">
        <f t="shared" si="85"/>
        <v>4995789</v>
      </c>
      <c r="AE520" s="6">
        <f t="shared" si="86"/>
        <v>0</v>
      </c>
    </row>
    <row r="521" spans="1:31">
      <c r="A521" s="11" t="s">
        <v>393</v>
      </c>
      <c r="B521" s="11"/>
      <c r="C521" s="11" t="s">
        <v>63</v>
      </c>
      <c r="E521" s="6">
        <f>37549332+73797</f>
        <v>37623129</v>
      </c>
      <c r="G521" s="6">
        <v>0</v>
      </c>
      <c r="I521" s="2">
        <f t="shared" si="87"/>
        <v>16003318</v>
      </c>
      <c r="K521" s="6">
        <v>53626447</v>
      </c>
      <c r="M521" s="2">
        <f t="shared" si="88"/>
        <v>3659515</v>
      </c>
      <c r="O521" s="6">
        <v>14027107</v>
      </c>
      <c r="Q521" s="6">
        <v>17686622</v>
      </c>
      <c r="S521" s="6">
        <v>0</v>
      </c>
      <c r="U521" s="6">
        <v>30894590</v>
      </c>
      <c r="W521" s="6">
        <v>0</v>
      </c>
      <c r="Y521" s="6">
        <v>159874</v>
      </c>
      <c r="AA521" s="6">
        <v>4885361</v>
      </c>
      <c r="AC521" s="12">
        <f t="shared" si="85"/>
        <v>35939825</v>
      </c>
      <c r="AE521" s="6">
        <f t="shared" si="86"/>
        <v>0</v>
      </c>
    </row>
    <row r="522" spans="1:31">
      <c r="A522" s="11" t="s">
        <v>786</v>
      </c>
      <c r="B522" s="11"/>
      <c r="C522" s="11" t="s">
        <v>32</v>
      </c>
      <c r="E522" s="6">
        <v>7175521</v>
      </c>
      <c r="G522" s="6">
        <v>0</v>
      </c>
      <c r="I522" s="2">
        <f t="shared" si="87"/>
        <v>6126778</v>
      </c>
      <c r="K522" s="6">
        <v>13302299</v>
      </c>
      <c r="M522" s="2">
        <f t="shared" si="88"/>
        <v>2009591</v>
      </c>
      <c r="O522" s="6">
        <v>3211663</v>
      </c>
      <c r="Q522" s="6">
        <v>5221254</v>
      </c>
      <c r="S522" s="6">
        <v>8788</v>
      </c>
      <c r="U522" s="6">
        <v>622178</v>
      </c>
      <c r="W522" s="6">
        <v>0</v>
      </c>
      <c r="Y522" s="6">
        <v>3408279</v>
      </c>
      <c r="AA522" s="6">
        <v>4041800</v>
      </c>
      <c r="AC522" s="12">
        <f t="shared" si="85"/>
        <v>8081045</v>
      </c>
      <c r="AE522" s="6">
        <f t="shared" si="86"/>
        <v>0</v>
      </c>
    </row>
    <row r="523" spans="1:31">
      <c r="A523" s="11" t="s">
        <v>787</v>
      </c>
      <c r="B523" s="11"/>
      <c r="C523" s="11" t="s">
        <v>15</v>
      </c>
      <c r="E523" s="6">
        <f>1919004+141035</f>
        <v>2060039</v>
      </c>
      <c r="G523" s="6">
        <v>0</v>
      </c>
      <c r="I523" s="2">
        <f t="shared" si="87"/>
        <v>8574407</v>
      </c>
      <c r="K523" s="6">
        <v>10634446</v>
      </c>
      <c r="M523" s="2">
        <f t="shared" si="88"/>
        <v>1874311</v>
      </c>
      <c r="O523" s="6">
        <v>8014253</v>
      </c>
      <c r="Q523" s="6">
        <f>1874311+8014253</f>
        <v>9888564</v>
      </c>
      <c r="S523" s="6">
        <f>48292+3898</f>
        <v>52190</v>
      </c>
      <c r="U523" s="6">
        <f>46085+617167+79480+11000+121235</f>
        <v>874967</v>
      </c>
      <c r="W523" s="6">
        <v>0</v>
      </c>
      <c r="Y523" s="6">
        <v>0</v>
      </c>
      <c r="AA523" s="6">
        <v>-181275</v>
      </c>
      <c r="AC523" s="12">
        <f t="shared" si="85"/>
        <v>745882</v>
      </c>
      <c r="AE523" s="6">
        <f t="shared" si="86"/>
        <v>0</v>
      </c>
    </row>
    <row r="524" spans="1:31" hidden="1">
      <c r="A524" s="11" t="s">
        <v>703</v>
      </c>
      <c r="B524" s="11"/>
      <c r="C524" s="11" t="s">
        <v>422</v>
      </c>
      <c r="I524" s="2">
        <f t="shared" si="87"/>
        <v>0</v>
      </c>
      <c r="M524" s="2">
        <f t="shared" si="88"/>
        <v>0</v>
      </c>
      <c r="AC524" s="12">
        <f t="shared" si="85"/>
        <v>0</v>
      </c>
      <c r="AE524" s="6">
        <f t="shared" si="86"/>
        <v>0</v>
      </c>
    </row>
    <row r="525" spans="1:31" hidden="1">
      <c r="A525" s="11" t="s">
        <v>704</v>
      </c>
      <c r="B525" s="11"/>
      <c r="C525" s="11" t="s">
        <v>14</v>
      </c>
      <c r="I525" s="2">
        <f t="shared" si="87"/>
        <v>0</v>
      </c>
      <c r="M525" s="2">
        <f t="shared" si="88"/>
        <v>0</v>
      </c>
      <c r="AC525" s="12">
        <f t="shared" si="85"/>
        <v>0</v>
      </c>
      <c r="AE525" s="6">
        <f t="shared" si="86"/>
        <v>0</v>
      </c>
    </row>
    <row r="526" spans="1:31">
      <c r="A526" s="11" t="s">
        <v>364</v>
      </c>
      <c r="B526" s="11"/>
      <c r="C526" s="11" t="s">
        <v>39</v>
      </c>
      <c r="E526" s="6">
        <v>11072283</v>
      </c>
      <c r="G526" s="6">
        <f>136871+2329558</f>
        <v>2466429</v>
      </c>
      <c r="I526" s="2">
        <f t="shared" si="87"/>
        <v>6472821</v>
      </c>
      <c r="K526" s="6">
        <v>20011533</v>
      </c>
      <c r="M526" s="2">
        <f t="shared" si="88"/>
        <v>2642214</v>
      </c>
      <c r="O526" s="6">
        <v>5915360</v>
      </c>
      <c r="Q526" s="6">
        <v>8557574</v>
      </c>
      <c r="S526" s="6">
        <f>19650+1332</f>
        <v>20982</v>
      </c>
      <c r="U526" s="6">
        <f>3918899+2941760+85496+85781+417782+442963+1191311+320347</f>
        <v>9404339</v>
      </c>
      <c r="W526" s="6">
        <v>0</v>
      </c>
      <c r="Y526" s="6">
        <f>238603+690034</f>
        <v>928637</v>
      </c>
      <c r="AA526" s="6">
        <v>1100001</v>
      </c>
      <c r="AC526" s="12">
        <f t="shared" si="85"/>
        <v>11453959</v>
      </c>
      <c r="AE526" s="6">
        <f t="shared" si="86"/>
        <v>0</v>
      </c>
    </row>
    <row r="527" spans="1:31">
      <c r="A527" s="11" t="s">
        <v>514</v>
      </c>
      <c r="B527" s="11"/>
      <c r="C527" s="11" t="s">
        <v>63</v>
      </c>
      <c r="E527" s="6">
        <v>17279153</v>
      </c>
      <c r="G527" s="6">
        <v>0</v>
      </c>
      <c r="I527" s="2">
        <f t="shared" si="87"/>
        <v>36300482</v>
      </c>
      <c r="K527" s="6">
        <v>53579635</v>
      </c>
      <c r="M527" s="2">
        <f t="shared" si="88"/>
        <v>37489563</v>
      </c>
      <c r="O527" s="6">
        <v>903735</v>
      </c>
      <c r="Q527" s="6">
        <v>38393298</v>
      </c>
      <c r="S527" s="6">
        <f>132882+35364</f>
        <v>168246</v>
      </c>
      <c r="U527" s="6">
        <f>119530+14392+72599+23781</f>
        <v>230302</v>
      </c>
      <c r="W527" s="6">
        <f>14880+46426+225742+201972</f>
        <v>489020</v>
      </c>
      <c r="Y527" s="6">
        <f>424161+652239+8008+6425+58679+13263878+18675</f>
        <v>14432065</v>
      </c>
      <c r="AA527" s="6">
        <v>-133296</v>
      </c>
      <c r="AC527" s="12">
        <f t="shared" si="85"/>
        <v>15186337</v>
      </c>
      <c r="AE527" s="6">
        <f t="shared" si="86"/>
        <v>0</v>
      </c>
    </row>
    <row r="528" spans="1:31" hidden="1">
      <c r="A528" s="11" t="s">
        <v>705</v>
      </c>
      <c r="B528" s="11"/>
      <c r="C528" s="11" t="s">
        <v>65</v>
      </c>
      <c r="I528" s="2">
        <f t="shared" si="87"/>
        <v>0</v>
      </c>
      <c r="M528" s="2">
        <f t="shared" si="88"/>
        <v>0</v>
      </c>
      <c r="AC528" s="12">
        <f t="shared" si="85"/>
        <v>0</v>
      </c>
      <c r="AE528" s="6">
        <f t="shared" si="86"/>
        <v>0</v>
      </c>
    </row>
    <row r="529" spans="1:31">
      <c r="A529" s="11" t="s">
        <v>464</v>
      </c>
      <c r="B529" s="11"/>
      <c r="C529" s="11" t="s">
        <v>56</v>
      </c>
      <c r="E529" s="6">
        <v>5005675</v>
      </c>
      <c r="G529" s="6">
        <v>0</v>
      </c>
      <c r="I529" s="2">
        <f t="shared" si="87"/>
        <v>15999416</v>
      </c>
      <c r="K529" s="6">
        <v>21005091</v>
      </c>
      <c r="M529" s="2">
        <f t="shared" si="88"/>
        <v>2670437</v>
      </c>
      <c r="O529" s="6">
        <v>14410173</v>
      </c>
      <c r="Q529" s="6">
        <v>17080610</v>
      </c>
      <c r="S529" s="6">
        <v>0</v>
      </c>
      <c r="U529" s="6">
        <v>1835959</v>
      </c>
      <c r="W529" s="6">
        <v>20212</v>
      </c>
      <c r="Y529" s="6">
        <v>146593</v>
      </c>
      <c r="AA529" s="6">
        <v>1921717</v>
      </c>
      <c r="AC529" s="12">
        <f t="shared" si="85"/>
        <v>3924481</v>
      </c>
      <c r="AE529" s="6">
        <f t="shared" si="86"/>
        <v>0</v>
      </c>
    </row>
    <row r="530" spans="1:31">
      <c r="A530" s="11" t="s">
        <v>279</v>
      </c>
      <c r="B530" s="11"/>
      <c r="C530" s="11" t="s">
        <v>20</v>
      </c>
      <c r="E530" s="6">
        <v>8585914</v>
      </c>
      <c r="G530" s="6">
        <v>0</v>
      </c>
      <c r="I530" s="2">
        <f t="shared" si="87"/>
        <v>54189954</v>
      </c>
      <c r="K530" s="6">
        <v>62775868</v>
      </c>
      <c r="M530" s="2">
        <f t="shared" si="88"/>
        <v>54007695</v>
      </c>
      <c r="O530" s="6">
        <v>0</v>
      </c>
      <c r="Q530" s="6">
        <v>54007695</v>
      </c>
      <c r="S530" s="6">
        <v>0</v>
      </c>
      <c r="U530" s="6">
        <v>6300595</v>
      </c>
      <c r="W530" s="6">
        <v>0</v>
      </c>
      <c r="Y530" s="6">
        <v>648693</v>
      </c>
      <c r="AA530" s="6">
        <v>1818885</v>
      </c>
      <c r="AC530" s="12">
        <f t="shared" si="85"/>
        <v>8768173</v>
      </c>
      <c r="AE530" s="6">
        <f t="shared" si="86"/>
        <v>0</v>
      </c>
    </row>
    <row r="531" spans="1:31">
      <c r="A531" s="11" t="s">
        <v>407</v>
      </c>
      <c r="B531" s="11"/>
      <c r="C531" s="11" t="s">
        <v>45</v>
      </c>
      <c r="E531" s="6">
        <v>9390262</v>
      </c>
      <c r="G531" s="6">
        <v>22629</v>
      </c>
      <c r="I531" s="2">
        <f t="shared" si="87"/>
        <v>5899410</v>
      </c>
      <c r="K531" s="6">
        <v>15312301</v>
      </c>
      <c r="M531" s="2">
        <f t="shared" si="88"/>
        <v>2588586</v>
      </c>
      <c r="O531" s="6">
        <v>5389796</v>
      </c>
      <c r="Q531" s="6">
        <v>7978382</v>
      </c>
      <c r="S531" s="6">
        <v>11643</v>
      </c>
      <c r="U531" s="6">
        <v>2693564</v>
      </c>
      <c r="W531" s="6">
        <v>14664</v>
      </c>
      <c r="Y531" s="6">
        <v>412147</v>
      </c>
      <c r="AA531" s="6">
        <v>4201901</v>
      </c>
      <c r="AC531" s="12">
        <f t="shared" si="85"/>
        <v>7333919</v>
      </c>
      <c r="AE531" s="6">
        <f t="shared" si="86"/>
        <v>0</v>
      </c>
    </row>
    <row r="532" spans="1:31" hidden="1">
      <c r="A532" s="11" t="s">
        <v>898</v>
      </c>
      <c r="B532" s="11"/>
      <c r="C532" s="11" t="s">
        <v>552</v>
      </c>
      <c r="E532" s="6">
        <v>0</v>
      </c>
      <c r="G532" s="6">
        <v>0</v>
      </c>
      <c r="I532" s="2">
        <f t="shared" si="87"/>
        <v>0</v>
      </c>
      <c r="K532" s="6">
        <v>0</v>
      </c>
      <c r="M532" s="2">
        <f t="shared" si="88"/>
        <v>0</v>
      </c>
      <c r="O532" s="6">
        <v>0</v>
      </c>
      <c r="Q532" s="6">
        <v>0</v>
      </c>
      <c r="S532" s="6">
        <v>0</v>
      </c>
      <c r="U532" s="6">
        <v>0</v>
      </c>
      <c r="W532" s="6">
        <v>0</v>
      </c>
      <c r="Y532" s="6">
        <v>0</v>
      </c>
      <c r="AA532" s="6">
        <v>0</v>
      </c>
      <c r="AC532" s="12">
        <f t="shared" si="85"/>
        <v>0</v>
      </c>
      <c r="AE532" s="6">
        <f t="shared" si="86"/>
        <v>0</v>
      </c>
    </row>
    <row r="533" spans="1:31" hidden="1">
      <c r="A533" s="11" t="s">
        <v>899</v>
      </c>
      <c r="B533" s="11"/>
      <c r="C533" s="11" t="s">
        <v>28</v>
      </c>
      <c r="E533" s="6">
        <v>0</v>
      </c>
      <c r="G533" s="6">
        <v>0</v>
      </c>
      <c r="I533" s="2">
        <f t="shared" si="87"/>
        <v>0</v>
      </c>
      <c r="K533" s="6">
        <v>0</v>
      </c>
      <c r="M533" s="2">
        <f t="shared" si="88"/>
        <v>0</v>
      </c>
      <c r="O533" s="6">
        <v>0</v>
      </c>
      <c r="Q533" s="6">
        <v>0</v>
      </c>
      <c r="S533" s="6">
        <v>0</v>
      </c>
      <c r="U533" s="6">
        <v>0</v>
      </c>
      <c r="W533" s="6">
        <v>0</v>
      </c>
      <c r="Y533" s="6">
        <v>0</v>
      </c>
      <c r="AA533" s="6">
        <v>0</v>
      </c>
      <c r="AC533" s="12">
        <f t="shared" si="85"/>
        <v>0</v>
      </c>
      <c r="AE533" s="6">
        <f t="shared" si="86"/>
        <v>0</v>
      </c>
    </row>
    <row r="534" spans="1:31">
      <c r="A534" s="11" t="s">
        <v>628</v>
      </c>
      <c r="B534" s="11"/>
      <c r="C534" s="11" t="s">
        <v>49</v>
      </c>
      <c r="E534" s="6">
        <f>5449846+38791989+643120</f>
        <v>44884955</v>
      </c>
      <c r="G534" s="6">
        <v>5513</v>
      </c>
      <c r="I534" s="2">
        <f t="shared" si="87"/>
        <v>17239827</v>
      </c>
      <c r="K534" s="6">
        <v>62130295</v>
      </c>
      <c r="M534" s="2">
        <f t="shared" si="88"/>
        <v>7808316</v>
      </c>
      <c r="O534" s="6">
        <v>15431846</v>
      </c>
      <c r="Q534" s="6">
        <v>23240162</v>
      </c>
      <c r="S534" s="6">
        <f>17368+80893+5513</f>
        <v>103774</v>
      </c>
      <c r="U534" s="6">
        <f>230771+35864100+3650601+526249+11926+51171+27958</f>
        <v>40362776</v>
      </c>
      <c r="W534" s="6">
        <v>42632</v>
      </c>
      <c r="Y534" s="6">
        <v>34756</v>
      </c>
      <c r="AA534" s="6">
        <v>-1653805</v>
      </c>
      <c r="AC534" s="12">
        <f t="shared" si="85"/>
        <v>38890133</v>
      </c>
      <c r="AE534" s="6">
        <f t="shared" si="86"/>
        <v>0</v>
      </c>
    </row>
    <row r="535" spans="1:31">
      <c r="A535" s="10" t="s">
        <v>834</v>
      </c>
      <c r="B535" s="11"/>
      <c r="C535" s="11" t="s">
        <v>32</v>
      </c>
      <c r="E535" s="6">
        <f>62283493+567632+4083967</f>
        <v>66935092</v>
      </c>
      <c r="G535" s="6">
        <v>0</v>
      </c>
      <c r="I535" s="2">
        <f t="shared" si="87"/>
        <v>60250970</v>
      </c>
      <c r="K535" s="6">
        <v>127186062</v>
      </c>
      <c r="M535" s="2">
        <f t="shared" si="88"/>
        <v>12162537</v>
      </c>
      <c r="O535" s="6">
        <v>36069024</v>
      </c>
      <c r="Q535" s="6">
        <v>48231561</v>
      </c>
      <c r="S535" s="6">
        <v>25761</v>
      </c>
      <c r="U535" s="6">
        <v>26164051</v>
      </c>
      <c r="W535" s="6">
        <v>0</v>
      </c>
      <c r="Y535" s="6">
        <v>19620931</v>
      </c>
      <c r="AA535" s="6">
        <v>33143758</v>
      </c>
      <c r="AC535" s="12">
        <f t="shared" si="85"/>
        <v>78954501</v>
      </c>
      <c r="AE535" s="6">
        <f t="shared" si="86"/>
        <v>0</v>
      </c>
    </row>
    <row r="536" spans="1:31">
      <c r="A536" s="11" t="s">
        <v>394</v>
      </c>
      <c r="B536" s="11"/>
      <c r="C536" s="11" t="s">
        <v>115</v>
      </c>
      <c r="E536" s="6">
        <v>18868229</v>
      </c>
      <c r="G536" s="6">
        <v>0</v>
      </c>
      <c r="I536" s="2">
        <f t="shared" si="87"/>
        <v>65274251</v>
      </c>
      <c r="K536" s="6">
        <v>84142480</v>
      </c>
      <c r="M536" s="2">
        <f t="shared" si="88"/>
        <v>75280092</v>
      </c>
      <c r="O536" s="6">
        <v>1772014</v>
      </c>
      <c r="Q536" s="6">
        <v>77052106</v>
      </c>
      <c r="S536" s="6">
        <v>63093</v>
      </c>
      <c r="U536" s="6">
        <f>2611096+5335740+75778+1+180364+15742</f>
        <v>8218721</v>
      </c>
      <c r="W536" s="6">
        <v>0</v>
      </c>
      <c r="Y536" s="6">
        <f>11117+303077+500+77900+32074+85528</f>
        <v>510196</v>
      </c>
      <c r="AA536" s="6">
        <v>-1701636</v>
      </c>
      <c r="AC536" s="12">
        <f t="shared" si="85"/>
        <v>7090374</v>
      </c>
      <c r="AE536" s="6">
        <f t="shared" si="86"/>
        <v>0</v>
      </c>
    </row>
    <row r="537" spans="1:31">
      <c r="A537" s="11" t="s">
        <v>372</v>
      </c>
      <c r="B537" s="11"/>
      <c r="C537" s="11" t="s">
        <v>366</v>
      </c>
      <c r="E537" s="6">
        <f>4314784+42941</f>
        <v>4357725</v>
      </c>
      <c r="G537" s="6">
        <v>0</v>
      </c>
      <c r="I537" s="2">
        <f t="shared" si="87"/>
        <v>1290521</v>
      </c>
      <c r="K537" s="6">
        <v>5648246</v>
      </c>
      <c r="M537" s="2">
        <f t="shared" si="88"/>
        <v>1015421</v>
      </c>
      <c r="O537" s="6">
        <v>1092023</v>
      </c>
      <c r="Q537" s="6">
        <v>2107444</v>
      </c>
      <c r="S537" s="6">
        <v>35288</v>
      </c>
      <c r="U537" s="6">
        <v>782481</v>
      </c>
      <c r="W537" s="6">
        <v>33097</v>
      </c>
      <c r="Y537" s="6">
        <v>380567</v>
      </c>
      <c r="AA537" s="6">
        <v>2309369</v>
      </c>
      <c r="AC537" s="12">
        <f t="shared" si="85"/>
        <v>3540802</v>
      </c>
      <c r="AE537" s="6">
        <f t="shared" si="86"/>
        <v>0</v>
      </c>
    </row>
    <row r="538" spans="1:31">
      <c r="A538" s="11" t="s">
        <v>717</v>
      </c>
      <c r="B538" s="11"/>
      <c r="C538" s="11" t="s">
        <v>221</v>
      </c>
      <c r="E538" s="6">
        <f>30108159+1030615</f>
        <v>31138774</v>
      </c>
      <c r="G538" s="6">
        <v>202876</v>
      </c>
      <c r="I538" s="2">
        <f t="shared" ref="I538:I565" si="89">K538-E538-G538</f>
        <v>24357170</v>
      </c>
      <c r="K538" s="6">
        <v>55698820</v>
      </c>
      <c r="M538" s="2">
        <f t="shared" ref="M538:M565" si="90">Q538-O538</f>
        <v>4164506</v>
      </c>
      <c r="O538" s="6">
        <v>21525294</v>
      </c>
      <c r="Q538" s="6">
        <v>25689800</v>
      </c>
      <c r="S538" s="6">
        <v>98966</v>
      </c>
      <c r="U538" s="6">
        <v>10557769</v>
      </c>
      <c r="W538" s="6">
        <v>0</v>
      </c>
      <c r="Y538" s="6">
        <v>1333174</v>
      </c>
      <c r="AA538" s="6">
        <v>18019111</v>
      </c>
      <c r="AC538" s="12">
        <f t="shared" si="85"/>
        <v>30009020</v>
      </c>
      <c r="AE538" s="6">
        <f t="shared" si="86"/>
        <v>0</v>
      </c>
    </row>
    <row r="539" spans="1:31">
      <c r="A539" s="11" t="s">
        <v>515</v>
      </c>
      <c r="B539" s="11"/>
      <c r="C539" s="11" t="s">
        <v>63</v>
      </c>
      <c r="E539" s="6">
        <f>6164525+12338</f>
        <v>6176863</v>
      </c>
      <c r="G539" s="6">
        <v>72474</v>
      </c>
      <c r="I539" s="2">
        <f t="shared" si="89"/>
        <v>18327931</v>
      </c>
      <c r="K539" s="6">
        <v>24577268</v>
      </c>
      <c r="M539" s="2">
        <f t="shared" si="90"/>
        <v>3455321</v>
      </c>
      <c r="O539" s="6">
        <f>769208+15518864</f>
        <v>16288072</v>
      </c>
      <c r="Q539" s="6">
        <v>19743393</v>
      </c>
      <c r="S539" s="6">
        <v>8401</v>
      </c>
      <c r="U539" s="6">
        <f>1654896+598980+78415+14086+72474+149562+77159+5463</f>
        <v>2651035</v>
      </c>
      <c r="W539" s="6">
        <v>19179</v>
      </c>
      <c r="Y539" s="6">
        <f>13159+106896+184105</f>
        <v>304160</v>
      </c>
      <c r="AA539" s="6">
        <v>1851100</v>
      </c>
      <c r="AC539" s="12">
        <f t="shared" si="85"/>
        <v>4833875</v>
      </c>
      <c r="AE539" s="6">
        <f t="shared" si="86"/>
        <v>0</v>
      </c>
    </row>
    <row r="540" spans="1:31">
      <c r="A540" s="11" t="s">
        <v>454</v>
      </c>
      <c r="B540" s="11"/>
      <c r="C540" s="11" t="s">
        <v>54</v>
      </c>
      <c r="E540" s="6">
        <f>9989285+10341</f>
        <v>9999626</v>
      </c>
      <c r="G540" s="6">
        <v>0</v>
      </c>
      <c r="I540" s="2">
        <f t="shared" si="89"/>
        <v>14219305</v>
      </c>
      <c r="K540" s="6">
        <v>24218931</v>
      </c>
      <c r="M540" s="2">
        <f t="shared" si="90"/>
        <v>4161352</v>
      </c>
      <c r="O540" s="6">
        <f>10745050+1312399</f>
        <v>12057449</v>
      </c>
      <c r="Q540" s="6">
        <v>16218801</v>
      </c>
      <c r="S540" s="6">
        <f>147632+8258+4861</f>
        <v>160751</v>
      </c>
      <c r="U540" s="6">
        <f>2291194+530838+493689+271754+1903+24598+76971+81690</f>
        <v>3772637</v>
      </c>
      <c r="W540" s="6">
        <f>648142+11000</f>
        <v>659142</v>
      </c>
      <c r="Y540" s="6">
        <f>48599+150258+1243+995105</f>
        <v>1195205</v>
      </c>
      <c r="AA540" s="6">
        <v>2212395</v>
      </c>
      <c r="AC540" s="12">
        <f t="shared" ref="AC540:AC606" si="91">S540+U540+W540+Y540+AA540</f>
        <v>8000130</v>
      </c>
      <c r="AE540" s="6">
        <f t="shared" ref="AE540:AE606" si="92">+E540+G540+I540-M540-O540-W540-U540-S540-Y540-AA540</f>
        <v>0</v>
      </c>
    </row>
    <row r="541" spans="1:31">
      <c r="A541" s="11" t="s">
        <v>236</v>
      </c>
      <c r="B541" s="11"/>
      <c r="C541" s="11" t="s">
        <v>17</v>
      </c>
      <c r="E541" s="6">
        <f>6485168+4500</f>
        <v>6489668</v>
      </c>
      <c r="G541" s="6">
        <v>0</v>
      </c>
      <c r="I541" s="2">
        <f t="shared" si="89"/>
        <v>10715340</v>
      </c>
      <c r="K541" s="6">
        <v>17205008</v>
      </c>
      <c r="M541" s="2">
        <f t="shared" si="90"/>
        <v>3502409</v>
      </c>
      <c r="O541" s="6">
        <v>7737658</v>
      </c>
      <c r="Q541" s="6">
        <v>11240067</v>
      </c>
      <c r="S541" s="6">
        <v>181523</v>
      </c>
      <c r="U541" s="6">
        <v>4557037</v>
      </c>
      <c r="W541" s="6">
        <v>0</v>
      </c>
      <c r="Y541" s="6">
        <v>1289349</v>
      </c>
      <c r="AA541" s="6">
        <v>-62968</v>
      </c>
      <c r="AC541" s="12">
        <f t="shared" si="91"/>
        <v>5964941</v>
      </c>
      <c r="AE541" s="6">
        <f t="shared" si="92"/>
        <v>0</v>
      </c>
    </row>
    <row r="542" spans="1:31">
      <c r="A542" s="11" t="s">
        <v>725</v>
      </c>
      <c r="B542" s="11"/>
      <c r="C542" s="11" t="s">
        <v>32</v>
      </c>
      <c r="E542" s="6">
        <v>58724655</v>
      </c>
      <c r="G542" s="6">
        <v>147491</v>
      </c>
      <c r="I542" s="2">
        <f t="shared" si="89"/>
        <v>18526968</v>
      </c>
      <c r="K542" s="6">
        <v>77399114</v>
      </c>
      <c r="M542" s="2">
        <f t="shared" si="90"/>
        <v>6264236</v>
      </c>
      <c r="O542" s="6">
        <v>13464617</v>
      </c>
      <c r="Q542" s="6">
        <v>19728853</v>
      </c>
      <c r="S542" s="6">
        <v>0</v>
      </c>
      <c r="U542" s="6">
        <v>45148293</v>
      </c>
      <c r="W542" s="6">
        <v>845718</v>
      </c>
      <c r="Y542" s="6">
        <v>454654</v>
      </c>
      <c r="AA542" s="6">
        <v>11221596</v>
      </c>
      <c r="AC542" s="12">
        <f t="shared" si="91"/>
        <v>57670261</v>
      </c>
      <c r="AE542" s="6">
        <f t="shared" si="92"/>
        <v>0</v>
      </c>
    </row>
    <row r="543" spans="1:31">
      <c r="A543" s="11" t="s">
        <v>488</v>
      </c>
      <c r="B543" s="11"/>
      <c r="C543" s="11" t="s">
        <v>60</v>
      </c>
      <c r="E543" s="6">
        <f>4489691+94</f>
        <v>4489785</v>
      </c>
      <c r="G543" s="6">
        <v>0</v>
      </c>
      <c r="I543" s="2">
        <f t="shared" si="89"/>
        <v>13005638</v>
      </c>
      <c r="K543" s="6">
        <v>17495423</v>
      </c>
      <c r="M543" s="2">
        <f t="shared" si="90"/>
        <v>2599099</v>
      </c>
      <c r="O543" s="6">
        <f>6598929+1969984</f>
        <v>8568913</v>
      </c>
      <c r="Q543" s="6">
        <v>11168012</v>
      </c>
      <c r="S543" s="6">
        <f>54150+96930</f>
        <v>151080</v>
      </c>
      <c r="U543" s="6">
        <f>858790+464048+468213+332540+22163+94+64496+81509</f>
        <v>2291853</v>
      </c>
      <c r="W543" s="6">
        <v>0</v>
      </c>
      <c r="Y543" s="6">
        <f>4903+233920+6764+532331</f>
        <v>777918</v>
      </c>
      <c r="AA543" s="6">
        <v>3106560</v>
      </c>
      <c r="AC543" s="12">
        <f t="shared" si="91"/>
        <v>6327411</v>
      </c>
      <c r="AE543" s="6">
        <f t="shared" si="92"/>
        <v>0</v>
      </c>
    </row>
    <row r="544" spans="1:31">
      <c r="A544" s="11" t="s">
        <v>778</v>
      </c>
      <c r="B544" s="11"/>
      <c r="C544" s="11" t="s">
        <v>48</v>
      </c>
      <c r="E544" s="6">
        <v>2651803</v>
      </c>
      <c r="G544" s="6">
        <v>7422</v>
      </c>
      <c r="I544" s="2">
        <f t="shared" si="89"/>
        <v>12893637</v>
      </c>
      <c r="K544" s="6">
        <v>15552862</v>
      </c>
      <c r="M544" s="2">
        <f t="shared" si="90"/>
        <v>2503138</v>
      </c>
      <c r="O544" s="6">
        <v>10828932</v>
      </c>
      <c r="Q544" s="6">
        <v>13332070</v>
      </c>
      <c r="S544" s="6">
        <v>71287</v>
      </c>
      <c r="U544" s="6">
        <v>2062376</v>
      </c>
      <c r="W544" s="6">
        <v>11000</v>
      </c>
      <c r="Y544" s="6">
        <v>144067</v>
      </c>
      <c r="AA544" s="6">
        <v>-67938</v>
      </c>
      <c r="AC544" s="12">
        <f t="shared" si="91"/>
        <v>2220792</v>
      </c>
      <c r="AE544" s="6">
        <f t="shared" si="92"/>
        <v>0</v>
      </c>
    </row>
    <row r="545" spans="1:31">
      <c r="A545" s="11" t="s">
        <v>395</v>
      </c>
      <c r="B545" s="11"/>
      <c r="C545" s="11" t="s">
        <v>115</v>
      </c>
      <c r="E545" s="6">
        <f>109192904+2573256</f>
        <v>111766160</v>
      </c>
      <c r="G545" s="6">
        <v>0</v>
      </c>
      <c r="I545" s="2">
        <f t="shared" si="89"/>
        <v>163156065</v>
      </c>
      <c r="K545" s="6">
        <v>274922225</v>
      </c>
      <c r="M545" s="2">
        <f t="shared" si="90"/>
        <v>37103245</v>
      </c>
      <c r="O545" s="6">
        <v>149554949</v>
      </c>
      <c r="Q545" s="6">
        <v>186658194</v>
      </c>
      <c r="S545" s="6">
        <v>568759</v>
      </c>
      <c r="U545" s="6">
        <v>86806823</v>
      </c>
      <c r="W545" s="6">
        <v>0</v>
      </c>
      <c r="Y545" s="6">
        <v>1710004</v>
      </c>
      <c r="AA545" s="6">
        <v>-821555</v>
      </c>
      <c r="AC545" s="12">
        <f t="shared" si="91"/>
        <v>88264031</v>
      </c>
      <c r="AE545" s="6">
        <f t="shared" si="92"/>
        <v>0</v>
      </c>
    </row>
    <row r="546" spans="1:31" hidden="1">
      <c r="A546" s="11" t="s">
        <v>894</v>
      </c>
      <c r="B546" s="11"/>
      <c r="C546" s="11" t="s">
        <v>115</v>
      </c>
      <c r="I546" s="2">
        <f t="shared" si="89"/>
        <v>0</v>
      </c>
      <c r="M546" s="2">
        <f t="shared" si="90"/>
        <v>0</v>
      </c>
      <c r="AC546" s="12">
        <f t="shared" si="91"/>
        <v>0</v>
      </c>
      <c r="AE546" s="6">
        <f t="shared" si="92"/>
        <v>0</v>
      </c>
    </row>
    <row r="547" spans="1:31">
      <c r="A547" s="11" t="s">
        <v>726</v>
      </c>
      <c r="B547" s="11"/>
      <c r="C547" s="11" t="s">
        <v>39</v>
      </c>
      <c r="E547" s="6">
        <f>8954663+7375720</f>
        <v>16330383</v>
      </c>
      <c r="G547" s="6">
        <v>0</v>
      </c>
      <c r="I547" s="2">
        <f t="shared" si="89"/>
        <v>2145329</v>
      </c>
      <c r="K547" s="6">
        <v>18475712</v>
      </c>
      <c r="M547" s="2">
        <f t="shared" si="90"/>
        <v>1201201</v>
      </c>
      <c r="O547" s="6">
        <v>1862910</v>
      </c>
      <c r="Q547" s="6">
        <v>3064111</v>
      </c>
      <c r="S547" s="6">
        <v>24965</v>
      </c>
      <c r="U547" s="6">
        <v>14486015</v>
      </c>
      <c r="W547" s="6">
        <v>0</v>
      </c>
      <c r="Y547" s="6">
        <v>31602</v>
      </c>
      <c r="AA547" s="6">
        <v>869019</v>
      </c>
      <c r="AC547" s="12">
        <f t="shared" si="91"/>
        <v>15411601</v>
      </c>
      <c r="AE547" s="6">
        <f t="shared" si="92"/>
        <v>0</v>
      </c>
    </row>
    <row r="548" spans="1:31">
      <c r="A548" s="11" t="s">
        <v>229</v>
      </c>
      <c r="B548" s="11"/>
      <c r="C548" s="11" t="s">
        <v>228</v>
      </c>
      <c r="E548" s="6">
        <v>991707</v>
      </c>
      <c r="G548" s="6">
        <v>2500</v>
      </c>
      <c r="I548" s="2">
        <f t="shared" si="89"/>
        <v>3176590</v>
      </c>
      <c r="K548" s="6">
        <v>4170797</v>
      </c>
      <c r="M548" s="2">
        <f t="shared" si="90"/>
        <v>1084867</v>
      </c>
      <c r="O548" s="6">
        <f>271765+1913657</f>
        <v>2185422</v>
      </c>
      <c r="Q548" s="6">
        <v>3270289</v>
      </c>
      <c r="S548" s="6">
        <f>4917+53722</f>
        <v>58639</v>
      </c>
      <c r="U548" s="6">
        <f>150788+33200+87687+333+83457+2500</f>
        <v>357965</v>
      </c>
      <c r="W548" s="6">
        <v>11000</v>
      </c>
      <c r="Y548" s="6">
        <f>7777+37297+568079+1384</f>
        <v>614537</v>
      </c>
      <c r="AA548" s="6">
        <v>-141633</v>
      </c>
      <c r="AC548" s="12">
        <f t="shared" si="91"/>
        <v>900508</v>
      </c>
      <c r="AE548" s="6">
        <f t="shared" si="92"/>
        <v>0</v>
      </c>
    </row>
    <row r="549" spans="1:31">
      <c r="A549" s="11" t="s">
        <v>466</v>
      </c>
      <c r="B549" s="11"/>
      <c r="C549" s="11" t="s">
        <v>57</v>
      </c>
      <c r="E549" s="6">
        <v>2478773</v>
      </c>
      <c r="G549" s="6">
        <v>36863</v>
      </c>
      <c r="I549" s="2">
        <f t="shared" si="89"/>
        <v>4525605</v>
      </c>
      <c r="K549" s="6">
        <v>7041241</v>
      </c>
      <c r="M549" s="2">
        <f t="shared" si="90"/>
        <v>1091451</v>
      </c>
      <c r="O549" s="6">
        <v>4202098</v>
      </c>
      <c r="Q549" s="6">
        <v>5293549</v>
      </c>
      <c r="S549" s="6">
        <v>34002</v>
      </c>
      <c r="U549" s="6">
        <v>503573</v>
      </c>
      <c r="W549" s="6">
        <v>0</v>
      </c>
      <c r="Y549" s="6">
        <v>158611</v>
      </c>
      <c r="AA549" s="6">
        <v>1051506</v>
      </c>
      <c r="AC549" s="12">
        <f t="shared" si="91"/>
        <v>1747692</v>
      </c>
      <c r="AE549" s="6">
        <f t="shared" si="92"/>
        <v>0</v>
      </c>
    </row>
    <row r="550" spans="1:31">
      <c r="A550" s="11" t="s">
        <v>212</v>
      </c>
      <c r="B550" s="11"/>
      <c r="C550" s="11" t="s">
        <v>13</v>
      </c>
      <c r="E550" s="6">
        <f>2527340+250</f>
        <v>2527590</v>
      </c>
      <c r="G550" s="6">
        <v>0</v>
      </c>
      <c r="I550" s="2">
        <f t="shared" si="89"/>
        <v>1566311</v>
      </c>
      <c r="K550" s="6">
        <v>4093901</v>
      </c>
      <c r="M550" s="2">
        <f t="shared" si="90"/>
        <v>1116854</v>
      </c>
      <c r="O550" s="6">
        <v>1070887</v>
      </c>
      <c r="Q550" s="6">
        <v>2187741</v>
      </c>
      <c r="S550" s="6">
        <v>33847</v>
      </c>
      <c r="U550" s="6">
        <v>492460</v>
      </c>
      <c r="W550" s="6">
        <v>0</v>
      </c>
      <c r="Y550" s="6">
        <v>101563</v>
      </c>
      <c r="AA550" s="6">
        <v>1278290</v>
      </c>
      <c r="AC550" s="12">
        <f t="shared" si="91"/>
        <v>1906160</v>
      </c>
      <c r="AE550" s="6">
        <f t="shared" si="92"/>
        <v>0</v>
      </c>
    </row>
    <row r="551" spans="1:31">
      <c r="A551" s="11" t="s">
        <v>446</v>
      </c>
      <c r="B551" s="11"/>
      <c r="C551" s="11" t="s">
        <v>51</v>
      </c>
      <c r="E551" s="6">
        <v>8729540</v>
      </c>
      <c r="G551" s="6">
        <v>0</v>
      </c>
      <c r="I551" s="2">
        <f t="shared" si="89"/>
        <v>9654072</v>
      </c>
      <c r="K551" s="6">
        <v>18383612</v>
      </c>
      <c r="M551" s="2">
        <f t="shared" si="90"/>
        <v>3447747</v>
      </c>
      <c r="O551" s="6">
        <v>5782207</v>
      </c>
      <c r="Q551" s="6">
        <v>9229954</v>
      </c>
      <c r="S551" s="6">
        <v>146536</v>
      </c>
      <c r="U551" s="6">
        <v>5700384</v>
      </c>
      <c r="W551" s="6">
        <v>17975</v>
      </c>
      <c r="Y551" s="6">
        <v>878409</v>
      </c>
      <c r="AA551" s="6">
        <v>2410354</v>
      </c>
      <c r="AC551" s="12">
        <f t="shared" si="91"/>
        <v>9153658</v>
      </c>
      <c r="AE551" s="6">
        <f t="shared" si="92"/>
        <v>0</v>
      </c>
    </row>
    <row r="552" spans="1:31" hidden="1">
      <c r="A552" s="11" t="s">
        <v>690</v>
      </c>
      <c r="B552" s="11"/>
      <c r="C552" s="11" t="s">
        <v>21</v>
      </c>
      <c r="I552" s="2">
        <f t="shared" si="89"/>
        <v>0</v>
      </c>
      <c r="M552" s="2">
        <f t="shared" si="90"/>
        <v>0</v>
      </c>
      <c r="AC552" s="12">
        <f t="shared" si="91"/>
        <v>0</v>
      </c>
      <c r="AE552" s="6">
        <f t="shared" si="92"/>
        <v>0</v>
      </c>
    </row>
    <row r="553" spans="1:31" hidden="1">
      <c r="A553" s="10" t="s">
        <v>835</v>
      </c>
      <c r="B553" s="11"/>
      <c r="C553" s="11" t="s">
        <v>71</v>
      </c>
      <c r="I553" s="2">
        <f t="shared" si="89"/>
        <v>0</v>
      </c>
      <c r="M553" s="2">
        <f t="shared" si="90"/>
        <v>0</v>
      </c>
      <c r="AC553" s="12">
        <f t="shared" si="91"/>
        <v>0</v>
      </c>
      <c r="AE553" s="6">
        <f t="shared" si="92"/>
        <v>0</v>
      </c>
    </row>
    <row r="554" spans="1:31">
      <c r="A554" s="11" t="s">
        <v>436</v>
      </c>
      <c r="B554" s="11"/>
      <c r="C554" s="11" t="s">
        <v>50</v>
      </c>
      <c r="E554" s="6">
        <f>20110378+182550</f>
        <v>20292928</v>
      </c>
      <c r="G554" s="6">
        <v>81076</v>
      </c>
      <c r="I554" s="2">
        <f t="shared" si="89"/>
        <v>13880556</v>
      </c>
      <c r="K554" s="6">
        <v>34254560</v>
      </c>
      <c r="M554" s="2">
        <f t="shared" si="90"/>
        <v>3007353</v>
      </c>
      <c r="O554" s="6">
        <v>12430632</v>
      </c>
      <c r="Q554" s="6">
        <v>15437985</v>
      </c>
      <c r="S554" s="6">
        <v>12108</v>
      </c>
      <c r="U554" s="6">
        <v>4455385</v>
      </c>
      <c r="W554" s="6">
        <v>0</v>
      </c>
      <c r="Y554" s="6">
        <v>24002</v>
      </c>
      <c r="AA554" s="6">
        <v>14325080</v>
      </c>
      <c r="AC554" s="12">
        <f t="shared" si="91"/>
        <v>18816575</v>
      </c>
      <c r="AE554" s="6">
        <f t="shared" si="92"/>
        <v>0</v>
      </c>
    </row>
    <row r="555" spans="1:31">
      <c r="A555" s="11" t="s">
        <v>426</v>
      </c>
      <c r="B555" s="11"/>
      <c r="C555" s="11" t="s">
        <v>48</v>
      </c>
      <c r="E555" s="6">
        <v>11967275</v>
      </c>
      <c r="G555" s="6">
        <v>0</v>
      </c>
      <c r="I555" s="2">
        <f t="shared" si="89"/>
        <v>23132365</v>
      </c>
      <c r="K555" s="6">
        <v>35099640</v>
      </c>
      <c r="M555" s="2">
        <f t="shared" si="90"/>
        <v>4269669</v>
      </c>
      <c r="O555" s="6">
        <v>17050255</v>
      </c>
      <c r="Q555" s="6">
        <v>21319924</v>
      </c>
      <c r="S555" s="6">
        <f>145500+39916</f>
        <v>185416</v>
      </c>
      <c r="U555" s="6">
        <f>682349+732847+460128+274329+64924+13213+19411</f>
        <v>2247201</v>
      </c>
      <c r="W555" s="6">
        <v>0</v>
      </c>
      <c r="Y555" s="6">
        <f>105608+167719+19266+129021</f>
        <v>421614</v>
      </c>
      <c r="AA555" s="6">
        <v>10925485</v>
      </c>
      <c r="AC555" s="12">
        <f t="shared" si="91"/>
        <v>13779716</v>
      </c>
      <c r="AE555" s="6">
        <f t="shared" si="92"/>
        <v>0</v>
      </c>
    </row>
    <row r="556" spans="1:31">
      <c r="A556" s="11" t="s">
        <v>538</v>
      </c>
      <c r="B556" s="11"/>
      <c r="C556" s="11" t="s">
        <v>65</v>
      </c>
      <c r="E556" s="6">
        <v>3128274</v>
      </c>
      <c r="G556" s="6">
        <v>0</v>
      </c>
      <c r="I556" s="2">
        <f t="shared" si="89"/>
        <v>6942894</v>
      </c>
      <c r="K556" s="6">
        <v>10071168</v>
      </c>
      <c r="M556" s="2">
        <f t="shared" si="90"/>
        <v>1745516</v>
      </c>
      <c r="O556" s="6">
        <f>4911742+751188</f>
        <v>5662930</v>
      </c>
      <c r="Q556" s="6">
        <v>7408446</v>
      </c>
      <c r="S556" s="6">
        <f>72877+19730</f>
        <v>92607</v>
      </c>
      <c r="U556" s="6">
        <f>726221+15+16514+74020+91620</f>
        <v>908390</v>
      </c>
      <c r="W556" s="6">
        <v>0</v>
      </c>
      <c r="Y556" s="6">
        <f>6025+1505+600000+13665+56</f>
        <v>621251</v>
      </c>
      <c r="AA556" s="6">
        <v>1040474</v>
      </c>
      <c r="AC556" s="12">
        <f t="shared" si="91"/>
        <v>2662722</v>
      </c>
      <c r="AE556" s="6">
        <f t="shared" si="92"/>
        <v>0</v>
      </c>
    </row>
    <row r="557" spans="1:31">
      <c r="A557" s="11" t="s">
        <v>505</v>
      </c>
      <c r="B557" s="11"/>
      <c r="C557" s="11" t="s">
        <v>62</v>
      </c>
      <c r="E557" s="6">
        <v>4853504</v>
      </c>
      <c r="G557" s="6">
        <v>0</v>
      </c>
      <c r="I557" s="2">
        <f t="shared" si="89"/>
        <v>5968053</v>
      </c>
      <c r="K557" s="6">
        <v>10821557</v>
      </c>
      <c r="M557" s="2">
        <f t="shared" si="90"/>
        <v>1686312</v>
      </c>
      <c r="O557" s="6">
        <v>5570469</v>
      </c>
      <c r="Q557" s="6">
        <v>7256781</v>
      </c>
      <c r="S557" s="6">
        <v>12942</v>
      </c>
      <c r="U557" s="6">
        <v>1959617</v>
      </c>
      <c r="W557" s="6">
        <v>0</v>
      </c>
      <c r="Y557" s="6">
        <v>188896</v>
      </c>
      <c r="AA557" s="6">
        <v>1403321</v>
      </c>
      <c r="AC557" s="12">
        <f t="shared" si="91"/>
        <v>3564776</v>
      </c>
      <c r="AE557" s="6">
        <f t="shared" si="92"/>
        <v>0</v>
      </c>
    </row>
    <row r="558" spans="1:31" hidden="1">
      <c r="A558" s="11" t="s">
        <v>695</v>
      </c>
      <c r="B558" s="11"/>
      <c r="C558" s="11" t="s">
        <v>57</v>
      </c>
      <c r="I558" s="2">
        <f t="shared" si="89"/>
        <v>0</v>
      </c>
      <c r="M558" s="2">
        <f t="shared" si="90"/>
        <v>0</v>
      </c>
      <c r="AC558" s="12">
        <f t="shared" si="91"/>
        <v>0</v>
      </c>
      <c r="AE558" s="6">
        <f t="shared" si="92"/>
        <v>0</v>
      </c>
    </row>
    <row r="559" spans="1:31">
      <c r="A559" s="11" t="s">
        <v>516</v>
      </c>
      <c r="B559" s="11"/>
      <c r="C559" s="11" t="s">
        <v>63</v>
      </c>
      <c r="E559" s="6">
        <f>33220402+69852</f>
        <v>33290254</v>
      </c>
      <c r="G559" s="6">
        <v>0</v>
      </c>
      <c r="I559" s="2">
        <f t="shared" si="89"/>
        <v>28744618</v>
      </c>
      <c r="K559" s="6">
        <v>62034872</v>
      </c>
      <c r="M559" s="2">
        <f t="shared" si="90"/>
        <v>5315991</v>
      </c>
      <c r="O559" s="6">
        <v>24716465</v>
      </c>
      <c r="Q559" s="6">
        <v>30032456</v>
      </c>
      <c r="S559" s="6">
        <v>50145</v>
      </c>
      <c r="U559" s="6">
        <v>7323157</v>
      </c>
      <c r="W559" s="6">
        <v>0</v>
      </c>
      <c r="Y559" s="6">
        <v>11251798</v>
      </c>
      <c r="AA559" s="6">
        <v>13377316</v>
      </c>
      <c r="AC559" s="12">
        <f t="shared" si="91"/>
        <v>32002416</v>
      </c>
      <c r="AE559" s="6">
        <f t="shared" si="92"/>
        <v>0</v>
      </c>
    </row>
    <row r="560" spans="1:31" hidden="1">
      <c r="A560" s="10" t="s">
        <v>836</v>
      </c>
      <c r="B560" s="11"/>
      <c r="C560" s="11" t="s">
        <v>15</v>
      </c>
      <c r="I560" s="2">
        <f t="shared" si="89"/>
        <v>0</v>
      </c>
      <c r="M560" s="2">
        <f t="shared" si="90"/>
        <v>0</v>
      </c>
      <c r="AC560" s="12">
        <f t="shared" si="91"/>
        <v>0</v>
      </c>
      <c r="AE560" s="6">
        <f t="shared" si="92"/>
        <v>0</v>
      </c>
    </row>
    <row r="561" spans="1:31">
      <c r="A561" s="11" t="s">
        <v>476</v>
      </c>
      <c r="B561" s="11"/>
      <c r="C561" s="11" t="s">
        <v>58</v>
      </c>
      <c r="E561" s="6">
        <v>14106377</v>
      </c>
      <c r="G561" s="6">
        <v>4006</v>
      </c>
      <c r="I561" s="2">
        <f t="shared" si="89"/>
        <v>4306822</v>
      </c>
      <c r="K561" s="6">
        <v>18417205</v>
      </c>
      <c r="M561" s="2">
        <f t="shared" si="90"/>
        <v>2320097</v>
      </c>
      <c r="O561" s="6">
        <v>3096654</v>
      </c>
      <c r="Q561" s="6">
        <v>5416751</v>
      </c>
      <c r="S561" s="6">
        <v>17391</v>
      </c>
      <c r="U561" s="6">
        <v>1184655</v>
      </c>
      <c r="W561" s="6">
        <v>0</v>
      </c>
      <c r="Y561" s="6">
        <v>1204959</v>
      </c>
      <c r="AA561" s="6">
        <v>10593449</v>
      </c>
      <c r="AC561" s="12">
        <f t="shared" si="91"/>
        <v>13000454</v>
      </c>
      <c r="AE561" s="6">
        <f t="shared" si="92"/>
        <v>0</v>
      </c>
    </row>
    <row r="562" spans="1:31">
      <c r="A562" s="11" t="s">
        <v>251</v>
      </c>
      <c r="B562" s="11"/>
      <c r="C562" s="11" t="s">
        <v>112</v>
      </c>
      <c r="E562" s="6">
        <v>5721951</v>
      </c>
      <c r="G562" s="6">
        <v>0</v>
      </c>
      <c r="I562" s="2">
        <f t="shared" si="89"/>
        <v>3699354</v>
      </c>
      <c r="K562" s="6">
        <v>9421305</v>
      </c>
      <c r="M562" s="2">
        <f t="shared" si="90"/>
        <v>1400315</v>
      </c>
      <c r="O562" s="6">
        <f>281366+2802020</f>
        <v>3083386</v>
      </c>
      <c r="Q562" s="6">
        <v>4483701</v>
      </c>
      <c r="S562" s="6">
        <f>7170+21136</f>
        <v>28306</v>
      </c>
      <c r="U562" s="6">
        <f>85831+658768+70604+23049+28130+4967</f>
        <v>871349</v>
      </c>
      <c r="W562" s="6">
        <f>308212+11000</f>
        <v>319212</v>
      </c>
      <c r="Y562" s="6">
        <f>5556+10202+589198+320+1902+35930+6799</f>
        <v>649907</v>
      </c>
      <c r="AA562" s="6">
        <v>3068830</v>
      </c>
      <c r="AC562" s="12">
        <f t="shared" si="91"/>
        <v>4937604</v>
      </c>
      <c r="AE562" s="6">
        <f t="shared" si="92"/>
        <v>0</v>
      </c>
    </row>
    <row r="563" spans="1:31" s="28" customFormat="1">
      <c r="A563" s="27" t="s">
        <v>308</v>
      </c>
      <c r="B563" s="27"/>
      <c r="C563" s="27" t="s">
        <v>27</v>
      </c>
      <c r="E563" s="28">
        <v>43625820</v>
      </c>
      <c r="G563" s="28">
        <v>0</v>
      </c>
      <c r="I563" s="30">
        <f t="shared" si="89"/>
        <v>68427605</v>
      </c>
      <c r="K563" s="28">
        <v>112053425</v>
      </c>
      <c r="M563" s="30">
        <f t="shared" si="90"/>
        <v>11537281</v>
      </c>
      <c r="O563" s="28">
        <v>40478966</v>
      </c>
      <c r="Q563" s="28">
        <v>52016247</v>
      </c>
      <c r="S563" s="28">
        <v>92682</v>
      </c>
      <c r="U563" s="28">
        <f>3422508+2807959+187544+72762+1468517+637538+334743</f>
        <v>8931571</v>
      </c>
      <c r="W563" s="28">
        <v>0</v>
      </c>
      <c r="Y563" s="28">
        <v>571712</v>
      </c>
      <c r="AA563" s="28">
        <v>50441213</v>
      </c>
      <c r="AC563" s="37">
        <f t="shared" si="91"/>
        <v>60037178</v>
      </c>
      <c r="AE563" s="28">
        <f t="shared" si="92"/>
        <v>0</v>
      </c>
    </row>
    <row r="564" spans="1:31" hidden="1">
      <c r="A564" s="11" t="s">
        <v>779</v>
      </c>
      <c r="B564" s="11"/>
      <c r="C564" s="11" t="s">
        <v>558</v>
      </c>
      <c r="I564" s="2">
        <f t="shared" si="89"/>
        <v>0</v>
      </c>
      <c r="M564" s="2">
        <f t="shared" si="90"/>
        <v>0</v>
      </c>
      <c r="AC564" s="12">
        <f t="shared" si="91"/>
        <v>0</v>
      </c>
      <c r="AE564" s="6">
        <f t="shared" si="92"/>
        <v>0</v>
      </c>
    </row>
    <row r="565" spans="1:31" hidden="1">
      <c r="A565" s="11" t="s">
        <v>696</v>
      </c>
      <c r="B565" s="11"/>
      <c r="C565" s="11" t="s">
        <v>339</v>
      </c>
      <c r="I565" s="2">
        <f t="shared" si="89"/>
        <v>0</v>
      </c>
      <c r="M565" s="2">
        <f t="shared" si="90"/>
        <v>0</v>
      </c>
      <c r="AC565" s="12">
        <f t="shared" si="91"/>
        <v>0</v>
      </c>
      <c r="AE565" s="6">
        <f t="shared" si="92"/>
        <v>0</v>
      </c>
    </row>
    <row r="566" spans="1:31" hidden="1">
      <c r="A566" s="11" t="s">
        <v>895</v>
      </c>
      <c r="B566" s="11"/>
      <c r="C566" s="11" t="s">
        <v>228</v>
      </c>
      <c r="E566" s="6">
        <v>0</v>
      </c>
      <c r="G566" s="6">
        <v>0</v>
      </c>
      <c r="I566" s="2">
        <f t="shared" ref="I566:I630" si="93">K566-E566-G566</f>
        <v>0</v>
      </c>
      <c r="K566" s="6">
        <v>0</v>
      </c>
      <c r="M566" s="2">
        <f t="shared" ref="M566:M630" si="94">Q566-O566</f>
        <v>0</v>
      </c>
      <c r="O566" s="6">
        <v>0</v>
      </c>
      <c r="Q566" s="6">
        <v>0</v>
      </c>
      <c r="S566" s="6">
        <v>0</v>
      </c>
      <c r="U566" s="6">
        <v>0</v>
      </c>
      <c r="W566" s="6">
        <v>0</v>
      </c>
      <c r="Y566" s="6">
        <v>0</v>
      </c>
      <c r="AA566" s="6">
        <v>0</v>
      </c>
      <c r="AC566" s="12">
        <f t="shared" si="91"/>
        <v>0</v>
      </c>
      <c r="AE566" s="6">
        <f t="shared" si="92"/>
        <v>0</v>
      </c>
    </row>
    <row r="567" spans="1:31" hidden="1">
      <c r="A567" s="11" t="s">
        <v>697</v>
      </c>
      <c r="B567" s="11"/>
      <c r="C567" s="11" t="s">
        <v>59</v>
      </c>
      <c r="I567" s="2">
        <f t="shared" si="93"/>
        <v>0</v>
      </c>
      <c r="M567" s="2">
        <f t="shared" si="94"/>
        <v>0</v>
      </c>
      <c r="AC567" s="12">
        <f t="shared" si="91"/>
        <v>0</v>
      </c>
      <c r="AE567" s="6">
        <f t="shared" si="92"/>
        <v>0</v>
      </c>
    </row>
    <row r="568" spans="1:31">
      <c r="A568" s="11" t="s">
        <v>437</v>
      </c>
      <c r="B568" s="11"/>
      <c r="C568" s="11" t="s">
        <v>50</v>
      </c>
      <c r="E568" s="6">
        <f>1427146+5526</f>
        <v>1432672</v>
      </c>
      <c r="G568" s="6">
        <v>0</v>
      </c>
      <c r="I568" s="2">
        <f t="shared" si="93"/>
        <v>6621989</v>
      </c>
      <c r="K568" s="6">
        <v>8054661</v>
      </c>
      <c r="M568" s="2">
        <f t="shared" si="94"/>
        <v>2681726</v>
      </c>
      <c r="O568" s="6">
        <f>626487+4325878</f>
        <v>4952365</v>
      </c>
      <c r="Q568" s="6">
        <v>7634091</v>
      </c>
      <c r="S568" s="6">
        <f>3250+10112+5940</f>
        <v>19302</v>
      </c>
      <c r="U568" s="6">
        <f>25493+5356</f>
        <v>30849</v>
      </c>
      <c r="W568" s="6">
        <f>58019+11000</f>
        <v>69019</v>
      </c>
      <c r="Y568" s="6">
        <f>14337+560123+55344</f>
        <v>629804</v>
      </c>
      <c r="AA568" s="6">
        <v>-328404</v>
      </c>
      <c r="AC568" s="12">
        <f t="shared" si="91"/>
        <v>420570</v>
      </c>
      <c r="AE568" s="6">
        <f t="shared" si="92"/>
        <v>0</v>
      </c>
    </row>
    <row r="569" spans="1:31">
      <c r="A569" s="11" t="s">
        <v>338</v>
      </c>
      <c r="B569" s="11"/>
      <c r="C569" s="11" t="s">
        <v>33</v>
      </c>
      <c r="E569" s="6">
        <v>9120199</v>
      </c>
      <c r="G569" s="6">
        <v>0</v>
      </c>
      <c r="I569" s="2">
        <f t="shared" si="93"/>
        <v>8058598</v>
      </c>
      <c r="K569" s="6">
        <v>17178797</v>
      </c>
      <c r="M569" s="2">
        <f>Q569-O569</f>
        <v>1079901</v>
      </c>
      <c r="O569" s="6">
        <v>7164256</v>
      </c>
      <c r="Q569" s="6">
        <v>8244157</v>
      </c>
      <c r="S569" s="6">
        <v>6373</v>
      </c>
      <c r="U569" s="6">
        <v>1464050</v>
      </c>
      <c r="W569" s="6">
        <v>173557</v>
      </c>
      <c r="Y569" s="6">
        <v>384013</v>
      </c>
      <c r="AA569" s="6">
        <v>6906647</v>
      </c>
      <c r="AC569" s="12">
        <f t="shared" si="91"/>
        <v>8934640</v>
      </c>
      <c r="AE569" s="6">
        <f t="shared" si="92"/>
        <v>0</v>
      </c>
    </row>
    <row r="570" spans="1:31" hidden="1">
      <c r="A570" s="11" t="s">
        <v>830</v>
      </c>
      <c r="B570" s="11"/>
      <c r="C570" s="11" t="s">
        <v>67</v>
      </c>
      <c r="I570" s="2">
        <f t="shared" si="93"/>
        <v>0</v>
      </c>
      <c r="M570" s="2">
        <f t="shared" si="94"/>
        <v>0</v>
      </c>
      <c r="AC570" s="12">
        <f t="shared" si="91"/>
        <v>0</v>
      </c>
      <c r="AE570" s="6">
        <f t="shared" si="92"/>
        <v>0</v>
      </c>
    </row>
    <row r="571" spans="1:31">
      <c r="A571" s="11" t="s">
        <v>438</v>
      </c>
      <c r="B571" s="11"/>
      <c r="C571" s="11" t="s">
        <v>50</v>
      </c>
      <c r="E571" s="6">
        <v>18195535</v>
      </c>
      <c r="G571" s="6">
        <v>0</v>
      </c>
      <c r="I571" s="2">
        <f t="shared" si="93"/>
        <v>23057985</v>
      </c>
      <c r="K571" s="6">
        <v>41253520</v>
      </c>
      <c r="M571" s="2">
        <f t="shared" si="94"/>
        <v>10814356</v>
      </c>
      <c r="O571" s="6">
        <f>1385263+18892367</f>
        <v>20277630</v>
      </c>
      <c r="Q571" s="6">
        <v>31091986</v>
      </c>
      <c r="S571" s="6">
        <f>9721+129411</f>
        <v>139132</v>
      </c>
      <c r="U571" s="6">
        <f>3924174+3223040+190976+96544+29558</f>
        <v>7464292</v>
      </c>
      <c r="W571" s="6">
        <v>7165</v>
      </c>
      <c r="Y571" s="6">
        <f>235598+1253914+66089+1192275+166237</f>
        <v>2914113</v>
      </c>
      <c r="AA571" s="6">
        <v>-363168</v>
      </c>
      <c r="AC571" s="12">
        <f t="shared" si="91"/>
        <v>10161534</v>
      </c>
      <c r="AE571" s="6">
        <f t="shared" si="92"/>
        <v>0</v>
      </c>
    </row>
    <row r="572" spans="1:31" hidden="1">
      <c r="A572" s="11" t="s">
        <v>698</v>
      </c>
      <c r="B572" s="11"/>
      <c r="C572" s="11" t="s">
        <v>33</v>
      </c>
      <c r="I572" s="2">
        <f t="shared" si="93"/>
        <v>0</v>
      </c>
      <c r="M572" s="2">
        <f t="shared" si="94"/>
        <v>0</v>
      </c>
      <c r="AC572" s="12">
        <f t="shared" si="91"/>
        <v>0</v>
      </c>
      <c r="AE572" s="6">
        <f t="shared" si="92"/>
        <v>0</v>
      </c>
    </row>
    <row r="573" spans="1:31">
      <c r="A573" s="11" t="s">
        <v>291</v>
      </c>
      <c r="B573" s="11"/>
      <c r="C573" s="11" t="s">
        <v>24</v>
      </c>
      <c r="E573" s="6">
        <v>17298132</v>
      </c>
      <c r="G573" s="6">
        <v>0</v>
      </c>
      <c r="I573" s="2">
        <f t="shared" si="93"/>
        <v>16179402</v>
      </c>
      <c r="K573" s="6">
        <v>33477534</v>
      </c>
      <c r="M573" s="2">
        <f t="shared" si="94"/>
        <v>2501285</v>
      </c>
      <c r="O573" s="6">
        <v>13687189</v>
      </c>
      <c r="Q573" s="6">
        <v>16188474</v>
      </c>
      <c r="S573" s="6">
        <v>71569</v>
      </c>
      <c r="U573" s="6">
        <v>1201143</v>
      </c>
      <c r="W573" s="6">
        <v>514401</v>
      </c>
      <c r="Y573" s="6">
        <v>449505</v>
      </c>
      <c r="AA573" s="6">
        <v>15052442</v>
      </c>
      <c r="AC573" s="12">
        <f t="shared" si="91"/>
        <v>17289060</v>
      </c>
      <c r="AE573" s="6">
        <f t="shared" si="92"/>
        <v>0</v>
      </c>
    </row>
    <row r="574" spans="1:31" hidden="1">
      <c r="A574" s="11" t="s">
        <v>699</v>
      </c>
      <c r="B574" s="11"/>
      <c r="C574" s="11" t="s">
        <v>21</v>
      </c>
      <c r="I574" s="2">
        <f t="shared" ref="I574" si="95">K574-E574-G574</f>
        <v>0</v>
      </c>
      <c r="M574" s="2">
        <f t="shared" ref="M574" si="96">Q574-O574</f>
        <v>0</v>
      </c>
      <c r="AC574" s="12">
        <f t="shared" si="91"/>
        <v>0</v>
      </c>
      <c r="AE574" s="6">
        <f t="shared" si="92"/>
        <v>0</v>
      </c>
    </row>
    <row r="575" spans="1:31">
      <c r="A575" s="11" t="s">
        <v>542</v>
      </c>
      <c r="B575" s="11"/>
      <c r="C575" s="11" t="s">
        <v>68</v>
      </c>
      <c r="E575" s="6">
        <f>18182977+2707</f>
        <v>18185684</v>
      </c>
      <c r="G575" s="6">
        <v>282377</v>
      </c>
      <c r="I575" s="2">
        <f t="shared" si="93"/>
        <v>7876578</v>
      </c>
      <c r="K575" s="6">
        <v>26344639</v>
      </c>
      <c r="M575" s="2">
        <f t="shared" si="94"/>
        <v>4251001</v>
      </c>
      <c r="O575" s="6">
        <v>6571840</v>
      </c>
      <c r="Q575" s="6">
        <v>10822841</v>
      </c>
      <c r="S575" s="6">
        <v>43879</v>
      </c>
      <c r="U575" s="6">
        <v>3455764</v>
      </c>
      <c r="W575" s="6">
        <v>96299</v>
      </c>
      <c r="Y575" s="6">
        <v>132691</v>
      </c>
      <c r="AA575" s="6">
        <v>11793165</v>
      </c>
      <c r="AC575" s="12">
        <f t="shared" si="91"/>
        <v>15521798</v>
      </c>
      <c r="AE575" s="6">
        <f t="shared" si="92"/>
        <v>0</v>
      </c>
    </row>
    <row r="576" spans="1:31">
      <c r="A576" s="11" t="s">
        <v>419</v>
      </c>
      <c r="B576" s="11"/>
      <c r="C576" s="11" t="s">
        <v>47</v>
      </c>
      <c r="E576" s="6">
        <v>55652453</v>
      </c>
      <c r="G576" s="6">
        <v>0</v>
      </c>
      <c r="I576" s="2">
        <f t="shared" si="93"/>
        <v>24704996</v>
      </c>
      <c r="K576" s="6">
        <v>80357449</v>
      </c>
      <c r="M576" s="2">
        <f t="shared" si="94"/>
        <v>12204632</v>
      </c>
      <c r="O576" s="6">
        <f>18567979+2298075</f>
        <v>20866054</v>
      </c>
      <c r="Q576" s="6">
        <v>33070686</v>
      </c>
      <c r="S576" s="6">
        <v>223009</v>
      </c>
      <c r="U576" s="6">
        <f>4584671+34955904+1069515+484326+31808+67644+176310+189232</f>
        <v>41559410</v>
      </c>
      <c r="W576" s="6">
        <f>30232+2996</f>
        <v>33228</v>
      </c>
      <c r="Y576" s="6">
        <f>62348+469461+2512+93602+19465+1866+33792+30898</f>
        <v>713944</v>
      </c>
      <c r="AA576" s="6">
        <v>4757172</v>
      </c>
      <c r="AC576" s="12">
        <f t="shared" si="91"/>
        <v>47286763</v>
      </c>
      <c r="AE576" s="6">
        <f t="shared" si="92"/>
        <v>0</v>
      </c>
    </row>
    <row r="577" spans="1:31" hidden="1">
      <c r="A577" s="11" t="s">
        <v>875</v>
      </c>
      <c r="B577" s="11"/>
      <c r="C577" s="11" t="s">
        <v>25</v>
      </c>
      <c r="E577" s="6">
        <v>0</v>
      </c>
      <c r="G577" s="6">
        <v>0</v>
      </c>
      <c r="I577" s="2">
        <f t="shared" ref="I577:I579" si="97">K577-E577-G577</f>
        <v>0</v>
      </c>
      <c r="K577" s="6">
        <v>0</v>
      </c>
      <c r="M577" s="2">
        <f t="shared" ref="M577:M579" si="98">Q577-O577</f>
        <v>0</v>
      </c>
      <c r="O577" s="6">
        <v>0</v>
      </c>
      <c r="Q577" s="6">
        <v>0</v>
      </c>
      <c r="S577" s="6">
        <v>0</v>
      </c>
      <c r="U577" s="6">
        <v>0</v>
      </c>
      <c r="W577" s="6">
        <v>0</v>
      </c>
      <c r="Y577" s="6">
        <v>0</v>
      </c>
      <c r="AA577" s="6">
        <v>0</v>
      </c>
      <c r="AC577" s="12">
        <f t="shared" ref="AC577:AC579" si="99">S577+U577+W577+Y577+AA577</f>
        <v>0</v>
      </c>
      <c r="AE577" s="6">
        <f t="shared" ref="AE577:AE579" si="100">+E577+G577+I577-M577-O577-W577-U577-S577-Y577-AA577</f>
        <v>0</v>
      </c>
    </row>
    <row r="578" spans="1:31" hidden="1">
      <c r="A578" s="11" t="s">
        <v>876</v>
      </c>
      <c r="B578" s="11"/>
      <c r="C578" s="11" t="s">
        <v>14</v>
      </c>
      <c r="E578" s="6">
        <v>0</v>
      </c>
      <c r="G578" s="6">
        <v>0</v>
      </c>
      <c r="I578" s="2">
        <f t="shared" si="97"/>
        <v>0</v>
      </c>
      <c r="K578" s="6">
        <v>0</v>
      </c>
      <c r="M578" s="2">
        <f t="shared" si="98"/>
        <v>0</v>
      </c>
      <c r="O578" s="6">
        <v>0</v>
      </c>
      <c r="Q578" s="6">
        <v>0</v>
      </c>
      <c r="S578" s="6">
        <v>0</v>
      </c>
      <c r="U578" s="6">
        <v>0</v>
      </c>
      <c r="W578" s="6">
        <v>0</v>
      </c>
      <c r="Y578" s="6">
        <v>0</v>
      </c>
      <c r="AA578" s="6">
        <v>0</v>
      </c>
      <c r="AC578" s="12">
        <f t="shared" si="99"/>
        <v>0</v>
      </c>
      <c r="AE578" s="6">
        <f t="shared" si="100"/>
        <v>0</v>
      </c>
    </row>
    <row r="579" spans="1:31" hidden="1">
      <c r="A579" s="10" t="s">
        <v>877</v>
      </c>
      <c r="B579" s="10"/>
      <c r="C579" s="10" t="s">
        <v>63</v>
      </c>
      <c r="E579" s="6">
        <v>0</v>
      </c>
      <c r="G579" s="6">
        <v>0</v>
      </c>
      <c r="I579" s="2">
        <f t="shared" si="97"/>
        <v>0</v>
      </c>
      <c r="K579" s="6">
        <v>0</v>
      </c>
      <c r="M579" s="2">
        <f t="shared" si="98"/>
        <v>0</v>
      </c>
      <c r="O579" s="6">
        <v>0</v>
      </c>
      <c r="Q579" s="6">
        <v>0</v>
      </c>
      <c r="S579" s="6">
        <v>0</v>
      </c>
      <c r="U579" s="6">
        <v>0</v>
      </c>
      <c r="W579" s="6">
        <v>0</v>
      </c>
      <c r="Y579" s="6">
        <v>0</v>
      </c>
      <c r="AA579" s="6">
        <v>0</v>
      </c>
      <c r="AC579" s="12">
        <f t="shared" si="99"/>
        <v>0</v>
      </c>
      <c r="AE579" s="6">
        <f t="shared" si="100"/>
        <v>0</v>
      </c>
    </row>
    <row r="580" spans="1:31">
      <c r="A580" s="11" t="s">
        <v>531</v>
      </c>
      <c r="B580" s="11"/>
      <c r="C580" s="11" t="s">
        <v>64</v>
      </c>
      <c r="E580" s="6">
        <f>24530865+16002347</f>
        <v>40533212</v>
      </c>
      <c r="G580" s="6">
        <v>0</v>
      </c>
      <c r="I580" s="2">
        <f t="shared" si="93"/>
        <v>21332402</v>
      </c>
      <c r="K580" s="6">
        <v>61865614</v>
      </c>
      <c r="M580" s="2">
        <f t="shared" si="94"/>
        <v>11526089</v>
      </c>
      <c r="O580" s="6">
        <f>5526856+13091487</f>
        <v>18618343</v>
      </c>
      <c r="Q580" s="6">
        <v>30144432</v>
      </c>
      <c r="S580" s="6">
        <v>189607</v>
      </c>
      <c r="U580" s="6">
        <f>1251621+15368263+2608430+1392584+14206+138041+58079+167663</f>
        <v>20998887</v>
      </c>
      <c r="W580" s="6">
        <f>33812+11000</f>
        <v>44812</v>
      </c>
      <c r="Y580" s="6">
        <f>41031+1069777+4897108+672052+190321</f>
        <v>6870289</v>
      </c>
      <c r="AA580" s="6">
        <v>3617587</v>
      </c>
      <c r="AC580" s="12">
        <f t="shared" si="91"/>
        <v>31721182</v>
      </c>
      <c r="AE580" s="6">
        <f t="shared" si="92"/>
        <v>0</v>
      </c>
    </row>
    <row r="581" spans="1:31">
      <c r="A581" s="11" t="s">
        <v>549</v>
      </c>
      <c r="B581" s="11"/>
      <c r="C581" s="11" t="s">
        <v>70</v>
      </c>
      <c r="E581" s="6">
        <f>7172730+406</f>
        <v>7173136</v>
      </c>
      <c r="G581" s="6">
        <v>7419</v>
      </c>
      <c r="I581" s="2">
        <f t="shared" si="93"/>
        <v>6911658</v>
      </c>
      <c r="K581" s="6">
        <v>14092213</v>
      </c>
      <c r="M581" s="2">
        <f t="shared" si="94"/>
        <v>2176984</v>
      </c>
      <c r="O581" s="6">
        <v>6381291</v>
      </c>
      <c r="Q581" s="6">
        <v>8558275</v>
      </c>
      <c r="S581" s="6">
        <v>106538</v>
      </c>
      <c r="U581" s="6">
        <v>93240</v>
      </c>
      <c r="W581" s="6">
        <v>315821</v>
      </c>
      <c r="Y581" s="6">
        <v>970123</v>
      </c>
      <c r="AA581" s="6">
        <v>4048216</v>
      </c>
      <c r="AC581" s="12">
        <f t="shared" si="91"/>
        <v>5533938</v>
      </c>
      <c r="AE581" s="6">
        <f t="shared" si="92"/>
        <v>0</v>
      </c>
    </row>
    <row r="582" spans="1:31">
      <c r="A582" s="11" t="s">
        <v>280</v>
      </c>
      <c r="B582" s="11"/>
      <c r="C582" s="11" t="s">
        <v>20</v>
      </c>
      <c r="E582" s="6">
        <v>16485957</v>
      </c>
      <c r="G582" s="6">
        <v>0</v>
      </c>
      <c r="I582" s="2">
        <f t="shared" si="93"/>
        <v>22840705</v>
      </c>
      <c r="K582" s="6">
        <v>39326662</v>
      </c>
      <c r="M582" s="2">
        <f t="shared" si="94"/>
        <v>5147626</v>
      </c>
      <c r="O582" s="6">
        <v>19304334</v>
      </c>
      <c r="Q582" s="6">
        <v>24451960</v>
      </c>
      <c r="S582" s="6">
        <v>0</v>
      </c>
      <c r="U582" s="6">
        <v>4939833</v>
      </c>
      <c r="W582" s="6">
        <v>1531126</v>
      </c>
      <c r="Y582" s="6">
        <v>1920705</v>
      </c>
      <c r="AA582" s="6">
        <v>6483038</v>
      </c>
      <c r="AC582" s="12">
        <f t="shared" si="91"/>
        <v>14874702</v>
      </c>
      <c r="AE582" s="6">
        <f t="shared" si="92"/>
        <v>0</v>
      </c>
    </row>
    <row r="583" spans="1:31">
      <c r="A583" s="11" t="s">
        <v>298</v>
      </c>
      <c r="B583" s="11"/>
      <c r="C583" s="11" t="s">
        <v>26</v>
      </c>
      <c r="E583" s="6">
        <f>3360531+1942050</f>
        <v>5302581</v>
      </c>
      <c r="G583" s="6">
        <f>3336+1156</f>
        <v>4492</v>
      </c>
      <c r="I583" s="2">
        <f t="shared" si="93"/>
        <v>8764316</v>
      </c>
      <c r="K583" s="6">
        <v>14071389</v>
      </c>
      <c r="M583" s="2">
        <f t="shared" si="94"/>
        <v>3114130</v>
      </c>
      <c r="O583" s="6">
        <v>4804671</v>
      </c>
      <c r="Q583" s="6">
        <v>7918801</v>
      </c>
      <c r="S583" s="6">
        <v>8230</v>
      </c>
      <c r="U583" s="6">
        <v>4327423</v>
      </c>
      <c r="W583" s="6">
        <v>0</v>
      </c>
      <c r="Y583" s="6">
        <v>35099</v>
      </c>
      <c r="AA583" s="6">
        <v>1781836</v>
      </c>
      <c r="AC583" s="12">
        <f t="shared" si="91"/>
        <v>6152588</v>
      </c>
      <c r="AE583" s="6">
        <f t="shared" si="92"/>
        <v>0</v>
      </c>
    </row>
    <row r="584" spans="1:31">
      <c r="A584" s="11" t="s">
        <v>396</v>
      </c>
      <c r="B584" s="11"/>
      <c r="C584" s="11" t="s">
        <v>115</v>
      </c>
      <c r="E584" s="6">
        <f>38785849+3322</f>
        <v>38789171</v>
      </c>
      <c r="G584" s="6">
        <v>0</v>
      </c>
      <c r="I584" s="2">
        <f t="shared" si="93"/>
        <v>43138080</v>
      </c>
      <c r="K584" s="6">
        <v>81927251</v>
      </c>
      <c r="M584" s="2">
        <f t="shared" si="94"/>
        <v>12996668</v>
      </c>
      <c r="O584" s="6">
        <f>4690539+34618350</f>
        <v>39308889</v>
      </c>
      <c r="Q584" s="6">
        <v>52305557</v>
      </c>
      <c r="S584" s="6">
        <f>249291+167531</f>
        <v>416822</v>
      </c>
      <c r="U584" s="6">
        <f>3536660+104438+137282+101+5329+274149</f>
        <v>4057959</v>
      </c>
      <c r="W584" s="6">
        <v>55000</v>
      </c>
      <c r="Y584" s="6">
        <f>197204+670162+27000+8928+4042872+141307</f>
        <v>5087473</v>
      </c>
      <c r="AA584" s="6">
        <v>20004440</v>
      </c>
      <c r="AC584" s="12">
        <f t="shared" si="91"/>
        <v>29621694</v>
      </c>
      <c r="AE584" s="6">
        <f t="shared" si="92"/>
        <v>0</v>
      </c>
    </row>
    <row r="585" spans="1:31">
      <c r="A585" s="11" t="s">
        <v>485</v>
      </c>
      <c r="B585" s="11"/>
      <c r="C585" s="11" t="s">
        <v>59</v>
      </c>
      <c r="E585" s="6">
        <f>4406520+38837</f>
        <v>4445357</v>
      </c>
      <c r="G585" s="6">
        <v>0</v>
      </c>
      <c r="I585" s="2">
        <f t="shared" si="93"/>
        <v>3031801</v>
      </c>
      <c r="K585" s="6">
        <v>7477158</v>
      </c>
      <c r="M585" s="2">
        <f t="shared" si="94"/>
        <v>1692801</v>
      </c>
      <c r="O585" s="6">
        <v>2178498</v>
      </c>
      <c r="Q585" s="6">
        <v>3871299</v>
      </c>
      <c r="S585" s="6">
        <v>60690</v>
      </c>
      <c r="U585" s="6">
        <v>1297811</v>
      </c>
      <c r="W585" s="6">
        <v>178318</v>
      </c>
      <c r="Y585" s="6">
        <v>629410</v>
      </c>
      <c r="AA585" s="6">
        <v>1439630</v>
      </c>
      <c r="AC585" s="12">
        <f t="shared" si="91"/>
        <v>3605859</v>
      </c>
      <c r="AE585" s="6">
        <f t="shared" si="92"/>
        <v>0</v>
      </c>
    </row>
    <row r="586" spans="1:31">
      <c r="A586" s="11" t="s">
        <v>465</v>
      </c>
      <c r="B586" s="11"/>
      <c r="C586" s="11" t="s">
        <v>56</v>
      </c>
      <c r="E586" s="6">
        <f>3546402+5925</f>
        <v>3552327</v>
      </c>
      <c r="G586" s="6">
        <v>0</v>
      </c>
      <c r="I586" s="2">
        <f t="shared" si="93"/>
        <v>4133203</v>
      </c>
      <c r="K586" s="6">
        <v>7685530</v>
      </c>
      <c r="M586" s="2">
        <f t="shared" si="94"/>
        <v>1145212</v>
      </c>
      <c r="O586" s="6">
        <f>241111+3478433</f>
        <v>3719544</v>
      </c>
      <c r="Q586" s="6">
        <v>4864756</v>
      </c>
      <c r="S586" s="6">
        <v>44472</v>
      </c>
      <c r="U586" s="6">
        <f>658244+430856+380605+16742+18867</f>
        <v>1505314</v>
      </c>
      <c r="W586" s="6">
        <f>762478+11000</f>
        <v>773478</v>
      </c>
      <c r="Y586" s="6">
        <f>92693+171070+644+22118+219570</f>
        <v>506095</v>
      </c>
      <c r="AA586" s="6">
        <v>-8585</v>
      </c>
      <c r="AC586" s="12">
        <f t="shared" si="91"/>
        <v>2820774</v>
      </c>
      <c r="AE586" s="6">
        <f t="shared" si="92"/>
        <v>0</v>
      </c>
    </row>
    <row r="587" spans="1:31" ht="12" customHeight="1">
      <c r="A587" s="11" t="s">
        <v>780</v>
      </c>
      <c r="B587" s="11"/>
      <c r="C587" s="11" t="s">
        <v>28</v>
      </c>
      <c r="E587" s="6">
        <v>10627249</v>
      </c>
      <c r="G587" s="6">
        <v>0</v>
      </c>
      <c r="I587" s="2">
        <f t="shared" si="93"/>
        <v>7282042</v>
      </c>
      <c r="K587" s="6">
        <v>17909291</v>
      </c>
      <c r="M587" s="2">
        <f t="shared" si="94"/>
        <v>1880576</v>
      </c>
      <c r="O587" s="6">
        <f>161381+6206996</f>
        <v>6368377</v>
      </c>
      <c r="Q587" s="6">
        <v>8248953</v>
      </c>
      <c r="S587" s="6">
        <f>58475+59745</f>
        <v>118220</v>
      </c>
      <c r="U587" s="6">
        <f>3118006+4022791+587540+373924+406+4251+50270+3631</f>
        <v>8160819</v>
      </c>
      <c r="W587" s="6">
        <v>11000</v>
      </c>
      <c r="Y587" s="6">
        <f>10044+6057+1375703+5543</f>
        <v>1397347</v>
      </c>
      <c r="AA587" s="6">
        <v>-27048</v>
      </c>
      <c r="AC587" s="12">
        <f t="shared" si="91"/>
        <v>9660338</v>
      </c>
      <c r="AE587" s="6">
        <f t="shared" si="92"/>
        <v>0</v>
      </c>
    </row>
    <row r="588" spans="1:31" ht="12" customHeight="1">
      <c r="A588" s="11" t="s">
        <v>457</v>
      </c>
      <c r="B588" s="11"/>
      <c r="C588" s="11" t="s">
        <v>55</v>
      </c>
      <c r="E588" s="6">
        <v>4006619</v>
      </c>
      <c r="G588" s="6">
        <v>57076</v>
      </c>
      <c r="I588" s="2">
        <f t="shared" si="93"/>
        <v>4601411</v>
      </c>
      <c r="K588" s="6">
        <v>8665106</v>
      </c>
      <c r="M588" s="2">
        <f t="shared" si="94"/>
        <v>1861289</v>
      </c>
      <c r="O588" s="6">
        <v>3919576</v>
      </c>
      <c r="Q588" s="6">
        <v>5780865</v>
      </c>
      <c r="S588" s="6">
        <v>30473</v>
      </c>
      <c r="U588" s="6">
        <v>1756392</v>
      </c>
      <c r="W588" s="6">
        <v>11000</v>
      </c>
      <c r="Y588" s="6">
        <v>273926</v>
      </c>
      <c r="AA588" s="6">
        <v>812450</v>
      </c>
      <c r="AC588" s="12">
        <f t="shared" si="91"/>
        <v>2884241</v>
      </c>
      <c r="AE588" s="6">
        <f t="shared" si="92"/>
        <v>0</v>
      </c>
    </row>
    <row r="589" spans="1:31" hidden="1">
      <c r="A589" s="11" t="s">
        <v>708</v>
      </c>
      <c r="B589" s="11"/>
      <c r="C589" s="11" t="s">
        <v>69</v>
      </c>
      <c r="I589" s="2">
        <f t="shared" si="93"/>
        <v>0</v>
      </c>
      <c r="M589" s="2">
        <f t="shared" si="94"/>
        <v>0</v>
      </c>
      <c r="AC589" s="12">
        <f t="shared" si="91"/>
        <v>0</v>
      </c>
      <c r="AE589" s="6">
        <f t="shared" si="92"/>
        <v>0</v>
      </c>
    </row>
    <row r="590" spans="1:31" hidden="1">
      <c r="A590" s="11" t="s">
        <v>803</v>
      </c>
      <c r="B590" s="11"/>
      <c r="C590" s="11" t="s">
        <v>450</v>
      </c>
      <c r="I590" s="2">
        <f t="shared" si="93"/>
        <v>0</v>
      </c>
      <c r="M590" s="2">
        <f t="shared" si="94"/>
        <v>0</v>
      </c>
      <c r="AC590" s="12">
        <f t="shared" si="91"/>
        <v>0</v>
      </c>
      <c r="AE590" s="6">
        <f t="shared" si="92"/>
        <v>0</v>
      </c>
    </row>
    <row r="591" spans="1:31" hidden="1">
      <c r="A591" s="11" t="s">
        <v>646</v>
      </c>
      <c r="B591" s="11"/>
      <c r="C591" s="11" t="s">
        <v>14</v>
      </c>
      <c r="I591" s="2">
        <f t="shared" si="93"/>
        <v>0</v>
      </c>
      <c r="M591" s="2">
        <f t="shared" si="94"/>
        <v>0</v>
      </c>
      <c r="AC591" s="12">
        <f t="shared" si="91"/>
        <v>0</v>
      </c>
      <c r="AE591" s="6">
        <f t="shared" si="92"/>
        <v>0</v>
      </c>
    </row>
    <row r="592" spans="1:31">
      <c r="A592" s="11" t="s">
        <v>532</v>
      </c>
      <c r="B592" s="11"/>
      <c r="C592" s="11" t="s">
        <v>64</v>
      </c>
      <c r="E592" s="6">
        <f>2353986+5073</f>
        <v>2359059</v>
      </c>
      <c r="G592" s="6">
        <v>0</v>
      </c>
      <c r="I592" s="2">
        <f t="shared" si="93"/>
        <v>2871937</v>
      </c>
      <c r="K592" s="6">
        <v>5230996</v>
      </c>
      <c r="M592" s="2">
        <f t="shared" si="94"/>
        <v>946562</v>
      </c>
      <c r="O592" s="6">
        <f>468578+2348617</f>
        <v>2817195</v>
      </c>
      <c r="Q592" s="6">
        <v>3763757</v>
      </c>
      <c r="S592" s="6">
        <f>16109+32685</f>
        <v>48794</v>
      </c>
      <c r="U592" s="6">
        <f>301616+154357+119+78+72819</f>
        <v>528989</v>
      </c>
      <c r="W592" s="6">
        <v>843</v>
      </c>
      <c r="Y592" s="6">
        <f>6863+118104+2058+316861</f>
        <v>443886</v>
      </c>
      <c r="AA592" s="6">
        <v>444727</v>
      </c>
      <c r="AC592" s="12">
        <f t="shared" si="91"/>
        <v>1467239</v>
      </c>
      <c r="AE592" s="6">
        <f t="shared" si="92"/>
        <v>0</v>
      </c>
    </row>
    <row r="593" spans="1:31">
      <c r="A593" s="11" t="s">
        <v>781</v>
      </c>
      <c r="B593" s="11"/>
      <c r="C593" s="11" t="s">
        <v>44</v>
      </c>
      <c r="E593" s="6">
        <f>5275853+192390</f>
        <v>5468243</v>
      </c>
      <c r="G593" s="6">
        <v>0</v>
      </c>
      <c r="I593" s="2">
        <f t="shared" si="93"/>
        <v>5516100</v>
      </c>
      <c r="K593" s="6">
        <v>10984343</v>
      </c>
      <c r="M593" s="2">
        <f t="shared" si="94"/>
        <v>1737138</v>
      </c>
      <c r="O593" s="6">
        <v>4326421</v>
      </c>
      <c r="Q593" s="6">
        <v>6063559</v>
      </c>
      <c r="S593" s="6">
        <v>65203</v>
      </c>
      <c r="U593" s="6">
        <v>1235242</v>
      </c>
      <c r="W593" s="6">
        <v>0</v>
      </c>
      <c r="Y593" s="6">
        <v>1229922</v>
      </c>
      <c r="AA593" s="6">
        <v>2390417</v>
      </c>
      <c r="AC593" s="12">
        <f t="shared" si="91"/>
        <v>4920784</v>
      </c>
      <c r="AE593" s="6">
        <f t="shared" si="92"/>
        <v>0</v>
      </c>
    </row>
    <row r="594" spans="1:31">
      <c r="A594" s="11" t="s">
        <v>361</v>
      </c>
      <c r="B594" s="11"/>
      <c r="C594" s="11" t="s">
        <v>38</v>
      </c>
      <c r="E594" s="6">
        <f>10673545+31216</f>
        <v>10704761</v>
      </c>
      <c r="G594" s="6">
        <v>56688</v>
      </c>
      <c r="I594" s="2">
        <f t="shared" si="93"/>
        <v>5202479</v>
      </c>
      <c r="K594" s="6">
        <v>15963928</v>
      </c>
      <c r="M594" s="2">
        <f t="shared" si="94"/>
        <v>1692051</v>
      </c>
      <c r="O594" s="6">
        <v>3190519</v>
      </c>
      <c r="Q594" s="6">
        <v>4882570</v>
      </c>
      <c r="S594" s="6">
        <v>22080</v>
      </c>
      <c r="U594" s="6">
        <v>4908538</v>
      </c>
      <c r="W594" s="6">
        <v>344338</v>
      </c>
      <c r="Y594" s="6">
        <v>60930</v>
      </c>
      <c r="AA594" s="6">
        <v>5745472</v>
      </c>
      <c r="AC594" s="12">
        <f t="shared" si="91"/>
        <v>11081358</v>
      </c>
      <c r="AE594" s="6">
        <f t="shared" si="92"/>
        <v>0</v>
      </c>
    </row>
    <row r="595" spans="1:31">
      <c r="A595" s="11" t="s">
        <v>252</v>
      </c>
      <c r="B595" s="11"/>
      <c r="C595" s="11" t="s">
        <v>112</v>
      </c>
      <c r="E595" s="6">
        <v>3302501</v>
      </c>
      <c r="G595" s="6">
        <v>6884</v>
      </c>
      <c r="I595" s="2">
        <f t="shared" si="93"/>
        <v>1812139</v>
      </c>
      <c r="K595" s="6">
        <v>5121524</v>
      </c>
      <c r="M595" s="2">
        <f t="shared" si="94"/>
        <v>1027917</v>
      </c>
      <c r="O595" s="6">
        <f>297110+1186272</f>
        <v>1483382</v>
      </c>
      <c r="Q595" s="6">
        <v>2511299</v>
      </c>
      <c r="S595" s="6">
        <f>3587+16455</f>
        <v>20042</v>
      </c>
      <c r="U595" s="6">
        <f>168667+242953+382893+284+20560+41213+46734+6884</f>
        <v>910188</v>
      </c>
      <c r="W595" s="6">
        <f>494315+11000</f>
        <v>505315</v>
      </c>
      <c r="Y595" s="6">
        <f>22806+47556+55+1141662+2741</f>
        <v>1214820</v>
      </c>
      <c r="AA595" s="6">
        <v>-40140</v>
      </c>
      <c r="AC595" s="12">
        <f t="shared" si="91"/>
        <v>2610225</v>
      </c>
      <c r="AE595" s="6">
        <f t="shared" si="92"/>
        <v>0</v>
      </c>
    </row>
    <row r="596" spans="1:31">
      <c r="A596" s="11" t="s">
        <v>408</v>
      </c>
      <c r="B596" s="11"/>
      <c r="C596" s="11" t="s">
        <v>45</v>
      </c>
      <c r="E596" s="6">
        <v>6002690</v>
      </c>
      <c r="G596" s="6">
        <v>0</v>
      </c>
      <c r="I596" s="2">
        <f t="shared" si="93"/>
        <v>5944067</v>
      </c>
      <c r="K596" s="6">
        <v>11946757</v>
      </c>
      <c r="M596" s="2">
        <f t="shared" si="94"/>
        <v>3260393</v>
      </c>
      <c r="O596" s="6">
        <f>991123+4726497</f>
        <v>5717620</v>
      </c>
      <c r="Q596" s="6">
        <v>8978013</v>
      </c>
      <c r="S596" s="6">
        <f>31172+29183</f>
        <v>60355</v>
      </c>
      <c r="U596" s="6">
        <f>505894+407753+355669+314725+3473+22960+12738+77298</f>
        <v>1700510</v>
      </c>
      <c r="W596" s="6">
        <f>108173+161642</f>
        <v>269815</v>
      </c>
      <c r="Y596" s="6">
        <f>34209+186219+1649+791381+77384+4211</f>
        <v>1095053</v>
      </c>
      <c r="AA596" s="6">
        <v>-156989</v>
      </c>
      <c r="AC596" s="12">
        <f t="shared" si="91"/>
        <v>2968744</v>
      </c>
      <c r="AE596" s="6">
        <f t="shared" si="92"/>
        <v>0</v>
      </c>
    </row>
    <row r="597" spans="1:31">
      <c r="A597" s="11" t="s">
        <v>707</v>
      </c>
      <c r="B597" s="11"/>
      <c r="C597" s="11" t="s">
        <v>50</v>
      </c>
      <c r="E597" s="6">
        <v>15108497</v>
      </c>
      <c r="G597" s="6">
        <v>0</v>
      </c>
      <c r="I597" s="2">
        <f t="shared" si="93"/>
        <v>16643143</v>
      </c>
      <c r="K597" s="6">
        <v>31751640</v>
      </c>
      <c r="M597" s="2">
        <f t="shared" si="94"/>
        <v>4693235</v>
      </c>
      <c r="O597" s="6">
        <f>13667820+1109064</f>
        <v>14776884</v>
      </c>
      <c r="Q597" s="6">
        <v>19470119</v>
      </c>
      <c r="S597" s="6">
        <f>23364+214657</f>
        <v>238021</v>
      </c>
      <c r="U597" s="6">
        <f>496346+645544+9081+11807+5715+16129</f>
        <v>1184622</v>
      </c>
      <c r="W597" s="6">
        <v>94327</v>
      </c>
      <c r="Y597" s="6">
        <f>281035+268671+8235+1639926+202991+27189</f>
        <v>2428047</v>
      </c>
      <c r="AA597" s="6">
        <v>8336504</v>
      </c>
      <c r="AC597" s="12">
        <f t="shared" si="91"/>
        <v>12281521</v>
      </c>
      <c r="AE597" s="6">
        <f t="shared" si="92"/>
        <v>0</v>
      </c>
    </row>
    <row r="598" spans="1:31">
      <c r="A598" s="11" t="s">
        <v>241</v>
      </c>
      <c r="B598" s="11"/>
      <c r="C598" s="11" t="s">
        <v>113</v>
      </c>
      <c r="E598" s="6">
        <v>11054757</v>
      </c>
      <c r="G598" s="6">
        <v>0</v>
      </c>
      <c r="I598" s="2">
        <f t="shared" si="93"/>
        <v>46118754</v>
      </c>
      <c r="K598" s="6">
        <v>57173511</v>
      </c>
      <c r="M598" s="2">
        <f t="shared" si="94"/>
        <v>8687562</v>
      </c>
      <c r="O598" s="6">
        <v>38696840</v>
      </c>
      <c r="Q598" s="6">
        <v>47384402</v>
      </c>
      <c r="S598" s="6">
        <v>45859</v>
      </c>
      <c r="U598" s="6">
        <v>9334677</v>
      </c>
      <c r="W598" s="6">
        <v>775186</v>
      </c>
      <c r="Y598" s="6">
        <v>431478</v>
      </c>
      <c r="AA598" s="6">
        <v>-798091</v>
      </c>
      <c r="AC598" s="12">
        <f t="shared" si="91"/>
        <v>9789109</v>
      </c>
      <c r="AE598" s="6">
        <f t="shared" si="92"/>
        <v>0</v>
      </c>
    </row>
    <row r="599" spans="1:31">
      <c r="A599" s="11" t="s">
        <v>316</v>
      </c>
      <c r="B599" s="11"/>
      <c r="C599" s="11" t="s">
        <v>30</v>
      </c>
      <c r="E599" s="6">
        <v>8606000</v>
      </c>
      <c r="G599" s="6">
        <v>0</v>
      </c>
      <c r="I599" s="2">
        <f t="shared" si="93"/>
        <v>17376090</v>
      </c>
      <c r="K599" s="6">
        <v>25982090</v>
      </c>
      <c r="M599" s="2">
        <f t="shared" si="94"/>
        <v>2900531</v>
      </c>
      <c r="O599" s="6">
        <v>14865626</v>
      </c>
      <c r="Q599" s="6">
        <v>17766157</v>
      </c>
      <c r="S599" s="6">
        <v>0</v>
      </c>
      <c r="U599" s="6">
        <v>1252911</v>
      </c>
      <c r="W599" s="6">
        <v>265055</v>
      </c>
      <c r="Y599" s="6">
        <v>1305498</v>
      </c>
      <c r="AA599" s="6">
        <v>5392469</v>
      </c>
      <c r="AC599" s="12">
        <f t="shared" si="91"/>
        <v>8215933</v>
      </c>
      <c r="AE599" s="6">
        <f t="shared" si="92"/>
        <v>0</v>
      </c>
    </row>
    <row r="600" spans="1:31">
      <c r="A600" s="11" t="s">
        <v>354</v>
      </c>
      <c r="B600" s="11"/>
      <c r="C600" s="11" t="s">
        <v>36</v>
      </c>
      <c r="E600" s="6">
        <v>12195332</v>
      </c>
      <c r="G600" s="6">
        <v>0</v>
      </c>
      <c r="I600" s="2">
        <f t="shared" si="93"/>
        <v>10222014</v>
      </c>
      <c r="K600" s="6">
        <v>22417346</v>
      </c>
      <c r="M600" s="2">
        <f t="shared" si="94"/>
        <v>3081446</v>
      </c>
      <c r="O600" s="6">
        <v>9160746</v>
      </c>
      <c r="Q600" s="6">
        <v>12242192</v>
      </c>
      <c r="S600" s="6">
        <v>73260</v>
      </c>
      <c r="U600" s="6">
        <v>1694042</v>
      </c>
      <c r="W600" s="6">
        <v>0</v>
      </c>
      <c r="Y600" s="6">
        <v>1259493</v>
      </c>
      <c r="AA600" s="6">
        <v>7148359</v>
      </c>
      <c r="AC600" s="12">
        <f t="shared" si="91"/>
        <v>10175154</v>
      </c>
      <c r="AE600" s="6">
        <f t="shared" si="92"/>
        <v>0</v>
      </c>
    </row>
    <row r="601" spans="1:31">
      <c r="A601" s="11" t="s">
        <v>230</v>
      </c>
      <c r="B601" s="11"/>
      <c r="C601" s="11" t="s">
        <v>228</v>
      </c>
      <c r="E601" s="6">
        <v>1536580</v>
      </c>
      <c r="G601" s="6">
        <v>0</v>
      </c>
      <c r="I601" s="2">
        <f t="shared" si="93"/>
        <v>3306586</v>
      </c>
      <c r="K601" s="6">
        <v>4843166</v>
      </c>
      <c r="M601" s="2">
        <f t="shared" si="94"/>
        <v>1705331</v>
      </c>
      <c r="O601" s="6">
        <f>271353+2091462</f>
        <v>2362815</v>
      </c>
      <c r="Q601" s="6">
        <v>4068146</v>
      </c>
      <c r="S601" s="6">
        <v>17718</v>
      </c>
      <c r="U601" s="6">
        <f>2057+136283+52531+32807+119+22487</f>
        <v>246284</v>
      </c>
      <c r="W601" s="6">
        <v>304154</v>
      </c>
      <c r="Y601" s="6">
        <f>9574+17607+154849+4980+41081+6826</f>
        <v>234917</v>
      </c>
      <c r="AA601" s="6">
        <v>-28053</v>
      </c>
      <c r="AC601" s="12">
        <f t="shared" si="91"/>
        <v>775020</v>
      </c>
      <c r="AE601" s="6">
        <f t="shared" si="92"/>
        <v>0</v>
      </c>
    </row>
    <row r="602" spans="1:31">
      <c r="A602" s="11" t="s">
        <v>447</v>
      </c>
      <c r="B602" s="11"/>
      <c r="C602" s="11" t="s">
        <v>51</v>
      </c>
      <c r="E602" s="6">
        <f>6592207+20</f>
        <v>6592227</v>
      </c>
      <c r="G602" s="6">
        <v>0</v>
      </c>
      <c r="I602" s="2">
        <f t="shared" si="93"/>
        <v>8315597</v>
      </c>
      <c r="K602" s="6">
        <v>14907824</v>
      </c>
      <c r="M602" s="2">
        <f t="shared" si="94"/>
        <v>1509935</v>
      </c>
      <c r="O602" s="6">
        <v>5321750</v>
      </c>
      <c r="Q602" s="6">
        <v>6831685</v>
      </c>
      <c r="S602" s="6">
        <v>98056</v>
      </c>
      <c r="U602" s="6">
        <v>3062704</v>
      </c>
      <c r="W602" s="6">
        <v>162761</v>
      </c>
      <c r="Y602" s="6">
        <v>2774331</v>
      </c>
      <c r="AA602" s="6">
        <v>1978287</v>
      </c>
      <c r="AC602" s="12">
        <f t="shared" si="91"/>
        <v>8076139</v>
      </c>
      <c r="AE602" s="6">
        <f t="shared" si="92"/>
        <v>0</v>
      </c>
    </row>
    <row r="603" spans="1:31">
      <c r="A603" s="11" t="s">
        <v>220</v>
      </c>
      <c r="B603" s="11"/>
      <c r="C603" s="11" t="s">
        <v>77</v>
      </c>
      <c r="E603" s="6">
        <f>5946559+500</f>
        <v>5947059</v>
      </c>
      <c r="G603" s="6">
        <v>4619</v>
      </c>
      <c r="I603" s="2">
        <f t="shared" si="93"/>
        <v>5607293</v>
      </c>
      <c r="K603" s="6">
        <v>11558971</v>
      </c>
      <c r="M603" s="2">
        <f t="shared" si="94"/>
        <v>2894988</v>
      </c>
      <c r="O603" s="6">
        <v>3986740</v>
      </c>
      <c r="Q603" s="6">
        <v>6881728</v>
      </c>
      <c r="S603" s="6">
        <v>11471</v>
      </c>
      <c r="U603" s="6">
        <v>3842162</v>
      </c>
      <c r="W603" s="6">
        <v>0</v>
      </c>
      <c r="Y603" s="6">
        <v>176733</v>
      </c>
      <c r="AA603" s="6">
        <v>646877</v>
      </c>
      <c r="AC603" s="12">
        <f t="shared" si="91"/>
        <v>4677243</v>
      </c>
      <c r="AE603" s="6">
        <f t="shared" si="92"/>
        <v>0</v>
      </c>
    </row>
    <row r="604" spans="1:31">
      <c r="A604" s="11" t="s">
        <v>458</v>
      </c>
      <c r="B604" s="11"/>
      <c r="C604" s="11" t="s">
        <v>55</v>
      </c>
      <c r="E604" s="6">
        <f>3993537+58404</f>
        <v>4051941</v>
      </c>
      <c r="G604" s="6">
        <v>0</v>
      </c>
      <c r="I604" s="2">
        <f t="shared" si="93"/>
        <v>2074799</v>
      </c>
      <c r="K604" s="6">
        <v>6126740</v>
      </c>
      <c r="M604" s="2">
        <f t="shared" si="94"/>
        <v>855223</v>
      </c>
      <c r="O604" s="6">
        <v>1739733</v>
      </c>
      <c r="Q604" s="6">
        <v>2594956</v>
      </c>
      <c r="S604" s="6">
        <v>0</v>
      </c>
      <c r="U604" s="6">
        <v>1253510</v>
      </c>
      <c r="W604" s="6">
        <v>0</v>
      </c>
      <c r="Y604" s="6">
        <v>52575</v>
      </c>
      <c r="AA604" s="6">
        <v>2225699</v>
      </c>
      <c r="AC604" s="12">
        <f t="shared" si="91"/>
        <v>3531784</v>
      </c>
      <c r="AE604" s="6">
        <f t="shared" si="92"/>
        <v>0</v>
      </c>
    </row>
    <row r="605" spans="1:31">
      <c r="A605" s="11" t="s">
        <v>359</v>
      </c>
      <c r="B605" s="11"/>
      <c r="C605" s="11" t="s">
        <v>37</v>
      </c>
      <c r="E605" s="6">
        <v>2013565</v>
      </c>
      <c r="G605" s="6">
        <v>0</v>
      </c>
      <c r="I605" s="2">
        <f t="shared" si="93"/>
        <v>3763011</v>
      </c>
      <c r="K605" s="6">
        <v>5776576</v>
      </c>
      <c r="M605" s="2">
        <f t="shared" si="94"/>
        <v>1321087</v>
      </c>
      <c r="O605" s="6">
        <f>444570+2282956</f>
        <v>2727526</v>
      </c>
      <c r="Q605" s="6">
        <v>4048613</v>
      </c>
      <c r="S605" s="6">
        <f>6197+26739</f>
        <v>32936</v>
      </c>
      <c r="U605" s="6">
        <f>444440+181281+44875+21386+7213+69849+7471</f>
        <v>776515</v>
      </c>
      <c r="W605" s="6">
        <v>0</v>
      </c>
      <c r="Y605" s="6">
        <f>115249+233401+24365+1732</f>
        <v>374747</v>
      </c>
      <c r="AA605" s="6">
        <v>543765</v>
      </c>
      <c r="AC605" s="12">
        <f t="shared" si="91"/>
        <v>1727963</v>
      </c>
      <c r="AE605" s="6">
        <f t="shared" si="92"/>
        <v>0</v>
      </c>
    </row>
    <row r="606" spans="1:31">
      <c r="A606" s="11" t="s">
        <v>359</v>
      </c>
      <c r="B606" s="11"/>
      <c r="C606" s="11" t="s">
        <v>45</v>
      </c>
      <c r="E606" s="6">
        <v>3868764</v>
      </c>
      <c r="G606" s="6">
        <v>67313</v>
      </c>
      <c r="I606" s="2">
        <f t="shared" si="93"/>
        <v>3866128</v>
      </c>
      <c r="K606" s="6">
        <v>7802205</v>
      </c>
      <c r="M606" s="2">
        <f t="shared" si="94"/>
        <v>981272</v>
      </c>
      <c r="O606" s="6">
        <v>3650636</v>
      </c>
      <c r="Q606" s="6">
        <v>4631908</v>
      </c>
      <c r="S606" s="6">
        <v>78383</v>
      </c>
      <c r="U606" s="6">
        <v>1966478</v>
      </c>
      <c r="W606" s="6">
        <v>118577</v>
      </c>
      <c r="Y606" s="6">
        <v>48106</v>
      </c>
      <c r="AA606" s="6">
        <v>958753</v>
      </c>
      <c r="AC606" s="12">
        <f t="shared" si="91"/>
        <v>3170297</v>
      </c>
      <c r="AE606" s="6">
        <f t="shared" si="92"/>
        <v>0</v>
      </c>
    </row>
    <row r="607" spans="1:31">
      <c r="A607" s="11" t="s">
        <v>309</v>
      </c>
      <c r="B607" s="11"/>
      <c r="C607" s="11" t="s">
        <v>27</v>
      </c>
      <c r="E607" s="6">
        <v>24837802</v>
      </c>
      <c r="G607" s="6">
        <v>32946</v>
      </c>
      <c r="I607" s="2">
        <f t="shared" si="93"/>
        <v>126077064</v>
      </c>
      <c r="K607" s="6">
        <v>150947812</v>
      </c>
      <c r="M607" s="2">
        <f t="shared" si="94"/>
        <v>23002034</v>
      </c>
      <c r="O607" s="6">
        <f>81680712+7720534</f>
        <v>89401246</v>
      </c>
      <c r="Q607" s="6">
        <v>112403280</v>
      </c>
      <c r="S607" s="6">
        <f>111128+339870</f>
        <v>450998</v>
      </c>
      <c r="U607" s="6">
        <f>8447429+7818103+1196800+133714+10739+21435+19893+689088+31517</f>
        <v>18368718</v>
      </c>
      <c r="W607" s="6">
        <v>0</v>
      </c>
      <c r="Y607" s="6">
        <f>103054+820340+1420662</f>
        <v>2344056</v>
      </c>
      <c r="AA607" s="6">
        <v>17380760</v>
      </c>
      <c r="AC607" s="12">
        <f t="shared" ref="AC607:AC630" si="101">S607+U607+W607+Y607+AA607</f>
        <v>38544532</v>
      </c>
      <c r="AE607" s="6">
        <f t="shared" ref="AE607:AE630" si="102">+E607+G607+I607-M607-O607-W607-U607-S607-Y607-AA607</f>
        <v>0</v>
      </c>
    </row>
    <row r="608" spans="1:31">
      <c r="A608" s="11" t="s">
        <v>455</v>
      </c>
      <c r="B608" s="11"/>
      <c r="C608" s="11" t="s">
        <v>54</v>
      </c>
      <c r="E608" s="6">
        <v>9069539</v>
      </c>
      <c r="G608" s="6">
        <v>0</v>
      </c>
      <c r="I608" s="2">
        <f t="shared" si="93"/>
        <v>7522052</v>
      </c>
      <c r="K608" s="6">
        <v>16591591</v>
      </c>
      <c r="M608" s="2">
        <f t="shared" si="94"/>
        <v>2426088</v>
      </c>
      <c r="O608" s="6">
        <v>6788825</v>
      </c>
      <c r="Q608" s="6">
        <v>9214913</v>
      </c>
      <c r="S608" s="6">
        <v>0</v>
      </c>
      <c r="U608" s="6">
        <v>2812622</v>
      </c>
      <c r="W608" s="6">
        <v>0</v>
      </c>
      <c r="Y608" s="6">
        <v>190940</v>
      </c>
      <c r="AA608" s="6">
        <v>4373116</v>
      </c>
      <c r="AC608" s="12">
        <f t="shared" si="101"/>
        <v>7376678</v>
      </c>
      <c r="AE608" s="6">
        <f t="shared" si="102"/>
        <v>0</v>
      </c>
    </row>
    <row r="609" spans="1:31">
      <c r="A609" s="11" t="s">
        <v>281</v>
      </c>
      <c r="B609" s="11"/>
      <c r="C609" s="11" t="s">
        <v>20</v>
      </c>
      <c r="E609" s="6">
        <v>94410098</v>
      </c>
      <c r="G609" s="6">
        <v>0</v>
      </c>
      <c r="I609" s="2">
        <f t="shared" si="93"/>
        <v>48095603</v>
      </c>
      <c r="K609" s="6">
        <v>142505701</v>
      </c>
      <c r="M609" s="2">
        <f t="shared" si="94"/>
        <v>11212262</v>
      </c>
      <c r="O609" s="6">
        <f>2919950+38986196</f>
        <v>41906146</v>
      </c>
      <c r="Q609" s="6">
        <v>53118408</v>
      </c>
      <c r="S609" s="6">
        <v>19357</v>
      </c>
      <c r="U609" s="6">
        <f>6466914+62162103+4321+87478+110001+2+12900+106479+210533</f>
        <v>69160731</v>
      </c>
      <c r="W609" s="6">
        <v>0</v>
      </c>
      <c r="Y609" s="6">
        <f>1409718+1021201+48717+6671232+28890+111310</f>
        <v>9291068</v>
      </c>
      <c r="AA609" s="6">
        <v>10916137</v>
      </c>
      <c r="AC609" s="12">
        <f t="shared" si="101"/>
        <v>89387293</v>
      </c>
      <c r="AE609" s="6">
        <f t="shared" si="102"/>
        <v>0</v>
      </c>
    </row>
    <row r="610" spans="1:31">
      <c r="A610" s="11" t="s">
        <v>486</v>
      </c>
      <c r="B610" s="11"/>
      <c r="C610" s="11" t="s">
        <v>59</v>
      </c>
      <c r="E610" s="6">
        <v>4003833</v>
      </c>
      <c r="G610" s="6">
        <v>48234</v>
      </c>
      <c r="I610" s="2">
        <f t="shared" si="93"/>
        <v>4085633</v>
      </c>
      <c r="K610" s="6">
        <v>8137700</v>
      </c>
      <c r="M610" s="2">
        <f t="shared" si="94"/>
        <v>2390680</v>
      </c>
      <c r="O610" s="6">
        <v>3597324</v>
      </c>
      <c r="Q610" s="6">
        <v>5988004</v>
      </c>
      <c r="S610" s="6">
        <v>36099</v>
      </c>
      <c r="U610" s="6">
        <v>2172800</v>
      </c>
      <c r="W610" s="6">
        <v>0</v>
      </c>
      <c r="Y610" s="6">
        <v>724727</v>
      </c>
      <c r="AA610" s="6">
        <v>-783930</v>
      </c>
      <c r="AC610" s="12">
        <f t="shared" si="101"/>
        <v>2149696</v>
      </c>
      <c r="AE610" s="6">
        <f t="shared" si="102"/>
        <v>0</v>
      </c>
    </row>
    <row r="611" spans="1:31">
      <c r="A611" s="11" t="s">
        <v>310</v>
      </c>
      <c r="B611" s="11"/>
      <c r="C611" s="11" t="s">
        <v>27</v>
      </c>
      <c r="E611" s="6">
        <f>50390773+434893</f>
        <v>50825666</v>
      </c>
      <c r="G611" s="6">
        <v>0</v>
      </c>
      <c r="I611" s="2">
        <f t="shared" si="93"/>
        <v>17559049</v>
      </c>
      <c r="K611" s="6">
        <v>68384715</v>
      </c>
      <c r="M611" s="2">
        <f t="shared" si="94"/>
        <v>6921999</v>
      </c>
      <c r="O611" s="6">
        <v>12735616</v>
      </c>
      <c r="Q611" s="6">
        <v>19657615</v>
      </c>
      <c r="S611" s="6">
        <v>83733</v>
      </c>
      <c r="U611" s="6">
        <f>1815373+29598282+7414+24988+110987+812159+67357+1000489+8601</f>
        <v>33445650</v>
      </c>
      <c r="W611" s="6">
        <f>41687+15333</f>
        <v>57020</v>
      </c>
      <c r="Y611" s="6">
        <f>3465215+44689</f>
        <v>3509904</v>
      </c>
      <c r="AA611" s="6">
        <v>11630793</v>
      </c>
      <c r="AC611" s="12">
        <f t="shared" si="101"/>
        <v>48727100</v>
      </c>
      <c r="AE611" s="6">
        <f t="shared" si="102"/>
        <v>0</v>
      </c>
    </row>
    <row r="612" spans="1:31" hidden="1">
      <c r="A612" s="11" t="s">
        <v>622</v>
      </c>
      <c r="B612" s="11"/>
      <c r="C612" s="11" t="s">
        <v>41</v>
      </c>
      <c r="I612" s="2">
        <f t="shared" si="93"/>
        <v>0</v>
      </c>
      <c r="M612" s="2">
        <f t="shared" si="94"/>
        <v>0</v>
      </c>
      <c r="AC612" s="12">
        <f t="shared" si="101"/>
        <v>0</v>
      </c>
      <c r="AE612" s="6">
        <f t="shared" si="102"/>
        <v>0</v>
      </c>
    </row>
    <row r="613" spans="1:31">
      <c r="A613" s="11" t="s">
        <v>360</v>
      </c>
      <c r="B613" s="11"/>
      <c r="C613" s="11" t="s">
        <v>37</v>
      </c>
      <c r="E613" s="6">
        <v>23636141</v>
      </c>
      <c r="G613" s="6">
        <v>0</v>
      </c>
      <c r="I613" s="2">
        <f t="shared" si="93"/>
        <v>36374265</v>
      </c>
      <c r="K613" s="6">
        <v>60010406</v>
      </c>
      <c r="M613" s="2">
        <f t="shared" si="94"/>
        <v>2797431</v>
      </c>
      <c r="O613" s="6">
        <f>5050696+30058128</f>
        <v>35108824</v>
      </c>
      <c r="Q613" s="6">
        <v>37906255</v>
      </c>
      <c r="S613" s="6">
        <f>66752+64923+779</f>
        <v>132454</v>
      </c>
      <c r="U613" s="6">
        <f>1640287+18671623+103259+28504+141786+17544</f>
        <v>20603003</v>
      </c>
      <c r="W613" s="6">
        <f>1350163+23464+7998</f>
        <v>1381625</v>
      </c>
      <c r="Y613" s="6">
        <f>55828+68558+4213</f>
        <v>128599</v>
      </c>
      <c r="AA613" s="6">
        <v>-141530</v>
      </c>
      <c r="AC613" s="12">
        <f t="shared" si="101"/>
        <v>22104151</v>
      </c>
      <c r="AE613" s="6">
        <f t="shared" si="102"/>
        <v>0</v>
      </c>
    </row>
    <row r="614" spans="1:31" hidden="1">
      <c r="A614" s="11" t="s">
        <v>893</v>
      </c>
      <c r="B614" s="11"/>
      <c r="C614" s="11" t="s">
        <v>113</v>
      </c>
      <c r="E614" s="6">
        <v>0</v>
      </c>
      <c r="G614" s="6">
        <v>0</v>
      </c>
      <c r="I614" s="2">
        <f t="shared" si="93"/>
        <v>0</v>
      </c>
      <c r="K614" s="6">
        <v>0</v>
      </c>
      <c r="M614" s="2">
        <f t="shared" si="94"/>
        <v>0</v>
      </c>
      <c r="O614" s="6">
        <v>0</v>
      </c>
      <c r="Q614" s="6">
        <v>0</v>
      </c>
      <c r="S614" s="6">
        <v>0</v>
      </c>
      <c r="U614" s="6">
        <v>0</v>
      </c>
      <c r="W614" s="6">
        <v>0</v>
      </c>
      <c r="Y614" s="6">
        <v>0</v>
      </c>
      <c r="AA614" s="6">
        <v>0</v>
      </c>
      <c r="AC614" s="12">
        <f t="shared" si="101"/>
        <v>0</v>
      </c>
      <c r="AE614" s="6">
        <f t="shared" si="102"/>
        <v>0</v>
      </c>
    </row>
    <row r="615" spans="1:31">
      <c r="A615" s="11" t="s">
        <v>365</v>
      </c>
      <c r="B615" s="11"/>
      <c r="C615" s="11" t="s">
        <v>41</v>
      </c>
      <c r="E615" s="6">
        <v>36584295</v>
      </c>
      <c r="G615" s="6">
        <v>0</v>
      </c>
      <c r="I615" s="2">
        <f t="shared" si="93"/>
        <v>64245875</v>
      </c>
      <c r="K615" s="6">
        <v>100830170</v>
      </c>
      <c r="M615" s="2">
        <f t="shared" si="94"/>
        <v>14298277</v>
      </c>
      <c r="O615" s="6">
        <v>57573209</v>
      </c>
      <c r="Q615" s="6">
        <v>71871486</v>
      </c>
      <c r="S615" s="6">
        <v>619</v>
      </c>
      <c r="U615" s="6">
        <v>23355182</v>
      </c>
      <c r="W615" s="6">
        <v>1201424</v>
      </c>
      <c r="Y615" s="6">
        <v>2800273</v>
      </c>
      <c r="AA615" s="6">
        <v>1601186</v>
      </c>
      <c r="AC615" s="12">
        <f t="shared" si="101"/>
        <v>28958684</v>
      </c>
      <c r="AE615" s="6">
        <f t="shared" si="102"/>
        <v>0</v>
      </c>
    </row>
    <row r="616" spans="1:31">
      <c r="A616" s="11" t="s">
        <v>245</v>
      </c>
      <c r="B616" s="11"/>
      <c r="C616" s="11" t="s">
        <v>18</v>
      </c>
      <c r="E616" s="6">
        <v>6388258</v>
      </c>
      <c r="G616" s="6">
        <v>57982</v>
      </c>
      <c r="I616" s="2">
        <f t="shared" si="93"/>
        <v>17420312</v>
      </c>
      <c r="K616" s="6">
        <v>23866552</v>
      </c>
      <c r="M616" s="2">
        <f t="shared" si="94"/>
        <v>3278271</v>
      </c>
      <c r="O616" s="6">
        <v>14815161</v>
      </c>
      <c r="Q616" s="6">
        <v>18093432</v>
      </c>
      <c r="S616" s="6">
        <v>11400</v>
      </c>
      <c r="U616" s="6">
        <v>3121228</v>
      </c>
      <c r="W616" s="6">
        <v>0</v>
      </c>
      <c r="Y616" s="6">
        <v>835055</v>
      </c>
      <c r="AA616" s="6">
        <v>1805437</v>
      </c>
      <c r="AC616" s="12">
        <f t="shared" si="101"/>
        <v>5773120</v>
      </c>
      <c r="AE616" s="6">
        <f t="shared" si="102"/>
        <v>0</v>
      </c>
    </row>
    <row r="617" spans="1:31">
      <c r="A617" s="11" t="s">
        <v>782</v>
      </c>
      <c r="B617" s="11"/>
      <c r="C617" s="11" t="s">
        <v>56</v>
      </c>
      <c r="E617" s="6">
        <f>2902087+194791</f>
        <v>3096878</v>
      </c>
      <c r="G617" s="6">
        <v>9046</v>
      </c>
      <c r="I617" s="2">
        <f t="shared" si="93"/>
        <v>1960555</v>
      </c>
      <c r="K617" s="6">
        <v>5066479</v>
      </c>
      <c r="M617" s="2">
        <f t="shared" si="94"/>
        <v>926143</v>
      </c>
      <c r="O617" s="6">
        <f>424295+1326615</f>
        <v>1750910</v>
      </c>
      <c r="Q617" s="6">
        <v>2677053</v>
      </c>
      <c r="S617" s="6">
        <v>22233</v>
      </c>
      <c r="U617" s="6">
        <f>59417+308267+176433+36647+9046+1609</f>
        <v>591419</v>
      </c>
      <c r="W617" s="6">
        <v>0</v>
      </c>
      <c r="Y617" s="6">
        <f>304+2368+220252+351484</f>
        <v>574408</v>
      </c>
      <c r="AA617" s="6">
        <v>1201366</v>
      </c>
      <c r="AC617" s="12">
        <f t="shared" si="101"/>
        <v>2389426</v>
      </c>
      <c r="AE617" s="6">
        <f t="shared" si="102"/>
        <v>0</v>
      </c>
    </row>
    <row r="618" spans="1:31">
      <c r="A618" s="11" t="s">
        <v>332</v>
      </c>
      <c r="B618" s="11"/>
      <c r="C618" s="11" t="s">
        <v>32</v>
      </c>
      <c r="E618" s="6">
        <v>8360905</v>
      </c>
      <c r="G618" s="6">
        <v>0</v>
      </c>
      <c r="I618" s="2">
        <f t="shared" si="93"/>
        <v>28791068</v>
      </c>
      <c r="K618" s="6">
        <v>37151973</v>
      </c>
      <c r="M618" s="2">
        <f t="shared" si="94"/>
        <v>4469148</v>
      </c>
      <c r="O618" s="6">
        <v>19250948</v>
      </c>
      <c r="Q618" s="6">
        <v>23720096</v>
      </c>
      <c r="S618" s="6">
        <v>0</v>
      </c>
      <c r="U618" s="6">
        <v>1503940</v>
      </c>
      <c r="W618" s="6">
        <v>0</v>
      </c>
      <c r="Y618" s="6">
        <v>118292</v>
      </c>
      <c r="AA618" s="6">
        <v>11809645</v>
      </c>
      <c r="AC618" s="12">
        <f t="shared" si="101"/>
        <v>13431877</v>
      </c>
      <c r="AE618" s="6">
        <f t="shared" si="102"/>
        <v>0</v>
      </c>
    </row>
    <row r="619" spans="1:31">
      <c r="A619" s="11" t="s">
        <v>550</v>
      </c>
      <c r="B619" s="11"/>
      <c r="C619" s="11" t="s">
        <v>70</v>
      </c>
      <c r="E619" s="6">
        <f>9250556+200</f>
        <v>9250756</v>
      </c>
      <c r="G619" s="6">
        <v>0</v>
      </c>
      <c r="I619" s="2">
        <f t="shared" si="93"/>
        <v>5424727</v>
      </c>
      <c r="K619" s="6">
        <v>14675483</v>
      </c>
      <c r="M619" s="2">
        <f t="shared" si="94"/>
        <v>779966</v>
      </c>
      <c r="O619" s="6">
        <v>5017847</v>
      </c>
      <c r="Q619" s="6">
        <v>5797813</v>
      </c>
      <c r="S619" s="6">
        <v>98089</v>
      </c>
      <c r="U619" s="6">
        <v>602402</v>
      </c>
      <c r="W619" s="6">
        <v>55047</v>
      </c>
      <c r="Y619" s="6">
        <v>1946450</v>
      </c>
      <c r="AA619" s="6">
        <v>6175682</v>
      </c>
      <c r="AC619" s="12">
        <f t="shared" si="101"/>
        <v>8877670</v>
      </c>
      <c r="AE619" s="6">
        <f t="shared" si="102"/>
        <v>0</v>
      </c>
    </row>
    <row r="620" spans="1:31">
      <c r="A620" s="11" t="s">
        <v>478</v>
      </c>
      <c r="B620" s="11"/>
      <c r="C620" s="11" t="s">
        <v>79</v>
      </c>
      <c r="E620" s="6">
        <v>1644265</v>
      </c>
      <c r="G620" s="6">
        <v>430</v>
      </c>
      <c r="I620" s="2">
        <f t="shared" si="93"/>
        <v>5068336</v>
      </c>
      <c r="K620" s="6">
        <v>6713031</v>
      </c>
      <c r="M620" s="2">
        <f t="shared" si="94"/>
        <v>1027970</v>
      </c>
      <c r="O620" s="6">
        <f>472536+3588186</f>
        <v>4060722</v>
      </c>
      <c r="Q620" s="6">
        <v>5088692</v>
      </c>
      <c r="S620" s="6">
        <f>22934+13264+35591</f>
        <v>71789</v>
      </c>
      <c r="U620" s="6">
        <f>183836+80788+80678+82982+8186+29727+430+85042</f>
        <v>551669</v>
      </c>
      <c r="W620" s="6">
        <v>0</v>
      </c>
      <c r="Y620" s="6">
        <f>2587+57095+18102+36954+934236</f>
        <v>1048974</v>
      </c>
      <c r="AA620" s="6">
        <v>-48093</v>
      </c>
      <c r="AC620" s="12">
        <f t="shared" si="101"/>
        <v>1624339</v>
      </c>
      <c r="AE620" s="6">
        <f t="shared" si="102"/>
        <v>0</v>
      </c>
    </row>
    <row r="621" spans="1:31">
      <c r="A621" s="11" t="s">
        <v>517</v>
      </c>
      <c r="B621" s="11"/>
      <c r="C621" s="11" t="s">
        <v>63</v>
      </c>
      <c r="E621" s="6">
        <v>7083356</v>
      </c>
      <c r="G621" s="6">
        <v>0</v>
      </c>
      <c r="I621" s="2">
        <f t="shared" si="93"/>
        <v>16850664</v>
      </c>
      <c r="K621" s="6">
        <v>23934020</v>
      </c>
      <c r="M621" s="2">
        <f t="shared" si="94"/>
        <v>3011556</v>
      </c>
      <c r="O621" s="6">
        <v>15039808</v>
      </c>
      <c r="Q621" s="6">
        <v>18051364</v>
      </c>
      <c r="S621" s="6">
        <v>14620</v>
      </c>
      <c r="U621" s="6">
        <v>873214</v>
      </c>
      <c r="W621" s="6">
        <v>119182</v>
      </c>
      <c r="Y621" s="6">
        <v>4813720</v>
      </c>
      <c r="AA621" s="6">
        <v>61920</v>
      </c>
      <c r="AC621" s="12">
        <f t="shared" si="101"/>
        <v>5882656</v>
      </c>
      <c r="AE621" s="6">
        <f t="shared" si="102"/>
        <v>0</v>
      </c>
    </row>
    <row r="622" spans="1:31">
      <c r="A622" s="11" t="s">
        <v>623</v>
      </c>
      <c r="B622" s="11"/>
      <c r="C622" s="11" t="s">
        <v>71</v>
      </c>
      <c r="E622" s="6">
        <v>27918183</v>
      </c>
      <c r="G622" s="6">
        <v>0</v>
      </c>
      <c r="I622" s="2">
        <f t="shared" si="93"/>
        <v>27089251</v>
      </c>
      <c r="K622" s="6">
        <v>55007434</v>
      </c>
      <c r="M622" s="2">
        <f t="shared" si="94"/>
        <v>5129992</v>
      </c>
      <c r="O622" s="6">
        <v>23805384</v>
      </c>
      <c r="Q622" s="6">
        <v>28935376</v>
      </c>
      <c r="S622" s="6">
        <v>0</v>
      </c>
      <c r="U622" s="6">
        <v>3578117</v>
      </c>
      <c r="W622" s="6">
        <v>0</v>
      </c>
      <c r="Y622" s="6">
        <v>747910</v>
      </c>
      <c r="AA622" s="6">
        <v>21746031</v>
      </c>
      <c r="AC622" s="12">
        <f t="shared" si="101"/>
        <v>26072058</v>
      </c>
      <c r="AE622" s="6">
        <f t="shared" si="102"/>
        <v>0</v>
      </c>
    </row>
    <row r="623" spans="1:31">
      <c r="A623" s="11" t="s">
        <v>311</v>
      </c>
      <c r="B623" s="11"/>
      <c r="C623" s="11" t="s">
        <v>27</v>
      </c>
      <c r="E623" s="6">
        <v>61410791</v>
      </c>
      <c r="G623" s="6">
        <v>0</v>
      </c>
      <c r="I623" s="2">
        <f t="shared" si="93"/>
        <v>86596166</v>
      </c>
      <c r="K623" s="6">
        <v>148006957</v>
      </c>
      <c r="M623" s="2">
        <f t="shared" si="94"/>
        <v>19090897</v>
      </c>
      <c r="O623" s="6">
        <v>54201627</v>
      </c>
      <c r="Q623" s="6">
        <v>73292524</v>
      </c>
      <c r="S623" s="6">
        <v>198641</v>
      </c>
      <c r="U623" s="6">
        <f>4274857+4198543+198323+228887+115062</f>
        <v>9015672</v>
      </c>
      <c r="W623" s="6">
        <f>2310309+351745+3118000</f>
        <v>5780054</v>
      </c>
      <c r="Y623" s="6">
        <v>956355</v>
      </c>
      <c r="AA623" s="6">
        <v>58763711</v>
      </c>
      <c r="AC623" s="12">
        <f t="shared" si="101"/>
        <v>74714433</v>
      </c>
      <c r="AE623" s="6">
        <f t="shared" si="102"/>
        <v>0</v>
      </c>
    </row>
    <row r="624" spans="1:31">
      <c r="A624" s="11" t="s">
        <v>260</v>
      </c>
      <c r="B624" s="11"/>
      <c r="C624" s="11" t="s">
        <v>111</v>
      </c>
      <c r="E624" s="6">
        <f>1690114+27798</f>
        <v>1717912</v>
      </c>
      <c r="G624" s="6">
        <v>10675</v>
      </c>
      <c r="I624" s="2">
        <f t="shared" si="93"/>
        <v>4232391</v>
      </c>
      <c r="K624" s="6">
        <v>5960978</v>
      </c>
      <c r="M624" s="2">
        <f t="shared" si="94"/>
        <v>1178173</v>
      </c>
      <c r="O624" s="6">
        <f>364525+2470697</f>
        <v>2835222</v>
      </c>
      <c r="Q624" s="6">
        <v>4013395</v>
      </c>
      <c r="S624" s="6">
        <f>9560+7853</f>
        <v>17413</v>
      </c>
      <c r="U624" s="6">
        <f>848693+139446+10675+2267</f>
        <v>1001081</v>
      </c>
      <c r="W624" s="6">
        <f>230936+6281+46946</f>
        <v>284163</v>
      </c>
      <c r="Y624" s="6">
        <f>108834+10824+192871</f>
        <v>312529</v>
      </c>
      <c r="AA624" s="6">
        <v>332397</v>
      </c>
      <c r="AC624" s="12">
        <f t="shared" si="101"/>
        <v>1947583</v>
      </c>
      <c r="AE624" s="6">
        <f t="shared" si="102"/>
        <v>0</v>
      </c>
    </row>
    <row r="625" spans="1:31">
      <c r="A625" s="11" t="s">
        <v>333</v>
      </c>
      <c r="B625" s="11"/>
      <c r="C625" s="11" t="s">
        <v>32</v>
      </c>
      <c r="E625" s="6">
        <v>38685018</v>
      </c>
      <c r="G625" s="6">
        <v>0</v>
      </c>
      <c r="I625" s="2">
        <f t="shared" si="93"/>
        <v>13390752</v>
      </c>
      <c r="K625" s="6">
        <v>52075770</v>
      </c>
      <c r="M625" s="2">
        <f t="shared" si="94"/>
        <v>2658800</v>
      </c>
      <c r="O625" s="6">
        <v>6604459</v>
      </c>
      <c r="Q625" s="6">
        <v>9263259</v>
      </c>
      <c r="S625" s="6">
        <v>3028</v>
      </c>
      <c r="U625" s="6">
        <v>28462383</v>
      </c>
      <c r="W625" s="6">
        <v>0</v>
      </c>
      <c r="Y625" s="6">
        <v>2169594</v>
      </c>
      <c r="AA625" s="6">
        <v>12177506</v>
      </c>
      <c r="AC625" s="12">
        <f t="shared" si="101"/>
        <v>42812511</v>
      </c>
      <c r="AE625" s="6">
        <f t="shared" si="102"/>
        <v>0</v>
      </c>
    </row>
    <row r="626" spans="1:31">
      <c r="A626" s="10" t="s">
        <v>884</v>
      </c>
      <c r="B626" s="10"/>
      <c r="C626" s="10" t="s">
        <v>114</v>
      </c>
      <c r="E626" s="6">
        <f>32581184+1039452</f>
        <v>33620636</v>
      </c>
      <c r="G626" s="6">
        <v>0</v>
      </c>
      <c r="I626" s="2">
        <f t="shared" ref="I626" si="103">K626-E626-G626</f>
        <v>23998339</v>
      </c>
      <c r="K626" s="6">
        <v>57618975</v>
      </c>
      <c r="M626" s="2">
        <f t="shared" ref="M626" si="104">Q626-O626</f>
        <v>9006923</v>
      </c>
      <c r="O626" s="6">
        <v>20106969</v>
      </c>
      <c r="Q626" s="6">
        <v>29113892</v>
      </c>
      <c r="S626" s="6">
        <v>47122</v>
      </c>
      <c r="U626" s="6">
        <v>26987138</v>
      </c>
      <c r="W626" s="6">
        <v>0</v>
      </c>
      <c r="Y626" s="6">
        <v>1022780</v>
      </c>
      <c r="AA626" s="6">
        <v>448043</v>
      </c>
      <c r="AC626" s="12">
        <f t="shared" ref="AC626" si="105">S626+U626+W626+Y626+AA626</f>
        <v>28505083</v>
      </c>
      <c r="AE626" s="6">
        <f t="shared" ref="AE626" si="106">+E626+G626+I626-M626-O626-W626-U626-S626-Y626-AA626</f>
        <v>0</v>
      </c>
    </row>
    <row r="627" spans="1:31">
      <c r="A627" s="11" t="s">
        <v>783</v>
      </c>
      <c r="B627" s="11"/>
      <c r="C627" s="11" t="s">
        <v>114</v>
      </c>
      <c r="E627" s="6">
        <v>2141473</v>
      </c>
      <c r="G627" s="6">
        <v>0</v>
      </c>
      <c r="I627" s="2">
        <f t="shared" si="93"/>
        <v>4691739</v>
      </c>
      <c r="K627" s="6">
        <v>6833212</v>
      </c>
      <c r="M627" s="2">
        <f t="shared" si="94"/>
        <v>946264</v>
      </c>
      <c r="O627" s="6">
        <v>3710440</v>
      </c>
      <c r="Q627" s="6">
        <v>4656704</v>
      </c>
      <c r="S627" s="6">
        <v>4081</v>
      </c>
      <c r="U627" s="6">
        <v>445437</v>
      </c>
      <c r="W627" s="6">
        <v>0</v>
      </c>
      <c r="Y627" s="6">
        <v>34043</v>
      </c>
      <c r="AA627" s="6">
        <v>1692947</v>
      </c>
      <c r="AC627" s="12">
        <f t="shared" si="101"/>
        <v>2176508</v>
      </c>
      <c r="AE627" s="6">
        <f t="shared" si="102"/>
        <v>0</v>
      </c>
    </row>
    <row r="628" spans="1:31">
      <c r="A628" s="11" t="s">
        <v>409</v>
      </c>
      <c r="B628" s="11"/>
      <c r="C628" s="11" t="s">
        <v>45</v>
      </c>
      <c r="E628" s="6">
        <f>21145057+2529289</f>
        <v>23674346</v>
      </c>
      <c r="G628" s="6">
        <v>139539</v>
      </c>
      <c r="I628" s="2">
        <f t="shared" si="93"/>
        <v>34797241</v>
      </c>
      <c r="K628" s="6">
        <v>58611126</v>
      </c>
      <c r="M628" s="2">
        <f t="shared" si="94"/>
        <v>16478602</v>
      </c>
      <c r="O628" s="6">
        <v>26767782</v>
      </c>
      <c r="Q628" s="6">
        <v>43246384</v>
      </c>
      <c r="S628" s="6">
        <v>529908</v>
      </c>
      <c r="U628" s="6">
        <v>16798943</v>
      </c>
      <c r="W628" s="6">
        <v>127724</v>
      </c>
      <c r="Y628" s="6">
        <v>292204</v>
      </c>
      <c r="AA628" s="6">
        <v>-2384037</v>
      </c>
      <c r="AC628" s="12">
        <f t="shared" si="101"/>
        <v>15364742</v>
      </c>
      <c r="AE628" s="6">
        <f t="shared" si="102"/>
        <v>0</v>
      </c>
    </row>
    <row r="629" spans="1:31">
      <c r="A629" s="11" t="s">
        <v>477</v>
      </c>
      <c r="B629" s="11"/>
      <c r="C629" s="11" t="s">
        <v>58</v>
      </c>
      <c r="E629" s="6">
        <v>4617570</v>
      </c>
      <c r="G629" s="6">
        <v>691144</v>
      </c>
      <c r="I629" s="2">
        <f t="shared" si="93"/>
        <v>4783167</v>
      </c>
      <c r="K629" s="6">
        <v>10091881</v>
      </c>
      <c r="M629" s="2">
        <f t="shared" si="94"/>
        <v>1697770</v>
      </c>
      <c r="O629" s="6">
        <v>4235502</v>
      </c>
      <c r="Q629" s="6">
        <v>5933272</v>
      </c>
      <c r="S629" s="6">
        <v>67542</v>
      </c>
      <c r="U629" s="6">
        <v>1720989</v>
      </c>
      <c r="W629" s="6">
        <v>0</v>
      </c>
      <c r="Y629" s="6">
        <v>298628</v>
      </c>
      <c r="AA629" s="6">
        <v>2071450</v>
      </c>
      <c r="AC629" s="12">
        <f t="shared" si="101"/>
        <v>4158609</v>
      </c>
      <c r="AE629" s="6">
        <f t="shared" si="102"/>
        <v>0</v>
      </c>
    </row>
    <row r="630" spans="1:31">
      <c r="A630" s="11" t="s">
        <v>448</v>
      </c>
      <c r="B630" s="11"/>
      <c r="C630" s="11" t="s">
        <v>51</v>
      </c>
      <c r="E630" s="6">
        <f>12092570+116269</f>
        <v>12208839</v>
      </c>
      <c r="G630" s="6">
        <v>3682</v>
      </c>
      <c r="I630" s="2">
        <f t="shared" si="93"/>
        <v>19310262</v>
      </c>
      <c r="K630" s="6">
        <v>31522783</v>
      </c>
      <c r="M630" s="2">
        <f t="shared" si="94"/>
        <v>5113404</v>
      </c>
      <c r="O630" s="6">
        <v>13897106</v>
      </c>
      <c r="Q630" s="6">
        <v>19010510</v>
      </c>
      <c r="S630" s="6">
        <f>3670+33561+3682</f>
        <v>40913</v>
      </c>
      <c r="U630" s="6">
        <f>545947+82980+26462+87388+116492+18718+3180095+1361110+956966</f>
        <v>6376158</v>
      </c>
      <c r="W630" s="6">
        <v>938293</v>
      </c>
      <c r="Y630" s="6">
        <v>201618</v>
      </c>
      <c r="AA630" s="6">
        <v>4955291</v>
      </c>
      <c r="AC630" s="12">
        <f t="shared" si="101"/>
        <v>12512273</v>
      </c>
      <c r="AE630" s="6">
        <f t="shared" si="102"/>
        <v>0</v>
      </c>
    </row>
    <row r="631" spans="1:31">
      <c r="A631" s="11"/>
      <c r="B631" s="11"/>
      <c r="C631" s="11"/>
    </row>
  </sheetData>
  <mergeCells count="2">
    <mergeCell ref="E6:I6"/>
    <mergeCell ref="S6:AA6"/>
  </mergeCells>
  <printOptions horizontalCentered="1"/>
  <pageMargins left="0.9" right="0.75" top="0.5" bottom="0.5" header="0.25" footer="0.25"/>
  <pageSetup scale="77" firstPageNumber="144" pageOrder="overThenDown" orientation="portrait" useFirstPageNumber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34"/>
  <sheetViews>
    <sheetView view="pageBreakPreview" zoomScaleNormal="100" zoomScaleSheetLayoutView="100" workbookViewId="0">
      <pane xSplit="4" ySplit="9" topLeftCell="E10" activePane="bottomRight" state="frozen"/>
      <selection activeCell="A563" sqref="A563:XFD563"/>
      <selection pane="topRight" activeCell="A563" sqref="A563:XFD563"/>
      <selection pane="bottomLeft" activeCell="A563" sqref="A563:XFD563"/>
      <selection pane="bottomRight" activeCell="E10" sqref="E10"/>
    </sheetView>
  </sheetViews>
  <sheetFormatPr defaultColWidth="9.140625" defaultRowHeight="12"/>
  <cols>
    <col min="1" max="1" width="32" style="6" customWidth="1"/>
    <col min="2" max="2" width="1.7109375" style="6" customWidth="1"/>
    <col min="3" max="3" width="10.140625" style="6" customWidth="1"/>
    <col min="4" max="4" width="1.7109375" style="6" customWidth="1"/>
    <col min="5" max="5" width="10.140625" style="7" bestFit="1" customWidth="1"/>
    <col min="6" max="6" width="1.7109375" style="7" customWidth="1"/>
    <col min="7" max="7" width="9.42578125" style="7" bestFit="1" customWidth="1"/>
    <col min="8" max="8" width="1.7109375" style="7" customWidth="1"/>
    <col min="9" max="9" width="10.28515625" style="7" bestFit="1" customWidth="1"/>
    <col min="10" max="10" width="1.7109375" style="7" customWidth="1"/>
    <col min="11" max="11" width="9.7109375" style="7" bestFit="1" customWidth="1"/>
    <col min="12" max="12" width="1.7109375" style="7" customWidth="1"/>
    <col min="13" max="13" width="9.42578125" style="7" bestFit="1" customWidth="1"/>
    <col min="14" max="14" width="1.7109375" style="7" customWidth="1"/>
    <col min="15" max="15" width="9.28515625" style="7" bestFit="1" customWidth="1"/>
    <col min="16" max="16" width="1.5703125" style="7" customWidth="1"/>
    <col min="17" max="17" width="9.28515625" style="7" bestFit="1" customWidth="1"/>
    <col min="18" max="18" width="1.42578125" style="7" customWidth="1"/>
    <col min="19" max="19" width="10.7109375" style="7" bestFit="1" customWidth="1"/>
    <col min="20" max="20" width="1.5703125" style="7" customWidth="1"/>
    <col min="21" max="21" width="9.28515625" style="7" bestFit="1" customWidth="1"/>
    <col min="22" max="22" width="1.42578125" style="7" customWidth="1"/>
    <col min="23" max="23" width="11" style="7" bestFit="1" customWidth="1"/>
    <col min="24" max="24" width="1.42578125" style="7" customWidth="1"/>
    <col min="25" max="25" width="10.140625" style="7" bestFit="1" customWidth="1"/>
    <col min="26" max="26" width="1.42578125" style="7" hidden="1" customWidth="1"/>
    <col min="27" max="27" width="9.42578125" style="7" hidden="1" customWidth="1"/>
    <col min="28" max="28" width="1.42578125" style="7" customWidth="1"/>
    <col min="29" max="29" width="10.140625" style="7" bestFit="1" customWidth="1"/>
    <col min="30" max="30" width="1.42578125" style="7" customWidth="1"/>
    <col min="31" max="31" width="11.7109375" style="7" hidden="1" customWidth="1"/>
    <col min="32" max="32" width="1.7109375" style="7" hidden="1" customWidth="1"/>
    <col min="33" max="33" width="11.7109375" style="7" hidden="1" customWidth="1"/>
    <col min="34" max="34" width="1.7109375" style="7" hidden="1" customWidth="1"/>
    <col min="35" max="35" width="9.28515625" style="7" bestFit="1" customWidth="1"/>
    <col min="36" max="36" width="1.42578125" style="7" customWidth="1"/>
    <col min="37" max="37" width="11.42578125" style="7" bestFit="1" customWidth="1"/>
    <col min="38" max="38" width="1.42578125" style="7" customWidth="1"/>
    <col min="39" max="39" width="10" style="7" hidden="1" customWidth="1"/>
    <col min="40" max="40" width="1.7109375" style="7" hidden="1" customWidth="1"/>
    <col min="41" max="41" width="12.140625" style="7" bestFit="1" customWidth="1"/>
    <col min="42" max="42" width="5.140625" style="7" customWidth="1"/>
    <col min="43" max="159" width="9.140625" style="6"/>
    <col min="160" max="160" width="1" style="6" customWidth="1"/>
    <col min="161" max="170" width="9.140625" style="6"/>
    <col min="171" max="171" width="5.85546875" style="6" customWidth="1"/>
    <col min="172" max="180" width="9.140625" style="6"/>
    <col min="181" max="181" width="5.85546875" style="6" customWidth="1"/>
    <col min="182" max="191" width="9.140625" style="6"/>
    <col min="192" max="192" width="0.42578125" style="6" customWidth="1"/>
    <col min="193" max="201" width="9.140625" style="6"/>
    <col min="202" max="202" width="3.28515625" style="6" customWidth="1"/>
    <col min="203" max="211" width="9.140625" style="6"/>
    <col min="212" max="212" width="8" style="6" customWidth="1"/>
    <col min="213" max="217" width="9.140625" style="6"/>
    <col min="218" max="221" width="6.42578125" style="6" customWidth="1"/>
    <col min="222" max="16384" width="9.140625" style="6"/>
  </cols>
  <sheetData>
    <row r="1" spans="1:42" s="13" customFormat="1">
      <c r="A1" s="24" t="s">
        <v>197</v>
      </c>
      <c r="B1" s="24"/>
      <c r="C1" s="24"/>
      <c r="D1" s="20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</row>
    <row r="2" spans="1:42" s="13" customFormat="1">
      <c r="A2" s="24" t="s">
        <v>852</v>
      </c>
      <c r="B2" s="24"/>
      <c r="C2" s="24"/>
      <c r="D2" s="20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</row>
    <row r="3" spans="1:42" s="13" customFormat="1">
      <c r="B3" s="24"/>
      <c r="C3" s="24"/>
      <c r="D3" s="20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</row>
    <row r="4" spans="1:42">
      <c r="A4" s="24" t="s">
        <v>169</v>
      </c>
      <c r="B4" s="24"/>
      <c r="C4" s="24"/>
      <c r="D4" s="21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AO4" s="14" t="s">
        <v>3</v>
      </c>
      <c r="AP4" s="14"/>
    </row>
    <row r="5" spans="1:42">
      <c r="A5" s="13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46" t="s">
        <v>746</v>
      </c>
      <c r="AF5" s="46"/>
      <c r="AG5" s="46" t="s">
        <v>746</v>
      </c>
      <c r="AH5" s="6"/>
      <c r="AI5" s="6"/>
      <c r="AJ5" s="6"/>
      <c r="AK5" s="6"/>
      <c r="AL5" s="6"/>
      <c r="AM5" s="6"/>
      <c r="AN5" s="6"/>
      <c r="AO5" s="14" t="s">
        <v>600</v>
      </c>
      <c r="AP5" s="14"/>
    </row>
    <row r="6" spans="1:42" s="14" customFormat="1">
      <c r="A6" s="45" t="s">
        <v>727</v>
      </c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66" t="s">
        <v>188</v>
      </c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53"/>
      <c r="AK6" s="54"/>
      <c r="AM6" s="14" t="s">
        <v>3</v>
      </c>
      <c r="AO6" s="14" t="s">
        <v>625</v>
      </c>
    </row>
    <row r="7" spans="1:42" s="14" customFormat="1">
      <c r="A7" s="45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 t="s">
        <v>172</v>
      </c>
      <c r="P7" s="54"/>
      <c r="Q7" s="54" t="s">
        <v>174</v>
      </c>
      <c r="R7" s="54"/>
      <c r="S7" s="54" t="s">
        <v>109</v>
      </c>
      <c r="T7" s="54"/>
      <c r="U7" s="54"/>
      <c r="V7" s="54"/>
      <c r="W7" s="54"/>
      <c r="X7" s="54"/>
      <c r="AG7" s="14" t="s">
        <v>591</v>
      </c>
      <c r="AI7" s="14" t="s">
        <v>127</v>
      </c>
      <c r="AM7" s="14" t="s">
        <v>82</v>
      </c>
      <c r="AO7" s="14" t="s">
        <v>602</v>
      </c>
    </row>
    <row r="8" spans="1:42" s="14" customFormat="1">
      <c r="B8" s="54"/>
      <c r="C8" s="54"/>
      <c r="D8" s="54"/>
      <c r="E8" s="54" t="s">
        <v>105</v>
      </c>
      <c r="F8" s="54"/>
      <c r="G8" s="54" t="s">
        <v>574</v>
      </c>
      <c r="H8" s="54"/>
      <c r="I8" s="54" t="s">
        <v>1</v>
      </c>
      <c r="J8" s="54"/>
      <c r="K8" s="54" t="s">
        <v>596</v>
      </c>
      <c r="L8" s="54"/>
      <c r="M8" s="54" t="s">
        <v>170</v>
      </c>
      <c r="N8" s="54"/>
      <c r="O8" s="54" t="s">
        <v>173</v>
      </c>
      <c r="P8" s="54"/>
      <c r="Q8" s="54" t="s">
        <v>175</v>
      </c>
      <c r="R8" s="54"/>
      <c r="S8" s="54" t="s">
        <v>177</v>
      </c>
      <c r="T8" s="54"/>
      <c r="U8" s="54" t="s">
        <v>127</v>
      </c>
      <c r="V8" s="54"/>
      <c r="W8" s="54" t="s">
        <v>3</v>
      </c>
      <c r="X8" s="54"/>
      <c r="Y8" s="54"/>
      <c r="AC8" s="14" t="s">
        <v>601</v>
      </c>
      <c r="AE8" s="14" t="s">
        <v>192</v>
      </c>
      <c r="AG8" s="14" t="s">
        <v>582</v>
      </c>
      <c r="AI8" s="14" t="s">
        <v>193</v>
      </c>
      <c r="AK8" s="14" t="s">
        <v>860</v>
      </c>
      <c r="AM8" s="14" t="s">
        <v>193</v>
      </c>
      <c r="AO8" s="14" t="s">
        <v>860</v>
      </c>
    </row>
    <row r="9" spans="1:42" s="14" customFormat="1">
      <c r="A9" s="53" t="s">
        <v>199</v>
      </c>
      <c r="C9" s="53" t="s">
        <v>4</v>
      </c>
      <c r="D9" s="54"/>
      <c r="E9" s="53" t="s">
        <v>849</v>
      </c>
      <c r="F9" s="54"/>
      <c r="G9" s="53" t="s">
        <v>5</v>
      </c>
      <c r="H9" s="53"/>
      <c r="I9" s="53" t="s">
        <v>7</v>
      </c>
      <c r="J9" s="54"/>
      <c r="K9" s="53" t="s">
        <v>91</v>
      </c>
      <c r="L9" s="54"/>
      <c r="M9" s="53" t="s">
        <v>171</v>
      </c>
      <c r="N9" s="54"/>
      <c r="O9" s="53" t="s">
        <v>160</v>
      </c>
      <c r="P9" s="54"/>
      <c r="Q9" s="53" t="s">
        <v>176</v>
      </c>
      <c r="R9" s="54"/>
      <c r="S9" s="53" t="s">
        <v>178</v>
      </c>
      <c r="T9" s="54"/>
      <c r="U9" s="53" t="s">
        <v>8</v>
      </c>
      <c r="V9" s="54"/>
      <c r="W9" s="53" t="s">
        <v>9</v>
      </c>
      <c r="X9" s="54"/>
      <c r="Y9" s="53" t="s">
        <v>189</v>
      </c>
      <c r="AA9" s="53" t="s">
        <v>190</v>
      </c>
      <c r="AC9" s="53" t="s">
        <v>850</v>
      </c>
      <c r="AE9" s="53" t="s">
        <v>191</v>
      </c>
      <c r="AF9" s="54"/>
      <c r="AG9" s="14" t="s">
        <v>96</v>
      </c>
      <c r="AI9" s="53" t="s">
        <v>194</v>
      </c>
      <c r="AK9" s="53" t="s">
        <v>590</v>
      </c>
      <c r="AM9" s="53" t="s">
        <v>194</v>
      </c>
      <c r="AO9" s="53" t="s">
        <v>590</v>
      </c>
      <c r="AP9" s="54"/>
    </row>
    <row r="10" spans="1:42">
      <c r="A10" s="11"/>
      <c r="B10" s="11"/>
      <c r="C10" s="11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36"/>
      <c r="V10" s="36"/>
      <c r="W10" s="26"/>
      <c r="X10" s="26"/>
      <c r="Y10" s="26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</row>
    <row r="11" spans="1:42" hidden="1">
      <c r="A11" s="11" t="s">
        <v>862</v>
      </c>
      <c r="B11" s="11"/>
      <c r="C11" s="11" t="s">
        <v>339</v>
      </c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33">
        <f t="shared" ref="W11" si="0">SUM(E11:U11)</f>
        <v>0</v>
      </c>
      <c r="X11" s="23"/>
      <c r="Y11" s="23">
        <v>0</v>
      </c>
      <c r="Z11" s="23"/>
      <c r="AA11" s="23">
        <v>0</v>
      </c>
      <c r="AB11" s="23"/>
      <c r="AC11" s="23">
        <v>0</v>
      </c>
      <c r="AD11" s="23"/>
      <c r="AE11" s="23"/>
      <c r="AF11" s="23"/>
      <c r="AG11" s="23"/>
      <c r="AH11" s="23"/>
      <c r="AI11" s="23">
        <v>0</v>
      </c>
      <c r="AJ11" s="23"/>
      <c r="AK11" s="23">
        <v>0</v>
      </c>
      <c r="AL11" s="23"/>
      <c r="AM11" s="33">
        <f t="shared" ref="AM11" si="1">SUM(Y11:AK11)</f>
        <v>0</v>
      </c>
      <c r="AN11" s="23"/>
      <c r="AO11" s="33">
        <f t="shared" ref="AO11" si="2">W11+AM11</f>
        <v>0</v>
      </c>
      <c r="AP11" s="33"/>
    </row>
    <row r="12" spans="1:42" s="28" customFormat="1">
      <c r="A12" s="27" t="s">
        <v>788</v>
      </c>
      <c r="B12" s="27"/>
      <c r="C12" s="27" t="s">
        <v>200</v>
      </c>
      <c r="D12" s="60"/>
      <c r="E12" s="31">
        <v>8750172</v>
      </c>
      <c r="F12" s="31"/>
      <c r="G12" s="31">
        <v>0</v>
      </c>
      <c r="H12" s="31"/>
      <c r="I12" s="31">
        <v>34613125</v>
      </c>
      <c r="J12" s="31"/>
      <c r="K12" s="31">
        <v>18595</v>
      </c>
      <c r="L12" s="31"/>
      <c r="M12" s="31">
        <v>1321067</v>
      </c>
      <c r="N12" s="31"/>
      <c r="O12" s="31">
        <v>354065</v>
      </c>
      <c r="P12" s="31"/>
      <c r="Q12" s="31">
        <v>0</v>
      </c>
      <c r="R12" s="31"/>
      <c r="S12" s="31">
        <v>0</v>
      </c>
      <c r="T12" s="31"/>
      <c r="U12" s="31">
        <f>579033+778199</f>
        <v>1357232</v>
      </c>
      <c r="V12" s="31"/>
      <c r="W12" s="31">
        <f>SUM(E12:U12)</f>
        <v>46414256</v>
      </c>
      <c r="X12" s="31"/>
      <c r="Y12" s="31">
        <v>200000</v>
      </c>
      <c r="Z12" s="31"/>
      <c r="AA12" s="31">
        <v>0</v>
      </c>
      <c r="AB12" s="31"/>
      <c r="AC12" s="31">
        <f>9380058+333700</f>
        <v>9713758</v>
      </c>
      <c r="AD12" s="31"/>
      <c r="AE12" s="31"/>
      <c r="AF12" s="31"/>
      <c r="AG12" s="31"/>
      <c r="AH12" s="31"/>
      <c r="AI12" s="31">
        <v>97802</v>
      </c>
      <c r="AJ12" s="31"/>
      <c r="AK12" s="31">
        <v>0</v>
      </c>
      <c r="AL12" s="31"/>
      <c r="AM12" s="41">
        <f>SUM(Y12:AK12)</f>
        <v>10011560</v>
      </c>
      <c r="AN12" s="31"/>
      <c r="AO12" s="41">
        <f>W12+AM12</f>
        <v>56425816</v>
      </c>
      <c r="AP12" s="41"/>
    </row>
    <row r="13" spans="1:42">
      <c r="A13" s="11" t="s">
        <v>587</v>
      </c>
      <c r="B13" s="11"/>
      <c r="C13" s="11" t="s">
        <v>58</v>
      </c>
      <c r="D13" s="23"/>
      <c r="E13" s="23">
        <v>2809369</v>
      </c>
      <c r="F13" s="23"/>
      <c r="G13" s="23">
        <v>0</v>
      </c>
      <c r="H13" s="23"/>
      <c r="I13" s="23">
        <v>8314982</v>
      </c>
      <c r="J13" s="23"/>
      <c r="K13" s="23">
        <v>15367</v>
      </c>
      <c r="L13" s="23"/>
      <c r="M13" s="23">
        <f>721892+233501</f>
        <v>955393</v>
      </c>
      <c r="N13" s="23"/>
      <c r="O13" s="23">
        <v>189115</v>
      </c>
      <c r="P13" s="23"/>
      <c r="Q13" s="23">
        <v>0</v>
      </c>
      <c r="R13" s="23"/>
      <c r="S13" s="23">
        <v>13327</v>
      </c>
      <c r="T13" s="23"/>
      <c r="U13" s="23">
        <v>48877</v>
      </c>
      <c r="V13" s="23"/>
      <c r="W13" s="33">
        <f>SUM(E13:U13)</f>
        <v>12346430</v>
      </c>
      <c r="X13" s="23"/>
      <c r="Y13" s="23">
        <v>109719</v>
      </c>
      <c r="Z13" s="23"/>
      <c r="AA13" s="23">
        <v>0</v>
      </c>
      <c r="AB13" s="23"/>
      <c r="AC13" s="23">
        <v>0</v>
      </c>
      <c r="AD13" s="23"/>
      <c r="AE13" s="23"/>
      <c r="AF13" s="23"/>
      <c r="AG13" s="23"/>
      <c r="AH13" s="23"/>
      <c r="AI13" s="23">
        <v>0</v>
      </c>
      <c r="AJ13" s="23"/>
      <c r="AK13" s="23">
        <v>0</v>
      </c>
      <c r="AL13" s="23"/>
      <c r="AM13" s="33">
        <f t="shared" ref="AM13:AM79" si="3">SUM(Y13:AK13)</f>
        <v>109719</v>
      </c>
      <c r="AN13" s="23"/>
      <c r="AO13" s="33">
        <f>W13+AM13</f>
        <v>12456149</v>
      </c>
      <c r="AP13" s="33"/>
    </row>
    <row r="14" spans="1:42">
      <c r="A14" s="11" t="s">
        <v>506</v>
      </c>
      <c r="B14" s="11"/>
      <c r="C14" s="11" t="s">
        <v>63</v>
      </c>
      <c r="D14" s="23"/>
      <c r="E14" s="23">
        <v>98125890</v>
      </c>
      <c r="F14" s="23"/>
      <c r="G14" s="23">
        <v>0</v>
      </c>
      <c r="H14" s="23"/>
      <c r="I14" s="23">
        <v>265342128</v>
      </c>
      <c r="J14" s="23"/>
      <c r="K14" s="23">
        <v>208185</v>
      </c>
      <c r="L14" s="23"/>
      <c r="M14" s="23">
        <f>5782042+316318+2361454+890758</f>
        <v>9350572</v>
      </c>
      <c r="N14" s="23"/>
      <c r="O14" s="23">
        <v>1238398</v>
      </c>
      <c r="P14" s="23"/>
      <c r="Q14" s="23">
        <v>0</v>
      </c>
      <c r="R14" s="23"/>
      <c r="S14" s="23">
        <v>456188</v>
      </c>
      <c r="T14" s="23"/>
      <c r="U14" s="23">
        <f>708624+2920954</f>
        <v>3629578</v>
      </c>
      <c r="V14" s="23"/>
      <c r="W14" s="33">
        <f t="shared" ref="W14:W34" si="4">SUM(E14:U14)</f>
        <v>378350939</v>
      </c>
      <c r="X14" s="23"/>
      <c r="Y14" s="23">
        <v>1796</v>
      </c>
      <c r="Z14" s="23"/>
      <c r="AA14" s="23">
        <v>0</v>
      </c>
      <c r="AB14" s="23"/>
      <c r="AC14" s="23">
        <v>0</v>
      </c>
      <c r="AD14" s="23"/>
      <c r="AE14" s="23"/>
      <c r="AF14" s="23"/>
      <c r="AG14" s="23"/>
      <c r="AH14" s="23"/>
      <c r="AI14" s="23">
        <v>0</v>
      </c>
      <c r="AJ14" s="23"/>
      <c r="AK14" s="23">
        <v>0</v>
      </c>
      <c r="AL14" s="23"/>
      <c r="AM14" s="33">
        <f t="shared" si="3"/>
        <v>1796</v>
      </c>
      <c r="AN14" s="23"/>
      <c r="AO14" s="33">
        <f t="shared" ref="AO14:AO81" si="5">W14+AM14</f>
        <v>378352735</v>
      </c>
      <c r="AP14" s="33"/>
    </row>
    <row r="15" spans="1:42" hidden="1">
      <c r="A15" s="11" t="s">
        <v>617</v>
      </c>
      <c r="B15" s="11"/>
      <c r="C15" s="11" t="s">
        <v>13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33">
        <f t="shared" si="4"/>
        <v>0</v>
      </c>
      <c r="X15" s="23"/>
      <c r="Y15" s="23">
        <v>0</v>
      </c>
      <c r="Z15" s="23"/>
      <c r="AA15" s="23">
        <v>0</v>
      </c>
      <c r="AB15" s="23"/>
      <c r="AC15" s="23">
        <v>0</v>
      </c>
      <c r="AD15" s="23"/>
      <c r="AE15" s="23"/>
      <c r="AF15" s="23"/>
      <c r="AG15" s="23"/>
      <c r="AH15" s="23"/>
      <c r="AI15" s="23">
        <v>0</v>
      </c>
      <c r="AJ15" s="23"/>
      <c r="AK15" s="23">
        <v>0</v>
      </c>
      <c r="AL15" s="23"/>
      <c r="AM15" s="33">
        <f t="shared" si="3"/>
        <v>0</v>
      </c>
      <c r="AN15" s="23"/>
      <c r="AO15" s="33">
        <f t="shared" si="5"/>
        <v>0</v>
      </c>
      <c r="AP15" s="33"/>
    </row>
    <row r="16" spans="1:42" hidden="1">
      <c r="A16" s="11" t="s">
        <v>864</v>
      </c>
      <c r="B16" s="11"/>
      <c r="C16" s="11" t="s">
        <v>10</v>
      </c>
      <c r="D16" s="26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33">
        <f t="shared" ref="W16" si="6">SUM(E16:U16)</f>
        <v>0</v>
      </c>
      <c r="X16" s="23"/>
      <c r="Y16" s="23">
        <v>0</v>
      </c>
      <c r="Z16" s="23"/>
      <c r="AA16" s="23">
        <v>0</v>
      </c>
      <c r="AB16" s="23"/>
      <c r="AC16" s="23">
        <v>0</v>
      </c>
      <c r="AD16" s="23"/>
      <c r="AE16" s="23"/>
      <c r="AF16" s="23"/>
      <c r="AG16" s="23"/>
      <c r="AH16" s="23"/>
      <c r="AI16" s="23">
        <v>0</v>
      </c>
      <c r="AJ16" s="23"/>
      <c r="AK16" s="23">
        <v>0</v>
      </c>
      <c r="AL16" s="23"/>
      <c r="AM16" s="33">
        <f t="shared" ref="AM16" si="7">SUM(Y16:AK16)</f>
        <v>0</v>
      </c>
      <c r="AN16" s="23"/>
      <c r="AO16" s="33">
        <f t="shared" ref="AO16" si="8">W16+AM16</f>
        <v>0</v>
      </c>
      <c r="AP16" s="33"/>
    </row>
    <row r="17" spans="1:42">
      <c r="A17" s="11" t="s">
        <v>493</v>
      </c>
      <c r="B17" s="11"/>
      <c r="C17" s="11" t="s">
        <v>62</v>
      </c>
      <c r="D17" s="23"/>
      <c r="E17" s="23">
        <v>6455138</v>
      </c>
      <c r="F17" s="23"/>
      <c r="G17" s="23">
        <v>0</v>
      </c>
      <c r="H17" s="23"/>
      <c r="I17" s="23">
        <v>25276491</v>
      </c>
      <c r="J17" s="23"/>
      <c r="K17" s="23">
        <v>85191</v>
      </c>
      <c r="L17" s="23"/>
      <c r="M17" s="23">
        <f>1367496+54763+289906</f>
        <v>1712165</v>
      </c>
      <c r="N17" s="23"/>
      <c r="O17" s="23">
        <v>351055</v>
      </c>
      <c r="P17" s="23"/>
      <c r="Q17" s="23">
        <v>0</v>
      </c>
      <c r="R17" s="23"/>
      <c r="S17" s="23">
        <v>143629</v>
      </c>
      <c r="T17" s="23"/>
      <c r="U17" s="23">
        <v>82322</v>
      </c>
      <c r="V17" s="23"/>
      <c r="W17" s="33">
        <f t="shared" si="4"/>
        <v>34105991</v>
      </c>
      <c r="X17" s="23"/>
      <c r="Y17" s="23">
        <v>0</v>
      </c>
      <c r="Z17" s="23"/>
      <c r="AA17" s="23">
        <v>0</v>
      </c>
      <c r="AB17" s="23"/>
      <c r="AC17" s="23">
        <v>0</v>
      </c>
      <c r="AD17" s="23"/>
      <c r="AE17" s="23"/>
      <c r="AF17" s="23"/>
      <c r="AG17" s="23"/>
      <c r="AH17" s="23"/>
      <c r="AI17" s="23">
        <v>0</v>
      </c>
      <c r="AJ17" s="23"/>
      <c r="AK17" s="23">
        <v>0</v>
      </c>
      <c r="AL17" s="23"/>
      <c r="AM17" s="33">
        <f t="shared" si="3"/>
        <v>0</v>
      </c>
      <c r="AN17" s="23"/>
      <c r="AO17" s="33">
        <f t="shared" si="5"/>
        <v>34105991</v>
      </c>
      <c r="AP17" s="33"/>
    </row>
    <row r="18" spans="1:42">
      <c r="A18" s="11" t="s">
        <v>292</v>
      </c>
      <c r="B18" s="11"/>
      <c r="C18" s="11" t="s">
        <v>25</v>
      </c>
      <c r="D18" s="23"/>
      <c r="E18" s="23">
        <v>2770833</v>
      </c>
      <c r="F18" s="23"/>
      <c r="G18" s="23">
        <v>441231</v>
      </c>
      <c r="H18" s="23"/>
      <c r="I18" s="23">
        <v>11272745</v>
      </c>
      <c r="J18" s="23"/>
      <c r="K18" s="23">
        <v>13743</v>
      </c>
      <c r="L18" s="23"/>
      <c r="M18" s="23">
        <f>649133+730+368354</f>
        <v>1018217</v>
      </c>
      <c r="N18" s="23"/>
      <c r="O18" s="23">
        <v>252298</v>
      </c>
      <c r="P18" s="23"/>
      <c r="Q18" s="23">
        <v>0</v>
      </c>
      <c r="R18" s="23"/>
      <c r="S18" s="23">
        <v>28481</v>
      </c>
      <c r="T18" s="23"/>
      <c r="U18" s="23">
        <v>101565</v>
      </c>
      <c r="V18" s="23"/>
      <c r="W18" s="33">
        <f t="shared" si="4"/>
        <v>15899113</v>
      </c>
      <c r="X18" s="23"/>
      <c r="Y18" s="23">
        <v>0</v>
      </c>
      <c r="Z18" s="23"/>
      <c r="AA18" s="23">
        <v>0</v>
      </c>
      <c r="AB18" s="23"/>
      <c r="AC18" s="23">
        <v>190145</v>
      </c>
      <c r="AD18" s="23"/>
      <c r="AE18" s="23"/>
      <c r="AF18" s="23"/>
      <c r="AG18" s="23"/>
      <c r="AH18" s="23"/>
      <c r="AI18" s="23">
        <v>0</v>
      </c>
      <c r="AJ18" s="23"/>
      <c r="AK18" s="23">
        <v>0</v>
      </c>
      <c r="AL18" s="23"/>
      <c r="AM18" s="33">
        <f t="shared" si="3"/>
        <v>190145</v>
      </c>
      <c r="AN18" s="23"/>
      <c r="AO18" s="33">
        <f t="shared" si="5"/>
        <v>16089258</v>
      </c>
      <c r="AP18" s="33"/>
    </row>
    <row r="19" spans="1:42">
      <c r="A19" s="11" t="s">
        <v>749</v>
      </c>
      <c r="B19" s="11"/>
      <c r="C19" s="11" t="s">
        <v>44</v>
      </c>
      <c r="D19" s="26"/>
      <c r="E19" s="23">
        <v>16742370</v>
      </c>
      <c r="F19" s="23"/>
      <c r="G19" s="23">
        <v>0</v>
      </c>
      <c r="H19" s="23"/>
      <c r="I19" s="23">
        <v>20857103</v>
      </c>
      <c r="J19" s="23"/>
      <c r="K19" s="23">
        <v>14094</v>
      </c>
      <c r="L19" s="23"/>
      <c r="M19" s="23">
        <f>538586+14619+1095066</f>
        <v>1648271</v>
      </c>
      <c r="N19" s="23"/>
      <c r="O19" s="23">
        <v>530237</v>
      </c>
      <c r="P19" s="23"/>
      <c r="Q19" s="23">
        <v>0</v>
      </c>
      <c r="R19" s="23"/>
      <c r="S19" s="23">
        <v>92946</v>
      </c>
      <c r="T19" s="23"/>
      <c r="U19" s="23">
        <v>199712</v>
      </c>
      <c r="V19" s="23"/>
      <c r="W19" s="33">
        <f t="shared" si="4"/>
        <v>40084733</v>
      </c>
      <c r="X19" s="23"/>
      <c r="Y19" s="23">
        <v>0</v>
      </c>
      <c r="Z19" s="23"/>
      <c r="AA19" s="23">
        <v>0</v>
      </c>
      <c r="AB19" s="23"/>
      <c r="AC19" s="23">
        <v>0</v>
      </c>
      <c r="AD19" s="23"/>
      <c r="AE19" s="23"/>
      <c r="AF19" s="23"/>
      <c r="AG19" s="23"/>
      <c r="AH19" s="23"/>
      <c r="AI19" s="23">
        <v>0</v>
      </c>
      <c r="AJ19" s="23"/>
      <c r="AK19" s="23">
        <v>0</v>
      </c>
      <c r="AL19" s="23"/>
      <c r="AM19" s="33">
        <f t="shared" si="3"/>
        <v>0</v>
      </c>
      <c r="AN19" s="23"/>
      <c r="AO19" s="33">
        <f t="shared" si="5"/>
        <v>40084733</v>
      </c>
      <c r="AP19" s="33"/>
    </row>
    <row r="20" spans="1:42">
      <c r="A20" s="11" t="s">
        <v>804</v>
      </c>
      <c r="B20" s="11"/>
      <c r="C20" s="11" t="s">
        <v>61</v>
      </c>
      <c r="D20" s="23"/>
      <c r="E20" s="23">
        <v>2793198</v>
      </c>
      <c r="F20" s="23"/>
      <c r="G20" s="23">
        <v>1675089</v>
      </c>
      <c r="H20" s="23"/>
      <c r="I20" s="23">
        <v>6337154</v>
      </c>
      <c r="J20" s="23"/>
      <c r="K20" s="23">
        <v>57115</v>
      </c>
      <c r="L20" s="23"/>
      <c r="M20" s="23">
        <f>630087+407840+47640</f>
        <v>1085567</v>
      </c>
      <c r="N20" s="23"/>
      <c r="O20" s="23">
        <v>240125</v>
      </c>
      <c r="P20" s="23"/>
      <c r="Q20" s="23">
        <v>1750</v>
      </c>
      <c r="R20" s="23"/>
      <c r="S20" s="23">
        <v>41202</v>
      </c>
      <c r="T20" s="23"/>
      <c r="U20" s="23">
        <f>40255-479</f>
        <v>39776</v>
      </c>
      <c r="V20" s="23"/>
      <c r="W20" s="33">
        <f t="shared" si="4"/>
        <v>12270976</v>
      </c>
      <c r="X20" s="23"/>
      <c r="Y20" s="23">
        <v>1500000</v>
      </c>
      <c r="Z20" s="23"/>
      <c r="AA20" s="23">
        <v>0</v>
      </c>
      <c r="AB20" s="23"/>
      <c r="AC20" s="23">
        <v>0</v>
      </c>
      <c r="AD20" s="23"/>
      <c r="AE20" s="23"/>
      <c r="AF20" s="23"/>
      <c r="AG20" s="23"/>
      <c r="AH20" s="23"/>
      <c r="AI20" s="23">
        <f>1005+85154</f>
        <v>86159</v>
      </c>
      <c r="AJ20" s="23"/>
      <c r="AK20" s="23">
        <v>0</v>
      </c>
      <c r="AL20" s="23"/>
      <c r="AM20" s="33">
        <f t="shared" si="3"/>
        <v>1586159</v>
      </c>
      <c r="AN20" s="23"/>
      <c r="AO20" s="33">
        <f t="shared" si="5"/>
        <v>13857135</v>
      </c>
      <c r="AP20" s="33"/>
    </row>
    <row r="21" spans="1:42" hidden="1">
      <c r="A21" s="11" t="s">
        <v>691</v>
      </c>
      <c r="B21" s="11"/>
      <c r="C21" s="11" t="s">
        <v>603</v>
      </c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33">
        <f t="shared" si="4"/>
        <v>0</v>
      </c>
      <c r="X21" s="23"/>
      <c r="Y21" s="23"/>
      <c r="Z21" s="23"/>
      <c r="AA21" s="23">
        <v>0</v>
      </c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33">
        <f t="shared" si="3"/>
        <v>0</v>
      </c>
      <c r="AN21" s="23"/>
      <c r="AO21" s="33">
        <f t="shared" si="5"/>
        <v>0</v>
      </c>
      <c r="AP21" s="33"/>
    </row>
    <row r="22" spans="1:42">
      <c r="A22" s="11" t="s">
        <v>390</v>
      </c>
      <c r="B22" s="11"/>
      <c r="C22" s="11" t="s">
        <v>115</v>
      </c>
      <c r="D22" s="23"/>
      <c r="E22" s="23">
        <v>23497034</v>
      </c>
      <c r="F22" s="23"/>
      <c r="G22" s="23">
        <v>0</v>
      </c>
      <c r="H22" s="23"/>
      <c r="I22" s="23">
        <f>11872438+1461895</f>
        <v>13334333</v>
      </c>
      <c r="J22" s="23"/>
      <c r="K22" s="23">
        <v>21923</v>
      </c>
      <c r="L22" s="23"/>
      <c r="M22" s="23">
        <f>465327+768859+235635</f>
        <v>1469821</v>
      </c>
      <c r="N22" s="23"/>
      <c r="O22" s="23">
        <v>569066</v>
      </c>
      <c r="P22" s="23"/>
      <c r="Q22" s="23">
        <v>726826</v>
      </c>
      <c r="R22" s="23"/>
      <c r="S22" s="23">
        <v>0</v>
      </c>
      <c r="T22" s="23"/>
      <c r="U22" s="23">
        <v>236083</v>
      </c>
      <c r="V22" s="23"/>
      <c r="W22" s="33">
        <f t="shared" si="4"/>
        <v>39855086</v>
      </c>
      <c r="X22" s="23"/>
      <c r="Y22" s="23">
        <v>0</v>
      </c>
      <c r="Z22" s="23"/>
      <c r="AA22" s="23">
        <v>0</v>
      </c>
      <c r="AB22" s="23"/>
      <c r="AC22" s="23">
        <f>7950000+195711</f>
        <v>8145711</v>
      </c>
      <c r="AD22" s="23"/>
      <c r="AE22" s="23"/>
      <c r="AF22" s="23"/>
      <c r="AG22" s="23"/>
      <c r="AH22" s="23"/>
      <c r="AI22" s="23">
        <v>31608</v>
      </c>
      <c r="AJ22" s="23"/>
      <c r="AK22" s="23">
        <v>0</v>
      </c>
      <c r="AL22" s="23"/>
      <c r="AM22" s="33">
        <f t="shared" si="3"/>
        <v>8177319</v>
      </c>
      <c r="AN22" s="23"/>
      <c r="AO22" s="33">
        <f t="shared" si="5"/>
        <v>48032405</v>
      </c>
      <c r="AP22" s="33"/>
    </row>
    <row r="23" spans="1:42" hidden="1">
      <c r="A23" s="11" t="s">
        <v>865</v>
      </c>
      <c r="B23" s="11"/>
      <c r="C23" s="11" t="s">
        <v>450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33">
        <f t="shared" ref="W23" si="9">SUM(E23:U23)</f>
        <v>0</v>
      </c>
      <c r="X23" s="23"/>
      <c r="Y23" s="23">
        <v>0</v>
      </c>
      <c r="Z23" s="23"/>
      <c r="AA23" s="23">
        <v>0</v>
      </c>
      <c r="AB23" s="23"/>
      <c r="AC23" s="23">
        <v>0</v>
      </c>
      <c r="AD23" s="23"/>
      <c r="AE23" s="23"/>
      <c r="AF23" s="23"/>
      <c r="AG23" s="23"/>
      <c r="AH23" s="23"/>
      <c r="AI23" s="23">
        <v>0</v>
      </c>
      <c r="AJ23" s="23"/>
      <c r="AK23" s="23">
        <v>0</v>
      </c>
      <c r="AL23" s="23"/>
      <c r="AM23" s="33">
        <f t="shared" ref="AM23" si="10">SUM(Y23:AK23)</f>
        <v>0</v>
      </c>
      <c r="AN23" s="23"/>
      <c r="AO23" s="33">
        <f t="shared" ref="AO23" si="11">W23+AM23</f>
        <v>0</v>
      </c>
      <c r="AP23" s="33"/>
    </row>
    <row r="24" spans="1:42">
      <c r="A24" s="11" t="s">
        <v>334</v>
      </c>
      <c r="B24" s="11"/>
      <c r="C24" s="11" t="s">
        <v>33</v>
      </c>
      <c r="D24" s="23"/>
      <c r="E24" s="23">
        <v>2210241</v>
      </c>
      <c r="F24" s="23"/>
      <c r="G24" s="23">
        <v>763492</v>
      </c>
      <c r="H24" s="23"/>
      <c r="I24" s="23">
        <v>2677237</v>
      </c>
      <c r="J24" s="23"/>
      <c r="K24" s="23">
        <v>9841</v>
      </c>
      <c r="L24" s="23"/>
      <c r="M24" s="23">
        <f>862196+170744</f>
        <v>1032940</v>
      </c>
      <c r="N24" s="23"/>
      <c r="O24" s="23">
        <v>66899</v>
      </c>
      <c r="P24" s="23"/>
      <c r="Q24" s="23">
        <v>0</v>
      </c>
      <c r="R24" s="23"/>
      <c r="S24" s="23">
        <v>29758</v>
      </c>
      <c r="T24" s="23"/>
      <c r="U24" s="23">
        <v>31144</v>
      </c>
      <c r="V24" s="23"/>
      <c r="W24" s="33">
        <f t="shared" si="4"/>
        <v>6821552</v>
      </c>
      <c r="X24" s="23"/>
      <c r="Y24" s="23">
        <v>0</v>
      </c>
      <c r="Z24" s="23"/>
      <c r="AA24" s="23">
        <v>0</v>
      </c>
      <c r="AB24" s="23"/>
      <c r="AC24" s="23">
        <v>0</v>
      </c>
      <c r="AD24" s="23"/>
      <c r="AE24" s="23"/>
      <c r="AF24" s="23"/>
      <c r="AG24" s="23"/>
      <c r="AH24" s="23"/>
      <c r="AI24" s="23">
        <v>0</v>
      </c>
      <c r="AJ24" s="23"/>
      <c r="AK24" s="23">
        <v>0</v>
      </c>
      <c r="AL24" s="23"/>
      <c r="AM24" s="33">
        <f t="shared" si="3"/>
        <v>0</v>
      </c>
      <c r="AN24" s="23"/>
      <c r="AO24" s="33">
        <f t="shared" si="5"/>
        <v>6821552</v>
      </c>
      <c r="AP24" s="33"/>
    </row>
    <row r="25" spans="1:42" hidden="1">
      <c r="A25" s="11" t="s">
        <v>670</v>
      </c>
      <c r="B25" s="11"/>
      <c r="C25" s="11" t="s">
        <v>21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33">
        <f t="shared" si="4"/>
        <v>0</v>
      </c>
      <c r="X25" s="23"/>
      <c r="Y25" s="23"/>
      <c r="Z25" s="23"/>
      <c r="AA25" s="23">
        <v>0</v>
      </c>
      <c r="AB25" s="23"/>
      <c r="AC25" s="23"/>
      <c r="AD25" s="23"/>
      <c r="AE25" s="23"/>
      <c r="AF25" s="23"/>
      <c r="AG25" s="23"/>
      <c r="AH25" s="23"/>
      <c r="AI25" s="23"/>
      <c r="AJ25" s="23"/>
      <c r="AK25" s="23">
        <v>0</v>
      </c>
      <c r="AL25" s="23"/>
      <c r="AM25" s="33">
        <f t="shared" si="3"/>
        <v>0</v>
      </c>
      <c r="AN25" s="23"/>
      <c r="AO25" s="33">
        <f t="shared" si="5"/>
        <v>0</v>
      </c>
      <c r="AP25" s="33"/>
    </row>
    <row r="26" spans="1:42">
      <c r="A26" s="11" t="s">
        <v>866</v>
      </c>
      <c r="B26" s="11"/>
      <c r="C26" s="11" t="s">
        <v>28</v>
      </c>
      <c r="D26" s="23"/>
      <c r="E26" s="23">
        <v>6064675</v>
      </c>
      <c r="F26" s="23"/>
      <c r="G26" s="23">
        <v>0</v>
      </c>
      <c r="H26" s="23"/>
      <c r="I26" s="23">
        <v>7495040</v>
      </c>
      <c r="J26" s="23"/>
      <c r="K26" s="23">
        <v>35973</v>
      </c>
      <c r="L26" s="23"/>
      <c r="M26" s="23">
        <f>316756+4935+256560</f>
        <v>578251</v>
      </c>
      <c r="N26" s="23"/>
      <c r="O26" s="23">
        <v>240272</v>
      </c>
      <c r="P26" s="23"/>
      <c r="Q26" s="23">
        <v>54303</v>
      </c>
      <c r="R26" s="23"/>
      <c r="S26" s="23">
        <v>3000</v>
      </c>
      <c r="T26" s="23"/>
      <c r="U26" s="23">
        <v>175341</v>
      </c>
      <c r="V26" s="23"/>
      <c r="W26" s="33">
        <f t="shared" si="4"/>
        <v>14646855</v>
      </c>
      <c r="X26" s="23"/>
      <c r="Y26" s="23">
        <v>0</v>
      </c>
      <c r="Z26" s="23"/>
      <c r="AA26" s="23">
        <v>0</v>
      </c>
      <c r="AB26" s="23"/>
      <c r="AC26" s="23">
        <v>0</v>
      </c>
      <c r="AD26" s="23"/>
      <c r="AE26" s="23"/>
      <c r="AF26" s="23"/>
      <c r="AG26" s="23"/>
      <c r="AH26" s="23"/>
      <c r="AI26" s="23">
        <v>75</v>
      </c>
      <c r="AJ26" s="23"/>
      <c r="AK26" s="23">
        <v>0</v>
      </c>
      <c r="AL26" s="23"/>
      <c r="AM26" s="33">
        <f t="shared" si="3"/>
        <v>75</v>
      </c>
      <c r="AN26" s="23"/>
      <c r="AO26" s="33">
        <f t="shared" si="5"/>
        <v>14646930</v>
      </c>
      <c r="AP26" s="33"/>
    </row>
    <row r="27" spans="1:42">
      <c r="A27" s="11" t="s">
        <v>335</v>
      </c>
      <c r="B27" s="11"/>
      <c r="C27" s="11" t="s">
        <v>33</v>
      </c>
      <c r="D27" s="23"/>
      <c r="E27" s="23">
        <v>1446793</v>
      </c>
      <c r="F27" s="23"/>
      <c r="G27" s="23">
        <v>1004698</v>
      </c>
      <c r="H27" s="23"/>
      <c r="I27" s="23">
        <v>3796163</v>
      </c>
      <c r="J27" s="23"/>
      <c r="K27" s="23">
        <v>6033</v>
      </c>
      <c r="L27" s="23"/>
      <c r="M27" s="23">
        <f>258688+177575</f>
        <v>436263</v>
      </c>
      <c r="N27" s="23"/>
      <c r="O27" s="23">
        <v>103646</v>
      </c>
      <c r="P27" s="23"/>
      <c r="Q27" s="23">
        <v>0</v>
      </c>
      <c r="R27" s="23"/>
      <c r="S27" s="23">
        <v>8602</v>
      </c>
      <c r="T27" s="23"/>
      <c r="U27" s="23">
        <v>47335</v>
      </c>
      <c r="V27" s="23"/>
      <c r="W27" s="33">
        <f t="shared" si="4"/>
        <v>6849533</v>
      </c>
      <c r="X27" s="23"/>
      <c r="Y27" s="23">
        <v>0</v>
      </c>
      <c r="Z27" s="23"/>
      <c r="AA27" s="23">
        <v>0</v>
      </c>
      <c r="AB27" s="23"/>
      <c r="AC27" s="23">
        <v>0</v>
      </c>
      <c r="AD27" s="23"/>
      <c r="AE27" s="23"/>
      <c r="AF27" s="23"/>
      <c r="AG27" s="23"/>
      <c r="AH27" s="23"/>
      <c r="AI27" s="23">
        <v>500</v>
      </c>
      <c r="AJ27" s="23"/>
      <c r="AK27" s="23">
        <v>0</v>
      </c>
      <c r="AL27" s="23"/>
      <c r="AM27" s="33">
        <f t="shared" si="3"/>
        <v>500</v>
      </c>
      <c r="AN27" s="23"/>
      <c r="AO27" s="33">
        <f t="shared" si="5"/>
        <v>6850033</v>
      </c>
      <c r="AP27" s="33"/>
    </row>
    <row r="28" spans="1:42">
      <c r="A28" s="11" t="s">
        <v>203</v>
      </c>
      <c r="B28" s="11"/>
      <c r="C28" s="11" t="s">
        <v>11</v>
      </c>
      <c r="D28" s="23"/>
      <c r="E28" s="23">
        <v>13126700</v>
      </c>
      <c r="F28" s="23"/>
      <c r="G28" s="23">
        <v>0</v>
      </c>
      <c r="H28" s="23"/>
      <c r="I28" s="23">
        <v>18188492</v>
      </c>
      <c r="J28" s="23"/>
      <c r="K28" s="23">
        <v>129211</v>
      </c>
      <c r="L28" s="23"/>
      <c r="M28" s="23">
        <f>825755+16616+564984</f>
        <v>1407355</v>
      </c>
      <c r="N28" s="23"/>
      <c r="O28" s="23">
        <v>432130</v>
      </c>
      <c r="P28" s="23"/>
      <c r="Q28" s="23">
        <v>219287</v>
      </c>
      <c r="R28" s="23"/>
      <c r="S28" s="23">
        <v>46344</v>
      </c>
      <c r="T28" s="23"/>
      <c r="U28" s="23">
        <v>137687</v>
      </c>
      <c r="V28" s="23"/>
      <c r="W28" s="33">
        <f t="shared" si="4"/>
        <v>33687206</v>
      </c>
      <c r="X28" s="23"/>
      <c r="Y28" s="23">
        <v>2571</v>
      </c>
      <c r="Z28" s="23"/>
      <c r="AA28" s="23">
        <v>0</v>
      </c>
      <c r="AB28" s="23"/>
      <c r="AC28" s="23">
        <v>0</v>
      </c>
      <c r="AD28" s="23"/>
      <c r="AE28" s="23"/>
      <c r="AF28" s="23"/>
      <c r="AG28" s="23"/>
      <c r="AH28" s="23"/>
      <c r="AI28" s="23">
        <v>0</v>
      </c>
      <c r="AJ28" s="23"/>
      <c r="AK28" s="23">
        <v>0</v>
      </c>
      <c r="AL28" s="23"/>
      <c r="AM28" s="33">
        <f t="shared" si="3"/>
        <v>2571</v>
      </c>
      <c r="AN28" s="23"/>
      <c r="AO28" s="33">
        <f t="shared" si="5"/>
        <v>33689777</v>
      </c>
      <c r="AP28" s="33"/>
    </row>
    <row r="29" spans="1:42">
      <c r="A29" s="11" t="s">
        <v>669</v>
      </c>
      <c r="B29" s="11"/>
      <c r="C29" s="11" t="s">
        <v>12</v>
      </c>
      <c r="D29" s="23"/>
      <c r="E29" s="23">
        <v>13246443</v>
      </c>
      <c r="F29" s="23"/>
      <c r="G29" s="23">
        <v>0</v>
      </c>
      <c r="H29" s="23"/>
      <c r="I29" s="23">
        <v>43332362</v>
      </c>
      <c r="J29" s="23"/>
      <c r="K29" s="23">
        <v>11141</v>
      </c>
      <c r="L29" s="23"/>
      <c r="M29" s="23">
        <f>351441+424275</f>
        <v>775716</v>
      </c>
      <c r="N29" s="23"/>
      <c r="O29" s="23">
        <v>184236</v>
      </c>
      <c r="P29" s="23"/>
      <c r="Q29" s="23">
        <v>0</v>
      </c>
      <c r="R29" s="23"/>
      <c r="S29" s="23">
        <v>0</v>
      </c>
      <c r="T29" s="23"/>
      <c r="U29" s="23">
        <v>309688</v>
      </c>
      <c r="V29" s="23"/>
      <c r="W29" s="33">
        <f t="shared" si="4"/>
        <v>57859586</v>
      </c>
      <c r="X29" s="23"/>
      <c r="Y29" s="23">
        <v>279951</v>
      </c>
      <c r="Z29" s="23"/>
      <c r="AA29" s="23">
        <v>0</v>
      </c>
      <c r="AB29" s="23"/>
      <c r="AC29" s="23">
        <f>32724957+1622010</f>
        <v>34346967</v>
      </c>
      <c r="AD29" s="23"/>
      <c r="AE29" s="23"/>
      <c r="AF29" s="23"/>
      <c r="AG29" s="23"/>
      <c r="AH29" s="23"/>
      <c r="AI29" s="23">
        <v>287099</v>
      </c>
      <c r="AJ29" s="23"/>
      <c r="AK29" s="23">
        <v>0</v>
      </c>
      <c r="AL29" s="23"/>
      <c r="AM29" s="33">
        <f t="shared" si="3"/>
        <v>34914017</v>
      </c>
      <c r="AN29" s="23"/>
      <c r="AO29" s="33">
        <f t="shared" si="5"/>
        <v>92773603</v>
      </c>
      <c r="AP29" s="33"/>
    </row>
    <row r="30" spans="1:42">
      <c r="A30" s="11" t="s">
        <v>210</v>
      </c>
      <c r="B30" s="11"/>
      <c r="C30" s="11" t="s">
        <v>13</v>
      </c>
      <c r="D30" s="23"/>
      <c r="E30" s="23">
        <v>15372031</v>
      </c>
      <c r="F30" s="23"/>
      <c r="G30" s="23">
        <v>3463108</v>
      </c>
      <c r="H30" s="23"/>
      <c r="I30" s="23">
        <v>13036138</v>
      </c>
      <c r="J30" s="23"/>
      <c r="K30" s="23">
        <v>62159</v>
      </c>
      <c r="L30" s="23"/>
      <c r="M30" s="23">
        <f>2455778+11814+230843</f>
        <v>2698435</v>
      </c>
      <c r="N30" s="23"/>
      <c r="O30" s="23">
        <v>134032</v>
      </c>
      <c r="P30" s="23"/>
      <c r="Q30" s="23">
        <v>215968</v>
      </c>
      <c r="R30" s="23"/>
      <c r="S30" s="23">
        <v>35004</v>
      </c>
      <c r="T30" s="23"/>
      <c r="U30" s="23">
        <v>84708</v>
      </c>
      <c r="V30" s="23"/>
      <c r="W30" s="33">
        <f t="shared" si="4"/>
        <v>35101583</v>
      </c>
      <c r="X30" s="23"/>
      <c r="Y30" s="23">
        <v>51520</v>
      </c>
      <c r="Z30" s="23"/>
      <c r="AA30" s="23">
        <v>0</v>
      </c>
      <c r="AB30" s="23"/>
      <c r="AC30" s="23">
        <v>0</v>
      </c>
      <c r="AD30" s="23"/>
      <c r="AE30" s="23"/>
      <c r="AF30" s="23"/>
      <c r="AG30" s="23"/>
      <c r="AH30" s="23"/>
      <c r="AI30" s="23">
        <v>0</v>
      </c>
      <c r="AJ30" s="23"/>
      <c r="AK30" s="23">
        <v>611436</v>
      </c>
      <c r="AL30" s="23"/>
      <c r="AM30" s="33">
        <f t="shared" si="3"/>
        <v>662956</v>
      </c>
      <c r="AN30" s="23"/>
      <c r="AO30" s="33">
        <f t="shared" si="5"/>
        <v>35764539</v>
      </c>
      <c r="AP30" s="33"/>
    </row>
    <row r="31" spans="1:42">
      <c r="A31" s="11" t="s">
        <v>459</v>
      </c>
      <c r="B31" s="11"/>
      <c r="C31" s="11" t="s">
        <v>56</v>
      </c>
      <c r="D31" s="23"/>
      <c r="E31" s="23">
        <v>23256052</v>
      </c>
      <c r="F31" s="23"/>
      <c r="G31" s="23">
        <v>0</v>
      </c>
      <c r="H31" s="23"/>
      <c r="I31" s="23">
        <v>9640870</v>
      </c>
      <c r="J31" s="23"/>
      <c r="K31" s="23">
        <v>9328</v>
      </c>
      <c r="L31" s="23"/>
      <c r="M31" s="23">
        <f>547522+589992+14958</f>
        <v>1152472</v>
      </c>
      <c r="N31" s="23"/>
      <c r="O31" s="23">
        <v>399744</v>
      </c>
      <c r="P31" s="23"/>
      <c r="Q31" s="23">
        <v>0</v>
      </c>
      <c r="R31" s="23"/>
      <c r="S31" s="23">
        <v>124013</v>
      </c>
      <c r="T31" s="23"/>
      <c r="U31" s="23">
        <v>49762</v>
      </c>
      <c r="V31" s="23"/>
      <c r="W31" s="33">
        <f t="shared" si="4"/>
        <v>34632241</v>
      </c>
      <c r="X31" s="23"/>
      <c r="Y31" s="23">
        <v>0</v>
      </c>
      <c r="Z31" s="23"/>
      <c r="AA31" s="23">
        <v>0</v>
      </c>
      <c r="AB31" s="23"/>
      <c r="AC31" s="23">
        <v>157097</v>
      </c>
      <c r="AD31" s="23"/>
      <c r="AE31" s="23"/>
      <c r="AF31" s="23"/>
      <c r="AG31" s="23"/>
      <c r="AH31" s="23"/>
      <c r="AI31" s="23">
        <v>0</v>
      </c>
      <c r="AJ31" s="23"/>
      <c r="AK31" s="23">
        <v>0</v>
      </c>
      <c r="AL31" s="23"/>
      <c r="AM31" s="33">
        <f t="shared" si="3"/>
        <v>157097</v>
      </c>
      <c r="AN31" s="23"/>
      <c r="AO31" s="33">
        <f t="shared" si="5"/>
        <v>34789338</v>
      </c>
      <c r="AP31" s="33"/>
    </row>
    <row r="32" spans="1:42">
      <c r="A32" s="11" t="s">
        <v>401</v>
      </c>
      <c r="B32" s="11"/>
      <c r="C32" s="11" t="s">
        <v>45</v>
      </c>
      <c r="D32" s="23"/>
      <c r="E32" s="23">
        <v>18701158</v>
      </c>
      <c r="F32" s="23"/>
      <c r="G32" s="23">
        <v>0</v>
      </c>
      <c r="H32" s="23"/>
      <c r="I32" s="23">
        <f>55704+35497924+5259663</f>
        <v>40813291</v>
      </c>
      <c r="J32" s="23"/>
      <c r="K32" s="23">
        <v>125013</v>
      </c>
      <c r="L32" s="23"/>
      <c r="M32" s="23">
        <f>3132701+742405+130993</f>
        <v>4006099</v>
      </c>
      <c r="N32" s="23"/>
      <c r="O32" s="23">
        <v>546350</v>
      </c>
      <c r="P32" s="23"/>
      <c r="Q32" s="23">
        <v>0</v>
      </c>
      <c r="R32" s="23"/>
      <c r="S32" s="23">
        <v>0</v>
      </c>
      <c r="T32" s="23"/>
      <c r="U32" s="23">
        <v>140613</v>
      </c>
      <c r="V32" s="23"/>
      <c r="W32" s="33">
        <f t="shared" si="4"/>
        <v>64332524</v>
      </c>
      <c r="X32" s="23"/>
      <c r="Y32" s="23">
        <v>1278424</v>
      </c>
      <c r="Z32" s="23"/>
      <c r="AA32" s="23">
        <v>0</v>
      </c>
      <c r="AB32" s="23"/>
      <c r="AC32" s="23">
        <f>2717410+20975000</f>
        <v>23692410</v>
      </c>
      <c r="AD32" s="23"/>
      <c r="AE32" s="23"/>
      <c r="AF32" s="23"/>
      <c r="AG32" s="23"/>
      <c r="AH32" s="23"/>
      <c r="AI32" s="23">
        <v>1120</v>
      </c>
      <c r="AJ32" s="23"/>
      <c r="AK32" s="23">
        <v>0</v>
      </c>
      <c r="AL32" s="23"/>
      <c r="AM32" s="33">
        <f t="shared" si="3"/>
        <v>24971954</v>
      </c>
      <c r="AN32" s="23"/>
      <c r="AO32" s="33">
        <f t="shared" si="5"/>
        <v>89304478</v>
      </c>
      <c r="AP32" s="33"/>
    </row>
    <row r="33" spans="1:42">
      <c r="A33" s="11" t="s">
        <v>380</v>
      </c>
      <c r="B33" s="11"/>
      <c r="C33" s="11" t="s">
        <v>44</v>
      </c>
      <c r="D33" s="23"/>
      <c r="E33" s="23">
        <v>29737745</v>
      </c>
      <c r="F33" s="23"/>
      <c r="G33" s="23">
        <v>0</v>
      </c>
      <c r="H33" s="23"/>
      <c r="I33" s="23">
        <v>12522479</v>
      </c>
      <c r="J33" s="23"/>
      <c r="K33" s="23">
        <v>87668</v>
      </c>
      <c r="L33" s="23"/>
      <c r="M33" s="23">
        <f>558190+1106780+107967</f>
        <v>1772937</v>
      </c>
      <c r="N33" s="23"/>
      <c r="O33" s="23">
        <v>480230</v>
      </c>
      <c r="P33" s="23"/>
      <c r="Q33" s="23">
        <v>0</v>
      </c>
      <c r="R33" s="23"/>
      <c r="S33" s="23">
        <v>0</v>
      </c>
      <c r="T33" s="23"/>
      <c r="U33" s="23">
        <v>455819</v>
      </c>
      <c r="V33" s="23"/>
      <c r="W33" s="33">
        <f t="shared" si="4"/>
        <v>45056878</v>
      </c>
      <c r="X33" s="23"/>
      <c r="Y33" s="23">
        <v>224620</v>
      </c>
      <c r="Z33" s="23"/>
      <c r="AA33" s="23">
        <v>0</v>
      </c>
      <c r="AB33" s="23"/>
      <c r="AC33" s="23">
        <v>150915</v>
      </c>
      <c r="AD33" s="23"/>
      <c r="AE33" s="23"/>
      <c r="AF33" s="23"/>
      <c r="AG33" s="23"/>
      <c r="AH33" s="23"/>
      <c r="AI33" s="23">
        <v>0</v>
      </c>
      <c r="AJ33" s="23"/>
      <c r="AK33" s="23">
        <v>0</v>
      </c>
      <c r="AL33" s="23"/>
      <c r="AM33" s="33">
        <f t="shared" si="3"/>
        <v>375535</v>
      </c>
      <c r="AN33" s="23"/>
      <c r="AO33" s="33">
        <f t="shared" si="5"/>
        <v>45432413</v>
      </c>
      <c r="AP33" s="33"/>
    </row>
    <row r="34" spans="1:42">
      <c r="A34" s="11" t="s">
        <v>381</v>
      </c>
      <c r="B34" s="11"/>
      <c r="C34" s="11" t="s">
        <v>44</v>
      </c>
      <c r="D34" s="23"/>
      <c r="E34" s="23">
        <v>28019236</v>
      </c>
      <c r="F34" s="23"/>
      <c r="G34" s="23">
        <v>0</v>
      </c>
      <c r="H34" s="23"/>
      <c r="I34" s="23">
        <v>9576083</v>
      </c>
      <c r="J34" s="23"/>
      <c r="K34" s="23">
        <v>57728</v>
      </c>
      <c r="L34" s="23"/>
      <c r="M34" s="23">
        <f>797415+614275</f>
        <v>1411690</v>
      </c>
      <c r="N34" s="23"/>
      <c r="O34" s="23">
        <v>404915</v>
      </c>
      <c r="P34" s="23"/>
      <c r="Q34" s="23">
        <v>0</v>
      </c>
      <c r="R34" s="23"/>
      <c r="S34" s="23">
        <v>0</v>
      </c>
      <c r="T34" s="23"/>
      <c r="U34" s="23">
        <v>1642088</v>
      </c>
      <c r="V34" s="23"/>
      <c r="W34" s="33">
        <f t="shared" si="4"/>
        <v>41111740</v>
      </c>
      <c r="X34" s="23"/>
      <c r="Y34" s="23">
        <v>0</v>
      </c>
      <c r="Z34" s="23"/>
      <c r="AA34" s="23">
        <v>0</v>
      </c>
      <c r="AB34" s="23"/>
      <c r="AC34" s="23">
        <v>158150</v>
      </c>
      <c r="AD34" s="23"/>
      <c r="AE34" s="23"/>
      <c r="AF34" s="23"/>
      <c r="AG34" s="23"/>
      <c r="AH34" s="23"/>
      <c r="AI34" s="23">
        <v>0</v>
      </c>
      <c r="AJ34" s="23"/>
      <c r="AK34" s="23">
        <v>0</v>
      </c>
      <c r="AL34" s="23"/>
      <c r="AM34" s="33">
        <f t="shared" si="3"/>
        <v>158150</v>
      </c>
      <c r="AN34" s="23"/>
      <c r="AO34" s="33">
        <f t="shared" si="5"/>
        <v>41269890</v>
      </c>
      <c r="AP34" s="33"/>
    </row>
    <row r="35" spans="1:42" ht="12.75" customHeight="1">
      <c r="A35" s="11" t="s">
        <v>283</v>
      </c>
      <c r="B35" s="11"/>
      <c r="C35" s="11" t="s">
        <v>22</v>
      </c>
      <c r="D35" s="23"/>
      <c r="E35" s="23">
        <v>2568068</v>
      </c>
      <c r="F35" s="23"/>
      <c r="G35" s="23">
        <v>869361</v>
      </c>
      <c r="H35" s="23"/>
      <c r="I35" s="23">
        <f>3228806+565439</f>
        <v>3794245</v>
      </c>
      <c r="J35" s="23"/>
      <c r="K35" s="23">
        <v>2746</v>
      </c>
      <c r="L35" s="23"/>
      <c r="M35" s="23">
        <f>1358874+217913+45966+620</f>
        <v>1623373</v>
      </c>
      <c r="N35" s="23"/>
      <c r="O35" s="23">
        <v>99831</v>
      </c>
      <c r="P35" s="23"/>
      <c r="Q35" s="23">
        <v>304</v>
      </c>
      <c r="R35" s="23"/>
      <c r="S35" s="7">
        <v>27712</v>
      </c>
      <c r="T35" s="23"/>
      <c r="U35" s="23">
        <v>74914</v>
      </c>
      <c r="V35" s="23"/>
      <c r="W35" s="33">
        <f>SUM(E35:U35)</f>
        <v>9060554</v>
      </c>
      <c r="X35" s="23"/>
      <c r="Y35" s="23">
        <v>22422</v>
      </c>
      <c r="Z35" s="23"/>
      <c r="AA35" s="23">
        <v>0</v>
      </c>
      <c r="AB35" s="23"/>
      <c r="AC35" s="23">
        <v>125873</v>
      </c>
      <c r="AD35" s="23"/>
      <c r="AE35" s="23"/>
      <c r="AF35" s="23"/>
      <c r="AG35" s="23"/>
      <c r="AH35" s="23"/>
      <c r="AI35" s="23">
        <v>6944</v>
      </c>
      <c r="AJ35" s="23"/>
      <c r="AK35" s="23">
        <v>0</v>
      </c>
      <c r="AL35" s="23"/>
      <c r="AM35" s="33">
        <f t="shared" si="3"/>
        <v>155239</v>
      </c>
      <c r="AN35" s="23"/>
      <c r="AO35" s="33">
        <f t="shared" si="5"/>
        <v>9215793</v>
      </c>
      <c r="AP35" s="33"/>
    </row>
    <row r="36" spans="1:42">
      <c r="A36" s="11" t="s">
        <v>507</v>
      </c>
      <c r="B36" s="11"/>
      <c r="C36" s="11" t="s">
        <v>63</v>
      </c>
      <c r="D36" s="23"/>
      <c r="E36" s="23">
        <v>12162537</v>
      </c>
      <c r="F36" s="23"/>
      <c r="G36" s="23">
        <v>0</v>
      </c>
      <c r="H36" s="23"/>
      <c r="I36" s="23">
        <f>349999+26492350+7488545</f>
        <v>34330894</v>
      </c>
      <c r="J36" s="23"/>
      <c r="K36" s="23">
        <v>84016</v>
      </c>
      <c r="L36" s="23"/>
      <c r="M36" s="23">
        <f>1652430+105397</f>
        <v>1757827</v>
      </c>
      <c r="N36" s="23"/>
      <c r="O36" s="23">
        <v>317030</v>
      </c>
      <c r="P36" s="23"/>
      <c r="Q36" s="23">
        <v>0</v>
      </c>
      <c r="R36" s="23"/>
      <c r="S36" s="23">
        <v>2391237</v>
      </c>
      <c r="T36" s="23"/>
      <c r="U36" s="23">
        <f>456911+902863</f>
        <v>1359774</v>
      </c>
      <c r="V36" s="23"/>
      <c r="W36" s="33">
        <f t="shared" ref="W36:W54" si="12">SUM(E36:V36)</f>
        <v>52403315</v>
      </c>
      <c r="X36" s="23"/>
      <c r="Y36" s="23">
        <v>278603</v>
      </c>
      <c r="Z36" s="23"/>
      <c r="AA36" s="23">
        <v>0</v>
      </c>
      <c r="AB36" s="23"/>
      <c r="AC36" s="23">
        <v>0</v>
      </c>
      <c r="AD36" s="23"/>
      <c r="AE36" s="23"/>
      <c r="AF36" s="23"/>
      <c r="AG36" s="23"/>
      <c r="AH36" s="23"/>
      <c r="AI36" s="23">
        <v>0</v>
      </c>
      <c r="AJ36" s="23"/>
      <c r="AK36" s="23">
        <v>0</v>
      </c>
      <c r="AL36" s="23"/>
      <c r="AM36" s="33">
        <f t="shared" si="3"/>
        <v>278603</v>
      </c>
      <c r="AN36" s="23"/>
      <c r="AO36" s="33">
        <f t="shared" si="5"/>
        <v>52681918</v>
      </c>
      <c r="AP36" s="33"/>
    </row>
    <row r="37" spans="1:42">
      <c r="A37" s="11" t="s">
        <v>750</v>
      </c>
      <c r="B37" s="11"/>
      <c r="C37" s="11" t="s">
        <v>15</v>
      </c>
      <c r="D37" s="23"/>
      <c r="E37" s="23">
        <v>3643989</v>
      </c>
      <c r="F37" s="23"/>
      <c r="G37" s="23">
        <v>0</v>
      </c>
      <c r="H37" s="23"/>
      <c r="I37" s="23">
        <v>8181559</v>
      </c>
      <c r="J37" s="23"/>
      <c r="K37" s="23">
        <v>22972</v>
      </c>
      <c r="L37" s="23"/>
      <c r="M37" s="23">
        <v>624999</v>
      </c>
      <c r="N37" s="23"/>
      <c r="O37" s="23">
        <v>171185</v>
      </c>
      <c r="P37" s="23"/>
      <c r="Q37" s="23">
        <v>0</v>
      </c>
      <c r="R37" s="23"/>
      <c r="S37" s="23">
        <v>25702</v>
      </c>
      <c r="T37" s="23"/>
      <c r="U37" s="23">
        <f>113271+96712</f>
        <v>209983</v>
      </c>
      <c r="V37" s="23"/>
      <c r="W37" s="33">
        <f t="shared" si="12"/>
        <v>12880389</v>
      </c>
      <c r="X37" s="23"/>
      <c r="Y37" s="23">
        <v>1678700</v>
      </c>
      <c r="Z37" s="23"/>
      <c r="AA37" s="23">
        <v>0</v>
      </c>
      <c r="AB37" s="23"/>
      <c r="AC37" s="23">
        <v>0</v>
      </c>
      <c r="AD37" s="23"/>
      <c r="AE37" s="23"/>
      <c r="AF37" s="23"/>
      <c r="AG37" s="23"/>
      <c r="AH37" s="23"/>
      <c r="AI37" s="23">
        <v>0</v>
      </c>
      <c r="AJ37" s="23"/>
      <c r="AK37" s="23">
        <v>0</v>
      </c>
      <c r="AL37" s="23"/>
      <c r="AM37" s="33">
        <f t="shared" si="3"/>
        <v>1678700</v>
      </c>
      <c r="AN37" s="23"/>
      <c r="AO37" s="33">
        <f t="shared" si="5"/>
        <v>14559089</v>
      </c>
      <c r="AP37" s="33"/>
    </row>
    <row r="38" spans="1:42">
      <c r="A38" s="11" t="s">
        <v>237</v>
      </c>
      <c r="B38" s="11"/>
      <c r="C38" s="11" t="s">
        <v>113</v>
      </c>
      <c r="D38" s="23"/>
      <c r="E38" s="23">
        <v>5639646</v>
      </c>
      <c r="F38" s="23"/>
      <c r="G38" s="23">
        <v>0</v>
      </c>
      <c r="H38" s="23"/>
      <c r="I38" s="23">
        <v>11133375</v>
      </c>
      <c r="J38" s="23"/>
      <c r="K38" s="23">
        <v>858</v>
      </c>
      <c r="L38" s="23"/>
      <c r="M38" s="23">
        <v>1040899</v>
      </c>
      <c r="N38" s="23"/>
      <c r="O38" s="23">
        <v>0</v>
      </c>
      <c r="P38" s="23"/>
      <c r="Q38" s="23">
        <v>783700</v>
      </c>
      <c r="R38" s="23"/>
      <c r="S38" s="23">
        <v>0</v>
      </c>
      <c r="T38" s="23"/>
      <c r="U38" s="23">
        <v>341451</v>
      </c>
      <c r="V38" s="23"/>
      <c r="W38" s="33">
        <f t="shared" si="12"/>
        <v>18939929</v>
      </c>
      <c r="X38" s="23"/>
      <c r="Y38" s="23">
        <v>80000</v>
      </c>
      <c r="Z38" s="23"/>
      <c r="AA38" s="23">
        <v>0</v>
      </c>
      <c r="AB38" s="23"/>
      <c r="AC38" s="23">
        <v>520000</v>
      </c>
      <c r="AD38" s="23"/>
      <c r="AE38" s="23"/>
      <c r="AF38" s="23"/>
      <c r="AG38" s="23"/>
      <c r="AH38" s="23"/>
      <c r="AI38" s="23">
        <v>0</v>
      </c>
      <c r="AJ38" s="23"/>
      <c r="AK38" s="23">
        <v>0</v>
      </c>
      <c r="AL38" s="23"/>
      <c r="AM38" s="33">
        <f t="shared" si="3"/>
        <v>600000</v>
      </c>
      <c r="AN38" s="23"/>
      <c r="AO38" s="33">
        <f t="shared" si="5"/>
        <v>19539929</v>
      </c>
      <c r="AP38" s="33"/>
    </row>
    <row r="39" spans="1:42" s="61" customFormat="1" hidden="1">
      <c r="A39" s="11" t="s">
        <v>671</v>
      </c>
      <c r="C39" s="61" t="s">
        <v>10</v>
      </c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33">
        <f t="shared" si="12"/>
        <v>0</v>
      </c>
      <c r="X39" s="23"/>
      <c r="Y39" s="23"/>
      <c r="Z39" s="23"/>
      <c r="AA39" s="23">
        <v>0</v>
      </c>
      <c r="AB39" s="23"/>
      <c r="AC39" s="23"/>
      <c r="AD39" s="23"/>
      <c r="AE39" s="23"/>
      <c r="AF39" s="23"/>
      <c r="AG39" s="23"/>
      <c r="AH39" s="23"/>
      <c r="AI39" s="23"/>
      <c r="AJ39" s="23"/>
      <c r="AK39" s="23">
        <v>0</v>
      </c>
      <c r="AL39" s="23"/>
      <c r="AM39" s="33">
        <f t="shared" si="3"/>
        <v>0</v>
      </c>
      <c r="AN39" s="23"/>
      <c r="AO39" s="33">
        <f t="shared" si="5"/>
        <v>0</v>
      </c>
      <c r="AP39" s="33"/>
    </row>
    <row r="40" spans="1:42">
      <c r="A40" s="11" t="s">
        <v>634</v>
      </c>
      <c r="B40" s="11"/>
      <c r="C40" s="11" t="s">
        <v>20</v>
      </c>
      <c r="D40" s="23"/>
      <c r="E40" s="23">
        <v>22699679</v>
      </c>
      <c r="F40" s="23"/>
      <c r="G40" s="23">
        <v>0</v>
      </c>
      <c r="H40" s="23"/>
      <c r="I40" s="23">
        <v>9186352</v>
      </c>
      <c r="J40" s="23"/>
      <c r="K40" s="23">
        <v>148344</v>
      </c>
      <c r="L40" s="23"/>
      <c r="M40" s="23">
        <v>1147022</v>
      </c>
      <c r="N40" s="23"/>
      <c r="O40" s="23">
        <v>356268</v>
      </c>
      <c r="P40" s="23"/>
      <c r="Q40" s="23">
        <v>0</v>
      </c>
      <c r="R40" s="23"/>
      <c r="S40" s="23">
        <v>0</v>
      </c>
      <c r="T40" s="23"/>
      <c r="U40" s="23">
        <f>438384+682021</f>
        <v>1120405</v>
      </c>
      <c r="V40" s="23"/>
      <c r="W40" s="33">
        <f t="shared" si="12"/>
        <v>34658070</v>
      </c>
      <c r="X40" s="23"/>
      <c r="Y40" s="23">
        <v>90555</v>
      </c>
      <c r="Z40" s="23"/>
      <c r="AA40" s="23">
        <v>0</v>
      </c>
      <c r="AB40" s="23"/>
      <c r="AC40" s="23">
        <v>0</v>
      </c>
      <c r="AD40" s="23"/>
      <c r="AE40" s="23"/>
      <c r="AF40" s="23"/>
      <c r="AG40" s="23"/>
      <c r="AH40" s="23"/>
      <c r="AI40" s="23">
        <v>0</v>
      </c>
      <c r="AJ40" s="23"/>
      <c r="AK40" s="23">
        <v>0</v>
      </c>
      <c r="AL40" s="23"/>
      <c r="AM40" s="33">
        <f t="shared" si="3"/>
        <v>90555</v>
      </c>
      <c r="AN40" s="23"/>
      <c r="AO40" s="33">
        <f t="shared" si="5"/>
        <v>34748625</v>
      </c>
      <c r="AP40" s="33"/>
    </row>
    <row r="41" spans="1:42">
      <c r="A41" s="11" t="s">
        <v>261</v>
      </c>
      <c r="B41" s="11"/>
      <c r="C41" s="11" t="s">
        <v>20</v>
      </c>
      <c r="D41" s="23"/>
      <c r="E41" s="23">
        <v>28034000</v>
      </c>
      <c r="F41" s="23"/>
      <c r="G41" s="23">
        <v>0</v>
      </c>
      <c r="H41" s="23"/>
      <c r="I41" s="23">
        <v>9576025</v>
      </c>
      <c r="J41" s="23"/>
      <c r="K41" s="23">
        <v>221951</v>
      </c>
      <c r="L41" s="23"/>
      <c r="M41" s="23">
        <v>2911592</v>
      </c>
      <c r="N41" s="23"/>
      <c r="O41" s="23">
        <v>70712</v>
      </c>
      <c r="P41" s="23"/>
      <c r="Q41" s="23">
        <v>0</v>
      </c>
      <c r="R41" s="23"/>
      <c r="S41" s="23">
        <v>49585</v>
      </c>
      <c r="T41" s="23"/>
      <c r="U41" s="23">
        <f>315776+563575+307478</f>
        <v>1186829</v>
      </c>
      <c r="V41" s="23"/>
      <c r="W41" s="33">
        <f t="shared" si="12"/>
        <v>42050694</v>
      </c>
      <c r="X41" s="23"/>
      <c r="Y41" s="23">
        <v>233540</v>
      </c>
      <c r="Z41" s="23"/>
      <c r="AA41" s="23">
        <v>0</v>
      </c>
      <c r="AB41" s="23"/>
      <c r="AC41" s="23">
        <v>172087</v>
      </c>
      <c r="AD41" s="23"/>
      <c r="AE41" s="23"/>
      <c r="AF41" s="23"/>
      <c r="AG41" s="23"/>
      <c r="AH41" s="23"/>
      <c r="AI41" s="23">
        <v>0</v>
      </c>
      <c r="AJ41" s="23"/>
      <c r="AK41" s="23">
        <v>0</v>
      </c>
      <c r="AL41" s="23"/>
      <c r="AM41" s="33">
        <f t="shared" si="3"/>
        <v>405627</v>
      </c>
      <c r="AN41" s="23"/>
      <c r="AO41" s="33">
        <f t="shared" si="5"/>
        <v>42456321</v>
      </c>
      <c r="AP41" s="33"/>
    </row>
    <row r="42" spans="1:42">
      <c r="A42" s="11" t="s">
        <v>246</v>
      </c>
      <c r="B42" s="11"/>
      <c r="C42" s="11" t="s">
        <v>112</v>
      </c>
      <c r="D42" s="23"/>
      <c r="E42" s="23">
        <v>5583612</v>
      </c>
      <c r="F42" s="23"/>
      <c r="G42" s="23">
        <v>0</v>
      </c>
      <c r="H42" s="23"/>
      <c r="I42" s="23">
        <v>12594163</v>
      </c>
      <c r="J42" s="23"/>
      <c r="K42" s="23">
        <v>905</v>
      </c>
      <c r="L42" s="23"/>
      <c r="M42" s="23">
        <v>1440881</v>
      </c>
      <c r="N42" s="23"/>
      <c r="O42" s="23">
        <v>236244</v>
      </c>
      <c r="P42" s="23"/>
      <c r="Q42" s="23">
        <v>0</v>
      </c>
      <c r="R42" s="23"/>
      <c r="S42" s="23">
        <v>0</v>
      </c>
      <c r="T42" s="23"/>
      <c r="U42" s="23">
        <f>11640+250692+323294</f>
        <v>585626</v>
      </c>
      <c r="V42" s="23"/>
      <c r="W42" s="33">
        <f t="shared" si="12"/>
        <v>20441431</v>
      </c>
      <c r="X42" s="23"/>
      <c r="Y42" s="23">
        <v>0</v>
      </c>
      <c r="Z42" s="23"/>
      <c r="AA42" s="23">
        <v>0</v>
      </c>
      <c r="AB42" s="23"/>
      <c r="AC42" s="23">
        <v>0</v>
      </c>
      <c r="AD42" s="23"/>
      <c r="AE42" s="23"/>
      <c r="AF42" s="23"/>
      <c r="AG42" s="23"/>
      <c r="AH42" s="23"/>
      <c r="AI42" s="23">
        <v>2651</v>
      </c>
      <c r="AJ42" s="23"/>
      <c r="AK42" s="23">
        <v>0</v>
      </c>
      <c r="AL42" s="23"/>
      <c r="AM42" s="33">
        <f>SUM(Y42:AK42)</f>
        <v>2651</v>
      </c>
      <c r="AN42" s="23"/>
      <c r="AO42" s="33">
        <f>W42+AM42</f>
        <v>20444082</v>
      </c>
      <c r="AP42" s="33"/>
    </row>
    <row r="43" spans="1:42">
      <c r="A43" s="11" t="s">
        <v>317</v>
      </c>
      <c r="B43" s="11"/>
      <c r="C43" s="11" t="s">
        <v>114</v>
      </c>
      <c r="D43" s="23"/>
      <c r="E43" s="23">
        <v>58182084</v>
      </c>
      <c r="F43" s="23"/>
      <c r="G43" s="23">
        <v>0</v>
      </c>
      <c r="H43" s="23"/>
      <c r="I43" s="23">
        <v>26118898</v>
      </c>
      <c r="J43" s="23"/>
      <c r="K43" s="23">
        <v>811773</v>
      </c>
      <c r="L43" s="23"/>
      <c r="M43" s="23">
        <v>1149656</v>
      </c>
      <c r="N43" s="23"/>
      <c r="O43" s="23">
        <v>671333</v>
      </c>
      <c r="P43" s="23"/>
      <c r="Q43" s="23">
        <v>0</v>
      </c>
      <c r="R43" s="23"/>
      <c r="S43" s="23">
        <v>108698</v>
      </c>
      <c r="T43" s="23"/>
      <c r="U43" s="23">
        <f>355066+2250069+10525</f>
        <v>2615660</v>
      </c>
      <c r="V43" s="23"/>
      <c r="W43" s="33">
        <f t="shared" si="12"/>
        <v>89658102</v>
      </c>
      <c r="X43" s="23"/>
      <c r="Y43" s="23">
        <v>0</v>
      </c>
      <c r="Z43" s="23"/>
      <c r="AA43" s="23">
        <v>0</v>
      </c>
      <c r="AB43" s="23"/>
      <c r="AC43" s="23">
        <v>0</v>
      </c>
      <c r="AD43" s="23"/>
      <c r="AE43" s="23"/>
      <c r="AF43" s="23"/>
      <c r="AG43" s="23"/>
      <c r="AH43" s="23"/>
      <c r="AI43" s="23">
        <v>0</v>
      </c>
      <c r="AJ43" s="23"/>
      <c r="AK43" s="23">
        <v>0</v>
      </c>
      <c r="AL43" s="23"/>
      <c r="AM43" s="33">
        <f t="shared" si="3"/>
        <v>0</v>
      </c>
      <c r="AN43" s="23"/>
      <c r="AO43" s="33">
        <f>W43+AM43</f>
        <v>89658102</v>
      </c>
      <c r="AP43" s="33"/>
    </row>
    <row r="44" spans="1:42">
      <c r="A44" s="11" t="s">
        <v>262</v>
      </c>
      <c r="B44" s="11"/>
      <c r="C44" s="11" t="s">
        <v>20</v>
      </c>
      <c r="D44" s="23"/>
      <c r="E44" s="23">
        <v>28956997</v>
      </c>
      <c r="F44" s="23"/>
      <c r="G44" s="23">
        <v>0</v>
      </c>
      <c r="H44" s="23"/>
      <c r="I44" s="23">
        <v>20612383</v>
      </c>
      <c r="J44" s="23"/>
      <c r="K44" s="23">
        <v>11272</v>
      </c>
      <c r="L44" s="23"/>
      <c r="M44" s="23">
        <v>1724635</v>
      </c>
      <c r="N44" s="23"/>
      <c r="O44" s="23">
        <v>259838</v>
      </c>
      <c r="P44" s="23"/>
      <c r="Q44" s="23">
        <v>0</v>
      </c>
      <c r="R44" s="23"/>
      <c r="S44" s="23">
        <v>37781</v>
      </c>
      <c r="T44" s="23"/>
      <c r="U44" s="23">
        <f>394204+33300+582866</f>
        <v>1010370</v>
      </c>
      <c r="V44" s="23"/>
      <c r="W44" s="33">
        <f t="shared" si="12"/>
        <v>52613276</v>
      </c>
      <c r="X44" s="23"/>
      <c r="Y44" s="23">
        <v>390230</v>
      </c>
      <c r="Z44" s="23"/>
      <c r="AA44" s="23">
        <v>0</v>
      </c>
      <c r="AB44" s="23"/>
      <c r="AC44" s="23">
        <v>0</v>
      </c>
      <c r="AD44" s="23"/>
      <c r="AE44" s="23"/>
      <c r="AF44" s="23"/>
      <c r="AG44" s="23"/>
      <c r="AH44" s="23"/>
      <c r="AI44" s="23">
        <v>14700</v>
      </c>
      <c r="AJ44" s="23"/>
      <c r="AK44" s="23">
        <v>0</v>
      </c>
      <c r="AL44" s="23"/>
      <c r="AM44" s="33">
        <f t="shared" si="3"/>
        <v>404930</v>
      </c>
      <c r="AN44" s="23"/>
      <c r="AO44" s="33">
        <f>W44+AM44</f>
        <v>53018206</v>
      </c>
      <c r="AP44" s="33"/>
    </row>
    <row r="45" spans="1:42">
      <c r="A45" s="11" t="s">
        <v>215</v>
      </c>
      <c r="B45" s="11"/>
      <c r="C45" s="11" t="s">
        <v>15</v>
      </c>
      <c r="D45" s="23"/>
      <c r="E45" s="23">
        <v>2460597</v>
      </c>
      <c r="F45" s="23"/>
      <c r="G45" s="23">
        <v>0</v>
      </c>
      <c r="H45" s="23"/>
      <c r="I45" s="23">
        <v>12049382</v>
      </c>
      <c r="J45" s="23"/>
      <c r="K45" s="23">
        <v>10371</v>
      </c>
      <c r="L45" s="23"/>
      <c r="M45" s="23">
        <v>821520</v>
      </c>
      <c r="N45" s="23"/>
      <c r="O45" s="23">
        <v>165601</v>
      </c>
      <c r="P45" s="23"/>
      <c r="Q45" s="23">
        <v>0</v>
      </c>
      <c r="R45" s="23"/>
      <c r="S45" s="23">
        <v>2120</v>
      </c>
      <c r="T45" s="23"/>
      <c r="U45" s="23">
        <f>88096+244179+6000</f>
        <v>338275</v>
      </c>
      <c r="V45" s="23"/>
      <c r="W45" s="33">
        <f t="shared" si="12"/>
        <v>15847866</v>
      </c>
      <c r="X45" s="23"/>
      <c r="Y45" s="23">
        <v>0</v>
      </c>
      <c r="Z45" s="23"/>
      <c r="AA45" s="23">
        <v>0</v>
      </c>
      <c r="AB45" s="23"/>
      <c r="AC45" s="23">
        <v>0</v>
      </c>
      <c r="AD45" s="23"/>
      <c r="AE45" s="23"/>
      <c r="AF45" s="23"/>
      <c r="AG45" s="23"/>
      <c r="AH45" s="23"/>
      <c r="AI45" s="23">
        <v>2500</v>
      </c>
      <c r="AJ45" s="23"/>
      <c r="AK45" s="23">
        <v>0</v>
      </c>
      <c r="AL45" s="23"/>
      <c r="AM45" s="33">
        <f t="shared" si="3"/>
        <v>2500</v>
      </c>
      <c r="AN45" s="23"/>
      <c r="AO45" s="33">
        <f>W45+AM45</f>
        <v>15850366</v>
      </c>
      <c r="AP45" s="33"/>
    </row>
    <row r="46" spans="1:42">
      <c r="A46" s="11" t="s">
        <v>735</v>
      </c>
      <c r="B46" s="11"/>
      <c r="C46" s="11" t="s">
        <v>114</v>
      </c>
      <c r="D46" s="23"/>
      <c r="E46" s="23">
        <v>18740978</v>
      </c>
      <c r="F46" s="23"/>
      <c r="G46" s="23">
        <v>0</v>
      </c>
      <c r="H46" s="23"/>
      <c r="I46" s="23">
        <v>9310579</v>
      </c>
      <c r="J46" s="23"/>
      <c r="K46" s="23">
        <v>413</v>
      </c>
      <c r="L46" s="23"/>
      <c r="M46" s="23">
        <v>543588</v>
      </c>
      <c r="N46" s="23"/>
      <c r="O46" s="23">
        <v>463223</v>
      </c>
      <c r="P46" s="23"/>
      <c r="Q46" s="23">
        <v>0</v>
      </c>
      <c r="R46" s="23"/>
      <c r="S46" s="23">
        <v>153340</v>
      </c>
      <c r="T46" s="23"/>
      <c r="U46" s="23">
        <f>341972+54245+589651</f>
        <v>985868</v>
      </c>
      <c r="V46" s="23"/>
      <c r="W46" s="33">
        <f t="shared" si="12"/>
        <v>30197989</v>
      </c>
      <c r="X46" s="23"/>
      <c r="Y46" s="23">
        <v>0</v>
      </c>
      <c r="Z46" s="23"/>
      <c r="AA46" s="23">
        <v>0</v>
      </c>
      <c r="AB46" s="23"/>
      <c r="AC46" s="23">
        <v>0</v>
      </c>
      <c r="AD46" s="23"/>
      <c r="AE46" s="23"/>
      <c r="AF46" s="23"/>
      <c r="AG46" s="23"/>
      <c r="AH46" s="23"/>
      <c r="AI46" s="23">
        <v>21500</v>
      </c>
      <c r="AJ46" s="23"/>
      <c r="AK46" s="23">
        <v>1495009</v>
      </c>
      <c r="AL46" s="23"/>
      <c r="AM46" s="33">
        <f t="shared" si="3"/>
        <v>1516509</v>
      </c>
      <c r="AN46" s="23"/>
      <c r="AO46" s="33">
        <f t="shared" si="5"/>
        <v>31714498</v>
      </c>
      <c r="AP46" s="33"/>
    </row>
    <row r="47" spans="1:42" s="61" customFormat="1" hidden="1">
      <c r="A47" s="11" t="s">
        <v>885</v>
      </c>
      <c r="B47" s="11"/>
      <c r="C47" s="11" t="s">
        <v>43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33">
        <f t="shared" ref="W47" si="13">SUM(E47:V47)</f>
        <v>0</v>
      </c>
      <c r="X47" s="23"/>
      <c r="Y47" s="23"/>
      <c r="Z47" s="23"/>
      <c r="AA47" s="23">
        <v>0</v>
      </c>
      <c r="AB47" s="23"/>
      <c r="AC47" s="23"/>
      <c r="AD47" s="23"/>
      <c r="AE47" s="23"/>
      <c r="AF47" s="23"/>
      <c r="AG47" s="23"/>
      <c r="AH47" s="23"/>
      <c r="AI47" s="23"/>
      <c r="AJ47" s="23"/>
      <c r="AK47" s="23">
        <v>0</v>
      </c>
      <c r="AL47" s="23"/>
      <c r="AM47" s="33">
        <f t="shared" ref="AM47" si="14">SUM(Y47:AK47)</f>
        <v>0</v>
      </c>
      <c r="AN47" s="23"/>
      <c r="AO47" s="33">
        <f t="shared" ref="AO47" si="15">W47+AM47</f>
        <v>0</v>
      </c>
      <c r="AP47" s="33"/>
    </row>
    <row r="48" spans="1:42">
      <c r="A48" s="11" t="s">
        <v>355</v>
      </c>
      <c r="B48" s="11"/>
      <c r="C48" s="11" t="s">
        <v>37</v>
      </c>
      <c r="D48" s="23"/>
      <c r="E48" s="23">
        <v>7280411</v>
      </c>
      <c r="F48" s="23"/>
      <c r="G48" s="23">
        <v>1280328</v>
      </c>
      <c r="H48" s="23"/>
      <c r="I48" s="23">
        <f>14944980+1915109</f>
        <v>16860089</v>
      </c>
      <c r="J48" s="23"/>
      <c r="K48" s="23">
        <v>63821</v>
      </c>
      <c r="L48" s="23"/>
      <c r="M48" s="23">
        <f>305982+75322</f>
        <v>381304</v>
      </c>
      <c r="N48" s="23"/>
      <c r="O48" s="23">
        <v>241396</v>
      </c>
      <c r="P48" s="23"/>
      <c r="Q48" s="23">
        <v>0</v>
      </c>
      <c r="R48" s="23"/>
      <c r="S48" s="23">
        <v>11332</v>
      </c>
      <c r="T48" s="23"/>
      <c r="U48" s="23">
        <f>240562+2755+409443</f>
        <v>652760</v>
      </c>
      <c r="V48" s="23"/>
      <c r="W48" s="33">
        <f t="shared" si="12"/>
        <v>26771441</v>
      </c>
      <c r="X48" s="23"/>
      <c r="Y48" s="23">
        <v>209412</v>
      </c>
      <c r="Z48" s="23"/>
      <c r="AA48" s="23">
        <v>0</v>
      </c>
      <c r="AB48" s="23"/>
      <c r="AC48" s="23">
        <v>324198</v>
      </c>
      <c r="AD48" s="23"/>
      <c r="AE48" s="23"/>
      <c r="AF48" s="23"/>
      <c r="AG48" s="23"/>
      <c r="AH48" s="23"/>
      <c r="AI48" s="23">
        <v>12328</v>
      </c>
      <c r="AJ48" s="23"/>
      <c r="AK48" s="23">
        <v>0</v>
      </c>
      <c r="AL48" s="23"/>
      <c r="AM48" s="33">
        <f t="shared" si="3"/>
        <v>545938</v>
      </c>
      <c r="AN48" s="23"/>
      <c r="AO48" s="33">
        <f t="shared" si="5"/>
        <v>27317379</v>
      </c>
      <c r="AP48" s="33"/>
    </row>
    <row r="49" spans="1:42">
      <c r="A49" s="11" t="s">
        <v>547</v>
      </c>
      <c r="B49" s="11"/>
      <c r="C49" s="11" t="s">
        <v>70</v>
      </c>
      <c r="D49" s="23"/>
      <c r="E49" s="23">
        <v>3331759</v>
      </c>
      <c r="F49" s="23"/>
      <c r="G49" s="23">
        <v>0</v>
      </c>
      <c r="H49" s="23"/>
      <c r="I49" s="23">
        <f>5409172+1556423</f>
        <v>6965595</v>
      </c>
      <c r="J49" s="23"/>
      <c r="K49" s="23">
        <v>32421</v>
      </c>
      <c r="L49" s="23"/>
      <c r="M49" s="23">
        <f>463362+20185</f>
        <v>483547</v>
      </c>
      <c r="N49" s="23"/>
      <c r="O49" s="23">
        <v>86764</v>
      </c>
      <c r="P49" s="23"/>
      <c r="Q49" s="23">
        <v>0</v>
      </c>
      <c r="R49" s="23"/>
      <c r="S49" s="23">
        <v>1250</v>
      </c>
      <c r="T49" s="23"/>
      <c r="U49" s="23">
        <f>31637+3043+122472</f>
        <v>157152</v>
      </c>
      <c r="V49" s="23"/>
      <c r="W49" s="33">
        <f t="shared" si="12"/>
        <v>11058488</v>
      </c>
      <c r="X49" s="23"/>
      <c r="Y49" s="23">
        <v>0</v>
      </c>
      <c r="Z49" s="23"/>
      <c r="AA49" s="23">
        <v>0</v>
      </c>
      <c r="AB49" s="23"/>
      <c r="AC49" s="23">
        <v>0</v>
      </c>
      <c r="AD49" s="23"/>
      <c r="AE49" s="23"/>
      <c r="AF49" s="23"/>
      <c r="AG49" s="23"/>
      <c r="AH49" s="23"/>
      <c r="AI49" s="23">
        <v>0</v>
      </c>
      <c r="AJ49" s="23"/>
      <c r="AK49" s="23">
        <v>0</v>
      </c>
      <c r="AL49" s="23"/>
      <c r="AM49" s="33">
        <f t="shared" si="3"/>
        <v>0</v>
      </c>
      <c r="AN49" s="23"/>
      <c r="AO49" s="33">
        <f t="shared" si="5"/>
        <v>11058488</v>
      </c>
      <c r="AP49" s="33"/>
    </row>
    <row r="50" spans="1:42" hidden="1">
      <c r="A50" s="11" t="s">
        <v>886</v>
      </c>
      <c r="B50" s="11"/>
      <c r="C50" s="11" t="s">
        <v>43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33">
        <f t="shared" ref="W50" si="16">SUM(E50:V50)</f>
        <v>0</v>
      </c>
      <c r="X50" s="23"/>
      <c r="Y50" s="23">
        <v>0</v>
      </c>
      <c r="Z50" s="23"/>
      <c r="AA50" s="23">
        <v>0</v>
      </c>
      <c r="AB50" s="23"/>
      <c r="AC50" s="23">
        <v>0</v>
      </c>
      <c r="AD50" s="23"/>
      <c r="AE50" s="23"/>
      <c r="AF50" s="23"/>
      <c r="AG50" s="23"/>
      <c r="AH50" s="23"/>
      <c r="AI50" s="23">
        <v>0</v>
      </c>
      <c r="AJ50" s="23"/>
      <c r="AK50" s="23">
        <v>0</v>
      </c>
      <c r="AL50" s="23"/>
      <c r="AM50" s="33">
        <f t="shared" ref="AM50" si="17">SUM(Y50:AK50)</f>
        <v>0</v>
      </c>
      <c r="AN50" s="23"/>
      <c r="AO50" s="33">
        <f t="shared" ref="AO50" si="18">W50+AM50</f>
        <v>0</v>
      </c>
      <c r="AP50" s="33"/>
    </row>
    <row r="51" spans="1:42" hidden="1">
      <c r="A51" s="11" t="s">
        <v>869</v>
      </c>
      <c r="B51" s="11"/>
      <c r="C51" s="11" t="s">
        <v>53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33">
        <f t="shared" si="12"/>
        <v>0</v>
      </c>
      <c r="X51" s="23"/>
      <c r="Y51" s="23">
        <v>0</v>
      </c>
      <c r="Z51" s="23"/>
      <c r="AA51" s="23">
        <v>0</v>
      </c>
      <c r="AB51" s="23"/>
      <c r="AC51" s="23">
        <v>0</v>
      </c>
      <c r="AD51" s="23"/>
      <c r="AE51" s="23"/>
      <c r="AF51" s="23"/>
      <c r="AG51" s="23"/>
      <c r="AH51" s="23"/>
      <c r="AI51" s="23">
        <v>0</v>
      </c>
      <c r="AJ51" s="23"/>
      <c r="AK51" s="23">
        <v>0</v>
      </c>
      <c r="AL51" s="23"/>
      <c r="AM51" s="33">
        <f t="shared" si="3"/>
        <v>0</v>
      </c>
      <c r="AN51" s="23"/>
      <c r="AO51" s="33">
        <f t="shared" si="5"/>
        <v>0</v>
      </c>
      <c r="AP51" s="33"/>
    </row>
    <row r="52" spans="1:42">
      <c r="A52" s="11" t="s">
        <v>263</v>
      </c>
      <c r="B52" s="11"/>
      <c r="C52" s="11" t="s">
        <v>20</v>
      </c>
      <c r="D52" s="23"/>
      <c r="E52" s="23">
        <v>51417177</v>
      </c>
      <c r="F52" s="23"/>
      <c r="G52" s="23">
        <v>0</v>
      </c>
      <c r="H52" s="23"/>
      <c r="I52" s="23">
        <v>29207458</v>
      </c>
      <c r="J52" s="23"/>
      <c r="K52" s="23">
        <v>34505</v>
      </c>
      <c r="L52" s="23"/>
      <c r="M52" s="23">
        <v>3780047</v>
      </c>
      <c r="N52" s="23"/>
      <c r="O52" s="23">
        <v>708113</v>
      </c>
      <c r="P52" s="23"/>
      <c r="Q52" s="23">
        <v>0</v>
      </c>
      <c r="R52" s="23"/>
      <c r="S52" s="23">
        <v>354898</v>
      </c>
      <c r="T52" s="23"/>
      <c r="U52" s="23">
        <f>954018+1177577+174798</f>
        <v>2306393</v>
      </c>
      <c r="V52" s="23"/>
      <c r="W52" s="33">
        <f t="shared" si="12"/>
        <v>87808591</v>
      </c>
      <c r="X52" s="23"/>
      <c r="Y52" s="23">
        <v>570437</v>
      </c>
      <c r="Z52" s="23"/>
      <c r="AA52" s="23">
        <v>0</v>
      </c>
      <c r="AB52" s="23"/>
      <c r="AC52" s="23">
        <v>0</v>
      </c>
      <c r="AD52" s="23"/>
      <c r="AE52" s="23"/>
      <c r="AF52" s="23"/>
      <c r="AG52" s="23"/>
      <c r="AH52" s="23"/>
      <c r="AI52" s="23">
        <v>0</v>
      </c>
      <c r="AJ52" s="23"/>
      <c r="AK52" s="23">
        <v>268452</v>
      </c>
      <c r="AL52" s="23"/>
      <c r="AM52" s="33">
        <f t="shared" si="3"/>
        <v>838889</v>
      </c>
      <c r="AN52" s="23"/>
      <c r="AO52" s="33">
        <f t="shared" si="5"/>
        <v>88647480</v>
      </c>
      <c r="AP52" s="33"/>
    </row>
    <row r="53" spans="1:42">
      <c r="A53" s="11" t="s">
        <v>639</v>
      </c>
      <c r="B53" s="11"/>
      <c r="C53" s="11" t="s">
        <v>30</v>
      </c>
      <c r="D53" s="23"/>
      <c r="E53" s="23">
        <v>4353798</v>
      </c>
      <c r="F53" s="23"/>
      <c r="G53" s="23">
        <v>1548753</v>
      </c>
      <c r="H53" s="23"/>
      <c r="I53" s="23">
        <v>5007888</v>
      </c>
      <c r="J53" s="23"/>
      <c r="K53" s="23">
        <v>6285</v>
      </c>
      <c r="L53" s="23"/>
      <c r="M53" s="23">
        <v>387610</v>
      </c>
      <c r="N53" s="23"/>
      <c r="O53" s="23">
        <v>179916</v>
      </c>
      <c r="P53" s="23"/>
      <c r="Q53" s="23">
        <v>0</v>
      </c>
      <c r="R53" s="23"/>
      <c r="S53" s="23">
        <v>36947</v>
      </c>
      <c r="T53" s="23"/>
      <c r="U53" s="23">
        <f>124989+1700+23633</f>
        <v>150322</v>
      </c>
      <c r="V53" s="23"/>
      <c r="W53" s="33">
        <f t="shared" si="12"/>
        <v>11671519</v>
      </c>
      <c r="X53" s="23"/>
      <c r="Y53" s="23">
        <v>11000</v>
      </c>
      <c r="Z53" s="23"/>
      <c r="AA53" s="23">
        <v>0</v>
      </c>
      <c r="AB53" s="23"/>
      <c r="AC53" s="23">
        <v>75650</v>
      </c>
      <c r="AD53" s="23"/>
      <c r="AE53" s="23"/>
      <c r="AF53" s="23"/>
      <c r="AG53" s="23"/>
      <c r="AH53" s="23"/>
      <c r="AI53" s="23">
        <v>0</v>
      </c>
      <c r="AJ53" s="23"/>
      <c r="AK53" s="23">
        <v>0</v>
      </c>
      <c r="AL53" s="23"/>
      <c r="AM53" s="33">
        <f t="shared" si="3"/>
        <v>86650</v>
      </c>
      <c r="AN53" s="23"/>
      <c r="AO53" s="33">
        <f t="shared" si="5"/>
        <v>11758169</v>
      </c>
      <c r="AP53" s="33"/>
    </row>
    <row r="54" spans="1:42" hidden="1">
      <c r="A54" s="11" t="s">
        <v>285</v>
      </c>
      <c r="B54" s="11"/>
      <c r="C54" s="11" t="s">
        <v>24</v>
      </c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33">
        <f t="shared" si="12"/>
        <v>0</v>
      </c>
      <c r="X54" s="23"/>
      <c r="Y54" s="23">
        <v>0</v>
      </c>
      <c r="Z54" s="23"/>
      <c r="AA54" s="23">
        <v>0</v>
      </c>
      <c r="AB54" s="23"/>
      <c r="AC54" s="23">
        <v>0</v>
      </c>
      <c r="AD54" s="23"/>
      <c r="AE54" s="23"/>
      <c r="AF54" s="23"/>
      <c r="AG54" s="23"/>
      <c r="AH54" s="23"/>
      <c r="AI54" s="23">
        <v>0</v>
      </c>
      <c r="AJ54" s="23"/>
      <c r="AK54" s="23">
        <v>0</v>
      </c>
      <c r="AL54" s="23"/>
      <c r="AM54" s="33">
        <f t="shared" si="3"/>
        <v>0</v>
      </c>
      <c r="AN54" s="23"/>
      <c r="AO54" s="33">
        <f t="shared" si="5"/>
        <v>0</v>
      </c>
      <c r="AP54" s="33"/>
    </row>
    <row r="55" spans="1:42" hidden="1">
      <c r="A55" s="11" t="s">
        <v>792</v>
      </c>
      <c r="B55" s="11"/>
      <c r="C55" s="11" t="s">
        <v>25</v>
      </c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33">
        <f t="shared" ref="W55:W84" si="19">SUM(E55:U55)</f>
        <v>0</v>
      </c>
      <c r="X55" s="23"/>
      <c r="Y55" s="23"/>
      <c r="Z55" s="23"/>
      <c r="AA55" s="23">
        <v>0</v>
      </c>
      <c r="AB55" s="23"/>
      <c r="AC55" s="23"/>
      <c r="AD55" s="23"/>
      <c r="AE55" s="23"/>
      <c r="AF55" s="23"/>
      <c r="AG55" s="23"/>
      <c r="AH55" s="23"/>
      <c r="AI55" s="23"/>
      <c r="AJ55" s="23"/>
      <c r="AK55" s="23">
        <v>0</v>
      </c>
      <c r="AL55" s="23"/>
      <c r="AM55" s="33">
        <f t="shared" si="3"/>
        <v>0</v>
      </c>
      <c r="AN55" s="23"/>
      <c r="AO55" s="33">
        <f t="shared" si="5"/>
        <v>0</v>
      </c>
      <c r="AP55" s="33"/>
    </row>
    <row r="56" spans="1:42">
      <c r="A56" s="11" t="s">
        <v>423</v>
      </c>
      <c r="B56" s="11"/>
      <c r="C56" s="11" t="s">
        <v>48</v>
      </c>
      <c r="D56" s="23"/>
      <c r="E56" s="23">
        <v>4518830</v>
      </c>
      <c r="F56" s="23"/>
      <c r="G56" s="23">
        <v>0</v>
      </c>
      <c r="H56" s="23"/>
      <c r="I56" s="23">
        <v>3750687</v>
      </c>
      <c r="J56" s="23"/>
      <c r="K56" s="23">
        <v>2430</v>
      </c>
      <c r="L56" s="23"/>
      <c r="M56" s="23">
        <v>852187</v>
      </c>
      <c r="N56" s="23"/>
      <c r="O56" s="23">
        <v>138279</v>
      </c>
      <c r="P56" s="23"/>
      <c r="Q56" s="23">
        <v>0</v>
      </c>
      <c r="R56" s="23"/>
      <c r="S56" s="23">
        <v>0</v>
      </c>
      <c r="T56" s="23"/>
      <c r="U56" s="23">
        <f>121109+204879</f>
        <v>325988</v>
      </c>
      <c r="V56" s="23"/>
      <c r="W56" s="33">
        <f t="shared" si="19"/>
        <v>9588401</v>
      </c>
      <c r="X56" s="23"/>
      <c r="Y56" s="23">
        <v>34000</v>
      </c>
      <c r="Z56" s="23"/>
      <c r="AA56" s="23">
        <v>0</v>
      </c>
      <c r="AB56" s="23"/>
      <c r="AC56" s="23">
        <v>0</v>
      </c>
      <c r="AD56" s="23"/>
      <c r="AE56" s="23"/>
      <c r="AF56" s="23"/>
      <c r="AG56" s="23"/>
      <c r="AH56" s="23"/>
      <c r="AI56" s="23">
        <v>0</v>
      </c>
      <c r="AJ56" s="23"/>
      <c r="AK56" s="23">
        <v>0</v>
      </c>
      <c r="AL56" s="23"/>
      <c r="AM56" s="33">
        <f t="shared" si="3"/>
        <v>34000</v>
      </c>
      <c r="AN56" s="23"/>
      <c r="AO56" s="33">
        <f t="shared" si="5"/>
        <v>9622401</v>
      </c>
      <c r="AP56" s="33"/>
    </row>
    <row r="57" spans="1:42">
      <c r="A57" s="11" t="s">
        <v>238</v>
      </c>
      <c r="B57" s="11"/>
      <c r="C57" s="11" t="s">
        <v>113</v>
      </c>
      <c r="D57" s="23"/>
      <c r="E57" s="23">
        <v>3072255</v>
      </c>
      <c r="F57" s="23"/>
      <c r="G57" s="23">
        <v>0</v>
      </c>
      <c r="H57" s="23"/>
      <c r="I57" s="23">
        <v>11557334</v>
      </c>
      <c r="J57" s="23"/>
      <c r="K57" s="23">
        <v>9908</v>
      </c>
      <c r="L57" s="23"/>
      <c r="M57" s="23">
        <v>1341954</v>
      </c>
      <c r="N57" s="23"/>
      <c r="O57" s="23">
        <v>257594</v>
      </c>
      <c r="P57" s="23"/>
      <c r="Q57" s="23">
        <v>0</v>
      </c>
      <c r="R57" s="23"/>
      <c r="S57" s="23">
        <v>51326</v>
      </c>
      <c r="T57" s="23"/>
      <c r="U57" s="23">
        <f>44848+329976+7963</f>
        <v>382787</v>
      </c>
      <c r="V57" s="23"/>
      <c r="W57" s="33">
        <f t="shared" si="19"/>
        <v>16673158</v>
      </c>
      <c r="X57" s="23"/>
      <c r="Y57" s="23">
        <v>413515</v>
      </c>
      <c r="Z57" s="23"/>
      <c r="AA57" s="23">
        <v>0</v>
      </c>
      <c r="AB57" s="23"/>
      <c r="AC57" s="23">
        <v>0</v>
      </c>
      <c r="AD57" s="23"/>
      <c r="AE57" s="23"/>
      <c r="AF57" s="23"/>
      <c r="AG57" s="23"/>
      <c r="AH57" s="23"/>
      <c r="AI57" s="23">
        <v>0</v>
      </c>
      <c r="AJ57" s="23"/>
      <c r="AK57" s="23">
        <v>0</v>
      </c>
      <c r="AL57" s="23"/>
      <c r="AM57" s="33">
        <f t="shared" si="3"/>
        <v>413515</v>
      </c>
      <c r="AN57" s="23"/>
      <c r="AO57" s="33">
        <f t="shared" si="5"/>
        <v>17086673</v>
      </c>
      <c r="AP57" s="33"/>
    </row>
    <row r="58" spans="1:42" hidden="1">
      <c r="A58" s="11" t="s">
        <v>672</v>
      </c>
      <c r="B58" s="11"/>
      <c r="C58" s="11" t="s">
        <v>60</v>
      </c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33">
        <f t="shared" si="19"/>
        <v>0</v>
      </c>
      <c r="X58" s="23"/>
      <c r="Y58" s="23"/>
      <c r="Z58" s="23"/>
      <c r="AA58" s="23">
        <v>0</v>
      </c>
      <c r="AB58" s="23"/>
      <c r="AC58" s="23"/>
      <c r="AD58" s="23"/>
      <c r="AE58" s="23"/>
      <c r="AF58" s="23"/>
      <c r="AG58" s="23"/>
      <c r="AH58" s="23"/>
      <c r="AI58" s="23"/>
      <c r="AJ58" s="23"/>
      <c r="AK58" s="23">
        <v>0</v>
      </c>
      <c r="AL58" s="23"/>
      <c r="AM58" s="33">
        <f t="shared" si="3"/>
        <v>0</v>
      </c>
      <c r="AN58" s="23"/>
      <c r="AO58" s="33">
        <f t="shared" si="5"/>
        <v>0</v>
      </c>
      <c r="AP58" s="33"/>
    </row>
    <row r="59" spans="1:42">
      <c r="A59" s="11" t="s">
        <v>299</v>
      </c>
      <c r="B59" s="11"/>
      <c r="C59" s="11" t="s">
        <v>27</v>
      </c>
      <c r="D59" s="23"/>
      <c r="E59" s="23">
        <v>22224405</v>
      </c>
      <c r="F59" s="23"/>
      <c r="G59" s="23">
        <v>5868617</v>
      </c>
      <c r="H59" s="23"/>
      <c r="I59" s="23">
        <f>6964622+832674+1087013</f>
        <v>8884309</v>
      </c>
      <c r="J59" s="23"/>
      <c r="K59" s="23">
        <v>86060</v>
      </c>
      <c r="L59" s="23"/>
      <c r="M59" s="23">
        <v>68120</v>
      </c>
      <c r="N59" s="23"/>
      <c r="O59" s="23">
        <v>274854</v>
      </c>
      <c r="P59" s="23"/>
      <c r="Q59" s="23">
        <v>0</v>
      </c>
      <c r="R59" s="23"/>
      <c r="S59" s="23">
        <v>0</v>
      </c>
      <c r="T59" s="23"/>
      <c r="U59" s="23">
        <f>308413+315568</f>
        <v>623981</v>
      </c>
      <c r="V59" s="23"/>
      <c r="W59" s="33">
        <f t="shared" si="19"/>
        <v>38030346</v>
      </c>
      <c r="X59" s="23"/>
      <c r="Y59" s="23">
        <v>200442</v>
      </c>
      <c r="Z59" s="23"/>
      <c r="AA59" s="23">
        <v>0</v>
      </c>
      <c r="AB59" s="23"/>
      <c r="AC59" s="23">
        <v>0</v>
      </c>
      <c r="AD59" s="23"/>
      <c r="AE59" s="23"/>
      <c r="AF59" s="23"/>
      <c r="AG59" s="23"/>
      <c r="AH59" s="23"/>
      <c r="AI59" s="23">
        <v>0</v>
      </c>
      <c r="AJ59" s="23"/>
      <c r="AK59" s="23">
        <v>0</v>
      </c>
      <c r="AL59" s="23"/>
      <c r="AM59" s="33">
        <f t="shared" si="3"/>
        <v>200442</v>
      </c>
      <c r="AN59" s="23"/>
      <c r="AO59" s="33">
        <f t="shared" si="5"/>
        <v>38230788</v>
      </c>
      <c r="AP59" s="33"/>
    </row>
    <row r="60" spans="1:42">
      <c r="A60" s="11" t="s">
        <v>635</v>
      </c>
      <c r="B60" s="11"/>
      <c r="C60" s="11" t="s">
        <v>23</v>
      </c>
      <c r="D60" s="23"/>
      <c r="E60" s="23">
        <v>19364069</v>
      </c>
      <c r="F60" s="23"/>
      <c r="G60" s="23">
        <v>4797450</v>
      </c>
      <c r="H60" s="23"/>
      <c r="I60" s="23">
        <v>9095110</v>
      </c>
      <c r="J60" s="23"/>
      <c r="K60" s="23">
        <v>41887</v>
      </c>
      <c r="L60" s="23"/>
      <c r="M60" s="23">
        <v>447035</v>
      </c>
      <c r="N60" s="23"/>
      <c r="O60" s="23">
        <v>218586</v>
      </c>
      <c r="P60" s="23"/>
      <c r="Q60" s="23">
        <v>0</v>
      </c>
      <c r="R60" s="23"/>
      <c r="S60" s="23">
        <v>180478</v>
      </c>
      <c r="T60" s="23"/>
      <c r="U60" s="23">
        <f>738593+387038</f>
        <v>1125631</v>
      </c>
      <c r="V60" s="23"/>
      <c r="W60" s="33">
        <f t="shared" si="19"/>
        <v>35270246</v>
      </c>
      <c r="X60" s="23"/>
      <c r="Y60" s="23">
        <v>321377</v>
      </c>
      <c r="Z60" s="23"/>
      <c r="AA60" s="23">
        <v>0</v>
      </c>
      <c r="AB60" s="23"/>
      <c r="AC60" s="23">
        <f>8718405+1278003</f>
        <v>9996408</v>
      </c>
      <c r="AD60" s="23"/>
      <c r="AE60" s="23"/>
      <c r="AF60" s="23"/>
      <c r="AG60" s="23"/>
      <c r="AH60" s="23"/>
      <c r="AI60" s="23">
        <v>2297</v>
      </c>
      <c r="AJ60" s="23"/>
      <c r="AK60" s="23">
        <v>0</v>
      </c>
      <c r="AL60" s="23"/>
      <c r="AM60" s="33">
        <f t="shared" si="3"/>
        <v>10320082</v>
      </c>
      <c r="AN60" s="23"/>
      <c r="AO60" s="33">
        <f t="shared" si="5"/>
        <v>45590328</v>
      </c>
      <c r="AP60" s="33"/>
    </row>
    <row r="61" spans="1:42">
      <c r="A61" s="11" t="s">
        <v>414</v>
      </c>
      <c r="B61" s="11"/>
      <c r="C61" s="11" t="s">
        <v>47</v>
      </c>
      <c r="D61" s="23"/>
      <c r="E61" s="23">
        <v>4035976</v>
      </c>
      <c r="F61" s="23"/>
      <c r="G61" s="23">
        <v>0</v>
      </c>
      <c r="H61" s="23"/>
      <c r="I61" s="23">
        <f>13520+7811027+1832737</f>
        <v>9657284</v>
      </c>
      <c r="J61" s="23"/>
      <c r="K61" s="23">
        <v>13447</v>
      </c>
      <c r="L61" s="23"/>
      <c r="M61" s="23">
        <f>296934+77566+100</f>
        <v>374600</v>
      </c>
      <c r="N61" s="23"/>
      <c r="O61" s="23">
        <v>382187</v>
      </c>
      <c r="P61" s="23"/>
      <c r="Q61" s="23">
        <v>0</v>
      </c>
      <c r="R61" s="23"/>
      <c r="S61" s="23">
        <v>6500</v>
      </c>
      <c r="T61" s="23"/>
      <c r="U61" s="23">
        <f>224553+23374+600+149291+15468</f>
        <v>413286</v>
      </c>
      <c r="V61" s="23"/>
      <c r="W61" s="33">
        <f t="shared" si="19"/>
        <v>14883280</v>
      </c>
      <c r="X61" s="23"/>
      <c r="Y61" s="23">
        <v>160259</v>
      </c>
      <c r="Z61" s="23"/>
      <c r="AA61" s="23">
        <v>0</v>
      </c>
      <c r="AB61" s="23"/>
      <c r="AC61" s="23">
        <v>0</v>
      </c>
      <c r="AD61" s="23"/>
      <c r="AE61" s="23"/>
      <c r="AF61" s="23"/>
      <c r="AG61" s="23"/>
      <c r="AH61" s="23"/>
      <c r="AI61" s="23">
        <v>0</v>
      </c>
      <c r="AJ61" s="23"/>
      <c r="AK61" s="23">
        <v>0</v>
      </c>
      <c r="AL61" s="23"/>
      <c r="AM61" s="33">
        <f t="shared" si="3"/>
        <v>160259</v>
      </c>
      <c r="AN61" s="23"/>
      <c r="AO61" s="33">
        <f t="shared" si="5"/>
        <v>15043539</v>
      </c>
      <c r="AP61" s="33"/>
    </row>
    <row r="62" spans="1:42">
      <c r="A62" s="11" t="s">
        <v>242</v>
      </c>
      <c r="B62" s="11"/>
      <c r="C62" s="11" t="s">
        <v>18</v>
      </c>
      <c r="D62" s="23"/>
      <c r="E62" s="23">
        <v>3014162</v>
      </c>
      <c r="F62" s="23"/>
      <c r="G62" s="23">
        <v>0</v>
      </c>
      <c r="H62" s="23"/>
      <c r="I62" s="23">
        <v>11448048</v>
      </c>
      <c r="J62" s="23"/>
      <c r="K62" s="23">
        <v>27243</v>
      </c>
      <c r="L62" s="23"/>
      <c r="M62" s="23">
        <v>1474800</v>
      </c>
      <c r="N62" s="23"/>
      <c r="O62" s="23">
        <v>107253</v>
      </c>
      <c r="P62" s="23"/>
      <c r="Q62" s="23">
        <v>0</v>
      </c>
      <c r="R62" s="23"/>
      <c r="S62" s="23">
        <v>0</v>
      </c>
      <c r="T62" s="23"/>
      <c r="U62" s="23">
        <f>143579+315373</f>
        <v>458952</v>
      </c>
      <c r="V62" s="23"/>
      <c r="W62" s="33">
        <f t="shared" si="19"/>
        <v>16530458</v>
      </c>
      <c r="X62" s="23"/>
      <c r="Y62" s="23">
        <v>0</v>
      </c>
      <c r="Z62" s="23"/>
      <c r="AA62" s="23">
        <v>0</v>
      </c>
      <c r="AB62" s="23"/>
      <c r="AC62" s="23">
        <v>0</v>
      </c>
      <c r="AD62" s="23"/>
      <c r="AE62" s="23"/>
      <c r="AF62" s="23"/>
      <c r="AG62" s="23"/>
      <c r="AH62" s="23"/>
      <c r="AI62" s="23">
        <v>0</v>
      </c>
      <c r="AJ62" s="23"/>
      <c r="AK62" s="23">
        <v>0</v>
      </c>
      <c r="AL62" s="23"/>
      <c r="AM62" s="33">
        <f t="shared" si="3"/>
        <v>0</v>
      </c>
      <c r="AN62" s="23"/>
      <c r="AO62" s="33">
        <f t="shared" si="5"/>
        <v>16530458</v>
      </c>
      <c r="AP62" s="33"/>
    </row>
    <row r="63" spans="1:42">
      <c r="A63" s="11" t="s">
        <v>293</v>
      </c>
      <c r="B63" s="11"/>
      <c r="C63" s="11" t="s">
        <v>25</v>
      </c>
      <c r="D63" s="23"/>
      <c r="E63" s="23">
        <v>7542101</v>
      </c>
      <c r="F63" s="23"/>
      <c r="G63" s="23">
        <v>3713440</v>
      </c>
      <c r="H63" s="23"/>
      <c r="I63" s="23">
        <v>5801443</v>
      </c>
      <c r="J63" s="23"/>
      <c r="K63" s="23">
        <v>41098</v>
      </c>
      <c r="L63" s="23"/>
      <c r="M63" s="23">
        <v>1115431</v>
      </c>
      <c r="N63" s="23"/>
      <c r="O63" s="23">
        <v>114052</v>
      </c>
      <c r="P63" s="23"/>
      <c r="Q63" s="23">
        <v>0</v>
      </c>
      <c r="R63" s="23"/>
      <c r="S63" s="23">
        <v>23392</v>
      </c>
      <c r="T63" s="23"/>
      <c r="U63" s="23">
        <f>377374+2850+87013</f>
        <v>467237</v>
      </c>
      <c r="V63" s="23"/>
      <c r="W63" s="33">
        <f t="shared" si="19"/>
        <v>18818194</v>
      </c>
      <c r="X63" s="23"/>
      <c r="Y63" s="23">
        <v>0</v>
      </c>
      <c r="Z63" s="23"/>
      <c r="AA63" s="23">
        <v>0</v>
      </c>
      <c r="AB63" s="23"/>
      <c r="AC63" s="23">
        <f>515229+17701</f>
        <v>532930</v>
      </c>
      <c r="AD63" s="23"/>
      <c r="AE63" s="23"/>
      <c r="AF63" s="23"/>
      <c r="AG63" s="23"/>
      <c r="AH63" s="23"/>
      <c r="AI63" s="23">
        <v>0</v>
      </c>
      <c r="AJ63" s="23"/>
      <c r="AK63" s="23">
        <v>0</v>
      </c>
      <c r="AL63" s="23"/>
      <c r="AM63" s="33">
        <f t="shared" si="3"/>
        <v>532930</v>
      </c>
      <c r="AN63" s="23"/>
      <c r="AO63" s="33">
        <f t="shared" si="5"/>
        <v>19351124</v>
      </c>
      <c r="AP63" s="33"/>
    </row>
    <row r="64" spans="1:42">
      <c r="A64" s="11" t="s">
        <v>518</v>
      </c>
      <c r="B64" s="11"/>
      <c r="C64" s="11" t="s">
        <v>64</v>
      </c>
      <c r="D64" s="23"/>
      <c r="E64" s="23">
        <v>1257636</v>
      </c>
      <c r="F64" s="23"/>
      <c r="G64" s="23">
        <v>0</v>
      </c>
      <c r="H64" s="23"/>
      <c r="I64" s="23">
        <f>1590696+966279</f>
        <v>2556975</v>
      </c>
      <c r="J64" s="23"/>
      <c r="K64" s="23">
        <v>444</v>
      </c>
      <c r="L64" s="23"/>
      <c r="M64" s="23">
        <f>179041+3297</f>
        <v>182338</v>
      </c>
      <c r="N64" s="23"/>
      <c r="O64" s="23">
        <v>28976</v>
      </c>
      <c r="P64" s="23"/>
      <c r="Q64" s="23">
        <v>0</v>
      </c>
      <c r="R64" s="23"/>
      <c r="S64" s="23">
        <v>3397</v>
      </c>
      <c r="T64" s="23"/>
      <c r="U64" s="23">
        <f>7596+52+10220+28254</f>
        <v>46122</v>
      </c>
      <c r="V64" s="23"/>
      <c r="W64" s="33">
        <f t="shared" si="19"/>
        <v>4075888</v>
      </c>
      <c r="X64" s="23"/>
      <c r="Y64" s="23">
        <v>0</v>
      </c>
      <c r="Z64" s="23"/>
      <c r="AA64" s="23">
        <v>0</v>
      </c>
      <c r="AB64" s="23"/>
      <c r="AC64" s="23">
        <v>44880</v>
      </c>
      <c r="AD64" s="23"/>
      <c r="AE64" s="23"/>
      <c r="AF64" s="23"/>
      <c r="AG64" s="23"/>
      <c r="AH64" s="23"/>
      <c r="AI64" s="23">
        <v>2651</v>
      </c>
      <c r="AJ64" s="23"/>
      <c r="AK64" s="23">
        <v>0</v>
      </c>
      <c r="AL64" s="23"/>
      <c r="AM64" s="33">
        <f t="shared" si="3"/>
        <v>47531</v>
      </c>
      <c r="AN64" s="23"/>
      <c r="AO64" s="33">
        <f t="shared" si="5"/>
        <v>4123419</v>
      </c>
      <c r="AP64" s="33"/>
    </row>
    <row r="65" spans="1:42">
      <c r="A65" s="11" t="s">
        <v>479</v>
      </c>
      <c r="B65" s="11"/>
      <c r="C65" s="11" t="s">
        <v>59</v>
      </c>
      <c r="D65" s="23"/>
      <c r="E65" s="23">
        <v>1240930</v>
      </c>
      <c r="F65" s="23"/>
      <c r="G65" s="23">
        <v>0</v>
      </c>
      <c r="H65" s="23"/>
      <c r="I65" s="23">
        <v>7965114</v>
      </c>
      <c r="J65" s="23"/>
      <c r="K65" s="23">
        <v>5944</v>
      </c>
      <c r="L65" s="23"/>
      <c r="M65" s="23">
        <v>972781</v>
      </c>
      <c r="N65" s="23"/>
      <c r="O65" s="23">
        <v>46906</v>
      </c>
      <c r="P65" s="23"/>
      <c r="Q65" s="23">
        <v>0</v>
      </c>
      <c r="R65" s="23"/>
      <c r="S65" s="23">
        <v>3024</v>
      </c>
      <c r="T65" s="23"/>
      <c r="U65" s="23">
        <f>148998+204044</f>
        <v>353042</v>
      </c>
      <c r="V65" s="23"/>
      <c r="W65" s="33">
        <f>SUM(E65:U65)</f>
        <v>10587741</v>
      </c>
      <c r="X65" s="23"/>
      <c r="Y65" s="23">
        <v>52591</v>
      </c>
      <c r="Z65" s="23"/>
      <c r="AA65" s="23">
        <v>0</v>
      </c>
      <c r="AB65" s="23"/>
      <c r="AC65" s="23">
        <f>240000+20628</f>
        <v>260628</v>
      </c>
      <c r="AD65" s="23"/>
      <c r="AE65" s="23"/>
      <c r="AF65" s="23"/>
      <c r="AG65" s="23"/>
      <c r="AH65" s="23"/>
      <c r="AI65" s="23">
        <v>0</v>
      </c>
      <c r="AJ65" s="23"/>
      <c r="AK65" s="23">
        <v>0</v>
      </c>
      <c r="AL65" s="23"/>
      <c r="AM65" s="33">
        <f t="shared" si="3"/>
        <v>313219</v>
      </c>
      <c r="AN65" s="23"/>
      <c r="AO65" s="33">
        <f t="shared" si="5"/>
        <v>10900960</v>
      </c>
      <c r="AP65" s="33"/>
    </row>
    <row r="66" spans="1:42" hidden="1">
      <c r="A66" s="11" t="s">
        <v>887</v>
      </c>
      <c r="B66" s="11"/>
      <c r="C66" s="11" t="s">
        <v>10</v>
      </c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T66" s="23"/>
      <c r="U66" s="23"/>
      <c r="V66" s="23"/>
      <c r="W66" s="33">
        <f>SUM(E66:U66)</f>
        <v>0</v>
      </c>
      <c r="X66" s="23"/>
      <c r="Y66" s="23"/>
      <c r="Z66" s="23"/>
      <c r="AA66" s="23">
        <v>0</v>
      </c>
      <c r="AB66" s="23"/>
      <c r="AC66" s="23"/>
      <c r="AD66" s="23"/>
      <c r="AE66" s="23"/>
      <c r="AF66" s="23"/>
      <c r="AG66" s="23"/>
      <c r="AH66" s="23"/>
      <c r="AI66" s="23"/>
      <c r="AJ66" s="23"/>
      <c r="AK66" s="23">
        <v>0</v>
      </c>
      <c r="AL66" s="23"/>
      <c r="AM66" s="33">
        <f t="shared" si="3"/>
        <v>0</v>
      </c>
      <c r="AN66" s="23"/>
      <c r="AO66" s="33">
        <f t="shared" si="5"/>
        <v>0</v>
      </c>
      <c r="AP66" s="33"/>
    </row>
    <row r="67" spans="1:42">
      <c r="A67" s="11" t="s">
        <v>402</v>
      </c>
      <c r="B67" s="11"/>
      <c r="C67" s="11" t="s">
        <v>45</v>
      </c>
      <c r="D67" s="23"/>
      <c r="E67" s="23">
        <v>25965576</v>
      </c>
      <c r="F67" s="23"/>
      <c r="G67" s="23">
        <v>0</v>
      </c>
      <c r="H67" s="23"/>
      <c r="I67" s="23">
        <v>18043480</v>
      </c>
      <c r="J67" s="23"/>
      <c r="K67" s="23">
        <v>32689</v>
      </c>
      <c r="L67" s="23"/>
      <c r="M67" s="23">
        <v>679898</v>
      </c>
      <c r="N67" s="23"/>
      <c r="O67" s="23">
        <v>388997</v>
      </c>
      <c r="P67" s="23"/>
      <c r="Q67" s="23">
        <v>0</v>
      </c>
      <c r="R67" s="23"/>
      <c r="S67" s="7">
        <v>76223</v>
      </c>
      <c r="T67" s="23"/>
      <c r="U67" s="23">
        <f>322770+82707+725637</f>
        <v>1131114</v>
      </c>
      <c r="V67" s="23"/>
      <c r="W67" s="33">
        <f t="shared" si="19"/>
        <v>46317977</v>
      </c>
      <c r="X67" s="23"/>
      <c r="Y67" s="23">
        <v>467671</v>
      </c>
      <c r="Z67" s="23"/>
      <c r="AA67" s="23">
        <v>0</v>
      </c>
      <c r="AB67" s="23"/>
      <c r="AC67" s="23">
        <v>0</v>
      </c>
      <c r="AD67" s="23"/>
      <c r="AE67" s="23"/>
      <c r="AF67" s="23"/>
      <c r="AG67" s="23"/>
      <c r="AH67" s="23"/>
      <c r="AI67" s="23">
        <v>0</v>
      </c>
      <c r="AJ67" s="23"/>
      <c r="AK67" s="23">
        <v>0</v>
      </c>
      <c r="AL67" s="23"/>
      <c r="AM67" s="33">
        <f t="shared" si="3"/>
        <v>467671</v>
      </c>
      <c r="AN67" s="23"/>
      <c r="AO67" s="33">
        <f t="shared" si="5"/>
        <v>46785648</v>
      </c>
      <c r="AP67" s="33"/>
    </row>
    <row r="68" spans="1:42">
      <c r="A68" s="11" t="s">
        <v>489</v>
      </c>
      <c r="B68" s="11"/>
      <c r="C68" s="11" t="s">
        <v>61</v>
      </c>
      <c r="D68" s="23"/>
      <c r="E68" s="23">
        <v>1213094</v>
      </c>
      <c r="F68" s="23"/>
      <c r="G68" s="23">
        <v>581195</v>
      </c>
      <c r="H68" s="23"/>
      <c r="I68" s="23">
        <v>3603878</v>
      </c>
      <c r="J68" s="23"/>
      <c r="K68" s="23">
        <v>8088</v>
      </c>
      <c r="L68" s="23"/>
      <c r="M68" s="23">
        <v>1107834</v>
      </c>
      <c r="N68" s="23"/>
      <c r="O68" s="23">
        <v>135468</v>
      </c>
      <c r="P68" s="23"/>
      <c r="Q68" s="23">
        <v>0</v>
      </c>
      <c r="R68" s="23"/>
      <c r="S68" s="23">
        <v>14183</v>
      </c>
      <c r="T68" s="23"/>
      <c r="U68" s="23">
        <f>17163+9405+148425</f>
        <v>174993</v>
      </c>
      <c r="V68" s="23"/>
      <c r="W68" s="33">
        <f t="shared" si="19"/>
        <v>6838733</v>
      </c>
      <c r="X68" s="23"/>
      <c r="Y68" s="23">
        <v>4389</v>
      </c>
      <c r="Z68" s="23"/>
      <c r="AA68" s="23">
        <v>0</v>
      </c>
      <c r="AB68" s="23"/>
      <c r="AC68" s="23">
        <f>6950000+113635+78100</f>
        <v>7141735</v>
      </c>
      <c r="AD68" s="23"/>
      <c r="AE68" s="23"/>
      <c r="AF68" s="23"/>
      <c r="AG68" s="23"/>
      <c r="AH68" s="23"/>
      <c r="AI68" s="23">
        <v>85</v>
      </c>
      <c r="AJ68" s="23"/>
      <c r="AK68" s="23">
        <v>0</v>
      </c>
      <c r="AL68" s="23"/>
      <c r="AM68" s="33">
        <f t="shared" si="3"/>
        <v>7146209</v>
      </c>
      <c r="AN68" s="23"/>
      <c r="AO68" s="33">
        <f t="shared" si="5"/>
        <v>13984942</v>
      </c>
      <c r="AP68" s="33"/>
    </row>
    <row r="69" spans="1:42">
      <c r="A69" s="11" t="s">
        <v>554</v>
      </c>
      <c r="B69" s="11"/>
      <c r="C69" s="11" t="s">
        <v>72</v>
      </c>
      <c r="D69" s="23"/>
      <c r="E69" s="23">
        <v>15276400</v>
      </c>
      <c r="F69" s="23"/>
      <c r="G69" s="23">
        <v>2838873</v>
      </c>
      <c r="H69" s="23"/>
      <c r="I69" s="23">
        <v>12774450</v>
      </c>
      <c r="J69" s="23"/>
      <c r="K69" s="23">
        <v>55374</v>
      </c>
      <c r="L69" s="23"/>
      <c r="M69" s="23">
        <v>439316</v>
      </c>
      <c r="N69" s="23"/>
      <c r="O69" s="23">
        <v>263570</v>
      </c>
      <c r="P69" s="23"/>
      <c r="Q69" s="23">
        <v>0</v>
      </c>
      <c r="R69" s="23"/>
      <c r="S69" s="23">
        <v>18700</v>
      </c>
      <c r="T69" s="23"/>
      <c r="U69" s="23">
        <f>172225+4446</f>
        <v>176671</v>
      </c>
      <c r="V69" s="23"/>
      <c r="W69" s="33">
        <f t="shared" si="19"/>
        <v>31843354</v>
      </c>
      <c r="X69" s="23"/>
      <c r="Y69" s="23">
        <v>0</v>
      </c>
      <c r="Z69" s="23"/>
      <c r="AA69" s="23">
        <v>0</v>
      </c>
      <c r="AB69" s="23"/>
      <c r="AC69" s="23">
        <v>1250000</v>
      </c>
      <c r="AD69" s="23"/>
      <c r="AE69" s="23"/>
      <c r="AF69" s="23"/>
      <c r="AG69" s="23"/>
      <c r="AH69" s="23"/>
      <c r="AI69" s="23">
        <f>160979+21485</f>
        <v>182464</v>
      </c>
      <c r="AJ69" s="23"/>
      <c r="AK69" s="23">
        <v>0</v>
      </c>
      <c r="AL69" s="23"/>
      <c r="AM69" s="33">
        <f t="shared" si="3"/>
        <v>1432464</v>
      </c>
      <c r="AN69" s="23"/>
      <c r="AO69" s="33">
        <f t="shared" si="5"/>
        <v>33275818</v>
      </c>
      <c r="AP69" s="33"/>
    </row>
    <row r="70" spans="1:42" ht="12" hidden="1" customHeight="1">
      <c r="A70" s="11" t="s">
        <v>888</v>
      </c>
      <c r="B70" s="11"/>
      <c r="C70" s="11" t="s">
        <v>48</v>
      </c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33">
        <f>SUM(E70:U70)</f>
        <v>0</v>
      </c>
      <c r="X70" s="23"/>
      <c r="Y70" s="23"/>
      <c r="Z70" s="23"/>
      <c r="AA70" s="23">
        <v>0</v>
      </c>
      <c r="AB70" s="23"/>
      <c r="AC70" s="23"/>
      <c r="AD70" s="23"/>
      <c r="AE70" s="23"/>
      <c r="AF70" s="23"/>
      <c r="AG70" s="23"/>
      <c r="AH70" s="23"/>
      <c r="AI70" s="23"/>
      <c r="AJ70" s="23"/>
      <c r="AK70" s="23">
        <v>0</v>
      </c>
      <c r="AL70" s="23"/>
      <c r="AM70" s="33">
        <f t="shared" si="3"/>
        <v>0</v>
      </c>
      <c r="AN70" s="23"/>
      <c r="AO70" s="33">
        <f t="shared" si="5"/>
        <v>0</v>
      </c>
      <c r="AP70" s="33"/>
    </row>
    <row r="71" spans="1:42">
      <c r="A71" s="11" t="s">
        <v>785</v>
      </c>
      <c r="B71" s="11"/>
      <c r="C71" s="11" t="s">
        <v>20</v>
      </c>
      <c r="D71" s="23"/>
      <c r="E71" s="23">
        <v>35263961</v>
      </c>
      <c r="F71" s="23"/>
      <c r="G71" s="23">
        <v>0</v>
      </c>
      <c r="H71" s="23"/>
      <c r="I71" s="23">
        <v>14629991</v>
      </c>
      <c r="J71" s="23"/>
      <c r="K71" s="23">
        <v>56709</v>
      </c>
      <c r="L71" s="23"/>
      <c r="M71" s="23">
        <v>999904</v>
      </c>
      <c r="N71" s="23"/>
      <c r="O71" s="23">
        <v>1271411</v>
      </c>
      <c r="P71" s="23"/>
      <c r="Q71" s="23">
        <v>376359</v>
      </c>
      <c r="R71" s="23"/>
      <c r="S71" s="23">
        <v>145107</v>
      </c>
      <c r="T71" s="23"/>
      <c r="U71" s="23">
        <f>293244+1411989+21590</f>
        <v>1726823</v>
      </c>
      <c r="V71" s="23"/>
      <c r="W71" s="33">
        <f t="shared" si="19"/>
        <v>54470265</v>
      </c>
      <c r="X71" s="23"/>
      <c r="Y71" s="23">
        <v>270817</v>
      </c>
      <c r="Z71" s="23"/>
      <c r="AA71" s="23">
        <v>0</v>
      </c>
      <c r="AB71" s="23"/>
      <c r="AC71" s="23">
        <v>176382</v>
      </c>
      <c r="AD71" s="23"/>
      <c r="AE71" s="23"/>
      <c r="AF71" s="23"/>
      <c r="AG71" s="23"/>
      <c r="AH71" s="23"/>
      <c r="AI71" s="23">
        <v>0</v>
      </c>
      <c r="AJ71" s="23"/>
      <c r="AK71" s="23">
        <v>0</v>
      </c>
      <c r="AL71" s="23"/>
      <c r="AM71" s="33">
        <f t="shared" si="3"/>
        <v>447199</v>
      </c>
      <c r="AN71" s="23"/>
      <c r="AO71" s="33">
        <f t="shared" si="5"/>
        <v>54917464</v>
      </c>
      <c r="AP71" s="33"/>
    </row>
    <row r="72" spans="1:42">
      <c r="A72" s="11" t="s">
        <v>751</v>
      </c>
      <c r="B72" s="11"/>
      <c r="C72" s="11" t="s">
        <v>15</v>
      </c>
      <c r="D72" s="23"/>
      <c r="E72" s="23">
        <v>1903272</v>
      </c>
      <c r="F72" s="23"/>
      <c r="G72" s="23">
        <v>0</v>
      </c>
      <c r="H72" s="23"/>
      <c r="I72" s="23">
        <f>4925425+1033911</f>
        <v>5959336</v>
      </c>
      <c r="J72" s="23"/>
      <c r="K72" s="23">
        <v>1582</v>
      </c>
      <c r="L72" s="23"/>
      <c r="M72" s="23">
        <f>51+576568</f>
        <v>576619</v>
      </c>
      <c r="N72" s="23"/>
      <c r="O72" s="23">
        <v>57166</v>
      </c>
      <c r="P72" s="23"/>
      <c r="Q72" s="23">
        <v>0</v>
      </c>
      <c r="R72" s="23"/>
      <c r="S72" s="23">
        <v>0</v>
      </c>
      <c r="T72" s="23"/>
      <c r="U72" s="23">
        <f>106046+28083</f>
        <v>134129</v>
      </c>
      <c r="V72" s="23"/>
      <c r="W72" s="33">
        <f t="shared" si="19"/>
        <v>8632104</v>
      </c>
      <c r="X72" s="23"/>
      <c r="Y72" s="23">
        <v>3826</v>
      </c>
      <c r="Z72" s="23"/>
      <c r="AA72" s="23">
        <v>0</v>
      </c>
      <c r="AB72" s="23"/>
      <c r="AC72" s="23">
        <f>617569+3709994</f>
        <v>4327563</v>
      </c>
      <c r="AD72" s="23"/>
      <c r="AE72" s="23"/>
      <c r="AF72" s="23"/>
      <c r="AG72" s="23"/>
      <c r="AH72" s="23"/>
      <c r="AI72" s="23">
        <v>73500</v>
      </c>
      <c r="AJ72" s="23"/>
      <c r="AK72" s="23">
        <v>0</v>
      </c>
      <c r="AL72" s="23"/>
      <c r="AM72" s="33">
        <f t="shared" si="3"/>
        <v>4404889</v>
      </c>
      <c r="AN72" s="23"/>
      <c r="AO72" s="33">
        <f t="shared" si="5"/>
        <v>13036993</v>
      </c>
      <c r="AP72" s="33"/>
    </row>
    <row r="73" spans="1:42" hidden="1">
      <c r="A73" s="11" t="s">
        <v>793</v>
      </c>
      <c r="B73" s="11"/>
      <c r="C73" s="11" t="s">
        <v>348</v>
      </c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33">
        <f t="shared" si="19"/>
        <v>0</v>
      </c>
      <c r="X73" s="23"/>
      <c r="Y73" s="23">
        <v>0</v>
      </c>
      <c r="Z73" s="23"/>
      <c r="AA73" s="23">
        <v>0</v>
      </c>
      <c r="AB73" s="23"/>
      <c r="AC73" s="23"/>
      <c r="AD73" s="23"/>
      <c r="AE73" s="23"/>
      <c r="AF73" s="23"/>
      <c r="AG73" s="23"/>
      <c r="AH73" s="23"/>
      <c r="AI73" s="23"/>
      <c r="AJ73" s="23"/>
      <c r="AK73" s="23">
        <v>0</v>
      </c>
      <c r="AL73" s="23"/>
      <c r="AM73" s="33">
        <f t="shared" si="3"/>
        <v>0</v>
      </c>
      <c r="AN73" s="23"/>
      <c r="AO73" s="33">
        <f t="shared" si="5"/>
        <v>0</v>
      </c>
      <c r="AP73" s="33"/>
    </row>
    <row r="74" spans="1:42">
      <c r="A74" s="11" t="s">
        <v>519</v>
      </c>
      <c r="B74" s="11"/>
      <c r="C74" s="11" t="s">
        <v>64</v>
      </c>
      <c r="D74" s="23"/>
      <c r="E74" s="23">
        <v>2474319</v>
      </c>
      <c r="F74" s="23"/>
      <c r="G74" s="23">
        <v>0</v>
      </c>
      <c r="H74" s="23"/>
      <c r="I74" s="23">
        <f>799091+3858094</f>
        <v>4657185</v>
      </c>
      <c r="J74" s="23"/>
      <c r="K74" s="23">
        <v>3243</v>
      </c>
      <c r="L74" s="23"/>
      <c r="M74" s="23">
        <f>323961+1551</f>
        <v>325512</v>
      </c>
      <c r="N74" s="23"/>
      <c r="O74" s="23">
        <v>91268</v>
      </c>
      <c r="P74" s="23"/>
      <c r="Q74" s="23">
        <v>0</v>
      </c>
      <c r="R74" s="23"/>
      <c r="S74" s="23">
        <v>255</v>
      </c>
      <c r="T74" s="23"/>
      <c r="U74" s="23">
        <f>11810+6300+119362</f>
        <v>137472</v>
      </c>
      <c r="V74" s="23"/>
      <c r="W74" s="33">
        <f t="shared" si="19"/>
        <v>7689254</v>
      </c>
      <c r="X74" s="23"/>
      <c r="Y74" s="23">
        <v>207495</v>
      </c>
      <c r="Z74" s="23"/>
      <c r="AA74" s="23">
        <v>0</v>
      </c>
      <c r="AB74" s="23"/>
      <c r="AC74" s="23">
        <v>240000</v>
      </c>
      <c r="AD74" s="23"/>
      <c r="AE74" s="23"/>
      <c r="AF74" s="23"/>
      <c r="AG74" s="23"/>
      <c r="AH74" s="23"/>
      <c r="AI74" s="23">
        <v>0</v>
      </c>
      <c r="AJ74" s="23"/>
      <c r="AK74" s="23">
        <v>0</v>
      </c>
      <c r="AL74" s="23"/>
      <c r="AM74" s="33">
        <f t="shared" si="3"/>
        <v>447495</v>
      </c>
      <c r="AN74" s="23"/>
      <c r="AO74" s="33">
        <f t="shared" si="5"/>
        <v>8136749</v>
      </c>
      <c r="AP74" s="33"/>
    </row>
    <row r="75" spans="1:42">
      <c r="A75" s="11" t="s">
        <v>673</v>
      </c>
      <c r="B75" s="11"/>
      <c r="C75" s="11" t="s">
        <v>64</v>
      </c>
      <c r="D75" s="23"/>
      <c r="E75" s="23">
        <v>3470816</v>
      </c>
      <c r="F75" s="23"/>
      <c r="G75" s="23">
        <v>0</v>
      </c>
      <c r="H75" s="23"/>
      <c r="I75" s="23">
        <f>1280227+6558391</f>
        <v>7838618</v>
      </c>
      <c r="J75" s="23"/>
      <c r="K75" s="23">
        <v>87680</v>
      </c>
      <c r="L75" s="23"/>
      <c r="M75" s="23">
        <f>309178+26238+4151</f>
        <v>339567</v>
      </c>
      <c r="N75" s="23"/>
      <c r="O75" s="23">
        <v>152010</v>
      </c>
      <c r="P75" s="23"/>
      <c r="Q75" s="23">
        <v>0</v>
      </c>
      <c r="R75" s="23"/>
      <c r="S75" s="23">
        <v>0</v>
      </c>
      <c r="T75" s="23"/>
      <c r="U75" s="23">
        <f>220014+195347</f>
        <v>415361</v>
      </c>
      <c r="V75" s="23"/>
      <c r="W75" s="33">
        <f t="shared" si="19"/>
        <v>12304052</v>
      </c>
      <c r="X75" s="23"/>
      <c r="Y75" s="23">
        <v>520000</v>
      </c>
      <c r="Z75" s="23"/>
      <c r="AA75" s="23">
        <v>0</v>
      </c>
      <c r="AB75" s="23"/>
      <c r="AC75" s="23">
        <v>0</v>
      </c>
      <c r="AD75" s="23"/>
      <c r="AE75" s="23"/>
      <c r="AF75" s="23"/>
      <c r="AG75" s="23"/>
      <c r="AH75" s="23"/>
      <c r="AI75" s="23">
        <v>0</v>
      </c>
      <c r="AJ75" s="23"/>
      <c r="AK75" s="23">
        <v>0</v>
      </c>
      <c r="AL75" s="23"/>
      <c r="AM75" s="33">
        <f t="shared" si="3"/>
        <v>520000</v>
      </c>
      <c r="AN75" s="23"/>
      <c r="AO75" s="33">
        <f t="shared" si="5"/>
        <v>12824052</v>
      </c>
      <c r="AP75" s="33"/>
    </row>
    <row r="76" spans="1:42">
      <c r="A76" s="11" t="s">
        <v>264</v>
      </c>
      <c r="B76" s="11"/>
      <c r="C76" s="11" t="s">
        <v>20</v>
      </c>
      <c r="D76" s="23"/>
      <c r="E76" s="23">
        <v>10684180</v>
      </c>
      <c r="F76" s="23"/>
      <c r="G76" s="23">
        <v>0</v>
      </c>
      <c r="H76" s="23"/>
      <c r="I76" s="23">
        <v>5932074</v>
      </c>
      <c r="J76" s="23"/>
      <c r="K76" s="23">
        <v>0</v>
      </c>
      <c r="L76" s="23"/>
      <c r="M76" s="23">
        <v>187997</v>
      </c>
      <c r="N76" s="23"/>
      <c r="O76" s="23">
        <v>144992</v>
      </c>
      <c r="P76" s="23"/>
      <c r="Q76" s="23">
        <v>0</v>
      </c>
      <c r="R76" s="23"/>
      <c r="S76" s="23">
        <v>17951</v>
      </c>
      <c r="T76" s="23"/>
      <c r="U76" s="23">
        <f>299709+4765+457345</f>
        <v>761819</v>
      </c>
      <c r="V76" s="23"/>
      <c r="W76" s="33">
        <f t="shared" si="19"/>
        <v>17729013</v>
      </c>
      <c r="X76" s="23"/>
      <c r="Y76" s="23">
        <v>0</v>
      </c>
      <c r="Z76" s="23"/>
      <c r="AA76" s="23">
        <v>0</v>
      </c>
      <c r="AB76" s="23"/>
      <c r="AC76" s="23">
        <v>0</v>
      </c>
      <c r="AD76" s="23"/>
      <c r="AE76" s="23"/>
      <c r="AF76" s="23"/>
      <c r="AG76" s="23"/>
      <c r="AH76" s="23"/>
      <c r="AI76" s="23">
        <v>0</v>
      </c>
      <c r="AJ76" s="23"/>
      <c r="AK76" s="23">
        <v>0</v>
      </c>
      <c r="AL76" s="23"/>
      <c r="AM76" s="33">
        <f t="shared" si="3"/>
        <v>0</v>
      </c>
      <c r="AN76" s="23"/>
      <c r="AO76" s="33">
        <f t="shared" si="5"/>
        <v>17729013</v>
      </c>
      <c r="AP76" s="33"/>
    </row>
    <row r="77" spans="1:42">
      <c r="A77" s="11" t="s">
        <v>428</v>
      </c>
      <c r="B77" s="11"/>
      <c r="C77" s="11" t="s">
        <v>50</v>
      </c>
      <c r="D77" s="23"/>
      <c r="E77" s="23">
        <v>6738934</v>
      </c>
      <c r="F77" s="23"/>
      <c r="G77" s="23">
        <v>0</v>
      </c>
      <c r="H77" s="23"/>
      <c r="I77" s="23">
        <v>8097871</v>
      </c>
      <c r="J77" s="23"/>
      <c r="K77" s="23">
        <v>27588</v>
      </c>
      <c r="L77" s="23"/>
      <c r="M77" s="23">
        <v>330491</v>
      </c>
      <c r="N77" s="23"/>
      <c r="O77" s="23">
        <v>277533</v>
      </c>
      <c r="P77" s="23"/>
      <c r="Q77" s="23">
        <v>65763</v>
      </c>
      <c r="R77" s="23"/>
      <c r="S77" s="23">
        <v>0</v>
      </c>
      <c r="T77" s="23"/>
      <c r="U77" s="23">
        <f>113145+476480</f>
        <v>589625</v>
      </c>
      <c r="V77" s="23"/>
      <c r="W77" s="33">
        <f t="shared" si="19"/>
        <v>16127805</v>
      </c>
      <c r="X77" s="23"/>
      <c r="Y77" s="23">
        <v>1290000</v>
      </c>
      <c r="Z77" s="23"/>
      <c r="AA77" s="23">
        <v>0</v>
      </c>
      <c r="AB77" s="23"/>
      <c r="AC77" s="23">
        <v>0</v>
      </c>
      <c r="AD77" s="23"/>
      <c r="AE77" s="23"/>
      <c r="AF77" s="23"/>
      <c r="AG77" s="23"/>
      <c r="AH77" s="23"/>
      <c r="AI77" s="23">
        <v>0</v>
      </c>
      <c r="AJ77" s="23"/>
      <c r="AK77" s="23">
        <v>0</v>
      </c>
      <c r="AL77" s="23"/>
      <c r="AM77" s="33">
        <f t="shared" si="3"/>
        <v>1290000</v>
      </c>
      <c r="AN77" s="23"/>
      <c r="AO77" s="33">
        <f t="shared" si="5"/>
        <v>17417805</v>
      </c>
      <c r="AP77" s="33"/>
    </row>
    <row r="78" spans="1:42">
      <c r="A78" s="11" t="s">
        <v>227</v>
      </c>
      <c r="B78" s="11"/>
      <c r="C78" s="11" t="s">
        <v>16</v>
      </c>
      <c r="D78" s="23"/>
      <c r="E78" s="23">
        <v>3421597</v>
      </c>
      <c r="F78" s="23"/>
      <c r="G78" s="23">
        <v>0</v>
      </c>
      <c r="H78" s="23"/>
      <c r="I78" s="23">
        <v>3953632</v>
      </c>
      <c r="J78" s="23"/>
      <c r="K78" s="23">
        <v>13260</v>
      </c>
      <c r="L78" s="23"/>
      <c r="M78" s="23">
        <v>325183</v>
      </c>
      <c r="N78" s="23"/>
      <c r="O78" s="23">
        <v>139920</v>
      </c>
      <c r="P78" s="23"/>
      <c r="Q78" s="23">
        <v>0</v>
      </c>
      <c r="R78" s="23"/>
      <c r="S78" s="23">
        <v>10069</v>
      </c>
      <c r="T78" s="23"/>
      <c r="U78" s="23">
        <f>95395+5348+5397</f>
        <v>106140</v>
      </c>
      <c r="V78" s="23"/>
      <c r="W78" s="33">
        <f t="shared" si="19"/>
        <v>7969801</v>
      </c>
      <c r="X78" s="23"/>
      <c r="Y78" s="6">
        <v>0</v>
      </c>
      <c r="Z78" s="23"/>
      <c r="AA78" s="23">
        <v>0</v>
      </c>
      <c r="AB78" s="23"/>
      <c r="AC78" s="23">
        <v>0</v>
      </c>
      <c r="AD78" s="23"/>
      <c r="AE78" s="23"/>
      <c r="AF78" s="23"/>
      <c r="AG78" s="23"/>
      <c r="AH78" s="23"/>
      <c r="AI78" s="23">
        <v>0</v>
      </c>
      <c r="AJ78" s="23"/>
      <c r="AK78" s="23">
        <v>0</v>
      </c>
      <c r="AL78" s="23"/>
      <c r="AM78" s="33">
        <f t="shared" si="3"/>
        <v>0</v>
      </c>
      <c r="AN78" s="23"/>
      <c r="AO78" s="33">
        <f t="shared" si="5"/>
        <v>7969801</v>
      </c>
      <c r="AP78" s="33"/>
    </row>
    <row r="79" spans="1:42">
      <c r="A79" s="11" t="s">
        <v>415</v>
      </c>
      <c r="B79" s="11"/>
      <c r="C79" s="11" t="s">
        <v>47</v>
      </c>
      <c r="D79" s="23"/>
      <c r="E79" s="23">
        <v>36731385</v>
      </c>
      <c r="F79" s="23"/>
      <c r="G79" s="23">
        <v>0</v>
      </c>
      <c r="H79" s="23"/>
      <c r="I79" s="23">
        <v>34955225</v>
      </c>
      <c r="J79" s="23"/>
      <c r="K79" s="23">
        <v>83540</v>
      </c>
      <c r="L79" s="23"/>
      <c r="M79" s="23">
        <v>819366</v>
      </c>
      <c r="N79" s="23"/>
      <c r="O79" s="23">
        <v>1148128</v>
      </c>
      <c r="P79" s="23"/>
      <c r="Q79" s="23">
        <v>0</v>
      </c>
      <c r="R79" s="23"/>
      <c r="S79" s="23">
        <v>127416</v>
      </c>
      <c r="T79" s="23"/>
      <c r="U79" s="23">
        <f>54386+1178989+592013</f>
        <v>1825388</v>
      </c>
      <c r="V79" s="23"/>
      <c r="W79" s="33">
        <f t="shared" si="19"/>
        <v>75690448</v>
      </c>
      <c r="X79" s="23"/>
      <c r="Y79" s="23">
        <v>0</v>
      </c>
      <c r="Z79" s="23"/>
      <c r="AA79" s="23">
        <v>0</v>
      </c>
      <c r="AB79" s="23"/>
      <c r="AC79" s="23">
        <v>0</v>
      </c>
      <c r="AD79" s="23"/>
      <c r="AE79" s="23"/>
      <c r="AF79" s="23"/>
      <c r="AG79" s="23"/>
      <c r="AH79" s="23"/>
      <c r="AI79" s="23">
        <v>0</v>
      </c>
      <c r="AJ79" s="23"/>
      <c r="AK79" s="23">
        <v>0</v>
      </c>
      <c r="AL79" s="23"/>
      <c r="AM79" s="33">
        <f t="shared" si="3"/>
        <v>0</v>
      </c>
      <c r="AN79" s="23"/>
      <c r="AO79" s="33">
        <f t="shared" si="5"/>
        <v>75690448</v>
      </c>
      <c r="AP79" s="33"/>
    </row>
    <row r="80" spans="1:42" hidden="1">
      <c r="A80" s="11" t="s">
        <v>674</v>
      </c>
      <c r="B80" s="11"/>
      <c r="C80" s="11" t="s">
        <v>552</v>
      </c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33">
        <f t="shared" si="19"/>
        <v>0</v>
      </c>
      <c r="X80" s="23"/>
      <c r="Y80" s="23"/>
      <c r="Z80" s="23"/>
      <c r="AA80" s="23">
        <v>0</v>
      </c>
      <c r="AB80" s="23"/>
      <c r="AC80" s="23"/>
      <c r="AD80" s="23"/>
      <c r="AE80" s="23"/>
      <c r="AF80" s="23"/>
      <c r="AG80" s="23"/>
      <c r="AH80" s="23"/>
      <c r="AI80" s="23"/>
      <c r="AJ80" s="23"/>
      <c r="AK80" s="23">
        <v>0</v>
      </c>
      <c r="AL80" s="23"/>
      <c r="AM80" s="33">
        <f t="shared" ref="AM80:AM143" si="20">SUM(Y80:AK80)</f>
        <v>0</v>
      </c>
      <c r="AN80" s="23"/>
      <c r="AO80" s="33">
        <f t="shared" si="5"/>
        <v>0</v>
      </c>
      <c r="AP80" s="33"/>
    </row>
    <row r="81" spans="1:42">
      <c r="A81" s="11" t="s">
        <v>256</v>
      </c>
      <c r="B81" s="11"/>
      <c r="C81" s="11" t="s">
        <v>111</v>
      </c>
      <c r="D81" s="23"/>
      <c r="E81" s="23">
        <v>1985867</v>
      </c>
      <c r="F81" s="23"/>
      <c r="G81" s="23">
        <v>1554978</v>
      </c>
      <c r="H81" s="23"/>
      <c r="I81" s="23">
        <f>4617640+604431</f>
        <v>5222071</v>
      </c>
      <c r="J81" s="23"/>
      <c r="K81" s="23">
        <v>6180</v>
      </c>
      <c r="L81" s="23"/>
      <c r="M81" s="23">
        <f>213465+16305</f>
        <v>229770</v>
      </c>
      <c r="N81" s="23"/>
      <c r="O81" s="23">
        <v>139678</v>
      </c>
      <c r="P81" s="23"/>
      <c r="Q81" s="23">
        <v>0</v>
      </c>
      <c r="R81" s="23"/>
      <c r="S81" s="23">
        <v>2000</v>
      </c>
      <c r="T81" s="23"/>
      <c r="U81" s="23">
        <f>49622+2610+163527</f>
        <v>215759</v>
      </c>
      <c r="V81" s="23"/>
      <c r="W81" s="33">
        <f t="shared" si="19"/>
        <v>9356303</v>
      </c>
      <c r="X81" s="23"/>
      <c r="Y81" s="23">
        <v>50000</v>
      </c>
      <c r="Z81" s="23"/>
      <c r="AA81" s="23">
        <v>0</v>
      </c>
      <c r="AB81" s="23"/>
      <c r="AC81" s="23">
        <v>0</v>
      </c>
      <c r="AD81" s="23"/>
      <c r="AE81" s="23"/>
      <c r="AF81" s="23"/>
      <c r="AG81" s="23"/>
      <c r="AH81" s="23"/>
      <c r="AI81" s="23">
        <v>60000</v>
      </c>
      <c r="AJ81" s="23"/>
      <c r="AK81" s="23">
        <v>0</v>
      </c>
      <c r="AL81" s="23"/>
      <c r="AM81" s="33">
        <f t="shared" si="20"/>
        <v>110000</v>
      </c>
      <c r="AN81" s="23"/>
      <c r="AO81" s="33">
        <f t="shared" si="5"/>
        <v>9466303</v>
      </c>
      <c r="AP81" s="33"/>
    </row>
    <row r="82" spans="1:42">
      <c r="A82" s="11" t="s">
        <v>206</v>
      </c>
      <c r="B82" s="11"/>
      <c r="C82" s="11" t="s">
        <v>12</v>
      </c>
      <c r="D82" s="23"/>
      <c r="E82" s="23">
        <v>6283210</v>
      </c>
      <c r="F82" s="23"/>
      <c r="G82" s="23">
        <v>0</v>
      </c>
      <c r="H82" s="23"/>
      <c r="I82" s="23">
        <v>10739247</v>
      </c>
      <c r="J82" s="23"/>
      <c r="K82" s="23">
        <v>24887</v>
      </c>
      <c r="L82" s="23"/>
      <c r="M82" s="23">
        <v>1215698</v>
      </c>
      <c r="N82" s="23"/>
      <c r="O82" s="23">
        <v>160053</v>
      </c>
      <c r="P82" s="23"/>
      <c r="Q82" s="23">
        <v>0</v>
      </c>
      <c r="R82" s="23"/>
      <c r="S82" s="23">
        <v>10775</v>
      </c>
      <c r="T82" s="23"/>
      <c r="U82" s="23">
        <f>29175+3474+344793</f>
        <v>377442</v>
      </c>
      <c r="V82" s="23"/>
      <c r="W82" s="33">
        <f t="shared" si="19"/>
        <v>18811312</v>
      </c>
      <c r="X82" s="23"/>
      <c r="Y82" s="23">
        <v>0</v>
      </c>
      <c r="Z82" s="23"/>
      <c r="AA82" s="23">
        <v>0</v>
      </c>
      <c r="AB82" s="23"/>
      <c r="AC82" s="23">
        <v>0</v>
      </c>
      <c r="AD82" s="23"/>
      <c r="AE82" s="23"/>
      <c r="AF82" s="23"/>
      <c r="AG82" s="23"/>
      <c r="AH82" s="23"/>
      <c r="AI82" s="23">
        <v>11139</v>
      </c>
      <c r="AJ82" s="23"/>
      <c r="AK82" s="23">
        <v>0</v>
      </c>
      <c r="AL82" s="23"/>
      <c r="AM82" s="33">
        <f t="shared" si="20"/>
        <v>11139</v>
      </c>
      <c r="AN82" s="23"/>
      <c r="AO82" s="33">
        <f t="shared" ref="AO82:AO110" si="21">W82+AM82</f>
        <v>18822451</v>
      </c>
      <c r="AP82" s="33"/>
    </row>
    <row r="83" spans="1:42">
      <c r="A83" s="11" t="s">
        <v>206</v>
      </c>
      <c r="B83" s="11"/>
      <c r="C83" s="11" t="s">
        <v>39</v>
      </c>
      <c r="D83" s="23"/>
      <c r="E83" s="23">
        <v>6660878</v>
      </c>
      <c r="F83" s="23"/>
      <c r="G83" s="23">
        <v>0</v>
      </c>
      <c r="H83" s="23"/>
      <c r="I83" s="23">
        <v>13641703</v>
      </c>
      <c r="J83" s="23"/>
      <c r="K83" s="23">
        <v>3249</v>
      </c>
      <c r="L83" s="23"/>
      <c r="M83" s="23">
        <v>467860</v>
      </c>
      <c r="N83" s="23"/>
      <c r="O83" s="23">
        <v>151261</v>
      </c>
      <c r="P83" s="23"/>
      <c r="Q83" s="23">
        <v>0</v>
      </c>
      <c r="R83" s="23"/>
      <c r="S83" s="23">
        <v>44020</v>
      </c>
      <c r="T83" s="23"/>
      <c r="U83" s="23">
        <f>19670+116364+2875</f>
        <v>138909</v>
      </c>
      <c r="V83" s="23"/>
      <c r="W83" s="33">
        <f t="shared" si="19"/>
        <v>21107880</v>
      </c>
      <c r="X83" s="23"/>
      <c r="Y83" s="23">
        <v>123811</v>
      </c>
      <c r="Z83" s="23"/>
      <c r="AA83" s="23">
        <v>0</v>
      </c>
      <c r="AB83" s="23"/>
      <c r="AC83" s="23">
        <v>30300</v>
      </c>
      <c r="AD83" s="23"/>
      <c r="AE83" s="23"/>
      <c r="AF83" s="23"/>
      <c r="AG83" s="23"/>
      <c r="AH83" s="23"/>
      <c r="AI83" s="23">
        <v>23941</v>
      </c>
      <c r="AJ83" s="23"/>
      <c r="AK83" s="23">
        <v>0</v>
      </c>
      <c r="AL83" s="23"/>
      <c r="AM83" s="33">
        <f t="shared" si="20"/>
        <v>178052</v>
      </c>
      <c r="AN83" s="23"/>
      <c r="AO83" s="33">
        <f t="shared" si="21"/>
        <v>21285932</v>
      </c>
      <c r="AP83" s="33"/>
    </row>
    <row r="84" spans="1:42">
      <c r="A84" s="11" t="s">
        <v>675</v>
      </c>
      <c r="B84" s="11"/>
      <c r="C84" s="11" t="s">
        <v>47</v>
      </c>
      <c r="D84" s="23"/>
      <c r="E84" s="23">
        <v>9895878</v>
      </c>
      <c r="F84" s="23"/>
      <c r="G84" s="23">
        <v>0</v>
      </c>
      <c r="H84" s="23"/>
      <c r="I84" s="23">
        <v>10945310</v>
      </c>
      <c r="J84" s="23"/>
      <c r="K84" s="23">
        <v>2977</v>
      </c>
      <c r="L84" s="23"/>
      <c r="M84" s="23">
        <v>418714</v>
      </c>
      <c r="N84" s="23"/>
      <c r="O84" s="23">
        <v>422390</v>
      </c>
      <c r="P84" s="23"/>
      <c r="Q84" s="23">
        <v>0</v>
      </c>
      <c r="R84" s="23"/>
      <c r="S84" s="23">
        <v>5845</v>
      </c>
      <c r="T84" s="23"/>
      <c r="U84" s="23">
        <f>60201+262488+44050</f>
        <v>366739</v>
      </c>
      <c r="V84" s="23"/>
      <c r="W84" s="33">
        <f t="shared" si="19"/>
        <v>22057853</v>
      </c>
      <c r="X84" s="23"/>
      <c r="Y84" s="23">
        <v>176903</v>
      </c>
      <c r="Z84" s="23"/>
      <c r="AA84" s="23">
        <v>0</v>
      </c>
      <c r="AB84" s="23"/>
      <c r="AC84" s="23">
        <v>0</v>
      </c>
      <c r="AD84" s="23"/>
      <c r="AE84" s="23"/>
      <c r="AF84" s="23"/>
      <c r="AG84" s="23"/>
      <c r="AH84" s="23"/>
      <c r="AI84" s="23">
        <v>5646</v>
      </c>
      <c r="AJ84" s="23"/>
      <c r="AK84" s="23">
        <v>0</v>
      </c>
      <c r="AL84" s="23"/>
      <c r="AM84" s="33">
        <f t="shared" si="20"/>
        <v>182549</v>
      </c>
      <c r="AN84" s="23"/>
      <c r="AO84" s="33">
        <f t="shared" si="21"/>
        <v>22240402</v>
      </c>
      <c r="AP84" s="33"/>
    </row>
    <row r="85" spans="1:42" hidden="1">
      <c r="A85" s="42" t="s">
        <v>794</v>
      </c>
      <c r="B85" s="11"/>
      <c r="C85" s="11" t="s">
        <v>112</v>
      </c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33">
        <f>SUM(E85:U85)</f>
        <v>0</v>
      </c>
      <c r="X85" s="23"/>
      <c r="Y85" s="23"/>
      <c r="Z85" s="23"/>
      <c r="AA85" s="23">
        <v>0</v>
      </c>
      <c r="AB85" s="23"/>
      <c r="AC85" s="23"/>
      <c r="AD85" s="23"/>
      <c r="AE85" s="23"/>
      <c r="AF85" s="23"/>
      <c r="AG85" s="23"/>
      <c r="AH85" s="23"/>
      <c r="AI85" s="23"/>
      <c r="AJ85" s="23"/>
      <c r="AK85" s="23">
        <v>0</v>
      </c>
      <c r="AL85" s="23"/>
      <c r="AM85" s="33">
        <f t="shared" si="20"/>
        <v>0</v>
      </c>
      <c r="AN85" s="23"/>
      <c r="AO85" s="33">
        <f t="shared" si="21"/>
        <v>0</v>
      </c>
      <c r="AP85" s="33"/>
    </row>
    <row r="86" spans="1:42">
      <c r="A86" s="11" t="s">
        <v>636</v>
      </c>
      <c r="B86" s="11"/>
      <c r="C86" s="11" t="s">
        <v>23</v>
      </c>
      <c r="D86" s="23"/>
      <c r="E86" s="23">
        <v>11798065</v>
      </c>
      <c r="F86" s="23"/>
      <c r="G86" s="23">
        <v>4942204</v>
      </c>
      <c r="H86" s="23"/>
      <c r="I86" s="23">
        <f>6363272+1585858</f>
        <v>7949130</v>
      </c>
      <c r="J86" s="23"/>
      <c r="K86" s="23">
        <v>14703</v>
      </c>
      <c r="L86" s="23"/>
      <c r="M86" s="23">
        <f>1090667+215595</f>
        <v>1306262</v>
      </c>
      <c r="N86" s="23"/>
      <c r="O86" s="23">
        <v>283757</v>
      </c>
      <c r="P86" s="23"/>
      <c r="Q86" s="23">
        <v>0</v>
      </c>
      <c r="R86" s="23"/>
      <c r="S86" s="23">
        <v>42451</v>
      </c>
      <c r="T86" s="23"/>
      <c r="U86" s="23">
        <f>168472+975+514797+21441</f>
        <v>705685</v>
      </c>
      <c r="V86" s="23"/>
      <c r="W86" s="33">
        <f>SUM(E86:U86)</f>
        <v>27042257</v>
      </c>
      <c r="X86" s="23"/>
      <c r="Y86" s="23">
        <v>0</v>
      </c>
      <c r="Z86" s="23"/>
      <c r="AA86" s="23">
        <v>0</v>
      </c>
      <c r="AB86" s="23"/>
      <c r="AC86" s="23">
        <v>0</v>
      </c>
      <c r="AD86" s="23"/>
      <c r="AE86" s="23"/>
      <c r="AF86" s="23"/>
      <c r="AG86" s="23"/>
      <c r="AH86" s="23"/>
      <c r="AI86" s="23">
        <v>0</v>
      </c>
      <c r="AJ86" s="23"/>
      <c r="AK86" s="23">
        <v>0</v>
      </c>
      <c r="AL86" s="23"/>
      <c r="AM86" s="33">
        <f t="shared" si="20"/>
        <v>0</v>
      </c>
      <c r="AN86" s="23"/>
      <c r="AO86" s="33">
        <f t="shared" si="21"/>
        <v>27042257</v>
      </c>
      <c r="AP86" s="33"/>
    </row>
    <row r="87" spans="1:42">
      <c r="A87" s="11" t="s">
        <v>257</v>
      </c>
      <c r="B87" s="11"/>
      <c r="C87" s="11" t="s">
        <v>111</v>
      </c>
      <c r="D87" s="23"/>
      <c r="E87" s="23">
        <v>4936827</v>
      </c>
      <c r="F87" s="23"/>
      <c r="G87" s="23">
        <v>0</v>
      </c>
      <c r="H87" s="23"/>
      <c r="I87" s="23">
        <v>12218207</v>
      </c>
      <c r="J87" s="23"/>
      <c r="K87" s="23">
        <v>27026</v>
      </c>
      <c r="L87" s="23"/>
      <c r="M87" s="23">
        <v>580785</v>
      </c>
      <c r="N87" s="23"/>
      <c r="O87" s="23">
        <v>97467</v>
      </c>
      <c r="P87" s="23"/>
      <c r="Q87" s="23">
        <v>45917</v>
      </c>
      <c r="R87" s="23"/>
      <c r="S87" s="23">
        <v>3950</v>
      </c>
      <c r="T87" s="23"/>
      <c r="U87" s="23">
        <f>145797+330722</f>
        <v>476519</v>
      </c>
      <c r="V87" s="23"/>
      <c r="W87" s="33">
        <f>SUM(E87:U87)</f>
        <v>18386698</v>
      </c>
      <c r="X87" s="23"/>
      <c r="Y87" s="23">
        <v>0</v>
      </c>
      <c r="Z87" s="23"/>
      <c r="AA87" s="23">
        <v>0</v>
      </c>
      <c r="AB87" s="23"/>
      <c r="AC87" s="23">
        <v>0</v>
      </c>
      <c r="AD87" s="23"/>
      <c r="AE87" s="23"/>
      <c r="AF87" s="23"/>
      <c r="AG87" s="23"/>
      <c r="AH87" s="23"/>
      <c r="AI87" s="23">
        <v>0</v>
      </c>
      <c r="AJ87" s="23"/>
      <c r="AK87" s="23">
        <v>0</v>
      </c>
      <c r="AL87" s="23"/>
      <c r="AM87" s="33">
        <f t="shared" si="20"/>
        <v>0</v>
      </c>
      <c r="AN87" s="23"/>
      <c r="AO87" s="33">
        <f t="shared" si="21"/>
        <v>18386698</v>
      </c>
      <c r="AP87" s="33"/>
    </row>
    <row r="88" spans="1:42">
      <c r="A88" s="11" t="s">
        <v>752</v>
      </c>
      <c r="B88" s="11"/>
      <c r="C88" s="11" t="s">
        <v>52</v>
      </c>
      <c r="D88" s="23"/>
      <c r="E88" s="23">
        <v>2143496</v>
      </c>
      <c r="F88" s="23"/>
      <c r="G88" s="23">
        <v>0</v>
      </c>
      <c r="H88" s="23"/>
      <c r="I88" s="23">
        <v>5236506</v>
      </c>
      <c r="J88" s="23"/>
      <c r="K88" s="23">
        <v>6702</v>
      </c>
      <c r="L88" s="23"/>
      <c r="M88" s="23">
        <f>282685+137927</f>
        <v>420612</v>
      </c>
      <c r="N88" s="23"/>
      <c r="O88" s="23">
        <v>180805</v>
      </c>
      <c r="P88" s="23"/>
      <c r="Q88" s="23">
        <v>0</v>
      </c>
      <c r="R88" s="23"/>
      <c r="S88" s="23">
        <v>9549</v>
      </c>
      <c r="T88" s="23"/>
      <c r="U88" s="23">
        <v>44579</v>
      </c>
      <c r="V88" s="23"/>
      <c r="W88" s="33">
        <f t="shared" ref="W88:W89" si="22">SUM(E88:U88)</f>
        <v>8042249</v>
      </c>
      <c r="X88" s="23"/>
      <c r="Y88" s="23">
        <v>55537</v>
      </c>
      <c r="Z88" s="23"/>
      <c r="AA88" s="23">
        <v>0</v>
      </c>
      <c r="AB88" s="23"/>
      <c r="AC88" s="23">
        <v>16972</v>
      </c>
      <c r="AD88" s="23"/>
      <c r="AE88" s="23"/>
      <c r="AF88" s="23"/>
      <c r="AG88" s="23"/>
      <c r="AH88" s="23"/>
      <c r="AI88" s="23">
        <v>0</v>
      </c>
      <c r="AJ88" s="23"/>
      <c r="AK88" s="23">
        <v>0</v>
      </c>
      <c r="AL88" s="23"/>
      <c r="AM88" s="33">
        <f t="shared" si="20"/>
        <v>72509</v>
      </c>
      <c r="AN88" s="23"/>
      <c r="AO88" s="33">
        <f t="shared" si="21"/>
        <v>8114758</v>
      </c>
      <c r="AP88" s="33"/>
    </row>
    <row r="89" spans="1:42">
      <c r="A89" s="11" t="s">
        <v>319</v>
      </c>
      <c r="B89" s="11"/>
      <c r="C89" s="11" t="s">
        <v>31</v>
      </c>
      <c r="D89" s="23"/>
      <c r="E89" s="23">
        <v>5974805</v>
      </c>
      <c r="F89" s="23"/>
      <c r="G89" s="23">
        <v>0</v>
      </c>
      <c r="H89" s="23"/>
      <c r="I89" s="23">
        <v>17940940</v>
      </c>
      <c r="J89" s="23"/>
      <c r="K89" s="23">
        <v>12214</v>
      </c>
      <c r="L89" s="23"/>
      <c r="M89" s="23">
        <f>686328+23042+268139</f>
        <v>977509</v>
      </c>
      <c r="N89" s="23"/>
      <c r="O89" s="23">
        <v>176950</v>
      </c>
      <c r="P89" s="23"/>
      <c r="Q89" s="23">
        <v>0</v>
      </c>
      <c r="R89" s="23"/>
      <c r="S89" s="23">
        <v>32717</v>
      </c>
      <c r="T89" s="23"/>
      <c r="U89" s="23">
        <v>164005</v>
      </c>
      <c r="V89" s="23"/>
      <c r="W89" s="33">
        <f t="shared" si="22"/>
        <v>25279140</v>
      </c>
      <c r="X89" s="23"/>
      <c r="Y89" s="23">
        <v>1087164</v>
      </c>
      <c r="Z89" s="23"/>
      <c r="AA89" s="23">
        <v>0</v>
      </c>
      <c r="AB89" s="23"/>
      <c r="AC89" s="23">
        <v>0</v>
      </c>
      <c r="AD89" s="23"/>
      <c r="AE89" s="23"/>
      <c r="AF89" s="23"/>
      <c r="AG89" s="23"/>
      <c r="AH89" s="23"/>
      <c r="AI89" s="23">
        <v>1700</v>
      </c>
      <c r="AJ89" s="23"/>
      <c r="AK89" s="23">
        <v>0</v>
      </c>
      <c r="AL89" s="23"/>
      <c r="AM89" s="33">
        <f t="shared" si="20"/>
        <v>1088864</v>
      </c>
      <c r="AN89" s="23"/>
      <c r="AO89" s="33">
        <f t="shared" si="21"/>
        <v>26368004</v>
      </c>
      <c r="AP89" s="33"/>
    </row>
    <row r="90" spans="1:42">
      <c r="A90" s="11" t="s">
        <v>647</v>
      </c>
      <c r="B90" s="11"/>
      <c r="C90" s="11" t="s">
        <v>45</v>
      </c>
      <c r="D90" s="23"/>
      <c r="E90" s="23">
        <v>2062194</v>
      </c>
      <c r="F90" s="23"/>
      <c r="G90" s="23">
        <v>0</v>
      </c>
      <c r="H90" s="23"/>
      <c r="I90" s="23">
        <v>12853477</v>
      </c>
      <c r="J90" s="23"/>
      <c r="K90" s="23">
        <v>390</v>
      </c>
      <c r="L90" s="23"/>
      <c r="M90" s="23">
        <f>31270+101189+8000</f>
        <v>140459</v>
      </c>
      <c r="N90" s="23"/>
      <c r="O90" s="23">
        <v>116190</v>
      </c>
      <c r="P90" s="23"/>
      <c r="Q90" s="23">
        <v>0</v>
      </c>
      <c r="R90" s="23"/>
      <c r="S90" s="23">
        <v>8121</v>
      </c>
      <c r="T90" s="23"/>
      <c r="U90" s="23">
        <v>86550</v>
      </c>
      <c r="V90" s="23"/>
      <c r="W90" s="33">
        <f t="shared" ref="W90:W154" si="23">SUM(E90:U90)</f>
        <v>15267381</v>
      </c>
      <c r="X90" s="23"/>
      <c r="Y90" s="23">
        <v>0</v>
      </c>
      <c r="Z90" s="23"/>
      <c r="AA90" s="23">
        <v>0</v>
      </c>
      <c r="AB90" s="23"/>
      <c r="AC90" s="23">
        <v>0</v>
      </c>
      <c r="AD90" s="23"/>
      <c r="AE90" s="23"/>
      <c r="AF90" s="23"/>
      <c r="AG90" s="23"/>
      <c r="AH90" s="23"/>
      <c r="AI90" s="23">
        <v>0</v>
      </c>
      <c r="AJ90" s="23"/>
      <c r="AK90" s="23">
        <v>0</v>
      </c>
      <c r="AL90" s="23"/>
      <c r="AM90" s="33">
        <f t="shared" si="20"/>
        <v>0</v>
      </c>
      <c r="AN90" s="23"/>
      <c r="AO90" s="33">
        <f t="shared" si="21"/>
        <v>15267381</v>
      </c>
      <c r="AP90" s="33"/>
    </row>
    <row r="91" spans="1:42">
      <c r="A91" s="11" t="s">
        <v>300</v>
      </c>
      <c r="B91" s="11"/>
      <c r="C91" s="11" t="s">
        <v>27</v>
      </c>
      <c r="D91" s="23"/>
      <c r="E91" s="23">
        <v>18434138</v>
      </c>
      <c r="F91" s="23"/>
      <c r="G91" s="23">
        <v>3450748</v>
      </c>
      <c r="H91" s="23"/>
      <c r="I91" s="23">
        <f>15901369+2249947</f>
        <v>18151316</v>
      </c>
      <c r="J91" s="23"/>
      <c r="K91" s="23">
        <v>33868</v>
      </c>
      <c r="L91" s="23"/>
      <c r="M91" s="23">
        <f>181788+55534+672597+168530+58866</f>
        <v>1137315</v>
      </c>
      <c r="N91" s="23"/>
      <c r="O91" s="23">
        <v>676486</v>
      </c>
      <c r="P91" s="23"/>
      <c r="Q91" s="23">
        <v>244242</v>
      </c>
      <c r="R91" s="23"/>
      <c r="S91" s="23">
        <v>5006</v>
      </c>
      <c r="T91" s="23"/>
      <c r="U91" s="23">
        <v>116977</v>
      </c>
      <c r="V91" s="23"/>
      <c r="W91" s="33">
        <f t="shared" si="23"/>
        <v>42250096</v>
      </c>
      <c r="X91" s="23"/>
      <c r="Y91" s="23">
        <v>34200</v>
      </c>
      <c r="Z91" s="23"/>
      <c r="AA91" s="23">
        <v>0</v>
      </c>
      <c r="AB91" s="23"/>
      <c r="AC91" s="23">
        <f>151638+2670000+2180000</f>
        <v>5001638</v>
      </c>
      <c r="AD91" s="23"/>
      <c r="AE91" s="23"/>
      <c r="AF91" s="23"/>
      <c r="AG91" s="23"/>
      <c r="AH91" s="23"/>
      <c r="AI91" s="23">
        <v>0</v>
      </c>
      <c r="AJ91" s="23"/>
      <c r="AK91" s="23">
        <v>0</v>
      </c>
      <c r="AL91" s="23"/>
      <c r="AM91" s="33">
        <f t="shared" si="20"/>
        <v>5035838</v>
      </c>
      <c r="AN91" s="23"/>
      <c r="AO91" s="33">
        <f t="shared" si="21"/>
        <v>47285934</v>
      </c>
      <c r="AP91" s="33"/>
    </row>
    <row r="92" spans="1:42">
      <c r="A92" s="11" t="s">
        <v>403</v>
      </c>
      <c r="B92" s="11"/>
      <c r="C92" s="11" t="s">
        <v>45</v>
      </c>
      <c r="D92" s="23"/>
      <c r="E92" s="23">
        <v>15769474</v>
      </c>
      <c r="F92" s="23"/>
      <c r="G92" s="23">
        <v>0</v>
      </c>
      <c r="H92" s="23"/>
      <c r="I92" s="23">
        <v>10375386</v>
      </c>
      <c r="J92" s="23"/>
      <c r="K92" s="23">
        <v>16706</v>
      </c>
      <c r="L92" s="23"/>
      <c r="M92" s="23">
        <f>145913+752408+45183</f>
        <v>943504</v>
      </c>
      <c r="N92" s="23"/>
      <c r="O92" s="23">
        <v>394771</v>
      </c>
      <c r="P92" s="23"/>
      <c r="Q92" s="23">
        <v>0</v>
      </c>
      <c r="R92" s="23"/>
      <c r="S92" s="23">
        <v>36643</v>
      </c>
      <c r="T92" s="23"/>
      <c r="U92" s="23">
        <v>39738</v>
      </c>
      <c r="V92" s="23"/>
      <c r="W92" s="33">
        <f t="shared" si="23"/>
        <v>27576222</v>
      </c>
      <c r="X92" s="23"/>
      <c r="Y92" s="23">
        <v>85000</v>
      </c>
      <c r="Z92" s="23"/>
      <c r="AA92" s="23">
        <v>0</v>
      </c>
      <c r="AB92" s="23"/>
      <c r="AC92" s="23">
        <v>840000</v>
      </c>
      <c r="AD92" s="23"/>
      <c r="AE92" s="23"/>
      <c r="AF92" s="23"/>
      <c r="AG92" s="23"/>
      <c r="AH92" s="23"/>
      <c r="AI92" s="23">
        <v>4400</v>
      </c>
      <c r="AJ92" s="23"/>
      <c r="AK92" s="23">
        <v>106774</v>
      </c>
      <c r="AL92" s="23"/>
      <c r="AM92" s="33">
        <f t="shared" si="20"/>
        <v>1036174</v>
      </c>
      <c r="AN92" s="23"/>
      <c r="AO92" s="33">
        <f t="shared" si="21"/>
        <v>28612396</v>
      </c>
      <c r="AP92" s="33"/>
    </row>
    <row r="93" spans="1:42">
      <c r="A93" s="11" t="s">
        <v>494</v>
      </c>
      <c r="B93" s="11"/>
      <c r="C93" s="11" t="s">
        <v>62</v>
      </c>
      <c r="D93" s="23"/>
      <c r="E93" s="6">
        <v>24296000</v>
      </c>
      <c r="F93" s="23"/>
      <c r="G93" s="6">
        <v>0</v>
      </c>
      <c r="H93" s="23"/>
      <c r="I93" s="6">
        <f>37000+79985000+25018000</f>
        <v>105040000</v>
      </c>
      <c r="J93" s="23"/>
      <c r="K93" s="6">
        <v>442000</v>
      </c>
      <c r="L93" s="23"/>
      <c r="M93" s="6">
        <f>1374000+381000+60000</f>
        <v>1815000</v>
      </c>
      <c r="N93" s="23"/>
      <c r="O93" s="6">
        <v>788000</v>
      </c>
      <c r="P93" s="23"/>
      <c r="Q93" s="6">
        <v>0</v>
      </c>
      <c r="R93" s="23"/>
      <c r="S93" s="6">
        <v>0</v>
      </c>
      <c r="T93" s="23"/>
      <c r="U93" s="6">
        <f>1446000-286000</f>
        <v>1160000</v>
      </c>
      <c r="V93" s="23"/>
      <c r="W93" s="33">
        <f>SUM(E93:U93)</f>
        <v>133541000</v>
      </c>
      <c r="X93" s="23"/>
      <c r="Y93" s="23">
        <v>1391000</v>
      </c>
      <c r="Z93" s="23"/>
      <c r="AA93" s="23">
        <v>0</v>
      </c>
      <c r="AB93" s="23"/>
      <c r="AC93" s="23">
        <v>0</v>
      </c>
      <c r="AD93" s="23"/>
      <c r="AE93" s="23"/>
      <c r="AF93" s="23"/>
      <c r="AG93" s="23"/>
      <c r="AH93" s="23"/>
      <c r="AI93" s="23">
        <v>0</v>
      </c>
      <c r="AJ93" s="23"/>
      <c r="AK93" s="23">
        <v>0</v>
      </c>
      <c r="AL93" s="23"/>
      <c r="AM93" s="33">
        <f t="shared" si="20"/>
        <v>1391000</v>
      </c>
      <c r="AN93" s="23"/>
      <c r="AO93" s="33">
        <f t="shared" si="21"/>
        <v>134932000</v>
      </c>
      <c r="AP93" s="33"/>
    </row>
    <row r="94" spans="1:42">
      <c r="A94" s="11" t="s">
        <v>495</v>
      </c>
      <c r="B94" s="11"/>
      <c r="C94" s="11" t="s">
        <v>62</v>
      </c>
      <c r="D94" s="23"/>
      <c r="E94" s="6">
        <v>7617020</v>
      </c>
      <c r="F94" s="23"/>
      <c r="G94" s="6">
        <v>0</v>
      </c>
      <c r="H94" s="23"/>
      <c r="I94" s="6">
        <f>12367038+2060087</f>
        <v>14427125</v>
      </c>
      <c r="J94" s="23"/>
      <c r="K94" s="6">
        <v>685</v>
      </c>
      <c r="L94" s="23"/>
      <c r="M94" s="6">
        <f>1477819+1549813+91891+78536</f>
        <v>3198059</v>
      </c>
      <c r="N94" s="23"/>
      <c r="O94" s="6">
        <v>176764</v>
      </c>
      <c r="P94" s="23"/>
      <c r="Q94" s="6">
        <v>134966</v>
      </c>
      <c r="R94" s="23"/>
      <c r="S94" s="6">
        <v>55909</v>
      </c>
      <c r="T94" s="23"/>
      <c r="U94" s="6">
        <v>78460</v>
      </c>
      <c r="V94" s="23"/>
      <c r="W94" s="33">
        <f t="shared" si="23"/>
        <v>25688988</v>
      </c>
      <c r="X94" s="23"/>
      <c r="Y94" s="23">
        <v>0</v>
      </c>
      <c r="Z94" s="23"/>
      <c r="AA94" s="23">
        <v>0</v>
      </c>
      <c r="AB94" s="23"/>
      <c r="AC94" s="23">
        <f>100000+1188435</f>
        <v>1288435</v>
      </c>
      <c r="AD94" s="23"/>
      <c r="AE94" s="23"/>
      <c r="AF94" s="23"/>
      <c r="AG94" s="23"/>
      <c r="AH94" s="23"/>
      <c r="AI94" s="23">
        <v>19686</v>
      </c>
      <c r="AJ94" s="23"/>
      <c r="AK94" s="23">
        <v>0</v>
      </c>
      <c r="AL94" s="23"/>
      <c r="AM94" s="33">
        <f t="shared" si="20"/>
        <v>1308121</v>
      </c>
      <c r="AN94" s="23"/>
      <c r="AO94" s="33">
        <f t="shared" si="21"/>
        <v>26997109</v>
      </c>
      <c r="AP94" s="33"/>
    </row>
    <row r="95" spans="1:42">
      <c r="A95" s="11" t="s">
        <v>648</v>
      </c>
      <c r="B95" s="11"/>
      <c r="C95" s="11" t="s">
        <v>30</v>
      </c>
      <c r="D95" s="23"/>
      <c r="E95" s="6">
        <v>7377054</v>
      </c>
      <c r="F95" s="23"/>
      <c r="G95" s="6">
        <v>0</v>
      </c>
      <c r="H95" s="23"/>
      <c r="I95" s="6">
        <v>8109301</v>
      </c>
      <c r="J95" s="23"/>
      <c r="K95" s="6">
        <v>12597</v>
      </c>
      <c r="L95" s="23"/>
      <c r="M95" s="6">
        <f>695374+151848+74099</f>
        <v>921321</v>
      </c>
      <c r="N95" s="23"/>
      <c r="O95" s="6">
        <v>276193</v>
      </c>
      <c r="P95" s="23"/>
      <c r="Q95" s="6">
        <v>0</v>
      </c>
      <c r="R95" s="23"/>
      <c r="S95" s="6">
        <v>24121</v>
      </c>
      <c r="T95" s="23"/>
      <c r="U95" s="6">
        <v>92354</v>
      </c>
      <c r="V95" s="23"/>
      <c r="W95" s="33">
        <f t="shared" si="23"/>
        <v>16812941</v>
      </c>
      <c r="X95" s="23"/>
      <c r="Y95" s="23">
        <v>128500</v>
      </c>
      <c r="Z95" s="23"/>
      <c r="AA95" s="23">
        <v>0</v>
      </c>
      <c r="AB95" s="23"/>
      <c r="AC95" s="23">
        <v>0</v>
      </c>
      <c r="AD95" s="23"/>
      <c r="AE95" s="23"/>
      <c r="AF95" s="23"/>
      <c r="AG95" s="23"/>
      <c r="AH95" s="23"/>
      <c r="AI95" s="23">
        <v>63250</v>
      </c>
      <c r="AJ95" s="23"/>
      <c r="AK95" s="23">
        <v>0</v>
      </c>
      <c r="AL95" s="23"/>
      <c r="AM95" s="33">
        <f t="shared" si="20"/>
        <v>191750</v>
      </c>
      <c r="AN95" s="23"/>
      <c r="AO95" s="33">
        <f t="shared" si="21"/>
        <v>17004691</v>
      </c>
      <c r="AP95" s="33"/>
    </row>
    <row r="96" spans="1:42">
      <c r="A96" s="11" t="s">
        <v>441</v>
      </c>
      <c r="B96" s="11"/>
      <c r="C96" s="11" t="s">
        <v>78</v>
      </c>
      <c r="D96" s="23"/>
      <c r="E96" s="6">
        <v>2570081</v>
      </c>
      <c r="F96" s="23"/>
      <c r="G96" s="6">
        <v>0</v>
      </c>
      <c r="H96" s="23"/>
      <c r="I96" s="6">
        <f>7326228+880124</f>
        <v>8206352</v>
      </c>
      <c r="J96" s="23"/>
      <c r="K96" s="6">
        <v>1185</v>
      </c>
      <c r="L96" s="23"/>
      <c r="M96" s="6">
        <f>602356+174186</f>
        <v>776542</v>
      </c>
      <c r="N96" s="23"/>
      <c r="O96" s="6">
        <v>109844</v>
      </c>
      <c r="P96" s="23"/>
      <c r="Q96" s="6">
        <v>122906</v>
      </c>
      <c r="R96" s="23"/>
      <c r="S96" s="6">
        <v>0</v>
      </c>
      <c r="T96" s="23"/>
      <c r="U96" s="6">
        <v>137915</v>
      </c>
      <c r="V96" s="23"/>
      <c r="W96" s="33">
        <f t="shared" si="23"/>
        <v>11924825</v>
      </c>
      <c r="X96" s="23"/>
      <c r="Y96" s="23">
        <v>0</v>
      </c>
      <c r="Z96" s="23"/>
      <c r="AA96" s="23">
        <v>0</v>
      </c>
      <c r="AB96" s="23"/>
      <c r="AC96" s="23">
        <v>0</v>
      </c>
      <c r="AD96" s="23"/>
      <c r="AE96" s="23"/>
      <c r="AF96" s="23"/>
      <c r="AG96" s="23"/>
      <c r="AH96" s="23"/>
      <c r="AI96" s="23">
        <v>0</v>
      </c>
      <c r="AJ96" s="23"/>
      <c r="AK96" s="23">
        <v>0</v>
      </c>
      <c r="AL96" s="23"/>
      <c r="AM96" s="33">
        <f t="shared" si="20"/>
        <v>0</v>
      </c>
      <c r="AN96" s="23"/>
      <c r="AO96" s="33">
        <f t="shared" si="21"/>
        <v>11924825</v>
      </c>
      <c r="AP96" s="33"/>
    </row>
    <row r="97" spans="1:42" hidden="1">
      <c r="A97" s="11" t="s">
        <v>867</v>
      </c>
      <c r="B97" s="11"/>
      <c r="C97" s="11" t="s">
        <v>558</v>
      </c>
      <c r="D97" s="23"/>
      <c r="E97" s="6"/>
      <c r="F97" s="23"/>
      <c r="G97" s="6"/>
      <c r="H97" s="23"/>
      <c r="I97" s="6"/>
      <c r="J97" s="23"/>
      <c r="K97" s="6"/>
      <c r="L97" s="23"/>
      <c r="M97" s="6"/>
      <c r="N97" s="23"/>
      <c r="O97" s="6"/>
      <c r="P97" s="23"/>
      <c r="Q97" s="6"/>
      <c r="R97" s="23"/>
      <c r="S97" s="6"/>
      <c r="T97" s="23"/>
      <c r="U97" s="6"/>
      <c r="V97" s="23"/>
      <c r="W97" s="33">
        <f t="shared" si="23"/>
        <v>0</v>
      </c>
      <c r="X97" s="23"/>
      <c r="Y97" s="23"/>
      <c r="Z97" s="23"/>
      <c r="AA97" s="23">
        <v>0</v>
      </c>
      <c r="AB97" s="23"/>
      <c r="AC97" s="23"/>
      <c r="AD97" s="23"/>
      <c r="AE97" s="23"/>
      <c r="AF97" s="23"/>
      <c r="AG97" s="23"/>
      <c r="AH97" s="23"/>
      <c r="AI97" s="23"/>
      <c r="AJ97" s="23"/>
      <c r="AK97" s="23">
        <v>0</v>
      </c>
      <c r="AL97" s="23"/>
      <c r="AM97" s="33">
        <f t="shared" si="20"/>
        <v>0</v>
      </c>
      <c r="AN97" s="23"/>
      <c r="AO97" s="33">
        <f t="shared" si="21"/>
        <v>0</v>
      </c>
      <c r="AP97" s="33"/>
    </row>
    <row r="98" spans="1:42">
      <c r="A98" s="11" t="s">
        <v>543</v>
      </c>
      <c r="B98" s="11"/>
      <c r="C98" s="11" t="s">
        <v>69</v>
      </c>
      <c r="D98" s="23"/>
      <c r="E98" s="6">
        <v>4206715</v>
      </c>
      <c r="F98" s="23"/>
      <c r="G98" s="6">
        <v>1842340</v>
      </c>
      <c r="H98" s="23"/>
      <c r="I98" s="6">
        <v>9616917</v>
      </c>
      <c r="J98" s="23"/>
      <c r="K98" s="6">
        <v>2371</v>
      </c>
      <c r="L98" s="23"/>
      <c r="M98" s="6">
        <f>164356+23602+372617</f>
        <v>560575</v>
      </c>
      <c r="N98" s="23"/>
      <c r="O98" s="6">
        <v>121490</v>
      </c>
      <c r="P98" s="23"/>
      <c r="Q98" s="6">
        <v>198690</v>
      </c>
      <c r="R98" s="23"/>
      <c r="S98" s="6">
        <v>2523</v>
      </c>
      <c r="T98" s="23"/>
      <c r="U98" s="6">
        <v>78068</v>
      </c>
      <c r="V98" s="23"/>
      <c r="W98" s="33">
        <f t="shared" si="23"/>
        <v>16629689</v>
      </c>
      <c r="X98" s="23"/>
      <c r="Y98" s="23">
        <v>0</v>
      </c>
      <c r="Z98" s="23"/>
      <c r="AA98" s="23">
        <v>0</v>
      </c>
      <c r="AB98" s="23"/>
      <c r="AC98" s="23">
        <v>0</v>
      </c>
      <c r="AD98" s="23"/>
      <c r="AE98" s="23"/>
      <c r="AF98" s="23"/>
      <c r="AG98" s="23"/>
      <c r="AH98" s="23"/>
      <c r="AI98" s="23">
        <v>511</v>
      </c>
      <c r="AJ98" s="23"/>
      <c r="AK98" s="23">
        <v>0</v>
      </c>
      <c r="AL98" s="23"/>
      <c r="AM98" s="33">
        <f t="shared" si="20"/>
        <v>511</v>
      </c>
      <c r="AN98" s="23"/>
      <c r="AO98" s="33">
        <f t="shared" si="21"/>
        <v>16630200</v>
      </c>
      <c r="AP98" s="33"/>
    </row>
    <row r="99" spans="1:42" s="28" customFormat="1">
      <c r="A99" s="27" t="s">
        <v>753</v>
      </c>
      <c r="B99" s="27"/>
      <c r="C99" s="27" t="s">
        <v>16</v>
      </c>
      <c r="D99" s="31"/>
      <c r="E99" s="28">
        <v>5878727</v>
      </c>
      <c r="F99" s="31"/>
      <c r="G99" s="28">
        <v>0</v>
      </c>
      <c r="H99" s="31"/>
      <c r="I99" s="28">
        <v>13889305</v>
      </c>
      <c r="J99" s="31"/>
      <c r="K99" s="28">
        <v>3008</v>
      </c>
      <c r="L99" s="31"/>
      <c r="M99" s="28">
        <f>633345+8902+113422</f>
        <v>755669</v>
      </c>
      <c r="N99" s="31"/>
      <c r="O99" s="28">
        <v>142713</v>
      </c>
      <c r="P99" s="31"/>
      <c r="Q99" s="28">
        <v>0</v>
      </c>
      <c r="R99" s="31"/>
      <c r="S99" s="28">
        <v>24640</v>
      </c>
      <c r="T99" s="31"/>
      <c r="U99" s="28">
        <v>72371</v>
      </c>
      <c r="V99" s="31"/>
      <c r="W99" s="41">
        <f t="shared" si="23"/>
        <v>20766433</v>
      </c>
      <c r="X99" s="31"/>
      <c r="Y99" s="31">
        <v>125902</v>
      </c>
      <c r="Z99" s="31"/>
      <c r="AA99" s="31">
        <v>0</v>
      </c>
      <c r="AB99" s="31"/>
      <c r="AC99" s="31">
        <v>500000</v>
      </c>
      <c r="AD99" s="31"/>
      <c r="AE99" s="31"/>
      <c r="AF99" s="31"/>
      <c r="AG99" s="31"/>
      <c r="AH99" s="31"/>
      <c r="AI99" s="31">
        <v>0</v>
      </c>
      <c r="AJ99" s="31"/>
      <c r="AK99" s="31">
        <v>0</v>
      </c>
      <c r="AL99" s="31"/>
      <c r="AM99" s="41">
        <f t="shared" si="20"/>
        <v>625902</v>
      </c>
      <c r="AN99" s="31"/>
      <c r="AO99" s="41">
        <f t="shared" si="21"/>
        <v>21392335</v>
      </c>
      <c r="AP99" s="41"/>
    </row>
    <row r="100" spans="1:42">
      <c r="A100" s="11" t="s">
        <v>649</v>
      </c>
      <c r="B100" s="11"/>
      <c r="C100" s="11" t="s">
        <v>114</v>
      </c>
      <c r="D100" s="23"/>
      <c r="E100" s="6">
        <v>2604416</v>
      </c>
      <c r="F100" s="23"/>
      <c r="G100" s="6">
        <v>1045825</v>
      </c>
      <c r="H100" s="23"/>
      <c r="I100" s="6">
        <v>7598994</v>
      </c>
      <c r="J100" s="23"/>
      <c r="K100" s="6">
        <v>41367</v>
      </c>
      <c r="L100" s="23"/>
      <c r="M100" s="6">
        <f>408394+475+97003</f>
        <v>505872</v>
      </c>
      <c r="N100" s="23"/>
      <c r="O100" s="6">
        <v>137971</v>
      </c>
      <c r="P100" s="23"/>
      <c r="Q100" s="6">
        <v>0</v>
      </c>
      <c r="R100" s="23"/>
      <c r="S100" s="6">
        <v>17647</v>
      </c>
      <c r="T100" s="23"/>
      <c r="U100" s="6">
        <v>136253</v>
      </c>
      <c r="V100" s="23"/>
      <c r="W100" s="33">
        <f t="shared" si="23"/>
        <v>12088345</v>
      </c>
      <c r="X100" s="23"/>
      <c r="Y100" s="23">
        <v>0</v>
      </c>
      <c r="Z100" s="23"/>
      <c r="AA100" s="23">
        <v>0</v>
      </c>
      <c r="AB100" s="23"/>
      <c r="AC100" s="23">
        <v>0</v>
      </c>
      <c r="AD100" s="23"/>
      <c r="AE100" s="23"/>
      <c r="AF100" s="23"/>
      <c r="AG100" s="23"/>
      <c r="AH100" s="23"/>
      <c r="AI100" s="23">
        <v>0</v>
      </c>
      <c r="AJ100" s="23"/>
      <c r="AK100" s="23">
        <v>0</v>
      </c>
      <c r="AL100" s="23"/>
      <c r="AM100" s="33">
        <f t="shared" si="20"/>
        <v>0</v>
      </c>
      <c r="AN100" s="23"/>
      <c r="AO100" s="33">
        <f t="shared" si="21"/>
        <v>12088345</v>
      </c>
      <c r="AP100" s="33"/>
    </row>
    <row r="101" spans="1:42" hidden="1">
      <c r="A101" s="11" t="s">
        <v>618</v>
      </c>
      <c r="B101" s="11"/>
      <c r="C101" s="11" t="s">
        <v>422</v>
      </c>
      <c r="D101" s="23"/>
      <c r="E101" s="6"/>
      <c r="F101" s="23"/>
      <c r="G101" s="6"/>
      <c r="H101" s="23"/>
      <c r="I101" s="6"/>
      <c r="J101" s="23"/>
      <c r="K101" s="6"/>
      <c r="L101" s="23"/>
      <c r="M101" s="6"/>
      <c r="N101" s="23"/>
      <c r="O101" s="6"/>
      <c r="P101" s="23"/>
      <c r="Q101" s="6"/>
      <c r="R101" s="23"/>
      <c r="S101" s="6"/>
      <c r="T101" s="23"/>
      <c r="U101" s="6"/>
      <c r="V101" s="23"/>
      <c r="W101" s="33">
        <f t="shared" si="23"/>
        <v>0</v>
      </c>
      <c r="X101" s="23"/>
      <c r="Y101" s="23"/>
      <c r="Z101" s="23"/>
      <c r="AA101" s="23">
        <v>0</v>
      </c>
      <c r="AB101" s="23"/>
      <c r="AC101" s="23"/>
      <c r="AD101" s="23"/>
      <c r="AE101" s="23"/>
      <c r="AF101" s="23"/>
      <c r="AG101" s="23"/>
      <c r="AH101" s="23"/>
      <c r="AI101" s="23">
        <v>0</v>
      </c>
      <c r="AJ101" s="23"/>
      <c r="AK101" s="23">
        <v>0</v>
      </c>
      <c r="AL101" s="23"/>
      <c r="AM101" s="33">
        <f t="shared" si="20"/>
        <v>0</v>
      </c>
      <c r="AN101" s="23"/>
      <c r="AO101" s="33">
        <f t="shared" si="21"/>
        <v>0</v>
      </c>
      <c r="AP101" s="33"/>
    </row>
    <row r="102" spans="1:42" hidden="1">
      <c r="A102" s="11" t="s">
        <v>868</v>
      </c>
      <c r="B102" s="11"/>
      <c r="C102" s="11" t="s">
        <v>40</v>
      </c>
      <c r="D102" s="23"/>
      <c r="E102" s="6">
        <v>0</v>
      </c>
      <c r="F102" s="23"/>
      <c r="G102" s="6">
        <v>0</v>
      </c>
      <c r="H102" s="23"/>
      <c r="I102" s="6">
        <v>0</v>
      </c>
      <c r="J102" s="23"/>
      <c r="K102" s="6">
        <v>0</v>
      </c>
      <c r="L102" s="23"/>
      <c r="M102" s="6">
        <v>0</v>
      </c>
      <c r="N102" s="23"/>
      <c r="O102" s="6">
        <v>0</v>
      </c>
      <c r="P102" s="23"/>
      <c r="Q102" s="6">
        <v>0</v>
      </c>
      <c r="R102" s="23"/>
      <c r="S102" s="6">
        <v>0</v>
      </c>
      <c r="T102" s="23"/>
      <c r="U102" s="6">
        <v>0</v>
      </c>
      <c r="V102" s="23"/>
      <c r="W102" s="33">
        <f t="shared" si="23"/>
        <v>0</v>
      </c>
      <c r="X102" s="23"/>
      <c r="Y102" s="23">
        <v>0</v>
      </c>
      <c r="Z102" s="23"/>
      <c r="AA102" s="23">
        <v>0</v>
      </c>
      <c r="AB102" s="23"/>
      <c r="AC102" s="23">
        <v>0</v>
      </c>
      <c r="AD102" s="23"/>
      <c r="AE102" s="23"/>
      <c r="AF102" s="23"/>
      <c r="AG102" s="23"/>
      <c r="AH102" s="23"/>
      <c r="AI102" s="23">
        <v>0</v>
      </c>
      <c r="AJ102" s="23"/>
      <c r="AK102" s="23">
        <v>0</v>
      </c>
      <c r="AL102" s="23"/>
      <c r="AM102" s="33">
        <f t="shared" si="20"/>
        <v>0</v>
      </c>
      <c r="AN102" s="23"/>
      <c r="AO102" s="33">
        <f t="shared" si="21"/>
        <v>0</v>
      </c>
      <c r="AP102" s="33"/>
    </row>
    <row r="103" spans="1:42">
      <c r="A103" s="11" t="s">
        <v>650</v>
      </c>
      <c r="B103" s="11"/>
      <c r="C103" s="11" t="s">
        <v>50</v>
      </c>
      <c r="D103" s="23"/>
      <c r="E103" s="6">
        <v>64822725</v>
      </c>
      <c r="F103" s="23"/>
      <c r="G103" s="6">
        <v>0</v>
      </c>
      <c r="H103" s="23"/>
      <c r="I103" s="6">
        <v>27145656</v>
      </c>
      <c r="J103" s="23"/>
      <c r="K103" s="6">
        <v>181809</v>
      </c>
      <c r="L103" s="23"/>
      <c r="M103" s="6">
        <f>1466412+2129649</f>
        <v>3596061</v>
      </c>
      <c r="N103" s="23"/>
      <c r="O103" s="6">
        <v>1412887</v>
      </c>
      <c r="P103" s="23"/>
      <c r="Q103" s="6">
        <v>0</v>
      </c>
      <c r="R103" s="23"/>
      <c r="S103" s="6">
        <v>0</v>
      </c>
      <c r="T103" s="23"/>
      <c r="U103" s="6">
        <v>350032</v>
      </c>
      <c r="V103" s="23"/>
      <c r="W103" s="33">
        <f t="shared" si="23"/>
        <v>97509170</v>
      </c>
      <c r="X103" s="23"/>
      <c r="Y103" s="23">
        <v>132431</v>
      </c>
      <c r="Z103" s="23"/>
      <c r="AA103" s="23">
        <v>0</v>
      </c>
      <c r="AB103" s="23"/>
      <c r="AC103" s="23">
        <v>0</v>
      </c>
      <c r="AD103" s="23"/>
      <c r="AE103" s="23"/>
      <c r="AF103" s="23"/>
      <c r="AG103" s="23"/>
      <c r="AH103" s="23"/>
      <c r="AI103" s="23">
        <f>3810+4246081</f>
        <v>4249891</v>
      </c>
      <c r="AJ103" s="23"/>
      <c r="AK103" s="23">
        <v>0</v>
      </c>
      <c r="AL103" s="23"/>
      <c r="AM103" s="33">
        <f t="shared" si="20"/>
        <v>4382322</v>
      </c>
      <c r="AN103" s="23"/>
      <c r="AO103" s="33">
        <f t="shared" si="21"/>
        <v>101891492</v>
      </c>
      <c r="AP103" s="33"/>
    </row>
    <row r="104" spans="1:42" hidden="1">
      <c r="A104" s="11" t="s">
        <v>736</v>
      </c>
      <c r="B104" s="11"/>
      <c r="C104" s="11" t="s">
        <v>22</v>
      </c>
      <c r="D104" s="23"/>
      <c r="E104" s="6"/>
      <c r="F104" s="23"/>
      <c r="G104" s="6"/>
      <c r="H104" s="23"/>
      <c r="I104" s="6"/>
      <c r="J104" s="23"/>
      <c r="K104" s="6"/>
      <c r="L104" s="23"/>
      <c r="M104" s="6"/>
      <c r="N104" s="23"/>
      <c r="O104" s="6"/>
      <c r="P104" s="23"/>
      <c r="Q104" s="6"/>
      <c r="R104" s="23"/>
      <c r="S104" s="6"/>
      <c r="T104" s="23"/>
      <c r="U104" s="6"/>
      <c r="V104" s="23"/>
      <c r="W104" s="33">
        <f t="shared" si="23"/>
        <v>0</v>
      </c>
      <c r="X104" s="23"/>
      <c r="Y104" s="23"/>
      <c r="Z104" s="23"/>
      <c r="AA104" s="23">
        <v>0</v>
      </c>
      <c r="AB104" s="23"/>
      <c r="AC104" s="23"/>
      <c r="AD104" s="23"/>
      <c r="AE104" s="23"/>
      <c r="AF104" s="23"/>
      <c r="AG104" s="23"/>
      <c r="AH104" s="23"/>
      <c r="AI104" s="23"/>
      <c r="AJ104" s="23"/>
      <c r="AK104" s="23">
        <v>0</v>
      </c>
      <c r="AL104" s="23"/>
      <c r="AM104" s="33">
        <f t="shared" si="20"/>
        <v>0</v>
      </c>
      <c r="AN104" s="23"/>
      <c r="AO104" s="33">
        <f t="shared" si="21"/>
        <v>0</v>
      </c>
      <c r="AP104" s="33"/>
    </row>
    <row r="105" spans="1:42">
      <c r="A105" s="11" t="s">
        <v>754</v>
      </c>
      <c r="B105" s="11"/>
      <c r="C105" s="11" t="s">
        <v>20</v>
      </c>
      <c r="D105" s="23"/>
      <c r="E105" s="6">
        <v>20982400</v>
      </c>
      <c r="F105" s="23"/>
      <c r="G105" s="6">
        <v>0</v>
      </c>
      <c r="H105" s="23"/>
      <c r="I105" s="6">
        <v>5759317</v>
      </c>
      <c r="J105" s="23"/>
      <c r="K105" s="6">
        <v>68419</v>
      </c>
      <c r="L105" s="23"/>
      <c r="M105" s="6">
        <f>1082797+5410+626027</f>
        <v>1714234</v>
      </c>
      <c r="N105" s="23"/>
      <c r="O105" s="6">
        <v>528139</v>
      </c>
      <c r="P105" s="23"/>
      <c r="Q105" s="6">
        <v>0</v>
      </c>
      <c r="R105" s="23"/>
      <c r="S105" s="6">
        <v>128652</v>
      </c>
      <c r="T105" s="23"/>
      <c r="U105" s="6">
        <v>176667</v>
      </c>
      <c r="V105" s="23"/>
      <c r="W105" s="33">
        <f t="shared" si="23"/>
        <v>29357828</v>
      </c>
      <c r="X105" s="23"/>
      <c r="Y105" s="23">
        <v>495100</v>
      </c>
      <c r="Z105" s="23"/>
      <c r="AA105" s="23">
        <v>0</v>
      </c>
      <c r="AB105" s="23"/>
      <c r="AC105" s="23">
        <f>974984+43507</f>
        <v>1018491</v>
      </c>
      <c r="AD105" s="23"/>
      <c r="AE105" s="23"/>
      <c r="AF105" s="23"/>
      <c r="AG105" s="23"/>
      <c r="AH105" s="23"/>
      <c r="AI105" s="23">
        <v>0</v>
      </c>
      <c r="AJ105" s="23"/>
      <c r="AK105" s="23">
        <v>0</v>
      </c>
      <c r="AL105" s="23"/>
      <c r="AM105" s="33">
        <f t="shared" si="20"/>
        <v>1513591</v>
      </c>
      <c r="AN105" s="23"/>
      <c r="AO105" s="33">
        <f t="shared" si="21"/>
        <v>30871419</v>
      </c>
      <c r="AP105" s="33"/>
    </row>
    <row r="106" spans="1:42">
      <c r="A106" s="11" t="s">
        <v>520</v>
      </c>
      <c r="B106" s="11"/>
      <c r="C106" s="11" t="s">
        <v>64</v>
      </c>
      <c r="D106" s="23"/>
      <c r="E106" s="6">
        <v>4704898</v>
      </c>
      <c r="F106" s="23"/>
      <c r="G106" s="6">
        <v>0</v>
      </c>
      <c r="H106" s="23"/>
      <c r="I106" s="6">
        <f>7390000+1061320</f>
        <v>8451320</v>
      </c>
      <c r="J106" s="23"/>
      <c r="K106" s="6">
        <v>2949</v>
      </c>
      <c r="L106" s="23"/>
      <c r="M106" s="6">
        <f>698692+2586+253742+28580+45118+3667</f>
        <v>1032385</v>
      </c>
      <c r="N106" s="23"/>
      <c r="O106" s="6">
        <v>93507</v>
      </c>
      <c r="P106" s="23"/>
      <c r="Q106" s="6">
        <v>0</v>
      </c>
      <c r="R106" s="23"/>
      <c r="S106" s="6">
        <v>24562</v>
      </c>
      <c r="T106" s="23"/>
      <c r="U106" s="6">
        <v>49714</v>
      </c>
      <c r="V106" s="23"/>
      <c r="W106" s="33">
        <f t="shared" si="23"/>
        <v>14359335</v>
      </c>
      <c r="X106" s="23"/>
      <c r="Y106" s="23">
        <v>55717</v>
      </c>
      <c r="Z106" s="23"/>
      <c r="AA106" s="23">
        <v>0</v>
      </c>
      <c r="AB106" s="23"/>
      <c r="AC106" s="23">
        <v>0</v>
      </c>
      <c r="AD106" s="23"/>
      <c r="AE106" s="23"/>
      <c r="AF106" s="23"/>
      <c r="AG106" s="23"/>
      <c r="AH106" s="23"/>
      <c r="AI106" s="23">
        <v>0</v>
      </c>
      <c r="AJ106" s="23"/>
      <c r="AK106" s="23">
        <v>0</v>
      </c>
      <c r="AL106" s="23"/>
      <c r="AM106" s="33">
        <f t="shared" si="20"/>
        <v>55717</v>
      </c>
      <c r="AN106" s="23"/>
      <c r="AO106" s="33">
        <f t="shared" si="21"/>
        <v>14415052</v>
      </c>
      <c r="AP106" s="33"/>
    </row>
    <row r="107" spans="1:42" hidden="1">
      <c r="A107" s="11" t="s">
        <v>737</v>
      </c>
      <c r="B107" s="11"/>
      <c r="C107" s="11" t="s">
        <v>30</v>
      </c>
      <c r="D107" s="23"/>
      <c r="E107" s="6"/>
      <c r="F107" s="23"/>
      <c r="G107" s="6"/>
      <c r="H107" s="23"/>
      <c r="I107" s="6"/>
      <c r="J107" s="23"/>
      <c r="K107" s="6"/>
      <c r="L107" s="23"/>
      <c r="M107" s="6"/>
      <c r="N107" s="23"/>
      <c r="O107" s="6"/>
      <c r="P107" s="23"/>
      <c r="Q107" s="6"/>
      <c r="R107" s="23"/>
      <c r="S107" s="6"/>
      <c r="T107" s="23"/>
      <c r="U107" s="6"/>
      <c r="V107" s="23"/>
      <c r="W107" s="33">
        <f t="shared" si="23"/>
        <v>0</v>
      </c>
      <c r="X107" s="23"/>
      <c r="Y107" s="23"/>
      <c r="Z107" s="23"/>
      <c r="AA107" s="23">
        <v>0</v>
      </c>
      <c r="AB107" s="23"/>
      <c r="AC107" s="23"/>
      <c r="AD107" s="23"/>
      <c r="AE107" s="23"/>
      <c r="AF107" s="23"/>
      <c r="AG107" s="23"/>
      <c r="AH107" s="23"/>
      <c r="AI107" s="23"/>
      <c r="AJ107" s="23"/>
      <c r="AK107" s="23">
        <v>0</v>
      </c>
      <c r="AL107" s="23"/>
      <c r="AM107" s="33">
        <f t="shared" si="20"/>
        <v>0</v>
      </c>
      <c r="AN107" s="23"/>
      <c r="AO107" s="33">
        <f t="shared" si="21"/>
        <v>0</v>
      </c>
      <c r="AP107" s="33"/>
    </row>
    <row r="108" spans="1:42">
      <c r="A108" s="11" t="s">
        <v>755</v>
      </c>
      <c r="B108" s="11"/>
      <c r="C108" s="11" t="s">
        <v>366</v>
      </c>
      <c r="D108" s="23"/>
      <c r="E108" s="6">
        <v>2387067</v>
      </c>
      <c r="F108" s="23"/>
      <c r="G108" s="6">
        <v>0</v>
      </c>
      <c r="H108" s="23"/>
      <c r="I108" s="6">
        <v>11165736</v>
      </c>
      <c r="J108" s="23"/>
      <c r="K108" s="6">
        <v>3209</v>
      </c>
      <c r="L108" s="23"/>
      <c r="M108" s="6">
        <f>1030253+1900+132395</f>
        <v>1164548</v>
      </c>
      <c r="N108" s="23"/>
      <c r="O108" s="6">
        <v>76432</v>
      </c>
      <c r="P108" s="23"/>
      <c r="Q108" s="6">
        <v>0</v>
      </c>
      <c r="R108" s="23"/>
      <c r="S108" s="6">
        <v>40322</v>
      </c>
      <c r="T108" s="23"/>
      <c r="U108" s="6">
        <v>25997</v>
      </c>
      <c r="V108" s="23"/>
      <c r="W108" s="33">
        <f t="shared" si="23"/>
        <v>14863311</v>
      </c>
      <c r="X108" s="23"/>
      <c r="Y108" s="23">
        <v>522149</v>
      </c>
      <c r="Z108" s="23"/>
      <c r="AA108" s="23">
        <v>0</v>
      </c>
      <c r="AB108" s="23"/>
      <c r="AC108" s="23">
        <v>0</v>
      </c>
      <c r="AD108" s="23"/>
      <c r="AE108" s="23"/>
      <c r="AF108" s="23"/>
      <c r="AG108" s="23"/>
      <c r="AH108" s="23"/>
      <c r="AI108" s="23">
        <v>3231</v>
      </c>
      <c r="AJ108" s="23"/>
      <c r="AK108" s="23">
        <v>0</v>
      </c>
      <c r="AL108" s="23"/>
      <c r="AM108" s="33">
        <f t="shared" si="20"/>
        <v>525380</v>
      </c>
      <c r="AN108" s="23"/>
      <c r="AO108" s="33">
        <f t="shared" si="21"/>
        <v>15388691</v>
      </c>
      <c r="AP108" s="33"/>
    </row>
    <row r="109" spans="1:42">
      <c r="A109" s="11" t="s">
        <v>473</v>
      </c>
      <c r="B109" s="11"/>
      <c r="C109" s="11" t="s">
        <v>58</v>
      </c>
      <c r="D109" s="23"/>
      <c r="E109" s="6">
        <v>10254363</v>
      </c>
      <c r="F109" s="23"/>
      <c r="G109" s="6">
        <v>0</v>
      </c>
      <c r="H109" s="23"/>
      <c r="I109" s="6">
        <v>19676727</v>
      </c>
      <c r="J109" s="23"/>
      <c r="K109" s="6">
        <v>19183</v>
      </c>
      <c r="L109" s="23"/>
      <c r="M109" s="6">
        <f>1417724+8629+470272</f>
        <v>1896625</v>
      </c>
      <c r="N109" s="23"/>
      <c r="O109" s="6">
        <v>171792</v>
      </c>
      <c r="P109" s="23"/>
      <c r="Q109" s="6">
        <v>0</v>
      </c>
      <c r="R109" s="23"/>
      <c r="S109" s="6">
        <v>14061</v>
      </c>
      <c r="T109" s="23"/>
      <c r="U109" s="6">
        <v>128636</v>
      </c>
      <c r="V109" s="23"/>
      <c r="W109" s="33">
        <f t="shared" si="23"/>
        <v>32161387</v>
      </c>
      <c r="X109" s="23"/>
      <c r="Y109" s="23">
        <v>0</v>
      </c>
      <c r="Z109" s="23"/>
      <c r="AA109" s="23">
        <v>0</v>
      </c>
      <c r="AB109" s="23"/>
      <c r="AC109" s="23">
        <v>1000000</v>
      </c>
      <c r="AD109" s="23"/>
      <c r="AE109" s="23"/>
      <c r="AF109" s="23"/>
      <c r="AG109" s="23"/>
      <c r="AH109" s="23"/>
      <c r="AI109" s="23">
        <v>75</v>
      </c>
      <c r="AJ109" s="23"/>
      <c r="AK109" s="23">
        <v>0</v>
      </c>
      <c r="AL109" s="23"/>
      <c r="AM109" s="33">
        <f t="shared" si="20"/>
        <v>1000075</v>
      </c>
      <c r="AN109" s="23"/>
      <c r="AO109" s="33">
        <f t="shared" si="21"/>
        <v>33161462</v>
      </c>
      <c r="AP109" s="33"/>
    </row>
    <row r="110" spans="1:42">
      <c r="A110" s="11" t="s">
        <v>551</v>
      </c>
      <c r="B110" s="11"/>
      <c r="C110" s="11" t="s">
        <v>71</v>
      </c>
      <c r="D110" s="23"/>
      <c r="E110" s="6">
        <v>4233310</v>
      </c>
      <c r="F110" s="23"/>
      <c r="G110" s="6">
        <v>1765583</v>
      </c>
      <c r="H110" s="23"/>
      <c r="I110" s="6">
        <f>4921+5492688+1020531</f>
        <v>6518140</v>
      </c>
      <c r="J110" s="23"/>
      <c r="K110" s="6">
        <v>3719</v>
      </c>
      <c r="L110" s="23"/>
      <c r="M110" s="6">
        <f>252027+107209+10866</f>
        <v>370102</v>
      </c>
      <c r="N110" s="23"/>
      <c r="O110" s="6">
        <v>245392</v>
      </c>
      <c r="P110" s="23"/>
      <c r="Q110" s="6">
        <v>0</v>
      </c>
      <c r="R110" s="23"/>
      <c r="S110" s="6">
        <v>0</v>
      </c>
      <c r="T110" s="23"/>
      <c r="U110" s="6">
        <v>25285</v>
      </c>
      <c r="V110" s="23"/>
      <c r="W110" s="33">
        <f t="shared" si="23"/>
        <v>13161531</v>
      </c>
      <c r="X110" s="23"/>
      <c r="Y110" s="23">
        <v>125000</v>
      </c>
      <c r="Z110" s="23"/>
      <c r="AA110" s="23">
        <v>0</v>
      </c>
      <c r="AB110" s="23"/>
      <c r="AC110" s="23">
        <v>0</v>
      </c>
      <c r="AD110" s="23"/>
      <c r="AE110" s="23"/>
      <c r="AF110" s="23"/>
      <c r="AG110" s="23"/>
      <c r="AH110" s="23"/>
      <c r="AI110" s="23">
        <v>0</v>
      </c>
      <c r="AJ110" s="23"/>
      <c r="AK110" s="23">
        <v>0</v>
      </c>
      <c r="AL110" s="23"/>
      <c r="AM110" s="33">
        <f t="shared" si="20"/>
        <v>125000</v>
      </c>
      <c r="AN110" s="23"/>
      <c r="AO110" s="33">
        <f t="shared" si="21"/>
        <v>13286531</v>
      </c>
      <c r="AP110" s="33"/>
    </row>
    <row r="111" spans="1:42">
      <c r="A111" s="11" t="s">
        <v>652</v>
      </c>
      <c r="B111" s="11"/>
      <c r="C111" s="11" t="s">
        <v>32</v>
      </c>
      <c r="D111" s="23"/>
      <c r="E111" s="6">
        <v>283821219</v>
      </c>
      <c r="F111" s="23"/>
      <c r="G111" s="6">
        <v>21430669</v>
      </c>
      <c r="H111" s="23"/>
      <c r="I111" s="6">
        <f>201246287+76002666</f>
        <v>277248953</v>
      </c>
      <c r="J111" s="23"/>
      <c r="K111" s="6">
        <v>644610</v>
      </c>
      <c r="L111" s="23"/>
      <c r="M111" s="6">
        <f>2302247+1707174</f>
        <v>4009421</v>
      </c>
      <c r="N111" s="23"/>
      <c r="O111" s="6">
        <v>0</v>
      </c>
      <c r="P111" s="23"/>
      <c r="Q111" s="6">
        <v>0</v>
      </c>
      <c r="R111" s="23"/>
      <c r="S111" s="6">
        <v>0</v>
      </c>
      <c r="T111" s="23"/>
      <c r="U111" s="6">
        <v>18648335</v>
      </c>
      <c r="V111" s="23"/>
      <c r="W111" s="33">
        <f t="shared" si="23"/>
        <v>605803207</v>
      </c>
      <c r="X111" s="23"/>
      <c r="Y111" s="23">
        <v>185798244</v>
      </c>
      <c r="Z111" s="23"/>
      <c r="AA111" s="23">
        <v>0</v>
      </c>
      <c r="AB111" s="23"/>
      <c r="AC111" s="23">
        <v>26250000</v>
      </c>
      <c r="AD111" s="23"/>
      <c r="AE111" s="23"/>
      <c r="AF111" s="23"/>
      <c r="AG111" s="23"/>
      <c r="AH111" s="23"/>
      <c r="AI111" s="23">
        <v>0</v>
      </c>
      <c r="AJ111" s="23"/>
      <c r="AK111" s="23">
        <v>0</v>
      </c>
      <c r="AL111" s="23"/>
      <c r="AM111" s="33">
        <f t="shared" si="20"/>
        <v>212048244</v>
      </c>
      <c r="AN111" s="23"/>
      <c r="AO111" s="33">
        <f t="shared" ref="AO111:AO112" si="24">W111+AM111</f>
        <v>817851451</v>
      </c>
      <c r="AP111" s="33"/>
    </row>
    <row r="112" spans="1:42">
      <c r="A112" s="11" t="s">
        <v>452</v>
      </c>
      <c r="B112" s="11"/>
      <c r="C112" s="11" t="s">
        <v>54</v>
      </c>
      <c r="D112" s="23"/>
      <c r="E112" s="6">
        <v>7451561</v>
      </c>
      <c r="F112" s="23"/>
      <c r="G112" s="6">
        <v>1530263</v>
      </c>
      <c r="H112" s="23"/>
      <c r="I112" s="6">
        <f>600+16631809+4859103</f>
        <v>21491512</v>
      </c>
      <c r="J112" s="23"/>
      <c r="K112" s="6">
        <v>246306</v>
      </c>
      <c r="L112" s="23"/>
      <c r="M112" s="6">
        <f>495451+314137+23908+76693+114511</f>
        <v>1024700</v>
      </c>
      <c r="N112" s="23"/>
      <c r="O112" s="6">
        <v>152788</v>
      </c>
      <c r="P112" s="23"/>
      <c r="Q112" s="6">
        <v>113573</v>
      </c>
      <c r="R112" s="23"/>
      <c r="S112" s="6">
        <v>0</v>
      </c>
      <c r="T112" s="23"/>
      <c r="U112" s="6">
        <v>196594</v>
      </c>
      <c r="V112" s="23"/>
      <c r="W112" s="33">
        <f t="shared" si="23"/>
        <v>32207297</v>
      </c>
      <c r="X112" s="23"/>
      <c r="Y112" s="23">
        <v>363905</v>
      </c>
      <c r="Z112" s="23"/>
      <c r="AA112" s="23">
        <v>0</v>
      </c>
      <c r="AB112" s="23"/>
      <c r="AC112" s="23">
        <v>0</v>
      </c>
      <c r="AD112" s="23"/>
      <c r="AE112" s="23"/>
      <c r="AF112" s="23"/>
      <c r="AG112" s="23"/>
      <c r="AH112" s="23"/>
      <c r="AI112" s="23">
        <v>0</v>
      </c>
      <c r="AJ112" s="23"/>
      <c r="AK112" s="23">
        <v>0</v>
      </c>
      <c r="AL112" s="23"/>
      <c r="AM112" s="33">
        <f t="shared" si="20"/>
        <v>363905</v>
      </c>
      <c r="AN112" s="23"/>
      <c r="AO112" s="33">
        <f t="shared" si="24"/>
        <v>32571202</v>
      </c>
      <c r="AP112" s="33"/>
    </row>
    <row r="113" spans="1:42">
      <c r="A113" s="11" t="s">
        <v>231</v>
      </c>
      <c r="B113" s="11"/>
      <c r="C113" s="11" t="s">
        <v>17</v>
      </c>
      <c r="D113" s="23"/>
      <c r="E113" s="6">
        <v>7397524</v>
      </c>
      <c r="F113" s="23"/>
      <c r="G113" s="6">
        <v>0</v>
      </c>
      <c r="H113" s="23"/>
      <c r="I113" s="6">
        <v>8601311</v>
      </c>
      <c r="J113" s="23"/>
      <c r="K113" s="6">
        <v>148</v>
      </c>
      <c r="L113" s="23"/>
      <c r="M113" s="6">
        <f>2517327+557473+10271</f>
        <v>3085071</v>
      </c>
      <c r="N113" s="23"/>
      <c r="O113" s="6">
        <v>407152</v>
      </c>
      <c r="P113" s="23"/>
      <c r="Q113" s="6">
        <v>0</v>
      </c>
      <c r="R113" s="23"/>
      <c r="S113" s="6">
        <v>8462</v>
      </c>
      <c r="T113" s="23"/>
      <c r="U113" s="6">
        <v>40058</v>
      </c>
      <c r="V113" s="23"/>
      <c r="W113" s="33">
        <f t="shared" si="23"/>
        <v>19539726</v>
      </c>
      <c r="X113" s="23"/>
      <c r="Y113" s="23">
        <v>0</v>
      </c>
      <c r="Z113" s="23"/>
      <c r="AA113" s="23">
        <v>0</v>
      </c>
      <c r="AB113" s="23"/>
      <c r="AC113" s="23">
        <v>0</v>
      </c>
      <c r="AD113" s="23"/>
      <c r="AE113" s="23"/>
      <c r="AF113" s="23"/>
      <c r="AG113" s="23"/>
      <c r="AH113" s="23"/>
      <c r="AI113" s="23">
        <v>7797</v>
      </c>
      <c r="AJ113" s="23"/>
      <c r="AK113" s="23">
        <v>0</v>
      </c>
      <c r="AL113" s="23"/>
      <c r="AM113" s="33">
        <f t="shared" si="20"/>
        <v>7797</v>
      </c>
      <c r="AN113" s="23"/>
      <c r="AO113" s="33">
        <f t="shared" ref="AO113:AO177" si="25">W113+AM113</f>
        <v>19547523</v>
      </c>
      <c r="AP113" s="33"/>
    </row>
    <row r="114" spans="1:42">
      <c r="A114" s="11" t="s">
        <v>480</v>
      </c>
      <c r="B114" s="11"/>
      <c r="C114" s="11" t="s">
        <v>59</v>
      </c>
      <c r="D114" s="23"/>
      <c r="E114" s="6">
        <v>1251382</v>
      </c>
      <c r="F114" s="23"/>
      <c r="G114" s="6">
        <v>0</v>
      </c>
      <c r="H114" s="23"/>
      <c r="I114" s="6">
        <v>4460708</v>
      </c>
      <c r="J114" s="23"/>
      <c r="K114" s="6">
        <v>6079</v>
      </c>
      <c r="L114" s="23"/>
      <c r="M114" s="6">
        <f>737939+90511</f>
        <v>828450</v>
      </c>
      <c r="N114" s="23"/>
      <c r="O114" s="6">
        <v>62330</v>
      </c>
      <c r="P114" s="23"/>
      <c r="Q114" s="6">
        <v>0</v>
      </c>
      <c r="R114" s="23"/>
      <c r="S114" s="6">
        <v>56457</v>
      </c>
      <c r="T114" s="23"/>
      <c r="U114" s="6">
        <v>196960</v>
      </c>
      <c r="V114" s="23"/>
      <c r="W114" s="33">
        <f t="shared" si="23"/>
        <v>6862366</v>
      </c>
      <c r="X114" s="23"/>
      <c r="Y114" s="23">
        <v>43940</v>
      </c>
      <c r="Z114" s="23"/>
      <c r="AA114" s="23">
        <v>0</v>
      </c>
      <c r="AB114" s="23"/>
      <c r="AC114" s="23">
        <v>266707</v>
      </c>
      <c r="AD114" s="23"/>
      <c r="AE114" s="23"/>
      <c r="AF114" s="23"/>
      <c r="AG114" s="23"/>
      <c r="AH114" s="23"/>
      <c r="AI114" s="23">
        <v>0</v>
      </c>
      <c r="AJ114" s="23"/>
      <c r="AK114" s="23">
        <v>0</v>
      </c>
      <c r="AL114" s="23"/>
      <c r="AM114" s="33">
        <f t="shared" si="20"/>
        <v>310647</v>
      </c>
      <c r="AN114" s="23"/>
      <c r="AO114" s="33">
        <f t="shared" si="25"/>
        <v>7173013</v>
      </c>
      <c r="AP114" s="33"/>
    </row>
    <row r="115" spans="1:42">
      <c r="A115" s="11" t="s">
        <v>533</v>
      </c>
      <c r="B115" s="11"/>
      <c r="C115" s="11" t="s">
        <v>65</v>
      </c>
      <c r="D115" s="23"/>
      <c r="E115" s="6">
        <v>3551633</v>
      </c>
      <c r="F115" s="23"/>
      <c r="G115" s="6">
        <v>0</v>
      </c>
      <c r="H115" s="23"/>
      <c r="I115" s="6">
        <f>13677784+2924363</f>
        <v>16602147</v>
      </c>
      <c r="J115" s="23"/>
      <c r="K115" s="6">
        <v>3091</v>
      </c>
      <c r="L115" s="23"/>
      <c r="M115" s="6">
        <f>1112709+41581+10330+2716+183899</f>
        <v>1351235</v>
      </c>
      <c r="N115" s="23"/>
      <c r="O115" s="6">
        <v>180975</v>
      </c>
      <c r="P115" s="23"/>
      <c r="Q115" s="6">
        <v>10000</v>
      </c>
      <c r="R115" s="23"/>
      <c r="S115" s="6">
        <v>74884</v>
      </c>
      <c r="T115" s="23"/>
      <c r="U115" s="6">
        <v>20721</v>
      </c>
      <c r="V115" s="23"/>
      <c r="W115" s="33">
        <f t="shared" si="23"/>
        <v>21794686</v>
      </c>
      <c r="X115" s="23"/>
      <c r="Y115" s="23">
        <v>0</v>
      </c>
      <c r="Z115" s="23"/>
      <c r="AA115" s="23">
        <v>0</v>
      </c>
      <c r="AB115" s="23"/>
      <c r="AC115" s="23">
        <v>0</v>
      </c>
      <c r="AD115" s="23"/>
      <c r="AE115" s="23"/>
      <c r="AF115" s="23"/>
      <c r="AG115" s="23"/>
      <c r="AH115" s="23"/>
      <c r="AI115" s="23">
        <v>0</v>
      </c>
      <c r="AJ115" s="23"/>
      <c r="AK115" s="23">
        <v>0</v>
      </c>
      <c r="AL115" s="23"/>
      <c r="AM115" s="33">
        <f t="shared" si="20"/>
        <v>0</v>
      </c>
      <c r="AN115" s="23"/>
      <c r="AO115" s="33">
        <f t="shared" si="25"/>
        <v>21794686</v>
      </c>
      <c r="AP115" s="33"/>
    </row>
    <row r="116" spans="1:42">
      <c r="A116" s="11" t="s">
        <v>468</v>
      </c>
      <c r="B116" s="11"/>
      <c r="C116" s="11" t="s">
        <v>110</v>
      </c>
      <c r="D116" s="23"/>
      <c r="E116" s="6">
        <v>4429455</v>
      </c>
      <c r="F116" s="23"/>
      <c r="G116" s="6">
        <v>0</v>
      </c>
      <c r="H116" s="23"/>
      <c r="I116" s="6">
        <f>8873830+1317382</f>
        <v>10191212</v>
      </c>
      <c r="J116" s="23"/>
      <c r="K116" s="6">
        <v>65500</v>
      </c>
      <c r="L116" s="23"/>
      <c r="M116" s="6">
        <f>1222713+343388+43435+8980+4495+11000</f>
        <v>1634011</v>
      </c>
      <c r="N116" s="23"/>
      <c r="O116" s="6">
        <v>132845</v>
      </c>
      <c r="P116" s="23"/>
      <c r="Q116" s="6">
        <v>0</v>
      </c>
      <c r="R116" s="23"/>
      <c r="S116" s="6">
        <v>17007</v>
      </c>
      <c r="T116" s="23"/>
      <c r="U116" s="6">
        <v>26183</v>
      </c>
      <c r="V116" s="23"/>
      <c r="W116" s="33">
        <f t="shared" si="23"/>
        <v>16496213</v>
      </c>
      <c r="X116" s="23"/>
      <c r="Y116" s="23">
        <v>276541</v>
      </c>
      <c r="Z116" s="23"/>
      <c r="AA116" s="23">
        <v>0</v>
      </c>
      <c r="AB116" s="23"/>
      <c r="AC116" s="23">
        <v>0</v>
      </c>
      <c r="AD116" s="23"/>
      <c r="AE116" s="23"/>
      <c r="AF116" s="23"/>
      <c r="AG116" s="23"/>
      <c r="AH116" s="23"/>
      <c r="AI116" s="23">
        <v>0</v>
      </c>
      <c r="AJ116" s="23"/>
      <c r="AK116" s="23">
        <v>0</v>
      </c>
      <c r="AL116" s="23"/>
      <c r="AM116" s="33">
        <f t="shared" si="20"/>
        <v>276541</v>
      </c>
      <c r="AN116" s="23"/>
      <c r="AO116" s="33">
        <f t="shared" si="25"/>
        <v>16772754</v>
      </c>
      <c r="AP116" s="33"/>
    </row>
    <row r="117" spans="1:42">
      <c r="A117" s="11" t="s">
        <v>382</v>
      </c>
      <c r="B117" s="11"/>
      <c r="C117" s="11" t="s">
        <v>44</v>
      </c>
      <c r="D117" s="23"/>
      <c r="E117" s="6">
        <v>2980189</v>
      </c>
      <c r="F117" s="23"/>
      <c r="G117" s="6">
        <v>0</v>
      </c>
      <c r="H117" s="23"/>
      <c r="I117" s="6">
        <v>9151390</v>
      </c>
      <c r="J117" s="23"/>
      <c r="K117" s="6">
        <v>7662</v>
      </c>
      <c r="L117" s="23"/>
      <c r="M117" s="6">
        <f>3175382+159022</f>
        <v>3334404</v>
      </c>
      <c r="N117" s="23"/>
      <c r="O117" s="6">
        <v>177275</v>
      </c>
      <c r="P117" s="23"/>
      <c r="Q117" s="6">
        <v>0</v>
      </c>
      <c r="R117" s="23"/>
      <c r="S117" s="6">
        <v>0</v>
      </c>
      <c r="T117" s="23"/>
      <c r="U117" s="6">
        <v>85944</v>
      </c>
      <c r="V117" s="23"/>
      <c r="W117" s="33">
        <f t="shared" si="23"/>
        <v>15736864</v>
      </c>
      <c r="X117" s="23"/>
      <c r="Y117" s="23">
        <v>62000</v>
      </c>
      <c r="Z117" s="23"/>
      <c r="AA117" s="23">
        <v>0</v>
      </c>
      <c r="AB117" s="23"/>
      <c r="AC117" s="23">
        <v>143270</v>
      </c>
      <c r="AD117" s="23"/>
      <c r="AE117" s="23"/>
      <c r="AF117" s="23"/>
      <c r="AG117" s="23"/>
      <c r="AH117" s="23"/>
      <c r="AI117" s="23">
        <v>0</v>
      </c>
      <c r="AJ117" s="23"/>
      <c r="AK117" s="23">
        <v>0</v>
      </c>
      <c r="AL117" s="23"/>
      <c r="AM117" s="33">
        <f t="shared" si="20"/>
        <v>205270</v>
      </c>
      <c r="AN117" s="23"/>
      <c r="AO117" s="33">
        <f t="shared" si="25"/>
        <v>15942134</v>
      </c>
      <c r="AP117" s="33"/>
    </row>
    <row r="118" spans="1:42">
      <c r="A118" s="11" t="s">
        <v>653</v>
      </c>
      <c r="B118" s="11"/>
      <c r="C118" s="11" t="s">
        <v>113</v>
      </c>
      <c r="D118" s="23"/>
      <c r="E118" s="6">
        <v>8643093</v>
      </c>
      <c r="F118" s="23"/>
      <c r="G118" s="6">
        <v>0</v>
      </c>
      <c r="H118" s="23"/>
      <c r="I118" s="6">
        <v>7538186</v>
      </c>
      <c r="J118" s="23"/>
      <c r="K118" s="6">
        <v>11554</v>
      </c>
      <c r="L118" s="23"/>
      <c r="M118" s="6">
        <f>589981+324375</f>
        <v>914356</v>
      </c>
      <c r="N118" s="23"/>
      <c r="O118" s="6">
        <v>0</v>
      </c>
      <c r="P118" s="23"/>
      <c r="Q118" s="6">
        <v>0</v>
      </c>
      <c r="R118" s="23"/>
      <c r="S118" s="6">
        <v>0</v>
      </c>
      <c r="T118" s="23"/>
      <c r="U118" s="6">
        <v>686798</v>
      </c>
      <c r="V118" s="23"/>
      <c r="W118" s="33">
        <f t="shared" si="23"/>
        <v>17793987</v>
      </c>
      <c r="X118" s="23"/>
      <c r="Y118" s="23">
        <v>299200</v>
      </c>
      <c r="Z118" s="23"/>
      <c r="AA118" s="23">
        <v>0</v>
      </c>
      <c r="AB118" s="23"/>
      <c r="AC118" s="23">
        <v>0</v>
      </c>
      <c r="AD118" s="23"/>
      <c r="AE118" s="23"/>
      <c r="AF118" s="23"/>
      <c r="AG118" s="23"/>
      <c r="AH118" s="23"/>
      <c r="AI118" s="23">
        <v>0</v>
      </c>
      <c r="AJ118" s="23"/>
      <c r="AK118" s="23">
        <v>0</v>
      </c>
      <c r="AL118" s="23"/>
      <c r="AM118" s="33">
        <f t="shared" si="20"/>
        <v>299200</v>
      </c>
      <c r="AN118" s="23"/>
      <c r="AO118" s="33">
        <f t="shared" si="25"/>
        <v>18093187</v>
      </c>
      <c r="AP118" s="33"/>
    </row>
    <row r="119" spans="1:42">
      <c r="A119" s="11" t="s">
        <v>651</v>
      </c>
      <c r="B119" s="11"/>
      <c r="C119" s="11" t="s">
        <v>20</v>
      </c>
      <c r="D119" s="23"/>
      <c r="E119" s="6">
        <v>67893727</v>
      </c>
      <c r="F119" s="23"/>
      <c r="G119" s="6">
        <v>0</v>
      </c>
      <c r="H119" s="23"/>
      <c r="I119" s="6">
        <v>41721066</v>
      </c>
      <c r="J119" s="23"/>
      <c r="K119" s="6">
        <v>229786</v>
      </c>
      <c r="L119" s="23"/>
      <c r="M119" s="6">
        <f>2103521+6628</f>
        <v>2110149</v>
      </c>
      <c r="N119" s="23"/>
      <c r="O119" s="6">
        <v>214197</v>
      </c>
      <c r="P119" s="23"/>
      <c r="Q119" s="6">
        <v>0</v>
      </c>
      <c r="R119" s="23"/>
      <c r="S119" s="6">
        <v>0</v>
      </c>
      <c r="T119" s="23"/>
      <c r="U119" s="6">
        <v>590072</v>
      </c>
      <c r="V119" s="23"/>
      <c r="W119" s="33">
        <f t="shared" si="23"/>
        <v>112758997</v>
      </c>
      <c r="X119" s="23"/>
      <c r="Y119" s="23">
        <v>914388</v>
      </c>
      <c r="Z119" s="23"/>
      <c r="AA119" s="23">
        <v>0</v>
      </c>
      <c r="AB119" s="23"/>
      <c r="AC119" s="23">
        <v>0</v>
      </c>
      <c r="AD119" s="23"/>
      <c r="AE119" s="23"/>
      <c r="AF119" s="23"/>
      <c r="AG119" s="23"/>
      <c r="AH119" s="23"/>
      <c r="AI119" s="23">
        <v>0</v>
      </c>
      <c r="AJ119" s="23"/>
      <c r="AK119" s="23">
        <v>0</v>
      </c>
      <c r="AL119" s="23"/>
      <c r="AM119" s="33">
        <f t="shared" si="20"/>
        <v>914388</v>
      </c>
      <c r="AN119" s="23"/>
      <c r="AO119" s="33">
        <f t="shared" si="25"/>
        <v>113673385</v>
      </c>
      <c r="AP119" s="33"/>
    </row>
    <row r="120" spans="1:42">
      <c r="A120" s="11" t="s">
        <v>265</v>
      </c>
      <c r="B120" s="11"/>
      <c r="C120" s="11" t="s">
        <v>20</v>
      </c>
      <c r="D120" s="23"/>
      <c r="E120" s="6">
        <v>179685485</v>
      </c>
      <c r="F120" s="23"/>
      <c r="G120" s="6">
        <v>0</v>
      </c>
      <c r="H120" s="23"/>
      <c r="I120" s="6">
        <f>462502688+31850562+3060502+155425755</f>
        <v>652839507</v>
      </c>
      <c r="J120" s="23"/>
      <c r="K120" s="6">
        <v>1910966</v>
      </c>
      <c r="L120" s="23"/>
      <c r="M120" s="6">
        <v>3999330</v>
      </c>
      <c r="N120" s="23"/>
      <c r="O120" s="6">
        <v>541229</v>
      </c>
      <c r="P120" s="23"/>
      <c r="Q120" s="6">
        <v>0</v>
      </c>
      <c r="R120" s="23"/>
      <c r="S120" s="6">
        <v>2627175</v>
      </c>
      <c r="T120" s="23"/>
      <c r="U120" s="6">
        <f>1374307+17071449</f>
        <v>18445756</v>
      </c>
      <c r="V120" s="23"/>
      <c r="W120" s="33">
        <f t="shared" si="23"/>
        <v>860049448</v>
      </c>
      <c r="X120" s="23"/>
      <c r="Y120" s="23">
        <v>15596576</v>
      </c>
      <c r="Z120" s="23"/>
      <c r="AA120" s="23">
        <v>0</v>
      </c>
      <c r="AB120" s="23"/>
      <c r="AC120" s="23">
        <v>20855000</v>
      </c>
      <c r="AD120" s="23"/>
      <c r="AE120" s="23"/>
      <c r="AF120" s="23"/>
      <c r="AG120" s="23"/>
      <c r="AH120" s="23"/>
      <c r="AI120" s="23">
        <v>0</v>
      </c>
      <c r="AJ120" s="23"/>
      <c r="AK120" s="23">
        <v>0</v>
      </c>
      <c r="AL120" s="23"/>
      <c r="AM120" s="33">
        <f t="shared" si="20"/>
        <v>36451576</v>
      </c>
      <c r="AN120" s="23"/>
      <c r="AO120" s="33">
        <f t="shared" si="25"/>
        <v>896501024</v>
      </c>
      <c r="AP120" s="33"/>
    </row>
    <row r="121" spans="1:42">
      <c r="A121" s="11" t="s">
        <v>243</v>
      </c>
      <c r="B121" s="11"/>
      <c r="C121" s="11" t="s">
        <v>18</v>
      </c>
      <c r="D121" s="23"/>
      <c r="E121" s="6">
        <v>5201383</v>
      </c>
      <c r="F121" s="23"/>
      <c r="G121" s="6">
        <v>0</v>
      </c>
      <c r="H121" s="23"/>
      <c r="I121" s="6">
        <v>10635319</v>
      </c>
      <c r="J121" s="23"/>
      <c r="K121" s="6">
        <v>1198</v>
      </c>
      <c r="L121" s="23"/>
      <c r="M121" s="6">
        <f>1196028+470674</f>
        <v>1666702</v>
      </c>
      <c r="N121" s="23"/>
      <c r="O121" s="6">
        <v>201165</v>
      </c>
      <c r="P121" s="23"/>
      <c r="Q121" s="6">
        <v>10291</v>
      </c>
      <c r="R121" s="23"/>
      <c r="S121" s="6">
        <v>0</v>
      </c>
      <c r="T121" s="23"/>
      <c r="U121" s="6">
        <v>245848</v>
      </c>
      <c r="V121" s="23"/>
      <c r="W121" s="33">
        <f t="shared" si="23"/>
        <v>17961906</v>
      </c>
      <c r="X121" s="23"/>
      <c r="Y121" s="23">
        <v>382972</v>
      </c>
      <c r="Z121" s="23"/>
      <c r="AA121" s="23">
        <v>0</v>
      </c>
      <c r="AB121" s="23"/>
      <c r="AC121" s="23">
        <v>793824</v>
      </c>
      <c r="AD121" s="23"/>
      <c r="AE121" s="23"/>
      <c r="AF121" s="23"/>
      <c r="AG121" s="23"/>
      <c r="AH121" s="23"/>
      <c r="AI121" s="23">
        <v>2500</v>
      </c>
      <c r="AJ121" s="23"/>
      <c r="AK121" s="23">
        <v>0</v>
      </c>
      <c r="AL121" s="23"/>
      <c r="AM121" s="33">
        <f t="shared" si="20"/>
        <v>1179296</v>
      </c>
      <c r="AN121" s="23"/>
      <c r="AO121" s="33">
        <f t="shared" si="25"/>
        <v>19141202</v>
      </c>
      <c r="AP121" s="33"/>
    </row>
    <row r="122" spans="1:42">
      <c r="A122" s="11" t="s">
        <v>416</v>
      </c>
      <c r="B122" s="11"/>
      <c r="C122" s="11" t="s">
        <v>47</v>
      </c>
      <c r="D122" s="23"/>
      <c r="E122" s="6">
        <v>12612498</v>
      </c>
      <c r="F122" s="23"/>
      <c r="G122" s="6">
        <v>1984004</v>
      </c>
      <c r="H122" s="23"/>
      <c r="I122" s="6">
        <f>71820+11582930+2331255</f>
        <v>13986005</v>
      </c>
      <c r="J122" s="23"/>
      <c r="K122" s="6">
        <v>23559</v>
      </c>
      <c r="L122" s="23"/>
      <c r="M122" s="6">
        <f>525940+623132+131070+101355</f>
        <v>1381497</v>
      </c>
      <c r="N122" s="23"/>
      <c r="O122" s="6">
        <v>296681</v>
      </c>
      <c r="P122" s="23"/>
      <c r="Q122" s="6">
        <f>40606+1163847</f>
        <v>1204453</v>
      </c>
      <c r="R122" s="23"/>
      <c r="S122" s="6">
        <v>21264</v>
      </c>
      <c r="T122" s="23"/>
      <c r="U122" s="6">
        <v>32822</v>
      </c>
      <c r="V122" s="23"/>
      <c r="W122" s="33">
        <f t="shared" si="23"/>
        <v>31542783</v>
      </c>
      <c r="X122" s="23"/>
      <c r="Y122" s="23">
        <v>85175</v>
      </c>
      <c r="Z122" s="23"/>
      <c r="AA122" s="23">
        <v>0</v>
      </c>
      <c r="AB122" s="23"/>
      <c r="AC122" s="23">
        <v>1140000</v>
      </c>
      <c r="AD122" s="23"/>
      <c r="AE122" s="23"/>
      <c r="AF122" s="23"/>
      <c r="AG122" s="23"/>
      <c r="AH122" s="23"/>
      <c r="AI122" s="23">
        <v>0</v>
      </c>
      <c r="AJ122" s="23"/>
      <c r="AK122" s="23">
        <v>0</v>
      </c>
      <c r="AL122" s="23"/>
      <c r="AM122" s="33">
        <f t="shared" si="20"/>
        <v>1225175</v>
      </c>
      <c r="AN122" s="23"/>
      <c r="AO122" s="33">
        <f t="shared" si="25"/>
        <v>32767958</v>
      </c>
      <c r="AP122" s="33"/>
    </row>
    <row r="123" spans="1:42">
      <c r="A123" s="11" t="s">
        <v>756</v>
      </c>
      <c r="B123" s="11"/>
      <c r="C123" s="11" t="s">
        <v>79</v>
      </c>
      <c r="D123" s="23"/>
      <c r="E123" s="6">
        <v>7929540</v>
      </c>
      <c r="F123" s="23"/>
      <c r="G123" s="6">
        <v>0</v>
      </c>
      <c r="H123" s="23"/>
      <c r="I123" s="6">
        <f>11555724+1951201</f>
        <v>13506925</v>
      </c>
      <c r="J123" s="23"/>
      <c r="K123" s="6">
        <v>8920</v>
      </c>
      <c r="L123" s="23"/>
      <c r="M123" s="6">
        <f>806635+559978+40990</f>
        <v>1407603</v>
      </c>
      <c r="N123" s="23"/>
      <c r="O123" s="6">
        <v>308584</v>
      </c>
      <c r="P123" s="23"/>
      <c r="Q123" s="6">
        <v>118331</v>
      </c>
      <c r="R123" s="23"/>
      <c r="S123" s="6">
        <v>0</v>
      </c>
      <c r="T123" s="23"/>
      <c r="U123" s="6">
        <v>78812</v>
      </c>
      <c r="V123" s="23"/>
      <c r="W123" s="33">
        <f t="shared" si="23"/>
        <v>23358715</v>
      </c>
      <c r="X123" s="23"/>
      <c r="Y123" s="23">
        <v>1804717</v>
      </c>
      <c r="Z123" s="23"/>
      <c r="AA123" s="23">
        <v>0</v>
      </c>
      <c r="AB123" s="23"/>
      <c r="AC123" s="23">
        <v>0</v>
      </c>
      <c r="AD123" s="23"/>
      <c r="AE123" s="23"/>
      <c r="AF123" s="23"/>
      <c r="AG123" s="23"/>
      <c r="AH123" s="23"/>
      <c r="AI123" s="23">
        <v>459</v>
      </c>
      <c r="AJ123" s="23"/>
      <c r="AK123" s="23">
        <v>0</v>
      </c>
      <c r="AL123" s="23"/>
      <c r="AM123" s="33">
        <f t="shared" si="20"/>
        <v>1805176</v>
      </c>
      <c r="AN123" s="23"/>
      <c r="AO123" s="33">
        <f t="shared" si="25"/>
        <v>25163891</v>
      </c>
      <c r="AP123" s="33"/>
    </row>
    <row r="124" spans="1:42" hidden="1">
      <c r="A124" s="11" t="s">
        <v>654</v>
      </c>
      <c r="B124" s="11"/>
      <c r="C124" s="11" t="s">
        <v>422</v>
      </c>
      <c r="D124" s="23"/>
      <c r="E124" s="6"/>
      <c r="F124" s="23"/>
      <c r="G124" s="6"/>
      <c r="H124" s="23"/>
      <c r="I124" s="6"/>
      <c r="J124" s="23"/>
      <c r="K124" s="6"/>
      <c r="L124" s="23"/>
      <c r="M124" s="6"/>
      <c r="N124" s="23"/>
      <c r="O124" s="6"/>
      <c r="P124" s="23"/>
      <c r="Q124" s="6"/>
      <c r="R124" s="23"/>
      <c r="S124" s="6"/>
      <c r="T124" s="23"/>
      <c r="U124" s="6"/>
      <c r="V124" s="23"/>
      <c r="W124" s="33">
        <f t="shared" si="23"/>
        <v>0</v>
      </c>
      <c r="X124" s="23"/>
      <c r="Y124" s="23"/>
      <c r="Z124" s="23"/>
      <c r="AA124" s="23">
        <v>0</v>
      </c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33">
        <f t="shared" si="20"/>
        <v>0</v>
      </c>
      <c r="AN124" s="23"/>
      <c r="AO124" s="33">
        <f t="shared" si="25"/>
        <v>0</v>
      </c>
      <c r="AP124" s="33"/>
    </row>
    <row r="125" spans="1:42" hidden="1">
      <c r="A125" s="11" t="s">
        <v>610</v>
      </c>
      <c r="B125" s="11"/>
      <c r="C125" s="11" t="s">
        <v>57</v>
      </c>
      <c r="D125" s="23"/>
      <c r="E125" s="6"/>
      <c r="F125" s="23"/>
      <c r="G125" s="6"/>
      <c r="H125" s="23"/>
      <c r="I125" s="6"/>
      <c r="J125" s="23"/>
      <c r="K125" s="6"/>
      <c r="L125" s="23"/>
      <c r="M125" s="6"/>
      <c r="N125" s="23"/>
      <c r="O125" s="6"/>
      <c r="P125" s="23"/>
      <c r="Q125" s="6"/>
      <c r="R125" s="23"/>
      <c r="S125" s="6"/>
      <c r="T125" s="23"/>
      <c r="U125" s="6"/>
      <c r="V125" s="23"/>
      <c r="W125" s="33">
        <f t="shared" si="23"/>
        <v>0</v>
      </c>
      <c r="X125" s="23"/>
      <c r="Y125" s="23"/>
      <c r="Z125" s="23"/>
      <c r="AA125" s="23">
        <v>0</v>
      </c>
      <c r="AB125" s="23"/>
      <c r="AC125" s="23"/>
      <c r="AD125" s="23"/>
      <c r="AE125" s="23"/>
      <c r="AF125" s="23"/>
      <c r="AG125" s="23"/>
      <c r="AH125" s="23"/>
      <c r="AI125" s="23"/>
      <c r="AJ125" s="23"/>
      <c r="AK125" s="23">
        <v>0</v>
      </c>
      <c r="AL125" s="23"/>
      <c r="AM125" s="33">
        <f t="shared" si="20"/>
        <v>0</v>
      </c>
      <c r="AN125" s="23"/>
      <c r="AO125" s="33">
        <f t="shared" si="25"/>
        <v>0</v>
      </c>
      <c r="AP125" s="33"/>
    </row>
    <row r="126" spans="1:42">
      <c r="A126" s="11" t="s">
        <v>258</v>
      </c>
      <c r="B126" s="11"/>
      <c r="C126" s="11" t="s">
        <v>111</v>
      </c>
      <c r="D126" s="23"/>
      <c r="E126" s="6">
        <v>3085469</v>
      </c>
      <c r="F126" s="23"/>
      <c r="G126" s="6">
        <v>1491647</v>
      </c>
      <c r="H126" s="23"/>
      <c r="I126" s="6">
        <f>12340+3939714+695198</f>
        <v>4647252</v>
      </c>
      <c r="J126" s="23"/>
      <c r="K126" s="6">
        <v>8849</v>
      </c>
      <c r="L126" s="23"/>
      <c r="M126" s="6">
        <f>1117737+4424+163221+65536+1515+8637</f>
        <v>1361070</v>
      </c>
      <c r="N126" s="23"/>
      <c r="O126" s="6">
        <v>112591</v>
      </c>
      <c r="P126" s="23"/>
      <c r="Q126" s="6">
        <v>0</v>
      </c>
      <c r="R126" s="23"/>
      <c r="S126" s="6">
        <v>18384</v>
      </c>
      <c r="T126" s="23"/>
      <c r="U126" s="6">
        <v>21124</v>
      </c>
      <c r="V126" s="23"/>
      <c r="W126" s="33">
        <f t="shared" si="23"/>
        <v>10746386</v>
      </c>
      <c r="X126" s="23"/>
      <c r="Y126" s="23">
        <v>0</v>
      </c>
      <c r="Z126" s="23"/>
      <c r="AA126" s="23">
        <v>0</v>
      </c>
      <c r="AB126" s="23"/>
      <c r="AC126" s="23">
        <v>0</v>
      </c>
      <c r="AD126" s="23"/>
      <c r="AE126" s="23"/>
      <c r="AF126" s="23"/>
      <c r="AG126" s="23"/>
      <c r="AH126" s="23"/>
      <c r="AI126" s="23">
        <v>4697</v>
      </c>
      <c r="AJ126" s="23"/>
      <c r="AK126" s="23">
        <v>0</v>
      </c>
      <c r="AL126" s="23"/>
      <c r="AM126" s="33">
        <f t="shared" si="20"/>
        <v>4697</v>
      </c>
      <c r="AN126" s="23"/>
      <c r="AO126" s="33">
        <f t="shared" si="25"/>
        <v>10751083</v>
      </c>
      <c r="AP126" s="33"/>
    </row>
    <row r="127" spans="1:42">
      <c r="A127" s="11" t="s">
        <v>383</v>
      </c>
      <c r="B127" s="11"/>
      <c r="C127" s="11" t="s">
        <v>44</v>
      </c>
      <c r="D127" s="23"/>
      <c r="E127" s="6">
        <v>6232698</v>
      </c>
      <c r="F127" s="23"/>
      <c r="G127" s="6">
        <v>0</v>
      </c>
      <c r="H127" s="23"/>
      <c r="I127" s="6">
        <f>11849+3158303+638035</f>
        <v>3808187</v>
      </c>
      <c r="J127" s="23"/>
      <c r="K127" s="6">
        <v>8192</v>
      </c>
      <c r="L127" s="23"/>
      <c r="M127" s="6">
        <f>514241+199133+50916+18555</f>
        <v>782845</v>
      </c>
      <c r="N127" s="23"/>
      <c r="O127" s="6">
        <v>99723</v>
      </c>
      <c r="P127" s="23"/>
      <c r="Q127" s="6">
        <v>0</v>
      </c>
      <c r="R127" s="23"/>
      <c r="S127" s="6">
        <v>25027</v>
      </c>
      <c r="T127" s="23"/>
      <c r="U127" s="6">
        <v>57524</v>
      </c>
      <c r="V127" s="23"/>
      <c r="W127" s="33">
        <f t="shared" si="23"/>
        <v>11014196</v>
      </c>
      <c r="X127" s="23"/>
      <c r="Y127" s="23">
        <v>6180686</v>
      </c>
      <c r="Z127" s="23"/>
      <c r="AA127" s="23">
        <v>0</v>
      </c>
      <c r="AB127" s="23"/>
      <c r="AC127" s="23">
        <f>445185+7086754+30003</f>
        <v>7561942</v>
      </c>
      <c r="AD127" s="23"/>
      <c r="AE127" s="23"/>
      <c r="AF127" s="23"/>
      <c r="AG127" s="23"/>
      <c r="AH127" s="23"/>
      <c r="AI127" s="23">
        <v>0</v>
      </c>
      <c r="AJ127" s="23"/>
      <c r="AK127" s="23">
        <v>0</v>
      </c>
      <c r="AL127" s="23"/>
      <c r="AM127" s="33">
        <f t="shared" si="20"/>
        <v>13742628</v>
      </c>
      <c r="AN127" s="23"/>
      <c r="AO127" s="33">
        <f t="shared" si="25"/>
        <v>24756824</v>
      </c>
      <c r="AP127" s="33"/>
    </row>
    <row r="128" spans="1:42">
      <c r="A128" s="11" t="s">
        <v>757</v>
      </c>
      <c r="B128" s="11"/>
      <c r="C128" s="11" t="s">
        <v>112</v>
      </c>
      <c r="D128" s="23"/>
      <c r="E128" s="6">
        <v>4075970</v>
      </c>
      <c r="F128" s="23"/>
      <c r="G128" s="6">
        <v>1619673</v>
      </c>
      <c r="H128" s="23"/>
      <c r="I128" s="6">
        <v>3894197</v>
      </c>
      <c r="J128" s="23"/>
      <c r="K128" s="6">
        <v>53407</v>
      </c>
      <c r="L128" s="23"/>
      <c r="M128" s="6">
        <f>1288421+165656+153178</f>
        <v>1607255</v>
      </c>
      <c r="N128" s="23"/>
      <c r="O128" s="6">
        <v>250116</v>
      </c>
      <c r="P128" s="23"/>
      <c r="Q128" s="6">
        <v>0</v>
      </c>
      <c r="R128" s="23"/>
      <c r="S128" s="6">
        <v>37968</v>
      </c>
      <c r="T128" s="23"/>
      <c r="U128" s="6">
        <v>13395</v>
      </c>
      <c r="V128" s="23"/>
      <c r="W128" s="33">
        <f t="shared" si="23"/>
        <v>11551981</v>
      </c>
      <c r="X128" s="23"/>
      <c r="Y128" s="23">
        <v>0</v>
      </c>
      <c r="Z128" s="23"/>
      <c r="AA128" s="23">
        <v>0</v>
      </c>
      <c r="AB128" s="23"/>
      <c r="AC128" s="23">
        <v>0</v>
      </c>
      <c r="AD128" s="23"/>
      <c r="AE128" s="23"/>
      <c r="AF128" s="23"/>
      <c r="AG128" s="23"/>
      <c r="AH128" s="23"/>
      <c r="AI128" s="23">
        <v>0</v>
      </c>
      <c r="AJ128" s="23"/>
      <c r="AK128" s="23">
        <v>0</v>
      </c>
      <c r="AL128" s="23"/>
      <c r="AM128" s="33">
        <f t="shared" si="20"/>
        <v>0</v>
      </c>
      <c r="AN128" s="23"/>
      <c r="AO128" s="33">
        <f t="shared" si="25"/>
        <v>11551981</v>
      </c>
      <c r="AP128" s="33"/>
    </row>
    <row r="129" spans="1:42">
      <c r="A129" s="11" t="s">
        <v>301</v>
      </c>
      <c r="B129" s="11"/>
      <c r="C129" s="11" t="s">
        <v>27</v>
      </c>
      <c r="D129" s="23"/>
      <c r="E129" s="6">
        <v>396782904</v>
      </c>
      <c r="F129" s="23"/>
      <c r="G129" s="6">
        <v>0</v>
      </c>
      <c r="H129" s="23"/>
      <c r="I129" s="6">
        <v>455933581</v>
      </c>
      <c r="J129" s="23"/>
      <c r="K129" s="6">
        <v>1383570</v>
      </c>
      <c r="L129" s="23"/>
      <c r="M129" s="6">
        <f>5645605+834776+5203283</f>
        <v>11683664</v>
      </c>
      <c r="N129" s="23"/>
      <c r="O129" s="6">
        <v>1677303</v>
      </c>
      <c r="P129" s="23"/>
      <c r="Q129" s="6">
        <v>38803888</v>
      </c>
      <c r="R129" s="23"/>
      <c r="S129" s="6">
        <v>1582289</v>
      </c>
      <c r="T129" s="23"/>
      <c r="U129" s="6">
        <v>4101721</v>
      </c>
      <c r="V129" s="23"/>
      <c r="W129" s="33">
        <f t="shared" si="23"/>
        <v>911948920</v>
      </c>
      <c r="X129" s="23"/>
      <c r="Y129" s="23">
        <v>4871887</v>
      </c>
      <c r="Z129" s="23"/>
      <c r="AA129" s="23">
        <v>0</v>
      </c>
      <c r="AB129" s="23"/>
      <c r="AC129" s="23">
        <f>14810000+11255000+392142+969305</f>
        <v>27426447</v>
      </c>
      <c r="AD129" s="23"/>
      <c r="AE129" s="23"/>
      <c r="AF129" s="23"/>
      <c r="AG129" s="23"/>
      <c r="AH129" s="23"/>
      <c r="AI129" s="23">
        <v>36563</v>
      </c>
      <c r="AJ129" s="23"/>
      <c r="AK129" s="23">
        <v>0</v>
      </c>
      <c r="AL129" s="23"/>
      <c r="AM129" s="33">
        <f t="shared" si="20"/>
        <v>32334897</v>
      </c>
      <c r="AN129" s="23"/>
      <c r="AO129" s="33">
        <f t="shared" si="25"/>
        <v>944283817</v>
      </c>
      <c r="AP129" s="33"/>
    </row>
    <row r="130" spans="1:42" hidden="1">
      <c r="A130" s="11" t="s">
        <v>611</v>
      </c>
      <c r="B130" s="11"/>
      <c r="C130" s="11" t="s">
        <v>467</v>
      </c>
      <c r="D130" s="23"/>
      <c r="E130" s="6"/>
      <c r="F130" s="23"/>
      <c r="G130" s="6"/>
      <c r="H130" s="23"/>
      <c r="I130" s="6"/>
      <c r="J130" s="23"/>
      <c r="K130" s="6"/>
      <c r="L130" s="23"/>
      <c r="M130" s="6"/>
      <c r="N130" s="23"/>
      <c r="O130" s="6"/>
      <c r="P130" s="23"/>
      <c r="Q130" s="6"/>
      <c r="R130" s="23"/>
      <c r="S130" s="6"/>
      <c r="T130" s="23"/>
      <c r="U130" s="6"/>
      <c r="V130" s="23"/>
      <c r="W130" s="33">
        <f t="shared" si="23"/>
        <v>0</v>
      </c>
      <c r="X130" s="23"/>
      <c r="Y130" s="23"/>
      <c r="Z130" s="23"/>
      <c r="AA130" s="23">
        <v>0</v>
      </c>
      <c r="AB130" s="23"/>
      <c r="AC130" s="23"/>
      <c r="AD130" s="23"/>
      <c r="AE130" s="23"/>
      <c r="AF130" s="23"/>
      <c r="AG130" s="23"/>
      <c r="AH130" s="23"/>
      <c r="AI130" s="23"/>
      <c r="AJ130" s="23"/>
      <c r="AK130" s="23">
        <v>0</v>
      </c>
      <c r="AL130" s="23"/>
      <c r="AM130" s="33">
        <f t="shared" si="20"/>
        <v>0</v>
      </c>
      <c r="AN130" s="23"/>
      <c r="AO130" s="33">
        <f t="shared" si="25"/>
        <v>0</v>
      </c>
      <c r="AP130" s="33"/>
    </row>
    <row r="131" spans="1:42">
      <c r="A131" s="11" t="s">
        <v>207</v>
      </c>
      <c r="B131" s="11"/>
      <c r="C131" s="11" t="s">
        <v>12</v>
      </c>
      <c r="D131" s="23"/>
      <c r="E131" s="6">
        <v>4298967</v>
      </c>
      <c r="F131" s="23"/>
      <c r="G131" s="6">
        <v>0</v>
      </c>
      <c r="H131" s="23"/>
      <c r="I131" s="6">
        <v>15413901</v>
      </c>
      <c r="J131" s="23"/>
      <c r="K131" s="6">
        <v>4533</v>
      </c>
      <c r="L131" s="23"/>
      <c r="M131" s="6">
        <f>177965+217629+206</f>
        <v>395800</v>
      </c>
      <c r="N131" s="23"/>
      <c r="O131" s="6">
        <v>68453</v>
      </c>
      <c r="P131" s="23"/>
      <c r="Q131" s="6">
        <v>0</v>
      </c>
      <c r="R131" s="23"/>
      <c r="S131" s="6">
        <v>157900</v>
      </c>
      <c r="T131" s="23"/>
      <c r="U131" s="6">
        <v>178097</v>
      </c>
      <c r="V131" s="23"/>
      <c r="W131" s="33">
        <f t="shared" si="23"/>
        <v>20517651</v>
      </c>
      <c r="X131" s="23"/>
      <c r="Y131" s="23">
        <v>0</v>
      </c>
      <c r="Z131" s="23"/>
      <c r="AA131" s="23">
        <v>0</v>
      </c>
      <c r="AB131" s="23"/>
      <c r="AC131" s="23">
        <v>280000</v>
      </c>
      <c r="AD131" s="23"/>
      <c r="AE131" s="23"/>
      <c r="AF131" s="23"/>
      <c r="AG131" s="23"/>
      <c r="AH131" s="23"/>
      <c r="AI131" s="23">
        <v>0</v>
      </c>
      <c r="AJ131" s="23"/>
      <c r="AK131" s="23">
        <v>0</v>
      </c>
      <c r="AL131" s="23"/>
      <c r="AM131" s="33">
        <f t="shared" si="20"/>
        <v>280000</v>
      </c>
      <c r="AN131" s="23"/>
      <c r="AO131" s="33">
        <f t="shared" si="25"/>
        <v>20797651</v>
      </c>
      <c r="AP131" s="33"/>
    </row>
    <row r="132" spans="1:42">
      <c r="A132" s="11" t="s">
        <v>342</v>
      </c>
      <c r="B132" s="11"/>
      <c r="C132" s="11" t="s">
        <v>343</v>
      </c>
      <c r="D132" s="23"/>
      <c r="E132" s="6">
        <v>1973437</v>
      </c>
      <c r="F132" s="23"/>
      <c r="G132" s="6">
        <v>0</v>
      </c>
      <c r="H132" s="23"/>
      <c r="I132" s="6">
        <f>2124+2577043+475121</f>
        <v>3054288</v>
      </c>
      <c r="J132" s="23"/>
      <c r="K132" s="6">
        <v>883</v>
      </c>
      <c r="L132" s="23"/>
      <c r="M132" s="6">
        <f>380930+77541</f>
        <v>458471</v>
      </c>
      <c r="N132" s="23"/>
      <c r="O132" s="6">
        <v>38030</v>
      </c>
      <c r="P132" s="23"/>
      <c r="Q132" s="6">
        <v>0</v>
      </c>
      <c r="R132" s="23"/>
      <c r="S132" s="6">
        <v>9211</v>
      </c>
      <c r="T132" s="23"/>
      <c r="U132" s="6">
        <v>27143</v>
      </c>
      <c r="V132" s="23"/>
      <c r="W132" s="33">
        <f t="shared" si="23"/>
        <v>5561463</v>
      </c>
      <c r="X132" s="23"/>
      <c r="Y132" s="23">
        <v>25000</v>
      </c>
      <c r="Z132" s="23"/>
      <c r="AA132" s="23">
        <v>0</v>
      </c>
      <c r="AB132" s="23"/>
      <c r="AC132" s="23">
        <v>28051</v>
      </c>
      <c r="AD132" s="23"/>
      <c r="AE132" s="23"/>
      <c r="AF132" s="23"/>
      <c r="AG132" s="23"/>
      <c r="AH132" s="23"/>
      <c r="AI132" s="23">
        <v>0</v>
      </c>
      <c r="AJ132" s="23"/>
      <c r="AK132" s="23">
        <v>0</v>
      </c>
      <c r="AL132" s="23"/>
      <c r="AM132" s="33">
        <f t="shared" si="20"/>
        <v>53051</v>
      </c>
      <c r="AN132" s="23"/>
      <c r="AO132" s="33">
        <f t="shared" si="25"/>
        <v>5614514</v>
      </c>
      <c r="AP132" s="33"/>
    </row>
    <row r="133" spans="1:42" hidden="1">
      <c r="A133" s="11" t="s">
        <v>676</v>
      </c>
      <c r="B133" s="11"/>
      <c r="C133" s="11" t="s">
        <v>467</v>
      </c>
      <c r="D133" s="23"/>
      <c r="E133" s="6"/>
      <c r="F133" s="23"/>
      <c r="G133" s="6"/>
      <c r="H133" s="23"/>
      <c r="I133" s="6"/>
      <c r="J133" s="23"/>
      <c r="K133" s="6"/>
      <c r="L133" s="23"/>
      <c r="M133" s="6"/>
      <c r="N133" s="23"/>
      <c r="O133" s="6"/>
      <c r="P133" s="23"/>
      <c r="Q133" s="6"/>
      <c r="R133" s="23"/>
      <c r="S133" s="6"/>
      <c r="T133" s="23"/>
      <c r="U133" s="6"/>
      <c r="V133" s="23"/>
      <c r="W133" s="33">
        <f t="shared" si="23"/>
        <v>0</v>
      </c>
      <c r="X133" s="23"/>
      <c r="Y133" s="23"/>
      <c r="Z133" s="23"/>
      <c r="AA133" s="23">
        <v>0</v>
      </c>
      <c r="AB133" s="23"/>
      <c r="AC133" s="23"/>
      <c r="AD133" s="23"/>
      <c r="AE133" s="23"/>
      <c r="AF133" s="23"/>
      <c r="AG133" s="23"/>
      <c r="AH133" s="23"/>
      <c r="AI133" s="23"/>
      <c r="AJ133" s="23"/>
      <c r="AK133" s="23">
        <v>0</v>
      </c>
      <c r="AL133" s="23"/>
      <c r="AM133" s="33">
        <f t="shared" si="20"/>
        <v>0</v>
      </c>
      <c r="AN133" s="23"/>
      <c r="AO133" s="33">
        <f t="shared" si="25"/>
        <v>0</v>
      </c>
      <c r="AP133" s="33"/>
    </row>
    <row r="134" spans="1:42">
      <c r="A134" s="11" t="s">
        <v>508</v>
      </c>
      <c r="B134" s="11"/>
      <c r="C134" s="11" t="s">
        <v>63</v>
      </c>
      <c r="D134" s="23"/>
      <c r="E134" s="6">
        <v>28127044</v>
      </c>
      <c r="F134" s="23"/>
      <c r="G134" s="6">
        <v>0</v>
      </c>
      <c r="H134" s="23"/>
      <c r="I134" s="6">
        <v>8799761</v>
      </c>
      <c r="J134" s="23"/>
      <c r="K134" s="6">
        <v>29228</v>
      </c>
      <c r="L134" s="23"/>
      <c r="M134" s="6">
        <f>412085+540492+23779</f>
        <v>976356</v>
      </c>
      <c r="N134" s="23"/>
      <c r="O134" s="6">
        <v>217293</v>
      </c>
      <c r="P134" s="23"/>
      <c r="Q134" s="6">
        <v>0</v>
      </c>
      <c r="R134" s="23"/>
      <c r="S134" s="6">
        <v>125572</v>
      </c>
      <c r="T134" s="23"/>
      <c r="U134" s="6">
        <v>293927</v>
      </c>
      <c r="V134" s="23"/>
      <c r="W134" s="33">
        <f t="shared" si="23"/>
        <v>38569181</v>
      </c>
      <c r="X134" s="23"/>
      <c r="Y134" s="23">
        <v>30000</v>
      </c>
      <c r="Z134" s="23"/>
      <c r="AA134" s="23">
        <v>0</v>
      </c>
      <c r="AB134" s="23"/>
      <c r="AC134" s="23">
        <v>100000</v>
      </c>
      <c r="AD134" s="23"/>
      <c r="AE134" s="23"/>
      <c r="AF134" s="23"/>
      <c r="AG134" s="23"/>
      <c r="AH134" s="23"/>
      <c r="AI134" s="23">
        <v>31900</v>
      </c>
      <c r="AJ134" s="23"/>
      <c r="AK134" s="23">
        <v>0</v>
      </c>
      <c r="AL134" s="23"/>
      <c r="AM134" s="33">
        <f t="shared" si="20"/>
        <v>161900</v>
      </c>
      <c r="AN134" s="23"/>
      <c r="AO134" s="33">
        <f t="shared" si="25"/>
        <v>38731081</v>
      </c>
      <c r="AP134" s="33"/>
    </row>
    <row r="135" spans="1:42">
      <c r="A135" s="11" t="s">
        <v>336</v>
      </c>
      <c r="B135" s="11"/>
      <c r="C135" s="11" t="s">
        <v>33</v>
      </c>
      <c r="D135" s="23"/>
      <c r="E135" s="6">
        <v>2173006</v>
      </c>
      <c r="F135" s="23"/>
      <c r="G135" s="6">
        <v>1440154</v>
      </c>
      <c r="H135" s="23"/>
      <c r="I135" s="6">
        <v>5849888</v>
      </c>
      <c r="J135" s="23"/>
      <c r="K135" s="6">
        <v>29246</v>
      </c>
      <c r="L135" s="23"/>
      <c r="M135" s="6">
        <f>476003+123035</f>
        <v>599038</v>
      </c>
      <c r="N135" s="23"/>
      <c r="O135" s="6">
        <v>99825</v>
      </c>
      <c r="P135" s="23"/>
      <c r="Q135" s="6">
        <v>0</v>
      </c>
      <c r="R135" s="23"/>
      <c r="S135" s="6">
        <v>57416</v>
      </c>
      <c r="T135" s="23"/>
      <c r="U135" s="6">
        <v>51175</v>
      </c>
      <c r="V135" s="23"/>
      <c r="W135" s="33">
        <f t="shared" si="23"/>
        <v>10299748</v>
      </c>
      <c r="X135" s="23"/>
      <c r="Y135" s="23">
        <v>18136</v>
      </c>
      <c r="Z135" s="23"/>
      <c r="AA135" s="23">
        <v>0</v>
      </c>
      <c r="AB135" s="23"/>
      <c r="AC135" s="23">
        <v>58950</v>
      </c>
      <c r="AD135" s="23"/>
      <c r="AE135" s="23"/>
      <c r="AF135" s="23"/>
      <c r="AG135" s="23"/>
      <c r="AH135" s="23"/>
      <c r="AI135" s="23">
        <v>0</v>
      </c>
      <c r="AJ135" s="23"/>
      <c r="AK135" s="23">
        <v>0</v>
      </c>
      <c r="AL135" s="23"/>
      <c r="AM135" s="33">
        <f t="shared" si="20"/>
        <v>77086</v>
      </c>
      <c r="AN135" s="23"/>
      <c r="AO135" s="33">
        <f t="shared" si="25"/>
        <v>10376834</v>
      </c>
      <c r="AP135" s="33"/>
    </row>
    <row r="136" spans="1:42">
      <c r="A136" s="11" t="s">
        <v>253</v>
      </c>
      <c r="B136" s="11"/>
      <c r="C136" s="11" t="s">
        <v>19</v>
      </c>
      <c r="D136" s="23"/>
      <c r="E136" s="6">
        <v>6140642</v>
      </c>
      <c r="F136" s="23"/>
      <c r="G136" s="6">
        <v>0</v>
      </c>
      <c r="H136" s="23"/>
      <c r="I136" s="6">
        <f>17045084+2677527</f>
        <v>19722611</v>
      </c>
      <c r="J136" s="23"/>
      <c r="K136" s="6">
        <v>27348</v>
      </c>
      <c r="L136" s="23"/>
      <c r="M136" s="6">
        <f>910715+218680+28254+87575</f>
        <v>1245224</v>
      </c>
      <c r="N136" s="23"/>
      <c r="O136" s="6">
        <v>171221</v>
      </c>
      <c r="P136" s="23"/>
      <c r="Q136" s="6">
        <v>0</v>
      </c>
      <c r="R136" s="23"/>
      <c r="S136" s="6">
        <v>0</v>
      </c>
      <c r="T136" s="23"/>
      <c r="U136" s="6">
        <v>174563</v>
      </c>
      <c r="V136" s="23"/>
      <c r="W136" s="33">
        <f t="shared" si="23"/>
        <v>27481609</v>
      </c>
      <c r="X136" s="23"/>
      <c r="Y136" s="23">
        <v>22337</v>
      </c>
      <c r="Z136" s="23"/>
      <c r="AA136" s="23">
        <v>0</v>
      </c>
      <c r="AB136" s="23"/>
      <c r="AC136" s="23">
        <v>448691</v>
      </c>
      <c r="AD136" s="23"/>
      <c r="AE136" s="23"/>
      <c r="AF136" s="23"/>
      <c r="AG136" s="23"/>
      <c r="AH136" s="23"/>
      <c r="AI136" s="23">
        <v>5608</v>
      </c>
      <c r="AJ136" s="23"/>
      <c r="AK136" s="23">
        <v>0</v>
      </c>
      <c r="AL136" s="23"/>
      <c r="AM136" s="33">
        <f t="shared" si="20"/>
        <v>476636</v>
      </c>
      <c r="AN136" s="23"/>
      <c r="AO136" s="33">
        <f t="shared" si="25"/>
        <v>27958245</v>
      </c>
      <c r="AP136" s="33"/>
    </row>
    <row r="137" spans="1:42">
      <c r="A137" s="11" t="s">
        <v>604</v>
      </c>
      <c r="B137" s="11"/>
      <c r="C137" s="11" t="s">
        <v>63</v>
      </c>
      <c r="D137" s="23"/>
      <c r="E137" s="6">
        <v>10697203</v>
      </c>
      <c r="F137" s="23"/>
      <c r="G137" s="6">
        <v>0</v>
      </c>
      <c r="H137" s="23"/>
      <c r="I137" s="6">
        <v>7179089</v>
      </c>
      <c r="J137" s="23"/>
      <c r="K137" s="6">
        <v>5972</v>
      </c>
      <c r="L137" s="23"/>
      <c r="M137" s="6">
        <f>5372556+55330+345333</f>
        <v>5773219</v>
      </c>
      <c r="N137" s="23"/>
      <c r="O137" s="6">
        <v>150047</v>
      </c>
      <c r="P137" s="23"/>
      <c r="Q137" s="6">
        <v>0</v>
      </c>
      <c r="R137" s="23"/>
      <c r="S137" s="6">
        <v>16016</v>
      </c>
      <c r="T137" s="23"/>
      <c r="U137" s="6">
        <v>223825</v>
      </c>
      <c r="V137" s="23"/>
      <c r="W137" s="33">
        <f t="shared" si="23"/>
        <v>24045371</v>
      </c>
      <c r="X137" s="23"/>
      <c r="Y137" s="23">
        <v>0</v>
      </c>
      <c r="Z137" s="23"/>
      <c r="AA137" s="23">
        <v>0</v>
      </c>
      <c r="AB137" s="23"/>
      <c r="AC137" s="23">
        <v>1018876</v>
      </c>
      <c r="AD137" s="23"/>
      <c r="AE137" s="23"/>
      <c r="AF137" s="23"/>
      <c r="AG137" s="23"/>
      <c r="AH137" s="23"/>
      <c r="AI137" s="23">
        <v>38822</v>
      </c>
      <c r="AJ137" s="23"/>
      <c r="AK137" s="23">
        <v>0</v>
      </c>
      <c r="AL137" s="23"/>
      <c r="AM137" s="33">
        <f t="shared" si="20"/>
        <v>1057698</v>
      </c>
      <c r="AN137" s="23"/>
      <c r="AO137" s="33">
        <f t="shared" si="25"/>
        <v>25103069</v>
      </c>
      <c r="AP137" s="33"/>
    </row>
    <row r="138" spans="1:42">
      <c r="A138" s="11" t="s">
        <v>758</v>
      </c>
      <c r="B138" s="11"/>
      <c r="C138" s="11" t="s">
        <v>48</v>
      </c>
      <c r="D138" s="23"/>
      <c r="E138" s="6">
        <v>1709164</v>
      </c>
      <c r="F138" s="23"/>
      <c r="G138" s="6">
        <v>1726294</v>
      </c>
      <c r="H138" s="23"/>
      <c r="I138" s="6">
        <f>3350200+643093</f>
        <v>3993293</v>
      </c>
      <c r="J138" s="23"/>
      <c r="K138" s="6">
        <v>2908</v>
      </c>
      <c r="L138" s="23"/>
      <c r="M138" s="6">
        <f>449172+189133+36303+3672</f>
        <v>678280</v>
      </c>
      <c r="N138" s="23"/>
      <c r="O138" s="6">
        <v>200715</v>
      </c>
      <c r="P138" s="23"/>
      <c r="Q138" s="6">
        <v>0</v>
      </c>
      <c r="R138" s="23"/>
      <c r="S138" s="6">
        <v>132428</v>
      </c>
      <c r="T138" s="23"/>
      <c r="U138" s="6">
        <v>23427</v>
      </c>
      <c r="V138" s="23"/>
      <c r="W138" s="33">
        <f t="shared" si="23"/>
        <v>8466509</v>
      </c>
      <c r="X138" s="23"/>
      <c r="Y138" s="23">
        <v>0</v>
      </c>
      <c r="Z138" s="23"/>
      <c r="AA138" s="23">
        <v>0</v>
      </c>
      <c r="AB138" s="23"/>
      <c r="AC138" s="23">
        <v>93357</v>
      </c>
      <c r="AD138" s="23"/>
      <c r="AE138" s="23"/>
      <c r="AF138" s="23"/>
      <c r="AG138" s="23"/>
      <c r="AH138" s="23"/>
      <c r="AI138" s="23">
        <v>385871</v>
      </c>
      <c r="AJ138" s="23"/>
      <c r="AK138" s="23">
        <v>0</v>
      </c>
      <c r="AL138" s="23"/>
      <c r="AM138" s="33">
        <f t="shared" si="20"/>
        <v>479228</v>
      </c>
      <c r="AN138" s="23"/>
      <c r="AO138" s="33">
        <f t="shared" si="25"/>
        <v>8945737</v>
      </c>
      <c r="AP138" s="33"/>
    </row>
    <row r="139" spans="1:42" hidden="1">
      <c r="A139" s="11" t="s">
        <v>831</v>
      </c>
      <c r="B139" s="11"/>
      <c r="C139" s="11" t="s">
        <v>111</v>
      </c>
      <c r="D139" s="23"/>
      <c r="E139" s="6"/>
      <c r="F139" s="23"/>
      <c r="G139" s="6"/>
      <c r="H139" s="23"/>
      <c r="I139" s="6"/>
      <c r="J139" s="23"/>
      <c r="K139" s="6"/>
      <c r="L139" s="23"/>
      <c r="M139" s="6"/>
      <c r="N139" s="23"/>
      <c r="O139" s="6"/>
      <c r="P139" s="23"/>
      <c r="Q139" s="6"/>
      <c r="R139" s="23"/>
      <c r="S139" s="6"/>
      <c r="T139" s="23"/>
      <c r="U139" s="6"/>
      <c r="V139" s="23"/>
      <c r="W139" s="33">
        <f t="shared" si="23"/>
        <v>0</v>
      </c>
      <c r="X139" s="23"/>
      <c r="Y139" s="23"/>
      <c r="Z139" s="23"/>
      <c r="AA139" s="23">
        <v>0</v>
      </c>
      <c r="AB139" s="23"/>
      <c r="AC139" s="23"/>
      <c r="AD139" s="23"/>
      <c r="AE139" s="23"/>
      <c r="AF139" s="23"/>
      <c r="AG139" s="23"/>
      <c r="AH139" s="23"/>
      <c r="AI139" s="23"/>
      <c r="AJ139" s="23"/>
      <c r="AK139" s="23">
        <v>0</v>
      </c>
      <c r="AL139" s="23"/>
      <c r="AM139" s="33">
        <f t="shared" si="20"/>
        <v>0</v>
      </c>
      <c r="AN139" s="23"/>
      <c r="AO139" s="33">
        <f t="shared" si="25"/>
        <v>0</v>
      </c>
      <c r="AP139" s="33"/>
    </row>
    <row r="140" spans="1:42">
      <c r="A140" s="11" t="s">
        <v>247</v>
      </c>
      <c r="B140" s="11"/>
      <c r="C140" s="11" t="s">
        <v>112</v>
      </c>
      <c r="D140" s="23"/>
      <c r="E140" s="6">
        <v>2603238</v>
      </c>
      <c r="F140" s="23"/>
      <c r="G140" s="6">
        <v>1290989</v>
      </c>
      <c r="H140" s="23"/>
      <c r="I140" s="6">
        <v>5859456</v>
      </c>
      <c r="J140" s="23"/>
      <c r="K140" s="6">
        <v>15710</v>
      </c>
      <c r="L140" s="23"/>
      <c r="M140" s="6">
        <f>2597513+271805+3023</f>
        <v>2872341</v>
      </c>
      <c r="N140" s="23"/>
      <c r="O140" s="6">
        <v>190949</v>
      </c>
      <c r="P140" s="23"/>
      <c r="Q140" s="6">
        <v>0</v>
      </c>
      <c r="R140" s="23"/>
      <c r="S140" s="6">
        <v>42941</v>
      </c>
      <c r="T140" s="23"/>
      <c r="U140" s="6">
        <v>52164</v>
      </c>
      <c r="V140" s="23"/>
      <c r="W140" s="33">
        <f t="shared" si="23"/>
        <v>12927788</v>
      </c>
      <c r="X140" s="23"/>
      <c r="Y140" s="23">
        <v>15000</v>
      </c>
      <c r="Z140" s="23"/>
      <c r="AA140" s="23">
        <v>0</v>
      </c>
      <c r="AB140" s="23"/>
      <c r="AC140" s="23">
        <f>270240+196980</f>
        <v>467220</v>
      </c>
      <c r="AD140" s="23"/>
      <c r="AE140" s="23"/>
      <c r="AF140" s="23"/>
      <c r="AG140" s="23"/>
      <c r="AH140" s="23"/>
      <c r="AI140" s="23">
        <v>0</v>
      </c>
      <c r="AJ140" s="23"/>
      <c r="AK140" s="23">
        <v>137673</v>
      </c>
      <c r="AL140" s="23"/>
      <c r="AM140" s="33">
        <f t="shared" si="20"/>
        <v>619893</v>
      </c>
      <c r="AN140" s="23"/>
      <c r="AO140" s="33">
        <f t="shared" si="25"/>
        <v>13547681</v>
      </c>
      <c r="AP140" s="33"/>
    </row>
    <row r="141" spans="1:42">
      <c r="A141" s="11" t="s">
        <v>247</v>
      </c>
      <c r="B141" s="11"/>
      <c r="C141" s="11" t="s">
        <v>110</v>
      </c>
      <c r="D141" s="23"/>
      <c r="E141" s="6">
        <v>2829252</v>
      </c>
      <c r="F141" s="23"/>
      <c r="G141" s="6">
        <v>0</v>
      </c>
      <c r="H141" s="23"/>
      <c r="I141" s="6">
        <f>7515754+1548538</f>
        <v>9064292</v>
      </c>
      <c r="J141" s="23"/>
      <c r="K141" s="6">
        <v>11857</v>
      </c>
      <c r="L141" s="23"/>
      <c r="M141" s="6">
        <f>95749+210596+41245+1347+33750</f>
        <v>382687</v>
      </c>
      <c r="N141" s="23"/>
      <c r="O141" s="6">
        <v>206715</v>
      </c>
      <c r="P141" s="23"/>
      <c r="Q141" s="6">
        <v>0</v>
      </c>
      <c r="R141" s="23"/>
      <c r="S141" s="6">
        <v>24749</v>
      </c>
      <c r="T141" s="23"/>
      <c r="U141" s="6">
        <v>45439</v>
      </c>
      <c r="V141" s="23"/>
      <c r="W141" s="33">
        <f t="shared" si="23"/>
        <v>12564991</v>
      </c>
      <c r="X141" s="23"/>
      <c r="Y141" s="62">
        <v>465000</v>
      </c>
      <c r="Z141" s="23"/>
      <c r="AA141" s="23">
        <v>0</v>
      </c>
      <c r="AB141" s="23"/>
      <c r="AC141" s="23">
        <v>2185000</v>
      </c>
      <c r="AD141" s="23"/>
      <c r="AE141" s="23"/>
      <c r="AF141" s="23"/>
      <c r="AG141" s="23"/>
      <c r="AH141" s="23"/>
      <c r="AI141" s="23">
        <v>0</v>
      </c>
      <c r="AJ141" s="23"/>
      <c r="AK141" s="23">
        <v>0</v>
      </c>
      <c r="AL141" s="23"/>
      <c r="AM141" s="33">
        <f t="shared" si="20"/>
        <v>2650000</v>
      </c>
      <c r="AN141" s="23"/>
      <c r="AO141" s="33">
        <f t="shared" si="25"/>
        <v>15214991</v>
      </c>
      <c r="AP141" s="33"/>
    </row>
    <row r="142" spans="1:42" hidden="1">
      <c r="A142" s="11" t="s">
        <v>655</v>
      </c>
      <c r="B142" s="11"/>
      <c r="C142" s="11" t="s">
        <v>67</v>
      </c>
      <c r="D142" s="23"/>
      <c r="E142" s="6"/>
      <c r="F142" s="23"/>
      <c r="G142" s="6"/>
      <c r="H142" s="23"/>
      <c r="I142" s="6"/>
      <c r="J142" s="23"/>
      <c r="K142" s="6"/>
      <c r="L142" s="23"/>
      <c r="M142" s="6"/>
      <c r="N142" s="23"/>
      <c r="O142" s="6"/>
      <c r="P142" s="23"/>
      <c r="Q142" s="6"/>
      <c r="R142" s="23"/>
      <c r="S142" s="6"/>
      <c r="T142" s="23"/>
      <c r="U142" s="6"/>
      <c r="V142" s="23"/>
      <c r="W142" s="33">
        <f t="shared" si="23"/>
        <v>0</v>
      </c>
      <c r="X142" s="23"/>
      <c r="Y142" s="23"/>
      <c r="Z142" s="23"/>
      <c r="AA142" s="23">
        <v>0</v>
      </c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33">
        <f t="shared" si="20"/>
        <v>0</v>
      </c>
      <c r="AN142" s="23"/>
      <c r="AO142" s="33">
        <f t="shared" si="25"/>
        <v>0</v>
      </c>
      <c r="AP142" s="33"/>
    </row>
    <row r="143" spans="1:42">
      <c r="A143" s="11" t="s">
        <v>718</v>
      </c>
      <c r="B143" s="11"/>
      <c r="C143" s="11" t="s">
        <v>56</v>
      </c>
      <c r="D143" s="23"/>
      <c r="E143" s="6">
        <v>6689126</v>
      </c>
      <c r="F143" s="23"/>
      <c r="G143" s="6">
        <v>0</v>
      </c>
      <c r="H143" s="23"/>
      <c r="I143" s="6">
        <v>13150554</v>
      </c>
      <c r="J143" s="23"/>
      <c r="K143" s="6">
        <v>10443</v>
      </c>
      <c r="L143" s="23"/>
      <c r="M143" s="6">
        <f>1255362+9982+304114</f>
        <v>1569458</v>
      </c>
      <c r="N143" s="23"/>
      <c r="O143" s="6">
        <v>259870</v>
      </c>
      <c r="P143" s="23"/>
      <c r="Q143" s="6">
        <v>0</v>
      </c>
      <c r="R143" s="23"/>
      <c r="S143" s="6">
        <v>27562</v>
      </c>
      <c r="T143" s="23"/>
      <c r="U143" s="6">
        <v>124247</v>
      </c>
      <c r="V143" s="23"/>
      <c r="W143" s="33">
        <f t="shared" si="23"/>
        <v>21831260</v>
      </c>
      <c r="X143" s="23"/>
      <c r="Y143" s="23">
        <v>6902</v>
      </c>
      <c r="Z143" s="23"/>
      <c r="AA143" s="23">
        <v>0</v>
      </c>
      <c r="AB143" s="23"/>
      <c r="AC143" s="23">
        <v>0</v>
      </c>
      <c r="AD143" s="23"/>
      <c r="AE143" s="23"/>
      <c r="AF143" s="23"/>
      <c r="AG143" s="23"/>
      <c r="AH143" s="23"/>
      <c r="AI143" s="23">
        <v>800</v>
      </c>
      <c r="AJ143" s="23"/>
      <c r="AK143" s="23">
        <v>0</v>
      </c>
      <c r="AL143" s="23"/>
      <c r="AM143" s="33">
        <f t="shared" si="20"/>
        <v>7702</v>
      </c>
      <c r="AN143" s="23"/>
      <c r="AO143" s="33">
        <f t="shared" si="25"/>
        <v>21838962</v>
      </c>
      <c r="AP143" s="33"/>
    </row>
    <row r="144" spans="1:42">
      <c r="A144" s="11" t="s">
        <v>759</v>
      </c>
      <c r="B144" s="11"/>
      <c r="C144" s="11" t="s">
        <v>451</v>
      </c>
      <c r="D144" s="23"/>
      <c r="E144" s="6">
        <v>1724032</v>
      </c>
      <c r="F144" s="23"/>
      <c r="G144" s="6">
        <v>0</v>
      </c>
      <c r="H144" s="23"/>
      <c r="I144" s="6">
        <f>7424166+1581809</f>
        <v>9005975</v>
      </c>
      <c r="J144" s="23"/>
      <c r="K144" s="6">
        <v>13510</v>
      </c>
      <c r="L144" s="23"/>
      <c r="M144" s="6">
        <f>655869+157426+1376</f>
        <v>814671</v>
      </c>
      <c r="N144" s="23"/>
      <c r="O144" s="6">
        <v>219785</v>
      </c>
      <c r="P144" s="23"/>
      <c r="Q144" s="6">
        <v>0</v>
      </c>
      <c r="R144" s="23"/>
      <c r="S144" s="6">
        <v>0</v>
      </c>
      <c r="T144" s="23"/>
      <c r="U144" s="6">
        <v>115850</v>
      </c>
      <c r="V144" s="23"/>
      <c r="W144" s="33">
        <f t="shared" si="23"/>
        <v>11893823</v>
      </c>
      <c r="X144" s="23"/>
      <c r="Y144" s="23">
        <v>4092</v>
      </c>
      <c r="Z144" s="23"/>
      <c r="AA144" s="23">
        <v>0</v>
      </c>
      <c r="AB144" s="23"/>
      <c r="AC144" s="23">
        <f>8917+320000</f>
        <v>328917</v>
      </c>
      <c r="AD144" s="23"/>
      <c r="AE144" s="23"/>
      <c r="AF144" s="23"/>
      <c r="AG144" s="23"/>
      <c r="AH144" s="23"/>
      <c r="AI144" s="23">
        <v>0</v>
      </c>
      <c r="AJ144" s="23"/>
      <c r="AK144" s="23">
        <v>0</v>
      </c>
      <c r="AL144" s="23"/>
      <c r="AM144" s="33">
        <f t="shared" ref="AM144:AM149" si="26">SUM(Y144:AK144)</f>
        <v>333009</v>
      </c>
      <c r="AN144" s="23"/>
      <c r="AO144" s="33">
        <f t="shared" si="25"/>
        <v>12226832</v>
      </c>
      <c r="AP144" s="33"/>
    </row>
    <row r="145" spans="1:42">
      <c r="A145" s="11" t="s">
        <v>656</v>
      </c>
      <c r="B145" s="11"/>
      <c r="C145" s="11" t="s">
        <v>63</v>
      </c>
      <c r="D145" s="23"/>
      <c r="E145" s="6">
        <v>26097315</v>
      </c>
      <c r="F145" s="23"/>
      <c r="G145" s="6">
        <v>0</v>
      </c>
      <c r="H145" s="23"/>
      <c r="I145" s="6">
        <f>17487466+3984167</f>
        <v>21471633</v>
      </c>
      <c r="J145" s="23"/>
      <c r="K145" s="6">
        <v>4547</v>
      </c>
      <c r="L145" s="23"/>
      <c r="M145" s="6">
        <f>2393443+22911+676122+147536+330714+10143</f>
        <v>3580869</v>
      </c>
      <c r="N145" s="23"/>
      <c r="O145" s="6">
        <v>465708</v>
      </c>
      <c r="P145" s="23"/>
      <c r="Q145" s="6">
        <v>0</v>
      </c>
      <c r="R145" s="23"/>
      <c r="S145" s="6">
        <v>220</v>
      </c>
      <c r="T145" s="23"/>
      <c r="U145" s="6">
        <v>369190</v>
      </c>
      <c r="V145" s="23"/>
      <c r="W145" s="33">
        <f t="shared" si="23"/>
        <v>51989482</v>
      </c>
      <c r="X145" s="23"/>
      <c r="Y145" s="23">
        <v>26364</v>
      </c>
      <c r="Z145" s="23"/>
      <c r="AA145" s="23">
        <v>0</v>
      </c>
      <c r="AB145" s="23"/>
      <c r="AC145" s="23">
        <v>0</v>
      </c>
      <c r="AD145" s="23"/>
      <c r="AE145" s="23"/>
      <c r="AF145" s="23"/>
      <c r="AG145" s="23"/>
      <c r="AH145" s="23"/>
      <c r="AI145" s="23">
        <v>0</v>
      </c>
      <c r="AJ145" s="23"/>
      <c r="AK145" s="23">
        <v>0</v>
      </c>
      <c r="AL145" s="23"/>
      <c r="AM145" s="33">
        <f t="shared" si="26"/>
        <v>26364</v>
      </c>
      <c r="AN145" s="23"/>
      <c r="AO145" s="33">
        <f t="shared" si="25"/>
        <v>52015846</v>
      </c>
      <c r="AP145" s="33"/>
    </row>
    <row r="146" spans="1:42">
      <c r="A146" s="11" t="s">
        <v>719</v>
      </c>
      <c r="B146" s="11"/>
      <c r="C146" s="11" t="s">
        <v>20</v>
      </c>
      <c r="D146" s="23"/>
      <c r="E146" s="6">
        <v>7836288</v>
      </c>
      <c r="F146" s="23"/>
      <c r="G146" s="6">
        <v>0</v>
      </c>
      <c r="H146" s="23"/>
      <c r="I146" s="6">
        <v>4872849</v>
      </c>
      <c r="J146" s="23"/>
      <c r="K146" s="6">
        <v>4347</v>
      </c>
      <c r="L146" s="23"/>
      <c r="M146" s="6">
        <f>606254+323068+161631</f>
        <v>1090953</v>
      </c>
      <c r="N146" s="23"/>
      <c r="O146" s="6">
        <v>56104</v>
      </c>
      <c r="P146" s="23"/>
      <c r="Q146" s="6">
        <v>842573</v>
      </c>
      <c r="R146" s="23"/>
      <c r="S146" s="6">
        <v>10865</v>
      </c>
      <c r="T146" s="23"/>
      <c r="U146" s="6">
        <v>23479</v>
      </c>
      <c r="V146" s="23"/>
      <c r="W146" s="33">
        <f t="shared" si="23"/>
        <v>14737458</v>
      </c>
      <c r="X146" s="23"/>
      <c r="Y146" s="23">
        <v>127000</v>
      </c>
      <c r="Z146" s="23"/>
      <c r="AA146" s="23">
        <v>0</v>
      </c>
      <c r="AB146" s="23"/>
      <c r="AC146" s="23">
        <v>0</v>
      </c>
      <c r="AD146" s="23"/>
      <c r="AE146" s="23"/>
      <c r="AF146" s="23"/>
      <c r="AG146" s="23"/>
      <c r="AH146" s="23"/>
      <c r="AI146" s="23">
        <v>0</v>
      </c>
      <c r="AJ146" s="23"/>
      <c r="AK146" s="23">
        <v>0</v>
      </c>
      <c r="AL146" s="23"/>
      <c r="AM146" s="33">
        <f t="shared" si="26"/>
        <v>127000</v>
      </c>
      <c r="AN146" s="23"/>
      <c r="AO146" s="33">
        <f t="shared" si="25"/>
        <v>14864458</v>
      </c>
      <c r="AP146" s="33"/>
    </row>
    <row r="147" spans="1:42">
      <c r="A147" s="11" t="s">
        <v>609</v>
      </c>
      <c r="B147" s="11"/>
      <c r="C147" s="11" t="s">
        <v>71</v>
      </c>
      <c r="D147" s="23"/>
      <c r="E147" s="6">
        <v>3259871</v>
      </c>
      <c r="F147" s="23"/>
      <c r="G147" s="6">
        <v>1059859</v>
      </c>
      <c r="H147" s="23"/>
      <c r="I147" s="6">
        <f>10315+3789510+967904</f>
        <v>4767729</v>
      </c>
      <c r="J147" s="23"/>
      <c r="K147" s="6">
        <v>18850</v>
      </c>
      <c r="L147" s="23"/>
      <c r="M147" s="6">
        <f>423701+118113+1398+1556</f>
        <v>544768</v>
      </c>
      <c r="N147" s="23"/>
      <c r="O147" s="6">
        <v>177063</v>
      </c>
      <c r="P147" s="23"/>
      <c r="Q147" s="6">
        <v>0</v>
      </c>
      <c r="R147" s="23"/>
      <c r="S147" s="6">
        <v>1575</v>
      </c>
      <c r="T147" s="23"/>
      <c r="U147" s="6">
        <v>54003</v>
      </c>
      <c r="V147" s="23"/>
      <c r="W147" s="33">
        <f t="shared" si="23"/>
        <v>9883718</v>
      </c>
      <c r="X147" s="23"/>
      <c r="Y147" s="23">
        <v>12854</v>
      </c>
      <c r="Z147" s="23"/>
      <c r="AA147" s="23">
        <v>0</v>
      </c>
      <c r="AB147" s="23"/>
      <c r="AC147" s="23">
        <f>289563+14750000</f>
        <v>15039563</v>
      </c>
      <c r="AD147" s="23"/>
      <c r="AE147" s="23">
        <v>0</v>
      </c>
      <c r="AF147" s="23"/>
      <c r="AG147" s="23">
        <v>0</v>
      </c>
      <c r="AH147" s="23"/>
      <c r="AI147" s="23">
        <v>0</v>
      </c>
      <c r="AJ147" s="23"/>
      <c r="AK147" s="23">
        <v>0</v>
      </c>
      <c r="AL147" s="23"/>
      <c r="AM147" s="33">
        <f t="shared" si="26"/>
        <v>15052417</v>
      </c>
      <c r="AN147" s="23"/>
      <c r="AO147" s="33">
        <f t="shared" si="25"/>
        <v>24936135</v>
      </c>
      <c r="AP147" s="33"/>
    </row>
    <row r="148" spans="1:42" hidden="1">
      <c r="A148" s="11" t="s">
        <v>741</v>
      </c>
      <c r="B148" s="11"/>
      <c r="C148" s="11" t="s">
        <v>53</v>
      </c>
      <c r="D148" s="23"/>
      <c r="E148" s="6"/>
      <c r="F148" s="23"/>
      <c r="G148" s="6"/>
      <c r="H148" s="23"/>
      <c r="I148" s="6"/>
      <c r="J148" s="23"/>
      <c r="K148" s="6"/>
      <c r="L148" s="23"/>
      <c r="M148" s="6"/>
      <c r="N148" s="23"/>
      <c r="O148" s="6"/>
      <c r="P148" s="23"/>
      <c r="Q148" s="6"/>
      <c r="R148" s="23"/>
      <c r="S148" s="6"/>
      <c r="T148" s="23"/>
      <c r="U148" s="6"/>
      <c r="V148" s="23"/>
      <c r="W148" s="33">
        <f t="shared" si="23"/>
        <v>0</v>
      </c>
      <c r="X148" s="23"/>
      <c r="Y148" s="23"/>
      <c r="Z148" s="23"/>
      <c r="AA148" s="23">
        <v>0</v>
      </c>
      <c r="AB148" s="23"/>
      <c r="AC148" s="23"/>
      <c r="AD148" s="23"/>
      <c r="AE148" s="23"/>
      <c r="AF148" s="23"/>
      <c r="AG148" s="23"/>
      <c r="AH148" s="23"/>
      <c r="AI148" s="23"/>
      <c r="AJ148" s="23"/>
      <c r="AK148" s="23">
        <v>0</v>
      </c>
      <c r="AL148" s="23"/>
      <c r="AM148" s="33">
        <f t="shared" si="26"/>
        <v>0</v>
      </c>
      <c r="AN148" s="23"/>
      <c r="AO148" s="33">
        <f t="shared" si="25"/>
        <v>0</v>
      </c>
      <c r="AP148" s="33"/>
    </row>
    <row r="149" spans="1:42" hidden="1">
      <c r="A149" s="11" t="s">
        <v>657</v>
      </c>
      <c r="B149" s="11"/>
      <c r="C149" s="11" t="s">
        <v>40</v>
      </c>
      <c r="D149" s="23"/>
      <c r="E149" s="6"/>
      <c r="F149" s="23"/>
      <c r="G149" s="6"/>
      <c r="H149" s="23"/>
      <c r="I149" s="6"/>
      <c r="J149" s="23"/>
      <c r="K149" s="6"/>
      <c r="L149" s="23"/>
      <c r="M149" s="6"/>
      <c r="N149" s="23"/>
      <c r="O149" s="6"/>
      <c r="P149" s="23"/>
      <c r="Q149" s="6"/>
      <c r="R149" s="23"/>
      <c r="S149" s="6"/>
      <c r="T149" s="23"/>
      <c r="U149" s="6"/>
      <c r="V149" s="23"/>
      <c r="W149" s="33">
        <f t="shared" si="23"/>
        <v>0</v>
      </c>
      <c r="X149" s="23"/>
      <c r="Y149" s="23"/>
      <c r="Z149" s="23"/>
      <c r="AA149" s="23">
        <v>0</v>
      </c>
      <c r="AB149" s="23"/>
      <c r="AC149" s="23"/>
      <c r="AD149" s="23"/>
      <c r="AE149" s="23"/>
      <c r="AF149" s="23"/>
      <c r="AG149" s="23"/>
      <c r="AH149" s="23"/>
      <c r="AI149" s="23"/>
      <c r="AJ149" s="23"/>
      <c r="AK149" s="23">
        <v>0</v>
      </c>
      <c r="AL149" s="23"/>
      <c r="AM149" s="33">
        <f t="shared" si="26"/>
        <v>0</v>
      </c>
      <c r="AN149" s="23"/>
      <c r="AO149" s="33">
        <f t="shared" si="25"/>
        <v>0</v>
      </c>
      <c r="AP149" s="33"/>
    </row>
    <row r="150" spans="1:42">
      <c r="A150" s="11" t="s">
        <v>367</v>
      </c>
      <c r="B150" s="11"/>
      <c r="C150" s="11" t="s">
        <v>366</v>
      </c>
      <c r="D150" s="23"/>
      <c r="E150" s="6">
        <v>1460491</v>
      </c>
      <c r="F150" s="23"/>
      <c r="G150" s="6">
        <v>0</v>
      </c>
      <c r="H150" s="23"/>
      <c r="I150" s="6">
        <v>10637174</v>
      </c>
      <c r="J150" s="23"/>
      <c r="K150" s="6">
        <v>12959</v>
      </c>
      <c r="L150" s="23"/>
      <c r="M150" s="6">
        <f>1117766+121709+7025</f>
        <v>1246500</v>
      </c>
      <c r="N150" s="23"/>
      <c r="O150" s="6">
        <v>165984</v>
      </c>
      <c r="P150" s="23"/>
      <c r="Q150" s="6">
        <v>0</v>
      </c>
      <c r="R150" s="23"/>
      <c r="S150" s="6">
        <v>180843</v>
      </c>
      <c r="T150" s="23"/>
      <c r="U150" s="6">
        <v>7561</v>
      </c>
      <c r="V150" s="23"/>
      <c r="W150" s="33">
        <f t="shared" si="23"/>
        <v>13711512</v>
      </c>
      <c r="X150" s="23"/>
      <c r="Y150" s="23">
        <v>652764</v>
      </c>
      <c r="Z150" s="23"/>
      <c r="AA150" s="23">
        <v>0</v>
      </c>
      <c r="AB150" s="23"/>
      <c r="AC150" s="23">
        <v>0</v>
      </c>
      <c r="AD150" s="23"/>
      <c r="AE150" s="23">
        <v>0</v>
      </c>
      <c r="AF150" s="23"/>
      <c r="AG150" s="23">
        <v>0</v>
      </c>
      <c r="AH150" s="23"/>
      <c r="AI150" s="23">
        <v>0</v>
      </c>
      <c r="AJ150" s="23"/>
      <c r="AK150" s="23">
        <v>0</v>
      </c>
      <c r="AL150" s="23"/>
      <c r="AM150" s="33">
        <f>SUM(Y150:AK150)</f>
        <v>652764</v>
      </c>
      <c r="AN150" s="23"/>
      <c r="AO150" s="33">
        <f t="shared" si="25"/>
        <v>14364276</v>
      </c>
      <c r="AP150" s="33"/>
    </row>
    <row r="151" spans="1:42">
      <c r="A151" s="11" t="s">
        <v>429</v>
      </c>
      <c r="B151" s="11"/>
      <c r="C151" s="11" t="s">
        <v>50</v>
      </c>
      <c r="D151" s="23"/>
      <c r="E151" s="6">
        <v>68395202</v>
      </c>
      <c r="F151" s="23"/>
      <c r="G151" s="6">
        <v>0</v>
      </c>
      <c r="H151" s="23"/>
      <c r="I151" s="6">
        <v>204754204</v>
      </c>
      <c r="J151" s="23"/>
      <c r="K151" s="6">
        <v>1170074</v>
      </c>
      <c r="L151" s="23"/>
      <c r="M151" s="6">
        <f>2181368+574411+1178346</f>
        <v>3934125</v>
      </c>
      <c r="N151" s="23"/>
      <c r="O151" s="6">
        <v>787442</v>
      </c>
      <c r="P151" s="23"/>
      <c r="Q151" s="6">
        <v>0</v>
      </c>
      <c r="R151" s="23"/>
      <c r="S151" s="6">
        <v>17764</v>
      </c>
      <c r="T151" s="23"/>
      <c r="U151" s="6">
        <v>6485271</v>
      </c>
      <c r="V151" s="23"/>
      <c r="W151" s="33">
        <f t="shared" si="23"/>
        <v>285544082</v>
      </c>
      <c r="X151" s="23"/>
      <c r="Y151" s="23">
        <v>16179663</v>
      </c>
      <c r="Z151" s="23"/>
      <c r="AA151" s="23">
        <v>0</v>
      </c>
      <c r="AB151" s="23"/>
      <c r="AC151" s="23">
        <f>14735000+2495000+64898+628370</f>
        <v>17923268</v>
      </c>
      <c r="AD151" s="23"/>
      <c r="AE151" s="23">
        <v>0</v>
      </c>
      <c r="AF151" s="23"/>
      <c r="AG151" s="23">
        <v>0</v>
      </c>
      <c r="AH151" s="23"/>
      <c r="AI151" s="23">
        <v>130000</v>
      </c>
      <c r="AJ151" s="23"/>
      <c r="AK151" s="23">
        <v>0</v>
      </c>
      <c r="AL151" s="23"/>
      <c r="AM151" s="33">
        <f t="shared" ref="AM151:AM156" si="27">AI151+AC151+Y151</f>
        <v>34232931</v>
      </c>
      <c r="AN151" s="23"/>
      <c r="AO151" s="33">
        <f t="shared" si="25"/>
        <v>319777013</v>
      </c>
      <c r="AP151" s="33"/>
    </row>
    <row r="152" spans="1:42">
      <c r="A152" s="11" t="s">
        <v>889</v>
      </c>
      <c r="B152" s="11"/>
      <c r="C152" s="11" t="s">
        <v>32</v>
      </c>
      <c r="D152" s="23"/>
      <c r="E152" s="6">
        <v>8349278</v>
      </c>
      <c r="F152" s="23"/>
      <c r="G152" s="6">
        <v>0</v>
      </c>
      <c r="H152" s="23"/>
      <c r="I152" s="6">
        <v>5596359</v>
      </c>
      <c r="J152" s="23"/>
      <c r="K152" s="6">
        <v>14375</v>
      </c>
      <c r="L152" s="23"/>
      <c r="M152" s="6">
        <f>129768+201435</f>
        <v>331203</v>
      </c>
      <c r="N152" s="23"/>
      <c r="O152" s="6">
        <v>117119</v>
      </c>
      <c r="P152" s="23"/>
      <c r="Q152" s="6">
        <v>434265</v>
      </c>
      <c r="R152" s="23"/>
      <c r="S152" s="6">
        <v>0</v>
      </c>
      <c r="T152" s="23"/>
      <c r="U152" s="6">
        <v>129151</v>
      </c>
      <c r="V152" s="23"/>
      <c r="W152" s="33">
        <f t="shared" si="23"/>
        <v>14971750</v>
      </c>
      <c r="X152" s="23"/>
      <c r="Y152" s="23">
        <v>1041000</v>
      </c>
      <c r="Z152" s="23"/>
      <c r="AA152" s="23">
        <v>0</v>
      </c>
      <c r="AB152" s="23"/>
      <c r="AC152" s="23">
        <v>0</v>
      </c>
      <c r="AD152" s="23"/>
      <c r="AE152" s="23">
        <v>0</v>
      </c>
      <c r="AF152" s="23"/>
      <c r="AG152" s="23">
        <v>0</v>
      </c>
      <c r="AH152" s="23"/>
      <c r="AI152" s="23">
        <v>240</v>
      </c>
      <c r="AJ152" s="23"/>
      <c r="AK152" s="23">
        <v>0</v>
      </c>
      <c r="AL152" s="23"/>
      <c r="AM152" s="33">
        <f t="shared" si="27"/>
        <v>1041240</v>
      </c>
      <c r="AN152" s="23"/>
      <c r="AO152" s="33">
        <f t="shared" si="25"/>
        <v>16012990</v>
      </c>
      <c r="AP152" s="33"/>
    </row>
    <row r="153" spans="1:42" hidden="1">
      <c r="A153" s="11" t="s">
        <v>658</v>
      </c>
      <c r="B153" s="11"/>
      <c r="C153" s="11" t="s">
        <v>22</v>
      </c>
      <c r="D153" s="23"/>
      <c r="E153" s="6"/>
      <c r="F153" s="23"/>
      <c r="G153" s="6"/>
      <c r="H153" s="23"/>
      <c r="I153" s="6"/>
      <c r="J153" s="23"/>
      <c r="K153" s="6"/>
      <c r="L153" s="23"/>
      <c r="M153" s="6"/>
      <c r="N153" s="23"/>
      <c r="O153" s="6"/>
      <c r="P153" s="23"/>
      <c r="Q153" s="6"/>
      <c r="R153" s="23"/>
      <c r="S153" s="6"/>
      <c r="T153" s="23"/>
      <c r="U153" s="6"/>
      <c r="V153" s="23"/>
      <c r="W153" s="33">
        <f t="shared" si="23"/>
        <v>0</v>
      </c>
      <c r="X153" s="23"/>
      <c r="Y153" s="23"/>
      <c r="Z153" s="23"/>
      <c r="AA153" s="23">
        <v>0</v>
      </c>
      <c r="AB153" s="23"/>
      <c r="AC153" s="23"/>
      <c r="AD153" s="23"/>
      <c r="AE153" s="23"/>
      <c r="AF153" s="23"/>
      <c r="AG153" s="23"/>
      <c r="AH153" s="23"/>
      <c r="AI153" s="23"/>
      <c r="AJ153" s="23"/>
      <c r="AK153" s="23">
        <v>0</v>
      </c>
      <c r="AL153" s="23"/>
      <c r="AM153" s="33">
        <f t="shared" si="27"/>
        <v>0</v>
      </c>
      <c r="AN153" s="23"/>
      <c r="AO153" s="33">
        <f t="shared" si="25"/>
        <v>0</v>
      </c>
      <c r="AP153" s="33"/>
    </row>
    <row r="154" spans="1:42">
      <c r="A154" s="11" t="s">
        <v>742</v>
      </c>
      <c r="B154" s="11"/>
      <c r="C154" s="11" t="s">
        <v>23</v>
      </c>
      <c r="D154" s="23"/>
      <c r="E154" s="6">
        <v>31839905</v>
      </c>
      <c r="F154" s="23"/>
      <c r="G154" s="6">
        <v>0</v>
      </c>
      <c r="H154" s="23"/>
      <c r="I154" s="6">
        <v>21591349</v>
      </c>
      <c r="J154" s="23"/>
      <c r="K154" s="6">
        <v>4576</v>
      </c>
      <c r="L154" s="23"/>
      <c r="M154" s="6">
        <f>1536768+81507+1037196</f>
        <v>2655471</v>
      </c>
      <c r="N154" s="23"/>
      <c r="O154" s="6">
        <v>450404</v>
      </c>
      <c r="P154" s="23"/>
      <c r="Q154" s="6">
        <v>0</v>
      </c>
      <c r="R154" s="23"/>
      <c r="S154" s="6">
        <v>126850</v>
      </c>
      <c r="T154" s="23"/>
      <c r="U154" s="6">
        <v>724782</v>
      </c>
      <c r="V154" s="23"/>
      <c r="W154" s="33">
        <f t="shared" si="23"/>
        <v>57393337</v>
      </c>
      <c r="X154" s="23"/>
      <c r="Y154" s="23">
        <v>0</v>
      </c>
      <c r="Z154" s="23"/>
      <c r="AA154" s="23">
        <v>0</v>
      </c>
      <c r="AB154" s="23"/>
      <c r="AC154" s="23">
        <v>2819270</v>
      </c>
      <c r="AD154" s="23"/>
      <c r="AE154" s="23">
        <v>0</v>
      </c>
      <c r="AF154" s="23"/>
      <c r="AG154" s="23">
        <v>0</v>
      </c>
      <c r="AH154" s="23"/>
      <c r="AI154" s="23">
        <v>0</v>
      </c>
      <c r="AJ154" s="23"/>
      <c r="AK154" s="23">
        <v>0</v>
      </c>
      <c r="AL154" s="23"/>
      <c r="AM154" s="33">
        <f t="shared" si="27"/>
        <v>2819270</v>
      </c>
      <c r="AN154" s="23"/>
      <c r="AO154" s="33">
        <f t="shared" si="25"/>
        <v>60212607</v>
      </c>
      <c r="AP154" s="33"/>
    </row>
    <row r="155" spans="1:42">
      <c r="A155" s="11" t="s">
        <v>201</v>
      </c>
      <c r="B155" s="11"/>
      <c r="C155" s="11" t="s">
        <v>10</v>
      </c>
      <c r="D155" s="23"/>
      <c r="E155" s="6">
        <v>3933834</v>
      </c>
      <c r="F155" s="23"/>
      <c r="G155" s="6">
        <v>0</v>
      </c>
      <c r="H155" s="23"/>
      <c r="I155" s="6">
        <v>5546891</v>
      </c>
      <c r="J155" s="23"/>
      <c r="K155" s="6">
        <v>19282</v>
      </c>
      <c r="L155" s="23"/>
      <c r="M155" s="6">
        <f>770113+239430</f>
        <v>1009543</v>
      </c>
      <c r="N155" s="23"/>
      <c r="O155" s="6">
        <v>218196</v>
      </c>
      <c r="P155" s="23"/>
      <c r="Q155" s="6">
        <v>38562</v>
      </c>
      <c r="R155" s="23"/>
      <c r="S155" s="6">
        <v>97374</v>
      </c>
      <c r="T155" s="23"/>
      <c r="U155" s="6">
        <v>39795</v>
      </c>
      <c r="V155" s="23"/>
      <c r="W155" s="33">
        <f t="shared" ref="W155:W156" si="28">SUM(E155:U155)</f>
        <v>10903477</v>
      </c>
      <c r="X155" s="23"/>
      <c r="Y155" s="23">
        <v>0</v>
      </c>
      <c r="Z155" s="23"/>
      <c r="AA155" s="23">
        <v>0</v>
      </c>
      <c r="AB155" s="23"/>
      <c r="AC155" s="23">
        <v>0</v>
      </c>
      <c r="AD155" s="23"/>
      <c r="AE155" s="23">
        <v>0</v>
      </c>
      <c r="AF155" s="23"/>
      <c r="AG155" s="23">
        <v>0</v>
      </c>
      <c r="AH155" s="23"/>
      <c r="AI155" s="23">
        <v>2000</v>
      </c>
      <c r="AJ155" s="23"/>
      <c r="AK155" s="23">
        <v>0</v>
      </c>
      <c r="AL155" s="23"/>
      <c r="AM155" s="33">
        <f t="shared" si="27"/>
        <v>2000</v>
      </c>
      <c r="AN155" s="23"/>
      <c r="AO155" s="33">
        <f t="shared" si="25"/>
        <v>10905477</v>
      </c>
      <c r="AP155" s="33"/>
    </row>
    <row r="156" spans="1:42">
      <c r="A156" s="11" t="s">
        <v>534</v>
      </c>
      <c r="B156" s="11"/>
      <c r="C156" s="11" t="s">
        <v>65</v>
      </c>
      <c r="D156" s="23"/>
      <c r="E156" s="6">
        <v>11909572</v>
      </c>
      <c r="F156" s="23"/>
      <c r="G156" s="6">
        <v>0</v>
      </c>
      <c r="H156" s="23"/>
      <c r="I156" s="6">
        <v>11507003</v>
      </c>
      <c r="J156" s="23"/>
      <c r="K156" s="6">
        <v>4288</v>
      </c>
      <c r="L156" s="23"/>
      <c r="M156" s="6">
        <f>169086+408985</f>
        <v>578071</v>
      </c>
      <c r="N156" s="23"/>
      <c r="O156" s="6">
        <v>516113</v>
      </c>
      <c r="P156" s="23"/>
      <c r="Q156" s="6">
        <v>0</v>
      </c>
      <c r="R156" s="23"/>
      <c r="S156" s="6">
        <v>56458</v>
      </c>
      <c r="T156" s="23"/>
      <c r="U156" s="6">
        <v>98926</v>
      </c>
      <c r="V156" s="23"/>
      <c r="W156" s="33">
        <f t="shared" si="28"/>
        <v>24670431</v>
      </c>
      <c r="X156" s="23"/>
      <c r="Y156" s="23">
        <v>0</v>
      </c>
      <c r="Z156" s="23"/>
      <c r="AA156" s="23">
        <v>0</v>
      </c>
      <c r="AB156" s="23"/>
      <c r="AC156" s="23">
        <v>158863</v>
      </c>
      <c r="AD156" s="23"/>
      <c r="AE156" s="23">
        <v>0</v>
      </c>
      <c r="AF156" s="23"/>
      <c r="AG156" s="23">
        <v>0</v>
      </c>
      <c r="AH156" s="23"/>
      <c r="AI156" s="23">
        <v>1615</v>
      </c>
      <c r="AJ156" s="23"/>
      <c r="AK156" s="23">
        <v>0</v>
      </c>
      <c r="AL156" s="23"/>
      <c r="AM156" s="33">
        <f t="shared" si="27"/>
        <v>160478</v>
      </c>
      <c r="AN156" s="23"/>
      <c r="AO156" s="33">
        <f t="shared" si="25"/>
        <v>24830909</v>
      </c>
      <c r="AP156" s="33"/>
    </row>
    <row r="157" spans="1:42">
      <c r="A157" s="11" t="s">
        <v>302</v>
      </c>
      <c r="B157" s="11"/>
      <c r="C157" s="11" t="s">
        <v>27</v>
      </c>
      <c r="D157" s="23"/>
      <c r="E157" s="6">
        <v>146180195</v>
      </c>
      <c r="F157" s="23"/>
      <c r="G157" s="6">
        <v>0</v>
      </c>
      <c r="H157" s="23"/>
      <c r="I157" s="6">
        <f>34709440+4929741</f>
        <v>39639181</v>
      </c>
      <c r="J157" s="23"/>
      <c r="K157" s="6">
        <v>223225</v>
      </c>
      <c r="L157" s="23"/>
      <c r="M157" s="6">
        <v>684813</v>
      </c>
      <c r="N157" s="23"/>
      <c r="O157" s="6">
        <v>0</v>
      </c>
      <c r="P157" s="23"/>
      <c r="Q157" s="6">
        <v>0</v>
      </c>
      <c r="R157" s="23"/>
      <c r="S157" s="6">
        <v>0</v>
      </c>
      <c r="T157" s="23"/>
      <c r="U157" s="6">
        <f>2729682+124712</f>
        <v>2854394</v>
      </c>
      <c r="V157" s="23"/>
      <c r="W157" s="33">
        <f>SUM(E157:U157)</f>
        <v>189581808</v>
      </c>
      <c r="X157" s="23"/>
      <c r="Y157" s="23">
        <v>447407</v>
      </c>
      <c r="Z157" s="23"/>
      <c r="AA157" s="23">
        <v>0</v>
      </c>
      <c r="AB157" s="23"/>
      <c r="AC157" s="23">
        <f>319423+5500000+2411608+19049970</f>
        <v>27281001</v>
      </c>
      <c r="AD157" s="23"/>
      <c r="AE157" s="23">
        <v>0</v>
      </c>
      <c r="AF157" s="23"/>
      <c r="AG157" s="23">
        <v>0</v>
      </c>
      <c r="AH157" s="23"/>
      <c r="AI157" s="23">
        <v>0</v>
      </c>
      <c r="AJ157" s="23"/>
      <c r="AK157" s="23">
        <v>0</v>
      </c>
      <c r="AL157" s="23"/>
      <c r="AM157" s="33">
        <f>SUM(Y157:AK157)</f>
        <v>27728408</v>
      </c>
      <c r="AN157" s="23"/>
      <c r="AO157" s="33">
        <f t="shared" si="25"/>
        <v>217310216</v>
      </c>
      <c r="AP157" s="33"/>
    </row>
    <row r="158" spans="1:42">
      <c r="A158" s="11" t="s">
        <v>266</v>
      </c>
      <c r="B158" s="11"/>
      <c r="C158" s="11" t="s">
        <v>20</v>
      </c>
      <c r="D158" s="23"/>
      <c r="E158" s="6">
        <v>8138274</v>
      </c>
      <c r="F158" s="23"/>
      <c r="G158" s="6">
        <v>0</v>
      </c>
      <c r="H158" s="23"/>
      <c r="I158" s="6">
        <v>48056247</v>
      </c>
      <c r="J158" s="23"/>
      <c r="K158" s="6">
        <v>206817</v>
      </c>
      <c r="L158" s="23"/>
      <c r="M158" s="6">
        <f>81554+3675024+550</f>
        <v>3757128</v>
      </c>
      <c r="N158" s="23"/>
      <c r="O158" s="6">
        <v>41744</v>
      </c>
      <c r="P158" s="23"/>
      <c r="Q158" s="6">
        <v>0</v>
      </c>
      <c r="R158" s="23"/>
      <c r="S158" s="6">
        <v>62814</v>
      </c>
      <c r="T158" s="23"/>
      <c r="U158" s="6">
        <v>1437546</v>
      </c>
      <c r="V158" s="23"/>
      <c r="W158" s="33">
        <f>SUM(E158:U158)</f>
        <v>61700570</v>
      </c>
      <c r="X158" s="23"/>
      <c r="Y158" s="23">
        <v>181960</v>
      </c>
      <c r="Z158" s="23"/>
      <c r="AA158" s="23">
        <v>0</v>
      </c>
      <c r="AB158" s="23"/>
      <c r="AC158" s="23">
        <v>0</v>
      </c>
      <c r="AD158" s="23"/>
      <c r="AE158" s="23">
        <v>0</v>
      </c>
      <c r="AF158" s="23"/>
      <c r="AG158" s="23">
        <v>0</v>
      </c>
      <c r="AH158" s="23"/>
      <c r="AI158" s="23">
        <v>0</v>
      </c>
      <c r="AJ158" s="23"/>
      <c r="AK158" s="23">
        <v>0</v>
      </c>
      <c r="AL158" s="23"/>
      <c r="AM158" s="33">
        <f>AI158+AC158+Y158</f>
        <v>181960</v>
      </c>
      <c r="AN158" s="23"/>
      <c r="AO158" s="33">
        <f t="shared" si="25"/>
        <v>61882530</v>
      </c>
      <c r="AP158" s="33"/>
    </row>
    <row r="159" spans="1:42">
      <c r="A159" s="11" t="s">
        <v>244</v>
      </c>
      <c r="B159" s="11"/>
      <c r="C159" s="11" t="s">
        <v>18</v>
      </c>
      <c r="D159" s="23"/>
      <c r="E159" s="6">
        <v>3145675</v>
      </c>
      <c r="F159" s="23"/>
      <c r="G159" s="6">
        <v>0</v>
      </c>
      <c r="H159" s="23"/>
      <c r="I159" s="6">
        <v>10307422</v>
      </c>
      <c r="J159" s="23"/>
      <c r="K159" s="6">
        <v>47291</v>
      </c>
      <c r="L159" s="23"/>
      <c r="M159" s="6">
        <f>707431+4080+251794</f>
        <v>963305</v>
      </c>
      <c r="N159" s="23"/>
      <c r="O159" s="6">
        <v>100807</v>
      </c>
      <c r="P159" s="23"/>
      <c r="Q159" s="6">
        <v>0</v>
      </c>
      <c r="R159" s="23"/>
      <c r="S159" s="6">
        <v>1305</v>
      </c>
      <c r="T159" s="23"/>
      <c r="U159" s="6">
        <v>81767</v>
      </c>
      <c r="V159" s="23"/>
      <c r="W159" s="33">
        <f>SUM(E159:U159)</f>
        <v>14647572</v>
      </c>
      <c r="X159" s="23"/>
      <c r="Y159" s="23">
        <v>0</v>
      </c>
      <c r="Z159" s="23"/>
      <c r="AA159" s="23">
        <v>0</v>
      </c>
      <c r="AB159" s="23"/>
      <c r="AC159" s="23">
        <v>0</v>
      </c>
      <c r="AD159" s="23"/>
      <c r="AE159" s="23">
        <v>0</v>
      </c>
      <c r="AF159" s="23"/>
      <c r="AG159" s="23">
        <v>0</v>
      </c>
      <c r="AH159" s="23"/>
      <c r="AI159" s="23">
        <v>8780</v>
      </c>
      <c r="AJ159" s="23"/>
      <c r="AK159" s="23">
        <v>0</v>
      </c>
      <c r="AL159" s="23"/>
      <c r="AM159" s="33">
        <f>AI159+AC159+Y159</f>
        <v>8780</v>
      </c>
      <c r="AN159" s="23"/>
      <c r="AO159" s="33">
        <f t="shared" si="25"/>
        <v>14656352</v>
      </c>
      <c r="AP159" s="33"/>
    </row>
    <row r="160" spans="1:42">
      <c r="A160" s="11" t="s">
        <v>320</v>
      </c>
      <c r="B160" s="11"/>
      <c r="C160" s="11" t="s">
        <v>31</v>
      </c>
      <c r="D160" s="23"/>
      <c r="E160" s="6">
        <v>2985629</v>
      </c>
      <c r="F160" s="23"/>
      <c r="G160" s="6">
        <v>0</v>
      </c>
      <c r="H160" s="23"/>
      <c r="I160" s="6">
        <v>8356775</v>
      </c>
      <c r="J160" s="23"/>
      <c r="K160" s="6">
        <v>4910</v>
      </c>
      <c r="L160" s="23"/>
      <c r="M160" s="6">
        <f>1056646+347683+143030</f>
        <v>1547359</v>
      </c>
      <c r="N160" s="23"/>
      <c r="O160" s="6">
        <v>178472</v>
      </c>
      <c r="P160" s="23"/>
      <c r="Q160" s="6">
        <v>0</v>
      </c>
      <c r="R160" s="23"/>
      <c r="S160" s="6">
        <v>76398</v>
      </c>
      <c r="T160" s="23"/>
      <c r="U160" s="6">
        <v>577934</v>
      </c>
      <c r="V160" s="23"/>
      <c r="W160" s="33">
        <f t="shared" ref="W160:W223" si="29">SUM(E160:U160)</f>
        <v>13727477</v>
      </c>
      <c r="X160" s="23"/>
      <c r="Y160" s="23">
        <v>312000</v>
      </c>
      <c r="Z160" s="23"/>
      <c r="AA160" s="23">
        <v>0</v>
      </c>
      <c r="AB160" s="23"/>
      <c r="AC160" s="23">
        <v>432000</v>
      </c>
      <c r="AD160" s="23"/>
      <c r="AE160" s="23">
        <v>0</v>
      </c>
      <c r="AF160" s="23"/>
      <c r="AG160" s="23">
        <v>0</v>
      </c>
      <c r="AH160" s="23"/>
      <c r="AI160" s="23">
        <v>0</v>
      </c>
      <c r="AJ160" s="23"/>
      <c r="AK160" s="23">
        <v>0</v>
      </c>
      <c r="AL160" s="23"/>
      <c r="AM160" s="33">
        <f>SUM(Y160:AK160)</f>
        <v>744000</v>
      </c>
      <c r="AN160" s="23"/>
      <c r="AO160" s="33">
        <f t="shared" si="25"/>
        <v>14471477</v>
      </c>
      <c r="AP160" s="33"/>
    </row>
    <row r="161" spans="1:42">
      <c r="A161" s="11" t="s">
        <v>353</v>
      </c>
      <c r="B161" s="11"/>
      <c r="C161" s="11" t="s">
        <v>36</v>
      </c>
      <c r="D161" s="23"/>
      <c r="E161" s="6">
        <v>8220748</v>
      </c>
      <c r="F161" s="23"/>
      <c r="G161" s="6">
        <v>0</v>
      </c>
      <c r="H161" s="23"/>
      <c r="I161" s="6">
        <v>8778308</v>
      </c>
      <c r="J161" s="23"/>
      <c r="K161" s="6">
        <v>42729</v>
      </c>
      <c r="L161" s="23"/>
      <c r="M161" s="6">
        <f>697947+9484+375301</f>
        <v>1082732</v>
      </c>
      <c r="N161" s="23"/>
      <c r="O161" s="6">
        <v>437145</v>
      </c>
      <c r="P161" s="23"/>
      <c r="Q161" s="6">
        <v>0</v>
      </c>
      <c r="R161" s="23"/>
      <c r="S161" s="6">
        <v>12201</v>
      </c>
      <c r="T161" s="23"/>
      <c r="U161" s="6">
        <v>116653</v>
      </c>
      <c r="V161" s="23"/>
      <c r="W161" s="33">
        <f t="shared" si="29"/>
        <v>18690516</v>
      </c>
      <c r="X161" s="23"/>
      <c r="Y161" s="23">
        <v>0</v>
      </c>
      <c r="Z161" s="23"/>
      <c r="AA161" s="23">
        <v>0</v>
      </c>
      <c r="AB161" s="23"/>
      <c r="AC161" s="23">
        <v>0</v>
      </c>
      <c r="AD161" s="23"/>
      <c r="AE161" s="23">
        <v>0</v>
      </c>
      <c r="AF161" s="23"/>
      <c r="AG161" s="23">
        <v>0</v>
      </c>
      <c r="AH161" s="23"/>
      <c r="AI161" s="23">
        <v>8985</v>
      </c>
      <c r="AJ161" s="23"/>
      <c r="AK161" s="23">
        <v>0</v>
      </c>
      <c r="AL161" s="23"/>
      <c r="AM161" s="33">
        <f>AI161+AC161+Y161</f>
        <v>8985</v>
      </c>
      <c r="AN161" s="23"/>
      <c r="AO161" s="33">
        <f t="shared" si="25"/>
        <v>18699501</v>
      </c>
      <c r="AP161" s="33"/>
    </row>
    <row r="162" spans="1:42" hidden="1">
      <c r="A162" s="11" t="s">
        <v>659</v>
      </c>
      <c r="B162" s="11"/>
      <c r="C162" s="11" t="s">
        <v>40</v>
      </c>
      <c r="D162" s="23"/>
      <c r="E162" s="6"/>
      <c r="F162" s="23"/>
      <c r="G162" s="6"/>
      <c r="H162" s="23"/>
      <c r="I162" s="6"/>
      <c r="J162" s="23"/>
      <c r="K162" s="6"/>
      <c r="L162" s="23"/>
      <c r="M162" s="6"/>
      <c r="N162" s="23"/>
      <c r="O162" s="6"/>
      <c r="P162" s="23"/>
      <c r="Q162" s="6"/>
      <c r="R162" s="23"/>
      <c r="S162" s="6"/>
      <c r="T162" s="23"/>
      <c r="U162" s="6"/>
      <c r="V162" s="23"/>
      <c r="W162" s="33">
        <f t="shared" si="29"/>
        <v>0</v>
      </c>
      <c r="X162" s="23"/>
      <c r="Y162" s="23"/>
      <c r="Z162" s="23"/>
      <c r="AA162" s="23">
        <v>0</v>
      </c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33"/>
      <c r="AN162" s="23"/>
      <c r="AO162" s="33">
        <f t="shared" si="25"/>
        <v>0</v>
      </c>
      <c r="AP162" s="33"/>
    </row>
    <row r="163" spans="1:42">
      <c r="A163" s="11" t="s">
        <v>248</v>
      </c>
      <c r="B163" s="11"/>
      <c r="C163" s="11" t="s">
        <v>112</v>
      </c>
      <c r="D163" s="23"/>
      <c r="E163" s="6">
        <v>3949975</v>
      </c>
      <c r="F163" s="23"/>
      <c r="G163" s="6">
        <v>0</v>
      </c>
      <c r="H163" s="23"/>
      <c r="I163" s="6">
        <v>23133088</v>
      </c>
      <c r="J163" s="23"/>
      <c r="K163" s="6">
        <v>196018</v>
      </c>
      <c r="L163" s="23"/>
      <c r="M163" s="6">
        <f>761427+5121+271210</f>
        <v>1037758</v>
      </c>
      <c r="N163" s="23"/>
      <c r="O163" s="6">
        <v>135205</v>
      </c>
      <c r="P163" s="23"/>
      <c r="Q163" s="6">
        <v>0</v>
      </c>
      <c r="R163" s="23"/>
      <c r="S163" s="6">
        <v>19668</v>
      </c>
      <c r="T163" s="23"/>
      <c r="U163" s="6">
        <v>150479</v>
      </c>
      <c r="V163" s="23"/>
      <c r="W163" s="33">
        <f t="shared" si="29"/>
        <v>28622191</v>
      </c>
      <c r="X163" s="23"/>
      <c r="Y163" s="23">
        <v>0</v>
      </c>
      <c r="Z163" s="23"/>
      <c r="AA163" s="23">
        <v>0</v>
      </c>
      <c r="AB163" s="23"/>
      <c r="AC163" s="23">
        <v>0</v>
      </c>
      <c r="AD163" s="23"/>
      <c r="AE163" s="23">
        <v>0</v>
      </c>
      <c r="AF163" s="23"/>
      <c r="AG163" s="23">
        <v>0</v>
      </c>
      <c r="AH163" s="23"/>
      <c r="AI163" s="23">
        <v>4390</v>
      </c>
      <c r="AJ163" s="23"/>
      <c r="AK163" s="23">
        <v>0</v>
      </c>
      <c r="AL163" s="23"/>
      <c r="AM163" s="33">
        <f t="shared" ref="AM163:AM169" si="30">AI163+AC163+Y163</f>
        <v>4390</v>
      </c>
      <c r="AN163" s="23"/>
      <c r="AO163" s="33">
        <f t="shared" si="25"/>
        <v>28626581</v>
      </c>
      <c r="AP163" s="33"/>
    </row>
    <row r="164" spans="1:42">
      <c r="A164" s="11" t="s">
        <v>443</v>
      </c>
      <c r="B164" s="11"/>
      <c r="C164" s="11" t="s">
        <v>51</v>
      </c>
      <c r="D164" s="23"/>
      <c r="E164" s="6">
        <v>8867634</v>
      </c>
      <c r="F164" s="23"/>
      <c r="G164" s="6">
        <v>0</v>
      </c>
      <c r="H164" s="23"/>
      <c r="I164" s="6">
        <v>11652566</v>
      </c>
      <c r="J164" s="23"/>
      <c r="K164" s="6">
        <v>63912</v>
      </c>
      <c r="L164" s="23"/>
      <c r="M164" s="6">
        <f>1469130+11213+511130</f>
        <v>1991473</v>
      </c>
      <c r="N164" s="23"/>
      <c r="O164" s="6">
        <v>188849</v>
      </c>
      <c r="P164" s="23"/>
      <c r="Q164" s="6">
        <v>70353</v>
      </c>
      <c r="R164" s="23"/>
      <c r="S164" s="6">
        <v>33250</v>
      </c>
      <c r="T164" s="23"/>
      <c r="U164" s="6">
        <v>144466</v>
      </c>
      <c r="V164" s="23"/>
      <c r="W164" s="33">
        <f t="shared" si="29"/>
        <v>23012503</v>
      </c>
      <c r="X164" s="23"/>
      <c r="Y164" s="23">
        <v>0</v>
      </c>
      <c r="Z164" s="23"/>
      <c r="AA164" s="23">
        <v>0</v>
      </c>
      <c r="AB164" s="23"/>
      <c r="AC164" s="23">
        <f>4950000+176988</f>
        <v>5126988</v>
      </c>
      <c r="AD164" s="23"/>
      <c r="AE164" s="23">
        <v>0</v>
      </c>
      <c r="AF164" s="23"/>
      <c r="AG164" s="23">
        <v>0</v>
      </c>
      <c r="AH164" s="23"/>
      <c r="AI164" s="23">
        <v>5200</v>
      </c>
      <c r="AJ164" s="23"/>
      <c r="AK164" s="23">
        <v>0</v>
      </c>
      <c r="AL164" s="23"/>
      <c r="AM164" s="33">
        <f t="shared" si="30"/>
        <v>5132188</v>
      </c>
      <c r="AN164" s="23"/>
      <c r="AO164" s="33">
        <f t="shared" si="25"/>
        <v>28144691</v>
      </c>
      <c r="AP164" s="33"/>
    </row>
    <row r="165" spans="1:42">
      <c r="A165" s="11" t="s">
        <v>249</v>
      </c>
      <c r="B165" s="11"/>
      <c r="C165" s="11" t="s">
        <v>112</v>
      </c>
      <c r="D165" s="23"/>
      <c r="E165" s="6">
        <v>2805851</v>
      </c>
      <c r="F165" s="23"/>
      <c r="G165" s="6">
        <v>0</v>
      </c>
      <c r="H165" s="23"/>
      <c r="I165" s="6">
        <v>8720061</v>
      </c>
      <c r="J165" s="23"/>
      <c r="K165" s="6">
        <v>7910</v>
      </c>
      <c r="L165" s="23"/>
      <c r="M165" s="6">
        <f>304778+324000</f>
        <v>628778</v>
      </c>
      <c r="N165" s="23"/>
      <c r="O165" s="6">
        <v>135642</v>
      </c>
      <c r="P165" s="23"/>
      <c r="Q165" s="6">
        <v>0</v>
      </c>
      <c r="R165" s="23"/>
      <c r="S165" s="6">
        <v>8666</v>
      </c>
      <c r="T165" s="23"/>
      <c r="U165" s="6">
        <v>58394</v>
      </c>
      <c r="V165" s="23"/>
      <c r="W165" s="33">
        <f t="shared" si="29"/>
        <v>12365302</v>
      </c>
      <c r="X165" s="23"/>
      <c r="Y165" s="23">
        <v>52847</v>
      </c>
      <c r="Z165" s="23"/>
      <c r="AA165" s="23">
        <v>0</v>
      </c>
      <c r="AB165" s="23"/>
      <c r="AC165" s="23">
        <v>0</v>
      </c>
      <c r="AD165" s="23"/>
      <c r="AE165" s="23">
        <v>0</v>
      </c>
      <c r="AF165" s="23"/>
      <c r="AG165" s="23">
        <v>0</v>
      </c>
      <c r="AH165" s="23"/>
      <c r="AI165" s="23">
        <v>0</v>
      </c>
      <c r="AJ165" s="23"/>
      <c r="AK165" s="23">
        <v>0</v>
      </c>
      <c r="AL165" s="23"/>
      <c r="AM165" s="33">
        <f t="shared" si="30"/>
        <v>52847</v>
      </c>
      <c r="AN165" s="23"/>
      <c r="AO165" s="33">
        <f t="shared" si="25"/>
        <v>12418149</v>
      </c>
      <c r="AP165" s="33"/>
    </row>
    <row r="166" spans="1:42">
      <c r="A166" s="11" t="s">
        <v>218</v>
      </c>
      <c r="B166" s="11"/>
      <c r="C166" s="11" t="s">
        <v>77</v>
      </c>
      <c r="D166" s="23"/>
      <c r="E166" s="6">
        <v>3627184</v>
      </c>
      <c r="F166" s="23"/>
      <c r="G166" s="6">
        <v>0</v>
      </c>
      <c r="H166" s="23"/>
      <c r="I166" s="6">
        <v>10281035</v>
      </c>
      <c r="J166" s="23"/>
      <c r="K166" s="6">
        <v>17508</v>
      </c>
      <c r="L166" s="23"/>
      <c r="M166" s="6">
        <f>727711+15141+268391</f>
        <v>1011243</v>
      </c>
      <c r="N166" s="23"/>
      <c r="O166" s="6">
        <v>83435</v>
      </c>
      <c r="P166" s="23"/>
      <c r="Q166" s="6">
        <v>51360</v>
      </c>
      <c r="R166" s="23"/>
      <c r="S166" s="6">
        <v>21018</v>
      </c>
      <c r="T166" s="23"/>
      <c r="U166" s="6">
        <v>78748</v>
      </c>
      <c r="V166" s="23"/>
      <c r="W166" s="33">
        <f t="shared" si="29"/>
        <v>15171531</v>
      </c>
      <c r="X166" s="23"/>
      <c r="Y166" s="23">
        <v>308000</v>
      </c>
      <c r="Z166" s="23"/>
      <c r="AA166" s="23">
        <v>0</v>
      </c>
      <c r="AB166" s="23"/>
      <c r="AC166" s="23">
        <v>0</v>
      </c>
      <c r="AD166" s="23"/>
      <c r="AE166" s="23">
        <v>0</v>
      </c>
      <c r="AF166" s="23"/>
      <c r="AG166" s="23">
        <v>0</v>
      </c>
      <c r="AH166" s="23"/>
      <c r="AI166" s="23">
        <v>12704</v>
      </c>
      <c r="AJ166" s="23"/>
      <c r="AK166" s="23">
        <v>0</v>
      </c>
      <c r="AL166" s="23"/>
      <c r="AM166" s="33">
        <f t="shared" si="30"/>
        <v>320704</v>
      </c>
      <c r="AN166" s="23"/>
      <c r="AO166" s="33">
        <f t="shared" si="25"/>
        <v>15492235</v>
      </c>
      <c r="AP166" s="33"/>
    </row>
    <row r="167" spans="1:42">
      <c r="A167" s="11" t="s">
        <v>218</v>
      </c>
      <c r="B167" s="11"/>
      <c r="C167" s="11" t="s">
        <v>420</v>
      </c>
      <c r="D167" s="23"/>
      <c r="E167" s="6">
        <v>1688145</v>
      </c>
      <c r="F167" s="23"/>
      <c r="G167" s="6">
        <v>0</v>
      </c>
      <c r="H167" s="23"/>
      <c r="I167" s="6">
        <v>6682725</v>
      </c>
      <c r="J167" s="23"/>
      <c r="K167" s="6">
        <v>5584</v>
      </c>
      <c r="L167" s="23"/>
      <c r="M167" s="6">
        <f>608465+41434+146800</f>
        <v>796699</v>
      </c>
      <c r="N167" s="23"/>
      <c r="O167" s="6">
        <v>67742</v>
      </c>
      <c r="P167" s="23"/>
      <c r="Q167" s="6">
        <v>0</v>
      </c>
      <c r="R167" s="23"/>
      <c r="S167" s="6">
        <v>113948</v>
      </c>
      <c r="T167" s="23"/>
      <c r="U167" s="6">
        <v>28689</v>
      </c>
      <c r="V167" s="23"/>
      <c r="W167" s="33">
        <f t="shared" si="29"/>
        <v>9383532</v>
      </c>
      <c r="X167" s="23"/>
      <c r="Y167" s="23">
        <v>0</v>
      </c>
      <c r="Z167" s="23"/>
      <c r="AA167" s="23">
        <v>0</v>
      </c>
      <c r="AB167" s="23"/>
      <c r="AC167" s="23">
        <v>0</v>
      </c>
      <c r="AD167" s="23"/>
      <c r="AE167" s="23">
        <v>0</v>
      </c>
      <c r="AF167" s="23"/>
      <c r="AG167" s="23">
        <v>0</v>
      </c>
      <c r="AH167" s="23"/>
      <c r="AI167" s="23">
        <v>0</v>
      </c>
      <c r="AJ167" s="23"/>
      <c r="AK167" s="23">
        <v>0</v>
      </c>
      <c r="AL167" s="23"/>
      <c r="AM167" s="33">
        <f t="shared" si="30"/>
        <v>0</v>
      </c>
      <c r="AN167" s="23"/>
      <c r="AO167" s="33">
        <f t="shared" si="25"/>
        <v>9383532</v>
      </c>
      <c r="AP167" s="33"/>
    </row>
    <row r="168" spans="1:42" hidden="1">
      <c r="A168" s="11" t="s">
        <v>660</v>
      </c>
      <c r="B168" s="11"/>
      <c r="C168" s="11" t="s">
        <v>55</v>
      </c>
      <c r="D168" s="23"/>
      <c r="E168" s="6"/>
      <c r="F168" s="23"/>
      <c r="G168" s="6"/>
      <c r="H168" s="23"/>
      <c r="I168" s="6"/>
      <c r="J168" s="23"/>
      <c r="K168" s="6"/>
      <c r="L168" s="23"/>
      <c r="M168" s="6"/>
      <c r="N168" s="23"/>
      <c r="O168" s="6"/>
      <c r="P168" s="23"/>
      <c r="Q168" s="6"/>
      <c r="R168" s="23"/>
      <c r="S168" s="6"/>
      <c r="T168" s="23"/>
      <c r="U168" s="6"/>
      <c r="V168" s="23"/>
      <c r="W168" s="33">
        <f t="shared" si="29"/>
        <v>0</v>
      </c>
      <c r="X168" s="23"/>
      <c r="Y168" s="23"/>
      <c r="Z168" s="23"/>
      <c r="AA168" s="23">
        <v>0</v>
      </c>
      <c r="AB168" s="23"/>
      <c r="AC168" s="23"/>
      <c r="AD168" s="23"/>
      <c r="AE168" s="23">
        <v>0</v>
      </c>
      <c r="AF168" s="23"/>
      <c r="AG168" s="23">
        <v>0</v>
      </c>
      <c r="AH168" s="23"/>
      <c r="AI168" s="23"/>
      <c r="AJ168" s="23"/>
      <c r="AK168" s="23">
        <v>0</v>
      </c>
      <c r="AL168" s="23"/>
      <c r="AM168" s="33">
        <f t="shared" si="30"/>
        <v>0</v>
      </c>
      <c r="AN168" s="23"/>
      <c r="AO168" s="33">
        <f t="shared" si="25"/>
        <v>0</v>
      </c>
      <c r="AP168" s="33"/>
    </row>
    <row r="169" spans="1:42">
      <c r="A169" s="11" t="s">
        <v>555</v>
      </c>
      <c r="B169" s="11"/>
      <c r="C169" s="11" t="s">
        <v>72</v>
      </c>
      <c r="D169" s="23"/>
      <c r="E169" s="6">
        <v>5353283</v>
      </c>
      <c r="F169" s="23"/>
      <c r="G169" s="6">
        <v>1721819</v>
      </c>
      <c r="H169" s="23"/>
      <c r="I169" s="6">
        <v>8765032</v>
      </c>
      <c r="J169" s="23"/>
      <c r="K169" s="6">
        <v>125905</v>
      </c>
      <c r="L169" s="23"/>
      <c r="M169" s="6">
        <f>494029+485295</f>
        <v>979324</v>
      </c>
      <c r="N169" s="23"/>
      <c r="O169" s="6">
        <v>353118</v>
      </c>
      <c r="P169" s="23"/>
      <c r="Q169" s="6">
        <v>480000</v>
      </c>
      <c r="R169" s="23"/>
      <c r="S169" s="6">
        <v>270</v>
      </c>
      <c r="T169" s="23"/>
      <c r="U169" s="6">
        <v>6610</v>
      </c>
      <c r="V169" s="23"/>
      <c r="W169" s="33">
        <f t="shared" si="29"/>
        <v>17785361</v>
      </c>
      <c r="X169" s="23"/>
      <c r="Y169" s="23">
        <v>18240</v>
      </c>
      <c r="Z169" s="23"/>
      <c r="AA169" s="23">
        <v>0</v>
      </c>
      <c r="AB169" s="23"/>
      <c r="AC169" s="23">
        <v>0</v>
      </c>
      <c r="AD169" s="23"/>
      <c r="AE169" s="23">
        <v>0</v>
      </c>
      <c r="AF169" s="23"/>
      <c r="AG169" s="23">
        <v>0</v>
      </c>
      <c r="AH169" s="23"/>
      <c r="AI169" s="23">
        <v>0</v>
      </c>
      <c r="AJ169" s="23"/>
      <c r="AK169" s="23">
        <v>0</v>
      </c>
      <c r="AL169" s="23"/>
      <c r="AM169" s="33">
        <f t="shared" si="30"/>
        <v>18240</v>
      </c>
      <c r="AN169" s="23"/>
      <c r="AO169" s="33">
        <f t="shared" si="25"/>
        <v>17803601</v>
      </c>
      <c r="AP169" s="33"/>
    </row>
    <row r="170" spans="1:42" hidden="1">
      <c r="A170" s="10" t="s">
        <v>870</v>
      </c>
      <c r="B170" s="11"/>
      <c r="C170" s="11" t="s">
        <v>57</v>
      </c>
      <c r="D170" s="23"/>
      <c r="E170" s="6">
        <v>0</v>
      </c>
      <c r="F170" s="23"/>
      <c r="G170" s="6">
        <v>0</v>
      </c>
      <c r="H170" s="23"/>
      <c r="I170" s="6">
        <v>0</v>
      </c>
      <c r="J170" s="23"/>
      <c r="K170" s="6">
        <v>0</v>
      </c>
      <c r="L170" s="23"/>
      <c r="M170" s="6">
        <v>0</v>
      </c>
      <c r="N170" s="23"/>
      <c r="O170" s="6">
        <v>0</v>
      </c>
      <c r="P170" s="23"/>
      <c r="Q170" s="6">
        <v>0</v>
      </c>
      <c r="R170" s="23"/>
      <c r="S170" s="6">
        <v>0</v>
      </c>
      <c r="T170" s="23"/>
      <c r="U170" s="6">
        <v>0</v>
      </c>
      <c r="V170" s="23"/>
      <c r="W170" s="33">
        <f t="shared" si="29"/>
        <v>0</v>
      </c>
      <c r="X170" s="23"/>
      <c r="Y170" s="23">
        <v>0</v>
      </c>
      <c r="Z170" s="23"/>
      <c r="AA170" s="23">
        <v>0</v>
      </c>
      <c r="AB170" s="23"/>
      <c r="AC170" s="23">
        <v>0</v>
      </c>
      <c r="AD170" s="23"/>
      <c r="AE170" s="23">
        <v>0</v>
      </c>
      <c r="AF170" s="23"/>
      <c r="AG170" s="23">
        <v>0</v>
      </c>
      <c r="AH170" s="23"/>
      <c r="AI170" s="23">
        <v>0</v>
      </c>
      <c r="AJ170" s="23"/>
      <c r="AK170" s="23">
        <v>0</v>
      </c>
      <c r="AL170" s="23"/>
      <c r="AM170" s="33">
        <f>SUM(Y170:AK170)</f>
        <v>0</v>
      </c>
      <c r="AN170" s="23"/>
      <c r="AO170" s="33">
        <f t="shared" si="25"/>
        <v>0</v>
      </c>
      <c r="AP170" s="33"/>
    </row>
    <row r="171" spans="1:42" hidden="1">
      <c r="A171" s="11" t="s">
        <v>661</v>
      </c>
      <c r="B171" s="11"/>
      <c r="C171" s="11" t="s">
        <v>552</v>
      </c>
      <c r="D171" s="23"/>
      <c r="E171" s="6"/>
      <c r="F171" s="23"/>
      <c r="G171" s="6"/>
      <c r="H171" s="23"/>
      <c r="I171" s="6"/>
      <c r="J171" s="23"/>
      <c r="K171" s="6"/>
      <c r="L171" s="23"/>
      <c r="M171" s="6"/>
      <c r="N171" s="23"/>
      <c r="O171" s="6"/>
      <c r="P171" s="23"/>
      <c r="Q171" s="6"/>
      <c r="R171" s="23"/>
      <c r="S171" s="6"/>
      <c r="T171" s="23"/>
      <c r="U171" s="6"/>
      <c r="V171" s="23"/>
      <c r="W171" s="33">
        <f t="shared" si="29"/>
        <v>0</v>
      </c>
      <c r="X171" s="23"/>
      <c r="Y171" s="23"/>
      <c r="Z171" s="23"/>
      <c r="AA171" s="23">
        <v>0</v>
      </c>
      <c r="AB171" s="23"/>
      <c r="AC171" s="23"/>
      <c r="AD171" s="23"/>
      <c r="AE171" s="23"/>
      <c r="AF171" s="23"/>
      <c r="AG171" s="23"/>
      <c r="AH171" s="23"/>
      <c r="AI171" s="23"/>
      <c r="AJ171" s="23"/>
      <c r="AK171" s="23">
        <v>0</v>
      </c>
      <c r="AL171" s="23"/>
      <c r="AM171" s="33">
        <f>AI171+AC171+Y171</f>
        <v>0</v>
      </c>
      <c r="AN171" s="23"/>
      <c r="AO171" s="33">
        <f t="shared" si="25"/>
        <v>0</v>
      </c>
      <c r="AP171" s="33"/>
    </row>
    <row r="172" spans="1:42">
      <c r="A172" s="11" t="s">
        <v>662</v>
      </c>
      <c r="B172" s="11"/>
      <c r="C172" s="11" t="s">
        <v>221</v>
      </c>
      <c r="D172" s="23"/>
      <c r="E172" s="6">
        <v>14440081</v>
      </c>
      <c r="F172" s="23"/>
      <c r="G172" s="6">
        <v>0</v>
      </c>
      <c r="H172" s="23"/>
      <c r="I172" s="6">
        <f>17739205+2811049</f>
        <v>20550254</v>
      </c>
      <c r="J172" s="23"/>
      <c r="K172" s="6">
        <v>83978</v>
      </c>
      <c r="L172" s="23"/>
      <c r="M172" s="6">
        <f>517400+868+824179+254715+2665+38943</f>
        <v>1638770</v>
      </c>
      <c r="N172" s="23"/>
      <c r="O172" s="6">
        <v>299141</v>
      </c>
      <c r="P172" s="23"/>
      <c r="Q172" s="6">
        <v>109460</v>
      </c>
      <c r="R172" s="23"/>
      <c r="S172" s="6">
        <v>38848</v>
      </c>
      <c r="T172" s="23"/>
      <c r="U172" s="6">
        <v>157262</v>
      </c>
      <c r="V172" s="23"/>
      <c r="W172" s="33">
        <f t="shared" si="29"/>
        <v>37317794</v>
      </c>
      <c r="X172" s="23"/>
      <c r="Y172" s="23">
        <v>0</v>
      </c>
      <c r="Z172" s="23"/>
      <c r="AA172" s="23">
        <v>0</v>
      </c>
      <c r="AB172" s="23"/>
      <c r="AC172" s="23">
        <f>56869+2980000</f>
        <v>3036869</v>
      </c>
      <c r="AD172" s="23"/>
      <c r="AE172" s="23">
        <v>0</v>
      </c>
      <c r="AF172" s="23"/>
      <c r="AG172" s="23">
        <v>0</v>
      </c>
      <c r="AH172" s="23"/>
      <c r="AI172" s="23">
        <v>13626</v>
      </c>
      <c r="AJ172" s="23"/>
      <c r="AK172" s="23">
        <v>0</v>
      </c>
      <c r="AL172" s="23"/>
      <c r="AM172" s="33">
        <f>AI172+AC172+Y172</f>
        <v>3050495</v>
      </c>
      <c r="AN172" s="23"/>
      <c r="AO172" s="33">
        <f t="shared" si="25"/>
        <v>40368289</v>
      </c>
      <c r="AP172" s="33"/>
    </row>
    <row r="173" spans="1:42">
      <c r="A173" s="11" t="s">
        <v>362</v>
      </c>
      <c r="B173" s="11"/>
      <c r="C173" s="11" t="s">
        <v>24</v>
      </c>
      <c r="D173" s="23"/>
      <c r="E173" s="6">
        <v>6133994</v>
      </c>
      <c r="F173" s="23"/>
      <c r="G173" s="6">
        <v>0</v>
      </c>
      <c r="H173" s="23"/>
      <c r="I173" s="6">
        <f>7445809+996801+12151</f>
        <v>8454761</v>
      </c>
      <c r="J173" s="23"/>
      <c r="K173" s="6">
        <v>10921</v>
      </c>
      <c r="L173" s="23"/>
      <c r="M173" s="6">
        <f>597894+342700+635+44716+2989</f>
        <v>988934</v>
      </c>
      <c r="N173" s="23"/>
      <c r="O173" s="6">
        <v>338482</v>
      </c>
      <c r="P173" s="23"/>
      <c r="Q173" s="6">
        <v>0</v>
      </c>
      <c r="R173" s="23"/>
      <c r="S173" s="6">
        <v>0</v>
      </c>
      <c r="T173" s="23"/>
      <c r="U173" s="6">
        <v>25108</v>
      </c>
      <c r="V173" s="23"/>
      <c r="W173" s="33">
        <f t="shared" ref="W173" si="31">SUM(E173:U173)</f>
        <v>15952200</v>
      </c>
      <c r="X173" s="23"/>
      <c r="Y173" s="23">
        <v>0</v>
      </c>
      <c r="Z173" s="23"/>
      <c r="AA173" s="23">
        <v>0</v>
      </c>
      <c r="AB173" s="23"/>
      <c r="AC173" s="23">
        <v>0</v>
      </c>
      <c r="AD173" s="23"/>
      <c r="AE173" s="23">
        <v>0</v>
      </c>
      <c r="AF173" s="23"/>
      <c r="AG173" s="23">
        <v>0</v>
      </c>
      <c r="AH173" s="23"/>
      <c r="AI173" s="23">
        <v>0</v>
      </c>
      <c r="AJ173" s="23"/>
      <c r="AK173" s="23">
        <v>0</v>
      </c>
      <c r="AL173" s="23"/>
      <c r="AM173" s="33">
        <f>AI173+AC173+Y173</f>
        <v>0</v>
      </c>
      <c r="AN173" s="23"/>
      <c r="AO173" s="33">
        <f t="shared" ref="AO173" si="32">W173+AM173</f>
        <v>15952200</v>
      </c>
      <c r="AP173" s="33"/>
    </row>
    <row r="174" spans="1:42">
      <c r="A174" s="11" t="s">
        <v>362</v>
      </c>
      <c r="B174" s="11"/>
      <c r="C174" s="11" t="s">
        <v>39</v>
      </c>
      <c r="D174" s="23"/>
      <c r="E174" s="6">
        <v>7291231</v>
      </c>
      <c r="F174" s="23"/>
      <c r="G174" s="6">
        <v>0</v>
      </c>
      <c r="H174" s="23"/>
      <c r="I174" s="6">
        <f>9061826+1925809</f>
        <v>10987635</v>
      </c>
      <c r="J174" s="23"/>
      <c r="K174" s="6">
        <v>848</v>
      </c>
      <c r="L174" s="23"/>
      <c r="M174" s="6">
        <f>843991+17930+239268</f>
        <v>1101189</v>
      </c>
      <c r="N174" s="23"/>
      <c r="O174" s="6">
        <v>129629</v>
      </c>
      <c r="P174" s="23"/>
      <c r="Q174" s="6">
        <v>0</v>
      </c>
      <c r="R174" s="23"/>
      <c r="S174" s="6">
        <v>676538</v>
      </c>
      <c r="T174" s="23"/>
      <c r="U174" s="6">
        <v>125913</v>
      </c>
      <c r="V174" s="23"/>
      <c r="W174" s="33">
        <f t="shared" si="29"/>
        <v>20312983</v>
      </c>
      <c r="X174" s="23"/>
      <c r="Y174" s="23">
        <v>10291</v>
      </c>
      <c r="Z174" s="23"/>
      <c r="AA174" s="23">
        <v>0</v>
      </c>
      <c r="AB174" s="23"/>
      <c r="AC174" s="23">
        <v>0</v>
      </c>
      <c r="AD174" s="23"/>
      <c r="AE174" s="23">
        <v>0</v>
      </c>
      <c r="AF174" s="23"/>
      <c r="AG174" s="23">
        <v>0</v>
      </c>
      <c r="AH174" s="23"/>
      <c r="AI174" s="23">
        <v>14353</v>
      </c>
      <c r="AJ174" s="23"/>
      <c r="AK174" s="23">
        <v>0</v>
      </c>
      <c r="AL174" s="23"/>
      <c r="AM174" s="33">
        <f>AI174+AC174+Y174</f>
        <v>24644</v>
      </c>
      <c r="AN174" s="23"/>
      <c r="AO174" s="33">
        <f t="shared" si="25"/>
        <v>20337627</v>
      </c>
      <c r="AP174" s="33"/>
    </row>
    <row r="175" spans="1:42" hidden="1">
      <c r="A175" s="11" t="s">
        <v>871</v>
      </c>
      <c r="B175" s="11"/>
      <c r="C175" s="11" t="s">
        <v>552</v>
      </c>
      <c r="D175" s="23"/>
      <c r="E175" s="6"/>
      <c r="F175" s="23"/>
      <c r="G175" s="6"/>
      <c r="H175" s="23"/>
      <c r="I175" s="6"/>
      <c r="J175" s="23"/>
      <c r="K175" s="6"/>
      <c r="L175" s="23"/>
      <c r="M175" s="6"/>
      <c r="N175" s="23"/>
      <c r="O175" s="6"/>
      <c r="P175" s="23"/>
      <c r="Q175" s="6"/>
      <c r="R175" s="23"/>
      <c r="S175" s="6"/>
      <c r="T175" s="23"/>
      <c r="U175" s="6"/>
      <c r="V175" s="23"/>
      <c r="W175" s="33">
        <f t="shared" si="29"/>
        <v>0</v>
      </c>
      <c r="X175" s="23"/>
      <c r="Y175" s="23"/>
      <c r="Z175" s="23"/>
      <c r="AA175" s="23">
        <v>0</v>
      </c>
      <c r="AB175" s="23"/>
      <c r="AC175" s="23"/>
      <c r="AD175" s="23"/>
      <c r="AE175" s="23"/>
      <c r="AF175" s="23"/>
      <c r="AG175" s="23"/>
      <c r="AH175" s="23"/>
      <c r="AI175" s="23"/>
      <c r="AJ175" s="23"/>
      <c r="AK175" s="23">
        <v>0</v>
      </c>
      <c r="AL175" s="23"/>
      <c r="AM175" s="33">
        <f>AI175+AC175+Y175</f>
        <v>0</v>
      </c>
      <c r="AN175" s="23"/>
      <c r="AO175" s="33">
        <f t="shared" si="25"/>
        <v>0</v>
      </c>
      <c r="AP175" s="33"/>
    </row>
    <row r="176" spans="1:42">
      <c r="A176" s="11" t="s">
        <v>677</v>
      </c>
      <c r="B176" s="11"/>
      <c r="C176" s="11" t="s">
        <v>46</v>
      </c>
      <c r="D176" s="23"/>
      <c r="E176" s="6">
        <v>4207282</v>
      </c>
      <c r="F176" s="23"/>
      <c r="G176" s="6">
        <v>865719</v>
      </c>
      <c r="H176" s="23"/>
      <c r="I176" s="6">
        <v>19691152</v>
      </c>
      <c r="J176" s="23"/>
      <c r="K176" s="6">
        <v>109533</v>
      </c>
      <c r="L176" s="23"/>
      <c r="M176" s="6">
        <f>995511+232327</f>
        <v>1227838</v>
      </c>
      <c r="N176" s="23"/>
      <c r="O176" s="6">
        <v>121729</v>
      </c>
      <c r="P176" s="23"/>
      <c r="Q176" s="6">
        <v>28000</v>
      </c>
      <c r="R176" s="23"/>
      <c r="S176" s="6">
        <v>36756</v>
      </c>
      <c r="T176" s="23"/>
      <c r="U176" s="6">
        <v>311758</v>
      </c>
      <c r="V176" s="23"/>
      <c r="W176" s="33">
        <f t="shared" ref="W176" si="33">SUM(E176:U176)</f>
        <v>26599767</v>
      </c>
      <c r="X176" s="23"/>
      <c r="Y176" s="23">
        <v>2000</v>
      </c>
      <c r="Z176" s="23"/>
      <c r="AA176" s="23">
        <v>0</v>
      </c>
      <c r="AB176" s="23"/>
      <c r="AC176" s="23">
        <v>57807</v>
      </c>
      <c r="AD176" s="23"/>
      <c r="AE176" s="23">
        <v>0</v>
      </c>
      <c r="AF176" s="23"/>
      <c r="AG176" s="23">
        <v>0</v>
      </c>
      <c r="AH176" s="23"/>
      <c r="AI176" s="23">
        <v>0</v>
      </c>
      <c r="AJ176" s="23"/>
      <c r="AK176" s="23">
        <v>0</v>
      </c>
      <c r="AL176" s="23"/>
      <c r="AM176" s="33">
        <f>SUM(Y176:AK176)</f>
        <v>59807</v>
      </c>
      <c r="AN176" s="23"/>
      <c r="AO176" s="33">
        <f t="shared" ref="AO176" si="34">W176+AM176</f>
        <v>26659574</v>
      </c>
      <c r="AP176" s="33"/>
    </row>
    <row r="177" spans="1:42" hidden="1">
      <c r="A177" s="11" t="s">
        <v>663</v>
      </c>
      <c r="B177" s="11"/>
      <c r="C177" s="11" t="s">
        <v>10</v>
      </c>
      <c r="D177" s="23"/>
      <c r="E177" s="6"/>
      <c r="F177" s="23"/>
      <c r="G177" s="6"/>
      <c r="H177" s="23"/>
      <c r="I177" s="6"/>
      <c r="J177" s="23"/>
      <c r="K177" s="6"/>
      <c r="L177" s="23"/>
      <c r="M177" s="6"/>
      <c r="N177" s="23"/>
      <c r="O177" s="6"/>
      <c r="P177" s="23"/>
      <c r="Q177" s="6"/>
      <c r="R177" s="23"/>
      <c r="S177" s="6"/>
      <c r="T177" s="23"/>
      <c r="U177" s="6"/>
      <c r="V177" s="23"/>
      <c r="W177" s="33">
        <f t="shared" si="29"/>
        <v>0</v>
      </c>
      <c r="X177" s="23"/>
      <c r="Y177" s="23"/>
      <c r="Z177" s="23"/>
      <c r="AA177" s="23">
        <v>0</v>
      </c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33"/>
      <c r="AN177" s="23"/>
      <c r="AO177" s="33">
        <f t="shared" si="25"/>
        <v>0</v>
      </c>
      <c r="AP177" s="33"/>
    </row>
    <row r="178" spans="1:42" hidden="1">
      <c r="A178" s="11" t="s">
        <v>692</v>
      </c>
      <c r="B178" s="11"/>
      <c r="C178" s="11" t="s">
        <v>72</v>
      </c>
      <c r="D178" s="23"/>
      <c r="E178" s="6"/>
      <c r="F178" s="23"/>
      <c r="G178" s="6"/>
      <c r="H178" s="23"/>
      <c r="I178" s="6"/>
      <c r="J178" s="23"/>
      <c r="K178" s="6"/>
      <c r="L178" s="23"/>
      <c r="M178" s="6"/>
      <c r="N178" s="23"/>
      <c r="O178" s="6"/>
      <c r="P178" s="23"/>
      <c r="Q178" s="6"/>
      <c r="R178" s="23"/>
      <c r="S178" s="6"/>
      <c r="T178" s="23"/>
      <c r="U178" s="6"/>
      <c r="V178" s="23"/>
      <c r="W178" s="33">
        <f t="shared" ref="W178" si="35">SUM(E178:U178)</f>
        <v>0</v>
      </c>
      <c r="X178" s="23"/>
      <c r="Y178" s="23"/>
      <c r="Z178" s="23"/>
      <c r="AA178" s="23">
        <v>0</v>
      </c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33">
        <f>SUM(Y178:AK178)</f>
        <v>0</v>
      </c>
      <c r="AN178" s="23"/>
      <c r="AO178" s="33">
        <f t="shared" ref="AO178:AO241" si="36">W178+AM178</f>
        <v>0</v>
      </c>
      <c r="AP178" s="33"/>
    </row>
    <row r="179" spans="1:42">
      <c r="A179" s="11" t="s">
        <v>384</v>
      </c>
      <c r="B179" s="11"/>
      <c r="C179" s="11" t="s">
        <v>44</v>
      </c>
      <c r="D179" s="23"/>
      <c r="E179" s="6">
        <v>32845379</v>
      </c>
      <c r="F179" s="23"/>
      <c r="G179" s="6">
        <v>0</v>
      </c>
      <c r="H179" s="23"/>
      <c r="I179" s="6">
        <v>49558246</v>
      </c>
      <c r="J179" s="23"/>
      <c r="K179" s="6">
        <v>59470</v>
      </c>
      <c r="L179" s="23"/>
      <c r="M179" s="6">
        <f>1625513+38344</f>
        <v>1663857</v>
      </c>
      <c r="N179" s="23"/>
      <c r="O179" s="6">
        <v>309600</v>
      </c>
      <c r="P179" s="23"/>
      <c r="Q179" s="6">
        <v>0</v>
      </c>
      <c r="R179" s="23"/>
      <c r="S179" s="6">
        <v>549888</v>
      </c>
      <c r="T179" s="23"/>
      <c r="U179" s="6">
        <v>709256</v>
      </c>
      <c r="V179" s="23"/>
      <c r="W179" s="33">
        <f t="shared" si="29"/>
        <v>85695696</v>
      </c>
      <c r="X179" s="23"/>
      <c r="Y179" s="23">
        <v>2510996</v>
      </c>
      <c r="Z179" s="23"/>
      <c r="AA179" s="23">
        <v>0</v>
      </c>
      <c r="AB179" s="23"/>
      <c r="AC179" s="23">
        <v>0</v>
      </c>
      <c r="AD179" s="23"/>
      <c r="AE179" s="23">
        <v>0</v>
      </c>
      <c r="AF179" s="23"/>
      <c r="AG179" s="23">
        <v>0</v>
      </c>
      <c r="AH179" s="23"/>
      <c r="AI179" s="23">
        <v>190862</v>
      </c>
      <c r="AJ179" s="23"/>
      <c r="AK179" s="23">
        <v>0</v>
      </c>
      <c r="AL179" s="23"/>
      <c r="AM179" s="33">
        <f>AI179+AC179+Y179+AK179</f>
        <v>2701858</v>
      </c>
      <c r="AN179" s="23"/>
      <c r="AO179" s="33">
        <f t="shared" si="36"/>
        <v>88397554</v>
      </c>
      <c r="AP179" s="33"/>
    </row>
    <row r="180" spans="1:42">
      <c r="A180" s="11" t="s">
        <v>267</v>
      </c>
      <c r="B180" s="11"/>
      <c r="C180" s="11" t="s">
        <v>20</v>
      </c>
      <c r="D180" s="23"/>
      <c r="E180" s="6">
        <v>41440312</v>
      </c>
      <c r="F180" s="23"/>
      <c r="G180" s="6">
        <v>0</v>
      </c>
      <c r="H180" s="23"/>
      <c r="I180" s="6">
        <v>54862293</v>
      </c>
      <c r="J180" s="23"/>
      <c r="K180" s="6">
        <v>46868</v>
      </c>
      <c r="L180" s="23"/>
      <c r="M180" s="6">
        <f>53523+152707+60399+71143</f>
        <v>337772</v>
      </c>
      <c r="N180" s="23"/>
      <c r="O180" s="6">
        <v>279206</v>
      </c>
      <c r="P180" s="23"/>
      <c r="Q180" s="6">
        <v>0</v>
      </c>
      <c r="R180" s="23"/>
      <c r="S180" s="6">
        <v>0</v>
      </c>
      <c r="T180" s="23"/>
      <c r="U180" s="6">
        <v>56808</v>
      </c>
      <c r="V180" s="23"/>
      <c r="W180" s="33">
        <f t="shared" si="29"/>
        <v>97023259</v>
      </c>
      <c r="X180" s="23"/>
      <c r="Y180" s="23">
        <v>421689</v>
      </c>
      <c r="Z180" s="23"/>
      <c r="AA180" s="23">
        <v>0</v>
      </c>
      <c r="AB180" s="23"/>
      <c r="AC180" s="23">
        <v>4185000</v>
      </c>
      <c r="AD180" s="23"/>
      <c r="AE180" s="23">
        <v>0</v>
      </c>
      <c r="AF180" s="23"/>
      <c r="AG180" s="23">
        <v>0</v>
      </c>
      <c r="AH180" s="23"/>
      <c r="AI180" s="23">
        <v>10910</v>
      </c>
      <c r="AJ180" s="23"/>
      <c r="AK180" s="23">
        <v>0</v>
      </c>
      <c r="AL180" s="23"/>
      <c r="AM180" s="33">
        <f t="shared" ref="AM180:AM202" si="37">AI180+AC180+Y180</f>
        <v>4617599</v>
      </c>
      <c r="AN180" s="23"/>
      <c r="AO180" s="33">
        <f t="shared" si="36"/>
        <v>101640858</v>
      </c>
      <c r="AP180" s="33"/>
    </row>
    <row r="181" spans="1:42" hidden="1">
      <c r="A181" s="11" t="s">
        <v>619</v>
      </c>
      <c r="B181" s="11"/>
      <c r="C181" s="11" t="s">
        <v>28</v>
      </c>
      <c r="D181" s="23"/>
      <c r="E181" s="6"/>
      <c r="F181" s="23"/>
      <c r="G181" s="6"/>
      <c r="H181" s="23"/>
      <c r="I181" s="6"/>
      <c r="J181" s="23"/>
      <c r="K181" s="6"/>
      <c r="L181" s="23"/>
      <c r="M181" s="6"/>
      <c r="N181" s="23"/>
      <c r="O181" s="6"/>
      <c r="P181" s="23"/>
      <c r="Q181" s="6"/>
      <c r="R181" s="23"/>
      <c r="S181" s="6"/>
      <c r="T181" s="23"/>
      <c r="U181" s="6"/>
      <c r="V181" s="23"/>
      <c r="W181" s="33">
        <f t="shared" si="29"/>
        <v>0</v>
      </c>
      <c r="X181" s="23"/>
      <c r="Y181" s="23"/>
      <c r="Z181" s="23"/>
      <c r="AA181" s="23">
        <v>0</v>
      </c>
      <c r="AB181" s="23"/>
      <c r="AC181" s="23"/>
      <c r="AD181" s="23"/>
      <c r="AE181" s="23"/>
      <c r="AF181" s="23"/>
      <c r="AG181" s="23"/>
      <c r="AH181" s="23"/>
      <c r="AI181" s="23"/>
      <c r="AJ181" s="23"/>
      <c r="AK181" s="23">
        <v>0</v>
      </c>
      <c r="AL181" s="23"/>
      <c r="AM181" s="33">
        <f t="shared" si="37"/>
        <v>0</v>
      </c>
      <c r="AN181" s="23"/>
      <c r="AO181" s="33">
        <f t="shared" si="36"/>
        <v>0</v>
      </c>
      <c r="AP181" s="33"/>
    </row>
    <row r="182" spans="1:42">
      <c r="A182" s="11" t="s">
        <v>539</v>
      </c>
      <c r="B182" s="11"/>
      <c r="C182" s="11" t="s">
        <v>66</v>
      </c>
      <c r="D182" s="23"/>
      <c r="E182" s="6">
        <v>7719337</v>
      </c>
      <c r="F182" s="23"/>
      <c r="G182" s="6">
        <v>0</v>
      </c>
      <c r="H182" s="23"/>
      <c r="I182" s="6">
        <f>600+3211803+607563</f>
        <v>3819966</v>
      </c>
      <c r="J182" s="23"/>
      <c r="K182" s="6">
        <v>27634</v>
      </c>
      <c r="L182" s="23"/>
      <c r="M182" s="6">
        <f>345416+15425+228498+48031</f>
        <v>637370</v>
      </c>
      <c r="N182" s="23"/>
      <c r="O182" s="6">
        <v>84973</v>
      </c>
      <c r="P182" s="23"/>
      <c r="Q182" s="6">
        <v>0</v>
      </c>
      <c r="R182" s="23"/>
      <c r="S182" s="6">
        <v>0</v>
      </c>
      <c r="T182" s="23"/>
      <c r="U182" s="6">
        <v>59715</v>
      </c>
      <c r="V182" s="23"/>
      <c r="W182" s="33">
        <f t="shared" si="29"/>
        <v>12348995</v>
      </c>
      <c r="X182" s="23"/>
      <c r="Y182" s="23">
        <v>315740</v>
      </c>
      <c r="Z182" s="23"/>
      <c r="AA182" s="23">
        <v>0</v>
      </c>
      <c r="AB182" s="23"/>
      <c r="AC182" s="23">
        <f>24360+575000</f>
        <v>599360</v>
      </c>
      <c r="AD182" s="23"/>
      <c r="AE182" s="23">
        <v>0</v>
      </c>
      <c r="AF182" s="23"/>
      <c r="AG182" s="23">
        <v>0</v>
      </c>
      <c r="AH182" s="23"/>
      <c r="AI182" s="23">
        <v>0</v>
      </c>
      <c r="AJ182" s="23"/>
      <c r="AK182" s="23">
        <v>0</v>
      </c>
      <c r="AL182" s="23"/>
      <c r="AM182" s="33">
        <f t="shared" si="37"/>
        <v>915100</v>
      </c>
      <c r="AN182" s="23"/>
      <c r="AO182" s="33">
        <f t="shared" si="36"/>
        <v>13264095</v>
      </c>
      <c r="AP182" s="33"/>
    </row>
    <row r="183" spans="1:42">
      <c r="A183" s="11" t="s">
        <v>626</v>
      </c>
      <c r="B183" s="11"/>
      <c r="C183" s="11" t="s">
        <v>114</v>
      </c>
      <c r="D183" s="23"/>
      <c r="E183" s="6">
        <v>21717106</v>
      </c>
      <c r="F183" s="23"/>
      <c r="G183" s="6">
        <v>0</v>
      </c>
      <c r="H183" s="23"/>
      <c r="I183" s="6">
        <v>25844314</v>
      </c>
      <c r="J183" s="23"/>
      <c r="K183" s="6">
        <v>76402</v>
      </c>
      <c r="L183" s="23"/>
      <c r="M183" s="6">
        <f>554165+779295</f>
        <v>1333460</v>
      </c>
      <c r="N183" s="23"/>
      <c r="O183" s="6">
        <v>257069</v>
      </c>
      <c r="P183" s="23"/>
      <c r="Q183" s="6">
        <v>197220</v>
      </c>
      <c r="R183" s="23"/>
      <c r="S183" s="6">
        <v>0</v>
      </c>
      <c r="T183" s="23"/>
      <c r="U183" s="6">
        <v>148828</v>
      </c>
      <c r="V183" s="23"/>
      <c r="W183" s="33">
        <f t="shared" si="29"/>
        <v>49574399</v>
      </c>
      <c r="X183" s="23"/>
      <c r="Y183" s="23">
        <v>196573</v>
      </c>
      <c r="Z183" s="23"/>
      <c r="AA183" s="23">
        <v>0</v>
      </c>
      <c r="AB183" s="23"/>
      <c r="AC183" s="23">
        <v>0</v>
      </c>
      <c r="AD183" s="23"/>
      <c r="AE183" s="23">
        <v>0</v>
      </c>
      <c r="AF183" s="23"/>
      <c r="AG183" s="23">
        <v>0</v>
      </c>
      <c r="AH183" s="23"/>
      <c r="AI183" s="23">
        <v>0</v>
      </c>
      <c r="AJ183" s="23"/>
      <c r="AK183" s="23">
        <v>0</v>
      </c>
      <c r="AL183" s="23"/>
      <c r="AM183" s="33">
        <f t="shared" si="37"/>
        <v>196573</v>
      </c>
      <c r="AN183" s="23"/>
      <c r="AO183" s="33">
        <f t="shared" si="36"/>
        <v>49770972</v>
      </c>
      <c r="AP183" s="33"/>
    </row>
    <row r="184" spans="1:42">
      <c r="A184" s="11" t="s">
        <v>222</v>
      </c>
      <c r="B184" s="11"/>
      <c r="C184" s="11" t="s">
        <v>221</v>
      </c>
      <c r="D184" s="23"/>
      <c r="E184" s="6">
        <v>44781003</v>
      </c>
      <c r="F184" s="23"/>
      <c r="G184" s="6">
        <v>0</v>
      </c>
      <c r="H184" s="23"/>
      <c r="I184" s="6">
        <v>37847867</v>
      </c>
      <c r="J184" s="23"/>
      <c r="K184" s="6">
        <v>32417</v>
      </c>
      <c r="L184" s="23"/>
      <c r="M184" s="6">
        <f>1777208+2668442</f>
        <v>4445650</v>
      </c>
      <c r="N184" s="23"/>
      <c r="O184" s="6">
        <v>500225</v>
      </c>
      <c r="P184" s="23"/>
      <c r="Q184" s="6">
        <v>1360289</v>
      </c>
      <c r="R184" s="23"/>
      <c r="S184" s="6">
        <v>0</v>
      </c>
      <c r="T184" s="23"/>
      <c r="U184" s="6">
        <v>909096</v>
      </c>
      <c r="V184" s="23"/>
      <c r="W184" s="33">
        <f t="shared" si="29"/>
        <v>89876547</v>
      </c>
      <c r="X184" s="23"/>
      <c r="Y184" s="23">
        <v>108955</v>
      </c>
      <c r="Z184" s="23"/>
      <c r="AA184" s="23">
        <v>0</v>
      </c>
      <c r="AB184" s="23"/>
      <c r="AC184" s="23">
        <f>20565000+1805222</f>
        <v>22370222</v>
      </c>
      <c r="AD184" s="23"/>
      <c r="AE184" s="23">
        <v>0</v>
      </c>
      <c r="AF184" s="23"/>
      <c r="AG184" s="23">
        <v>0</v>
      </c>
      <c r="AH184" s="23"/>
      <c r="AI184" s="23">
        <v>342</v>
      </c>
      <c r="AJ184" s="23"/>
      <c r="AK184" s="23">
        <v>0</v>
      </c>
      <c r="AL184" s="23"/>
      <c r="AM184" s="33">
        <f t="shared" si="37"/>
        <v>22479519</v>
      </c>
      <c r="AN184" s="23"/>
      <c r="AO184" s="33">
        <f t="shared" si="36"/>
        <v>112356066</v>
      </c>
      <c r="AP184" s="33"/>
    </row>
    <row r="185" spans="1:42">
      <c r="A185" s="11" t="s">
        <v>349</v>
      </c>
      <c r="B185" s="11"/>
      <c r="C185" s="11" t="s">
        <v>348</v>
      </c>
      <c r="D185" s="23"/>
      <c r="E185" s="6">
        <v>1822497</v>
      </c>
      <c r="F185" s="23"/>
      <c r="G185" s="6">
        <v>0</v>
      </c>
      <c r="H185" s="23"/>
      <c r="I185" s="6">
        <v>6038501</v>
      </c>
      <c r="J185" s="23"/>
      <c r="K185" s="6">
        <v>13013</v>
      </c>
      <c r="L185" s="23"/>
      <c r="M185" s="6">
        <f>508107+162065+2763</f>
        <v>672935</v>
      </c>
      <c r="N185" s="23"/>
      <c r="O185" s="6">
        <v>73971</v>
      </c>
      <c r="P185" s="23"/>
      <c r="Q185" s="6">
        <v>0</v>
      </c>
      <c r="R185" s="23"/>
      <c r="S185" s="6">
        <v>14012</v>
      </c>
      <c r="T185" s="23"/>
      <c r="U185" s="6">
        <v>49572</v>
      </c>
      <c r="V185" s="23"/>
      <c r="W185" s="33">
        <f t="shared" si="29"/>
        <v>8684501</v>
      </c>
      <c r="X185" s="23"/>
      <c r="Y185" s="23">
        <v>0</v>
      </c>
      <c r="Z185" s="23"/>
      <c r="AA185" s="23">
        <v>0</v>
      </c>
      <c r="AB185" s="23"/>
      <c r="AC185" s="23">
        <v>0</v>
      </c>
      <c r="AD185" s="23"/>
      <c r="AE185" s="23">
        <v>0</v>
      </c>
      <c r="AF185" s="23"/>
      <c r="AG185" s="23">
        <v>0</v>
      </c>
      <c r="AH185" s="23"/>
      <c r="AI185" s="23">
        <v>0</v>
      </c>
      <c r="AJ185" s="23"/>
      <c r="AK185" s="23">
        <v>0</v>
      </c>
      <c r="AL185" s="23"/>
      <c r="AM185" s="33">
        <f t="shared" si="37"/>
        <v>0</v>
      </c>
      <c r="AN185" s="23"/>
      <c r="AO185" s="33">
        <f t="shared" si="36"/>
        <v>8684501</v>
      </c>
      <c r="AP185" s="33"/>
    </row>
    <row r="186" spans="1:42">
      <c r="A186" s="11" t="s">
        <v>294</v>
      </c>
      <c r="B186" s="11"/>
      <c r="C186" s="11" t="s">
        <v>25</v>
      </c>
      <c r="D186" s="23"/>
      <c r="E186" s="6">
        <v>4396465</v>
      </c>
      <c r="F186" s="23"/>
      <c r="G186" s="6">
        <v>4644602</v>
      </c>
      <c r="H186" s="23"/>
      <c r="I186" s="6">
        <f>9753416+1759982</f>
        <v>11513398</v>
      </c>
      <c r="J186" s="23"/>
      <c r="K186" s="6">
        <v>26914</v>
      </c>
      <c r="L186" s="23"/>
      <c r="M186" s="6">
        <f>1435616+426398+43167+17685</f>
        <v>1922866</v>
      </c>
      <c r="N186" s="23"/>
      <c r="O186" s="6">
        <v>253446</v>
      </c>
      <c r="P186" s="23"/>
      <c r="Q186" s="6">
        <v>0</v>
      </c>
      <c r="R186" s="23"/>
      <c r="S186" s="6">
        <v>4876</v>
      </c>
      <c r="T186" s="23"/>
      <c r="U186" s="6">
        <v>53259</v>
      </c>
      <c r="V186" s="23"/>
      <c r="W186" s="33">
        <f>SUM(E186:U186)</f>
        <v>22815826</v>
      </c>
      <c r="X186" s="23"/>
      <c r="Y186" s="23">
        <v>1708750</v>
      </c>
      <c r="Z186" s="23"/>
      <c r="AA186" s="23">
        <v>0</v>
      </c>
      <c r="AB186" s="23"/>
      <c r="AC186" s="23">
        <v>18617</v>
      </c>
      <c r="AD186" s="23"/>
      <c r="AE186" s="23">
        <v>0</v>
      </c>
      <c r="AF186" s="23"/>
      <c r="AG186" s="23">
        <v>0</v>
      </c>
      <c r="AH186" s="23"/>
      <c r="AI186" s="23">
        <v>63604</v>
      </c>
      <c r="AJ186" s="23"/>
      <c r="AK186" s="23">
        <v>0</v>
      </c>
      <c r="AL186" s="23"/>
      <c r="AM186" s="33">
        <f t="shared" si="37"/>
        <v>1790971</v>
      </c>
      <c r="AN186" s="23"/>
      <c r="AO186" s="33">
        <f t="shared" si="36"/>
        <v>24606797</v>
      </c>
      <c r="AP186" s="33"/>
    </row>
    <row r="187" spans="1:42">
      <c r="A187" s="11" t="s">
        <v>368</v>
      </c>
      <c r="B187" s="11"/>
      <c r="C187" s="11" t="s">
        <v>366</v>
      </c>
      <c r="D187" s="23"/>
      <c r="E187" s="6">
        <v>3826220</v>
      </c>
      <c r="F187" s="23"/>
      <c r="G187" s="6">
        <v>0</v>
      </c>
      <c r="H187" s="23"/>
      <c r="I187" s="6">
        <v>11488563</v>
      </c>
      <c r="J187" s="23"/>
      <c r="K187" s="6">
        <v>19831</v>
      </c>
      <c r="L187" s="23"/>
      <c r="M187" s="6">
        <f>815954+232067</f>
        <v>1048021</v>
      </c>
      <c r="N187" s="23"/>
      <c r="O187" s="6">
        <v>184096</v>
      </c>
      <c r="P187" s="23"/>
      <c r="Q187" s="6">
        <v>0</v>
      </c>
      <c r="R187" s="23"/>
      <c r="S187" s="6">
        <v>9090</v>
      </c>
      <c r="T187" s="23"/>
      <c r="U187" s="6">
        <v>23994</v>
      </c>
      <c r="V187" s="23"/>
      <c r="W187" s="33">
        <f t="shared" si="29"/>
        <v>16599815</v>
      </c>
      <c r="X187" s="23"/>
      <c r="Y187" s="23">
        <v>600000</v>
      </c>
      <c r="Z187" s="23"/>
      <c r="AA187" s="23">
        <v>0</v>
      </c>
      <c r="AB187" s="23"/>
      <c r="AC187" s="23">
        <v>1720000</v>
      </c>
      <c r="AD187" s="23"/>
      <c r="AE187" s="23">
        <v>0</v>
      </c>
      <c r="AF187" s="23"/>
      <c r="AG187" s="23">
        <v>0</v>
      </c>
      <c r="AH187" s="23"/>
      <c r="AI187" s="23">
        <f>3300+25362</f>
        <v>28662</v>
      </c>
      <c r="AJ187" s="23"/>
      <c r="AK187" s="23">
        <v>0</v>
      </c>
      <c r="AL187" s="23"/>
      <c r="AM187" s="33">
        <f>AI187+AC187+Y187+AK187</f>
        <v>2348662</v>
      </c>
      <c r="AN187" s="23"/>
      <c r="AO187" s="33">
        <f t="shared" si="36"/>
        <v>18948477</v>
      </c>
      <c r="AP187" s="33"/>
    </row>
    <row r="188" spans="1:42" hidden="1">
      <c r="A188" s="11" t="s">
        <v>620</v>
      </c>
      <c r="B188" s="11"/>
      <c r="C188" s="11" t="s">
        <v>61</v>
      </c>
      <c r="D188" s="23"/>
      <c r="E188" s="6"/>
      <c r="F188" s="23"/>
      <c r="G188" s="6"/>
      <c r="H188" s="23"/>
      <c r="I188" s="6"/>
      <c r="J188" s="23"/>
      <c r="K188" s="6"/>
      <c r="L188" s="23"/>
      <c r="M188" s="6"/>
      <c r="N188" s="23"/>
      <c r="O188" s="6"/>
      <c r="P188" s="23"/>
      <c r="Q188" s="6"/>
      <c r="R188" s="23"/>
      <c r="S188" s="6"/>
      <c r="T188" s="23"/>
      <c r="U188" s="6"/>
      <c r="V188" s="23"/>
      <c r="W188" s="33">
        <f t="shared" si="29"/>
        <v>0</v>
      </c>
      <c r="X188" s="23"/>
      <c r="Y188" s="23"/>
      <c r="Z188" s="23"/>
      <c r="AA188" s="23">
        <v>0</v>
      </c>
      <c r="AB188" s="23"/>
      <c r="AC188" s="23"/>
      <c r="AD188" s="23"/>
      <c r="AE188" s="23"/>
      <c r="AF188" s="23"/>
      <c r="AG188" s="23"/>
      <c r="AH188" s="23"/>
      <c r="AI188" s="23"/>
      <c r="AJ188" s="23"/>
      <c r="AK188" s="23">
        <v>0</v>
      </c>
      <c r="AL188" s="23"/>
      <c r="AM188" s="33">
        <f t="shared" si="37"/>
        <v>0</v>
      </c>
      <c r="AN188" s="23"/>
      <c r="AO188" s="33">
        <f t="shared" si="36"/>
        <v>0</v>
      </c>
      <c r="AP188" s="33"/>
    </row>
    <row r="189" spans="1:42">
      <c r="A189" s="11" t="s">
        <v>496</v>
      </c>
      <c r="B189" s="11"/>
      <c r="C189" s="11" t="s">
        <v>62</v>
      </c>
      <c r="D189" s="23"/>
      <c r="E189" s="6">
        <v>5456570</v>
      </c>
      <c r="F189" s="23"/>
      <c r="G189" s="6">
        <v>0</v>
      </c>
      <c r="H189" s="23"/>
      <c r="I189" s="6">
        <f>9110851+1732544</f>
        <v>10843395</v>
      </c>
      <c r="J189" s="23"/>
      <c r="K189" s="6">
        <v>2169</v>
      </c>
      <c r="L189" s="23"/>
      <c r="M189" s="6">
        <f>591953+294454+49634</f>
        <v>936041</v>
      </c>
      <c r="N189" s="23"/>
      <c r="O189" s="6">
        <v>215884</v>
      </c>
      <c r="P189" s="23"/>
      <c r="Q189" s="6">
        <v>0</v>
      </c>
      <c r="R189" s="23"/>
      <c r="S189" s="6">
        <v>0</v>
      </c>
      <c r="T189" s="23"/>
      <c r="U189" s="6">
        <v>187979</v>
      </c>
      <c r="V189" s="23"/>
      <c r="W189" s="33">
        <f t="shared" si="29"/>
        <v>17642038</v>
      </c>
      <c r="X189" s="23"/>
      <c r="Y189" s="23">
        <v>185718</v>
      </c>
      <c r="Z189" s="23"/>
      <c r="AA189" s="23">
        <v>0</v>
      </c>
      <c r="AB189" s="23"/>
      <c r="AC189" s="23">
        <f>1623690+10964997</f>
        <v>12588687</v>
      </c>
      <c r="AD189" s="23"/>
      <c r="AE189" s="23">
        <v>0</v>
      </c>
      <c r="AF189" s="23"/>
      <c r="AG189" s="23">
        <v>0</v>
      </c>
      <c r="AH189" s="23"/>
      <c r="AI189" s="23">
        <v>0</v>
      </c>
      <c r="AJ189" s="23"/>
      <c r="AK189" s="23">
        <v>0</v>
      </c>
      <c r="AL189" s="23"/>
      <c r="AM189" s="33">
        <f t="shared" si="37"/>
        <v>12774405</v>
      </c>
      <c r="AN189" s="23"/>
      <c r="AO189" s="33">
        <f t="shared" si="36"/>
        <v>30416443</v>
      </c>
      <c r="AP189" s="33"/>
    </row>
    <row r="190" spans="1:42" hidden="1">
      <c r="A190" s="10" t="s">
        <v>890</v>
      </c>
      <c r="B190" s="11"/>
      <c r="C190" s="11" t="s">
        <v>41</v>
      </c>
      <c r="D190" s="23"/>
      <c r="E190" s="6"/>
      <c r="F190" s="23"/>
      <c r="G190" s="6"/>
      <c r="H190" s="23"/>
      <c r="I190" s="6"/>
      <c r="J190" s="23"/>
      <c r="K190" s="6"/>
      <c r="L190" s="23"/>
      <c r="M190" s="6"/>
      <c r="N190" s="23"/>
      <c r="O190" s="6"/>
      <c r="P190" s="23"/>
      <c r="Q190" s="6"/>
      <c r="R190" s="23"/>
      <c r="S190" s="6"/>
      <c r="T190" s="23"/>
      <c r="U190" s="6"/>
      <c r="V190" s="23"/>
      <c r="W190" s="33">
        <f t="shared" si="29"/>
        <v>0</v>
      </c>
      <c r="X190" s="23"/>
      <c r="Y190" s="23"/>
      <c r="Z190" s="23"/>
      <c r="AA190" s="23">
        <v>0</v>
      </c>
      <c r="AB190" s="23"/>
      <c r="AC190" s="23"/>
      <c r="AD190" s="23"/>
      <c r="AE190" s="23">
        <v>0</v>
      </c>
      <c r="AF190" s="23"/>
      <c r="AG190" s="23">
        <v>0</v>
      </c>
      <c r="AH190" s="23"/>
      <c r="AI190" s="23"/>
      <c r="AJ190" s="23"/>
      <c r="AK190" s="23">
        <v>0</v>
      </c>
      <c r="AL190" s="23"/>
      <c r="AM190" s="33">
        <f t="shared" si="37"/>
        <v>0</v>
      </c>
      <c r="AN190" s="23"/>
      <c r="AO190" s="33">
        <f t="shared" si="36"/>
        <v>0</v>
      </c>
      <c r="AP190" s="33"/>
    </row>
    <row r="191" spans="1:42" s="28" customFormat="1">
      <c r="A191" s="27" t="s">
        <v>268</v>
      </c>
      <c r="B191" s="27"/>
      <c r="C191" s="27" t="s">
        <v>20</v>
      </c>
      <c r="D191" s="31"/>
      <c r="E191" s="28">
        <v>17083443</v>
      </c>
      <c r="F191" s="31"/>
      <c r="G191" s="28">
        <v>0</v>
      </c>
      <c r="H191" s="31"/>
      <c r="I191" s="28">
        <f>16378+5219253+849316</f>
        <v>6084947</v>
      </c>
      <c r="J191" s="31"/>
      <c r="K191" s="28">
        <v>113069</v>
      </c>
      <c r="L191" s="31"/>
      <c r="M191" s="28">
        <f>266691+31640+96508+104119</f>
        <v>498958</v>
      </c>
      <c r="N191" s="31"/>
      <c r="O191" s="28">
        <v>155419</v>
      </c>
      <c r="P191" s="31"/>
      <c r="Q191" s="28">
        <v>0</v>
      </c>
      <c r="R191" s="31"/>
      <c r="S191" s="28">
        <v>33545</v>
      </c>
      <c r="T191" s="31"/>
      <c r="U191" s="28">
        <v>123519</v>
      </c>
      <c r="V191" s="31"/>
      <c r="W191" s="41">
        <f t="shared" si="29"/>
        <v>24092900</v>
      </c>
      <c r="X191" s="31"/>
      <c r="Y191" s="31">
        <v>452500</v>
      </c>
      <c r="Z191" s="31"/>
      <c r="AA191" s="31">
        <v>0</v>
      </c>
      <c r="AB191" s="31"/>
      <c r="AC191" s="31">
        <v>0</v>
      </c>
      <c r="AD191" s="31"/>
      <c r="AE191" s="31">
        <v>0</v>
      </c>
      <c r="AF191" s="31"/>
      <c r="AG191" s="31">
        <v>0</v>
      </c>
      <c r="AH191" s="31"/>
      <c r="AI191" s="31">
        <v>5000</v>
      </c>
      <c r="AJ191" s="31"/>
      <c r="AK191" s="31">
        <v>0</v>
      </c>
      <c r="AL191" s="31"/>
      <c r="AM191" s="41">
        <f t="shared" si="37"/>
        <v>457500</v>
      </c>
      <c r="AN191" s="31"/>
      <c r="AO191" s="41">
        <f t="shared" si="36"/>
        <v>24550400</v>
      </c>
      <c r="AP191" s="41"/>
    </row>
    <row r="192" spans="1:42" hidden="1">
      <c r="A192" s="11" t="s">
        <v>745</v>
      </c>
      <c r="B192" s="11"/>
      <c r="C192" s="11" t="s">
        <v>28</v>
      </c>
      <c r="D192" s="23"/>
      <c r="E192" s="6"/>
      <c r="F192" s="23"/>
      <c r="G192" s="6"/>
      <c r="H192" s="23"/>
      <c r="I192" s="6"/>
      <c r="J192" s="23"/>
      <c r="K192" s="6"/>
      <c r="L192" s="23"/>
      <c r="M192" s="6"/>
      <c r="N192" s="23"/>
      <c r="O192" s="6"/>
      <c r="P192" s="23"/>
      <c r="Q192" s="6"/>
      <c r="R192" s="23"/>
      <c r="S192" s="6"/>
      <c r="T192" s="23"/>
      <c r="U192" s="6"/>
      <c r="V192" s="23"/>
      <c r="W192" s="33">
        <f t="shared" si="29"/>
        <v>0</v>
      </c>
      <c r="X192" s="23"/>
      <c r="Y192" s="23"/>
      <c r="Z192" s="23"/>
      <c r="AA192" s="23">
        <v>0</v>
      </c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33">
        <f t="shared" si="37"/>
        <v>0</v>
      </c>
      <c r="AN192" s="23"/>
      <c r="AO192" s="33">
        <f t="shared" si="36"/>
        <v>0</v>
      </c>
      <c r="AP192" s="33"/>
    </row>
    <row r="193" spans="1:42">
      <c r="A193" s="11" t="s">
        <v>219</v>
      </c>
      <c r="B193" s="11"/>
      <c r="C193" s="11" t="s">
        <v>77</v>
      </c>
      <c r="D193" s="23"/>
      <c r="E193" s="6">
        <v>2511974</v>
      </c>
      <c r="F193" s="23"/>
      <c r="G193" s="6">
        <v>0</v>
      </c>
      <c r="H193" s="23"/>
      <c r="I193" s="6">
        <v>5774837</v>
      </c>
      <c r="J193" s="23"/>
      <c r="K193" s="6">
        <v>23323</v>
      </c>
      <c r="L193" s="23"/>
      <c r="M193" s="6">
        <f>940036+222828</f>
        <v>1162864</v>
      </c>
      <c r="N193" s="23"/>
      <c r="O193" s="6">
        <v>60857</v>
      </c>
      <c r="P193" s="23"/>
      <c r="Q193" s="6">
        <v>0</v>
      </c>
      <c r="R193" s="23"/>
      <c r="S193" s="6">
        <v>17248</v>
      </c>
      <c r="T193" s="23"/>
      <c r="U193" s="6">
        <v>83203</v>
      </c>
      <c r="V193" s="23"/>
      <c r="W193" s="33">
        <f t="shared" si="29"/>
        <v>9634306</v>
      </c>
      <c r="X193" s="23"/>
      <c r="Y193" s="23">
        <v>39</v>
      </c>
      <c r="Z193" s="23"/>
      <c r="AA193" s="23">
        <v>0</v>
      </c>
      <c r="AB193" s="23"/>
      <c r="AC193" s="23">
        <v>0</v>
      </c>
      <c r="AD193" s="23"/>
      <c r="AE193" s="23">
        <v>0</v>
      </c>
      <c r="AF193" s="23"/>
      <c r="AG193" s="23">
        <v>0</v>
      </c>
      <c r="AH193" s="23"/>
      <c r="AI193" s="23">
        <v>1151</v>
      </c>
      <c r="AJ193" s="23"/>
      <c r="AK193" s="23">
        <v>0</v>
      </c>
      <c r="AL193" s="23"/>
      <c r="AM193" s="33">
        <f t="shared" si="37"/>
        <v>1190</v>
      </c>
      <c r="AN193" s="23"/>
      <c r="AO193" s="33">
        <f t="shared" si="36"/>
        <v>9635496</v>
      </c>
      <c r="AP193" s="33"/>
    </row>
    <row r="194" spans="1:42">
      <c r="A194" s="11" t="s">
        <v>743</v>
      </c>
      <c r="B194" s="11"/>
      <c r="C194" s="11" t="s">
        <v>13</v>
      </c>
      <c r="D194" s="23"/>
      <c r="E194" s="6">
        <v>3162055</v>
      </c>
      <c r="F194" s="23"/>
      <c r="G194" s="6">
        <v>0</v>
      </c>
      <c r="H194" s="23"/>
      <c r="I194" s="6">
        <v>10037852</v>
      </c>
      <c r="J194" s="23"/>
      <c r="K194" s="6">
        <v>4617</v>
      </c>
      <c r="L194" s="23"/>
      <c r="M194" s="6">
        <f>389065+3205+199902</f>
        <v>592172</v>
      </c>
      <c r="N194" s="23"/>
      <c r="O194" s="6">
        <v>72443</v>
      </c>
      <c r="P194" s="23"/>
      <c r="Q194" s="6">
        <v>0</v>
      </c>
      <c r="R194" s="23"/>
      <c r="S194" s="6">
        <v>30817</v>
      </c>
      <c r="T194" s="23"/>
      <c r="U194" s="6">
        <v>17565</v>
      </c>
      <c r="V194" s="23"/>
      <c r="W194" s="33">
        <f t="shared" si="29"/>
        <v>13917521</v>
      </c>
      <c r="X194" s="23"/>
      <c r="Y194" s="23">
        <v>0</v>
      </c>
      <c r="Z194" s="23"/>
      <c r="AA194" s="23">
        <v>0</v>
      </c>
      <c r="AB194" s="23"/>
      <c r="AC194" s="23">
        <v>0</v>
      </c>
      <c r="AD194" s="23"/>
      <c r="AE194" s="23">
        <v>0</v>
      </c>
      <c r="AF194" s="23"/>
      <c r="AG194" s="23">
        <v>0</v>
      </c>
      <c r="AH194" s="23"/>
      <c r="AI194" s="23">
        <v>6115</v>
      </c>
      <c r="AJ194" s="23"/>
      <c r="AK194" s="23">
        <v>0</v>
      </c>
      <c r="AL194" s="23"/>
      <c r="AM194" s="33">
        <f t="shared" si="37"/>
        <v>6115</v>
      </c>
      <c r="AN194" s="23"/>
      <c r="AO194" s="33">
        <f t="shared" si="36"/>
        <v>13923636</v>
      </c>
      <c r="AP194" s="33"/>
    </row>
    <row r="195" spans="1:42" s="23" customFormat="1">
      <c r="A195" s="11" t="s">
        <v>239</v>
      </c>
      <c r="B195" s="11"/>
      <c r="C195" s="11" t="s">
        <v>113</v>
      </c>
      <c r="E195" s="6">
        <v>1574869</v>
      </c>
      <c r="G195" s="6">
        <v>0</v>
      </c>
      <c r="I195" s="6">
        <v>8613285</v>
      </c>
      <c r="K195" s="6">
        <v>13635</v>
      </c>
      <c r="M195" s="6">
        <f>490172+161979</f>
        <v>652151</v>
      </c>
      <c r="O195" s="6">
        <v>0</v>
      </c>
      <c r="Q195" s="6">
        <v>0</v>
      </c>
      <c r="S195" s="6">
        <v>0</v>
      </c>
      <c r="U195" s="6">
        <v>260805</v>
      </c>
      <c r="W195" s="33">
        <f t="shared" si="29"/>
        <v>11114745</v>
      </c>
      <c r="Y195" s="23">
        <v>0</v>
      </c>
      <c r="AA195" s="23">
        <v>0</v>
      </c>
      <c r="AC195" s="23">
        <f>2504998+118902</f>
        <v>2623900</v>
      </c>
      <c r="AE195" s="23">
        <v>0</v>
      </c>
      <c r="AG195" s="23">
        <v>0</v>
      </c>
      <c r="AI195" s="23">
        <v>0</v>
      </c>
      <c r="AK195" s="23">
        <v>0</v>
      </c>
      <c r="AM195" s="33">
        <f t="shared" si="37"/>
        <v>2623900</v>
      </c>
      <c r="AO195" s="33">
        <f t="shared" si="36"/>
        <v>13738645</v>
      </c>
      <c r="AP195" s="33"/>
    </row>
    <row r="196" spans="1:42">
      <c r="A196" s="11" t="s">
        <v>720</v>
      </c>
      <c r="B196" s="11"/>
      <c r="C196" s="11" t="s">
        <v>56</v>
      </c>
      <c r="D196" s="23"/>
      <c r="E196" s="6">
        <v>8662396</v>
      </c>
      <c r="F196" s="23"/>
      <c r="G196" s="6">
        <v>0</v>
      </c>
      <c r="H196" s="23"/>
      <c r="I196" s="6">
        <v>10316556</v>
      </c>
      <c r="J196" s="23"/>
      <c r="K196" s="6">
        <v>4925</v>
      </c>
      <c r="L196" s="23"/>
      <c r="M196" s="6">
        <f>1343268+758456+74154</f>
        <v>2175878</v>
      </c>
      <c r="N196" s="23"/>
      <c r="O196" s="6">
        <v>89589</v>
      </c>
      <c r="P196" s="23"/>
      <c r="Q196" s="6">
        <v>501598</v>
      </c>
      <c r="R196" s="23"/>
      <c r="S196" s="6">
        <v>8984</v>
      </c>
      <c r="T196" s="23"/>
      <c r="U196" s="6">
        <v>146559</v>
      </c>
      <c r="V196" s="23"/>
      <c r="W196" s="33">
        <f t="shared" si="29"/>
        <v>21906485</v>
      </c>
      <c r="X196" s="23"/>
      <c r="Y196" s="23">
        <v>0</v>
      </c>
      <c r="Z196" s="23"/>
      <c r="AA196" s="23">
        <v>0</v>
      </c>
      <c r="AB196" s="23"/>
      <c r="AC196" s="23">
        <v>1140000</v>
      </c>
      <c r="AD196" s="23"/>
      <c r="AE196" s="23">
        <v>0</v>
      </c>
      <c r="AF196" s="23"/>
      <c r="AG196" s="23">
        <v>0</v>
      </c>
      <c r="AH196" s="23"/>
      <c r="AI196" s="23">
        <v>0</v>
      </c>
      <c r="AJ196" s="23"/>
      <c r="AK196" s="23">
        <v>0</v>
      </c>
      <c r="AL196" s="23"/>
      <c r="AM196" s="33">
        <f t="shared" si="37"/>
        <v>1140000</v>
      </c>
      <c r="AN196" s="23"/>
      <c r="AO196" s="33">
        <f t="shared" si="36"/>
        <v>23046485</v>
      </c>
      <c r="AP196" s="33"/>
    </row>
    <row r="197" spans="1:42">
      <c r="A197" s="11" t="s">
        <v>337</v>
      </c>
      <c r="B197" s="11"/>
      <c r="C197" s="11" t="s">
        <v>33</v>
      </c>
      <c r="D197" s="23"/>
      <c r="E197" s="6">
        <v>31115695</v>
      </c>
      <c r="F197" s="23"/>
      <c r="G197" s="6">
        <v>0</v>
      </c>
      <c r="H197" s="23"/>
      <c r="I197" s="6">
        <f>29970887+6281298</f>
        <v>36252185</v>
      </c>
      <c r="J197" s="23"/>
      <c r="K197" s="6">
        <v>895844</v>
      </c>
      <c r="L197" s="23"/>
      <c r="M197" s="6">
        <f>2754251+624541+375215+160018+30903</f>
        <v>3944928</v>
      </c>
      <c r="N197" s="23"/>
      <c r="O197" s="6">
        <v>565694</v>
      </c>
      <c r="P197" s="23"/>
      <c r="Q197" s="6">
        <v>164014</v>
      </c>
      <c r="R197" s="23"/>
      <c r="S197" s="6">
        <v>366731</v>
      </c>
      <c r="T197" s="23"/>
      <c r="U197" s="6">
        <v>677759</v>
      </c>
      <c r="V197" s="23"/>
      <c r="W197" s="33">
        <f t="shared" si="29"/>
        <v>73982850</v>
      </c>
      <c r="X197" s="23"/>
      <c r="Y197" s="23">
        <v>271394</v>
      </c>
      <c r="Z197" s="23"/>
      <c r="AA197" s="23">
        <v>0</v>
      </c>
      <c r="AB197" s="23"/>
      <c r="AC197" s="23">
        <v>0</v>
      </c>
      <c r="AD197" s="23"/>
      <c r="AE197" s="23">
        <v>0</v>
      </c>
      <c r="AF197" s="23"/>
      <c r="AG197" s="23">
        <v>0</v>
      </c>
      <c r="AH197" s="23"/>
      <c r="AI197" s="23">
        <v>0</v>
      </c>
      <c r="AJ197" s="23"/>
      <c r="AK197" s="23">
        <v>0</v>
      </c>
      <c r="AL197" s="23"/>
      <c r="AM197" s="33">
        <f t="shared" si="37"/>
        <v>271394</v>
      </c>
      <c r="AN197" s="23"/>
      <c r="AO197" s="33">
        <f t="shared" si="36"/>
        <v>74254244</v>
      </c>
      <c r="AP197" s="33"/>
    </row>
    <row r="198" spans="1:42">
      <c r="A198" s="11" t="s">
        <v>322</v>
      </c>
      <c r="B198" s="11"/>
      <c r="C198" s="11" t="s">
        <v>32</v>
      </c>
      <c r="D198" s="23"/>
      <c r="E198" s="6">
        <v>10653171</v>
      </c>
      <c r="F198" s="23"/>
      <c r="G198" s="6">
        <v>0</v>
      </c>
      <c r="H198" s="23"/>
      <c r="I198" s="6">
        <v>9841335</v>
      </c>
      <c r="J198" s="23"/>
      <c r="K198" s="6">
        <v>2640</v>
      </c>
      <c r="L198" s="23"/>
      <c r="M198" s="6">
        <f>499075+215943</f>
        <v>715018</v>
      </c>
      <c r="N198" s="23"/>
      <c r="O198" s="6">
        <v>200396</v>
      </c>
      <c r="P198" s="23"/>
      <c r="Q198" s="6">
        <v>310563</v>
      </c>
      <c r="R198" s="23"/>
      <c r="S198" s="6">
        <v>0</v>
      </c>
      <c r="T198" s="23"/>
      <c r="U198" s="6">
        <v>200093</v>
      </c>
      <c r="V198" s="23"/>
      <c r="W198" s="33">
        <f t="shared" si="29"/>
        <v>21923216</v>
      </c>
      <c r="X198" s="23"/>
      <c r="Y198" s="23">
        <v>2000</v>
      </c>
      <c r="Z198" s="23"/>
      <c r="AA198" s="23">
        <v>0</v>
      </c>
      <c r="AB198" s="23"/>
      <c r="AC198" s="23">
        <v>0</v>
      </c>
      <c r="AD198" s="23"/>
      <c r="AE198" s="23">
        <v>0</v>
      </c>
      <c r="AF198" s="23"/>
      <c r="AG198" s="23">
        <v>0</v>
      </c>
      <c r="AH198" s="23"/>
      <c r="AI198" s="23">
        <v>20059</v>
      </c>
      <c r="AJ198" s="23"/>
      <c r="AK198" s="23">
        <v>0</v>
      </c>
      <c r="AL198" s="23"/>
      <c r="AM198" s="33">
        <f t="shared" si="37"/>
        <v>22059</v>
      </c>
      <c r="AN198" s="23"/>
      <c r="AO198" s="33">
        <f t="shared" si="36"/>
        <v>21945275</v>
      </c>
      <c r="AP198" s="33"/>
    </row>
    <row r="199" spans="1:42">
      <c r="A199" s="11" t="s">
        <v>385</v>
      </c>
      <c r="B199" s="11"/>
      <c r="C199" s="11" t="s">
        <v>44</v>
      </c>
      <c r="D199" s="23"/>
      <c r="E199" s="6">
        <v>7642505</v>
      </c>
      <c r="F199" s="23"/>
      <c r="G199" s="6">
        <v>0</v>
      </c>
      <c r="H199" s="23"/>
      <c r="I199" s="6">
        <f>8447662+1402614</f>
        <v>9850276</v>
      </c>
      <c r="J199" s="23"/>
      <c r="K199" s="6">
        <v>26113</v>
      </c>
      <c r="L199" s="23"/>
      <c r="M199" s="6">
        <f>1113676+8785+380589+87752+14872+3150</f>
        <v>1608824</v>
      </c>
      <c r="N199" s="23"/>
      <c r="O199" s="6">
        <v>218715</v>
      </c>
      <c r="P199" s="23"/>
      <c r="Q199" s="6">
        <v>0</v>
      </c>
      <c r="R199" s="23"/>
      <c r="S199" s="6">
        <v>8302</v>
      </c>
      <c r="T199" s="23"/>
      <c r="U199" s="6">
        <v>196840</v>
      </c>
      <c r="V199" s="23"/>
      <c r="W199" s="33">
        <f t="shared" si="29"/>
        <v>19551575</v>
      </c>
      <c r="X199" s="23"/>
      <c r="Y199" s="23">
        <v>7386</v>
      </c>
      <c r="Z199" s="23"/>
      <c r="AA199" s="23">
        <v>0</v>
      </c>
      <c r="AB199" s="23"/>
      <c r="AC199" s="23">
        <v>119878</v>
      </c>
      <c r="AD199" s="23"/>
      <c r="AE199" s="23">
        <v>0</v>
      </c>
      <c r="AF199" s="23"/>
      <c r="AG199" s="23">
        <v>0</v>
      </c>
      <c r="AH199" s="23"/>
      <c r="AI199" s="23">
        <v>0</v>
      </c>
      <c r="AJ199" s="23"/>
      <c r="AK199" s="23">
        <v>0</v>
      </c>
      <c r="AL199" s="23"/>
      <c r="AM199" s="33">
        <f>SUM(Y199:AK199)</f>
        <v>127264</v>
      </c>
      <c r="AN199" s="23"/>
      <c r="AO199" s="33">
        <f t="shared" si="36"/>
        <v>19678839</v>
      </c>
      <c r="AP199" s="33"/>
    </row>
    <row r="200" spans="1:42">
      <c r="A200" s="11" t="s">
        <v>323</v>
      </c>
      <c r="B200" s="11"/>
      <c r="C200" s="11" t="s">
        <v>32</v>
      </c>
      <c r="D200" s="23"/>
      <c r="E200" s="6">
        <v>39487236</v>
      </c>
      <c r="F200" s="23"/>
      <c r="G200" s="6">
        <v>0</v>
      </c>
      <c r="H200" s="23"/>
      <c r="I200" s="6">
        <v>27950833</v>
      </c>
      <c r="J200" s="23"/>
      <c r="K200" s="6">
        <v>40243</v>
      </c>
      <c r="L200" s="23"/>
      <c r="M200" s="6">
        <f>1262659+1721499</f>
        <v>2984158</v>
      </c>
      <c r="N200" s="23"/>
      <c r="O200" s="6">
        <v>0</v>
      </c>
      <c r="P200" s="23"/>
      <c r="Q200" s="6">
        <v>6655253</v>
      </c>
      <c r="R200" s="23"/>
      <c r="S200" s="6">
        <v>0</v>
      </c>
      <c r="T200" s="23"/>
      <c r="U200" s="6">
        <v>1575817</v>
      </c>
      <c r="V200" s="23"/>
      <c r="W200" s="33">
        <f t="shared" si="29"/>
        <v>78693540</v>
      </c>
      <c r="X200" s="23"/>
      <c r="Y200" s="23">
        <v>410746</v>
      </c>
      <c r="Z200" s="23"/>
      <c r="AA200" s="23">
        <v>0</v>
      </c>
      <c r="AB200" s="23"/>
      <c r="AC200" s="23">
        <v>0</v>
      </c>
      <c r="AD200" s="23"/>
      <c r="AE200" s="23">
        <v>0</v>
      </c>
      <c r="AF200" s="23"/>
      <c r="AG200" s="23">
        <v>0</v>
      </c>
      <c r="AH200" s="23"/>
      <c r="AI200" s="23">
        <v>0</v>
      </c>
      <c r="AJ200" s="23"/>
      <c r="AK200" s="23">
        <v>0</v>
      </c>
      <c r="AL200" s="23"/>
      <c r="AM200" s="33">
        <f t="shared" si="37"/>
        <v>410746</v>
      </c>
      <c r="AN200" s="23"/>
      <c r="AO200" s="33">
        <f t="shared" si="36"/>
        <v>79104286</v>
      </c>
      <c r="AP200" s="33"/>
    </row>
    <row r="201" spans="1:42" hidden="1">
      <c r="A201" s="11" t="s">
        <v>616</v>
      </c>
      <c r="B201" s="11"/>
      <c r="C201" s="11" t="s">
        <v>70</v>
      </c>
      <c r="D201" s="23"/>
      <c r="E201" s="6"/>
      <c r="F201" s="23"/>
      <c r="G201" s="6"/>
      <c r="H201" s="23"/>
      <c r="I201" s="6"/>
      <c r="J201" s="23"/>
      <c r="K201" s="6"/>
      <c r="L201" s="23"/>
      <c r="M201" s="6"/>
      <c r="N201" s="23"/>
      <c r="O201" s="6"/>
      <c r="P201" s="23"/>
      <c r="Q201" s="6"/>
      <c r="R201" s="23"/>
      <c r="S201" s="6"/>
      <c r="T201" s="23"/>
      <c r="U201" s="6"/>
      <c r="V201" s="23"/>
      <c r="W201" s="33">
        <f t="shared" si="29"/>
        <v>0</v>
      </c>
      <c r="X201" s="23"/>
      <c r="Y201" s="23"/>
      <c r="Z201" s="23"/>
      <c r="AA201" s="23">
        <v>0</v>
      </c>
      <c r="AB201" s="23"/>
      <c r="AC201" s="23"/>
      <c r="AD201" s="23"/>
      <c r="AE201" s="23"/>
      <c r="AF201" s="23"/>
      <c r="AG201" s="23"/>
      <c r="AH201" s="23"/>
      <c r="AI201" s="23"/>
      <c r="AJ201" s="23"/>
      <c r="AK201" s="23">
        <v>0</v>
      </c>
      <c r="AL201" s="23"/>
      <c r="AM201" s="33">
        <f t="shared" si="37"/>
        <v>0</v>
      </c>
      <c r="AN201" s="23"/>
      <c r="AO201" s="33">
        <f t="shared" si="36"/>
        <v>0</v>
      </c>
      <c r="AP201" s="33"/>
    </row>
    <row r="202" spans="1:42">
      <c r="A202" s="11" t="s">
        <v>490</v>
      </c>
      <c r="B202" s="11"/>
      <c r="C202" s="11" t="s">
        <v>61</v>
      </c>
      <c r="D202" s="23"/>
      <c r="E202" s="6">
        <v>2416176</v>
      </c>
      <c r="F202" s="23"/>
      <c r="G202" s="6">
        <v>1567744</v>
      </c>
      <c r="H202" s="23"/>
      <c r="I202" s="6">
        <v>4307030</v>
      </c>
      <c r="J202" s="23"/>
      <c r="K202" s="6">
        <v>12296</v>
      </c>
      <c r="L202" s="23"/>
      <c r="M202" s="6">
        <f>114233+303367</f>
        <v>417600</v>
      </c>
      <c r="N202" s="23"/>
      <c r="O202" s="6">
        <v>227653</v>
      </c>
      <c r="P202" s="23"/>
      <c r="Q202" s="6">
        <v>0</v>
      </c>
      <c r="R202" s="23"/>
      <c r="S202" s="6">
        <v>18350</v>
      </c>
      <c r="T202" s="23"/>
      <c r="U202" s="6">
        <v>15520</v>
      </c>
      <c r="V202" s="23"/>
      <c r="W202" s="33">
        <f t="shared" si="29"/>
        <v>8982369</v>
      </c>
      <c r="X202" s="23"/>
      <c r="Y202" s="23">
        <v>97055</v>
      </c>
      <c r="Z202" s="23"/>
      <c r="AA202" s="23">
        <v>0</v>
      </c>
      <c r="AB202" s="23"/>
      <c r="AC202" s="23">
        <v>890000</v>
      </c>
      <c r="AD202" s="23"/>
      <c r="AE202" s="23">
        <v>0</v>
      </c>
      <c r="AF202" s="23"/>
      <c r="AG202" s="23">
        <v>0</v>
      </c>
      <c r="AH202" s="23"/>
      <c r="AI202" s="23">
        <v>0</v>
      </c>
      <c r="AJ202" s="23"/>
      <c r="AK202" s="23">
        <v>0</v>
      </c>
      <c r="AL202" s="23"/>
      <c r="AM202" s="33">
        <f t="shared" si="37"/>
        <v>987055</v>
      </c>
      <c r="AN202" s="23"/>
      <c r="AO202" s="33">
        <f t="shared" si="36"/>
        <v>9969424</v>
      </c>
      <c r="AP202" s="33"/>
    </row>
    <row r="203" spans="1:42" hidden="1">
      <c r="A203" s="11" t="s">
        <v>764</v>
      </c>
      <c r="B203" s="11"/>
      <c r="C203" s="11" t="s">
        <v>422</v>
      </c>
      <c r="D203" s="23"/>
      <c r="E203" s="6"/>
      <c r="F203" s="23"/>
      <c r="G203" s="6"/>
      <c r="H203" s="23"/>
      <c r="I203" s="6"/>
      <c r="J203" s="23"/>
      <c r="K203" s="6"/>
      <c r="L203" s="23"/>
      <c r="M203" s="6"/>
      <c r="N203" s="23"/>
      <c r="O203" s="6"/>
      <c r="P203" s="23"/>
      <c r="Q203" s="6"/>
      <c r="R203" s="23"/>
      <c r="S203" s="6"/>
      <c r="T203" s="23"/>
      <c r="U203" s="6"/>
      <c r="V203" s="23"/>
      <c r="W203" s="33">
        <f t="shared" si="29"/>
        <v>0</v>
      </c>
      <c r="X203" s="23"/>
      <c r="Y203" s="23"/>
      <c r="Z203" s="23"/>
      <c r="AA203" s="23">
        <v>0</v>
      </c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33"/>
      <c r="AN203" s="23"/>
      <c r="AO203" s="33">
        <f t="shared" si="36"/>
        <v>0</v>
      </c>
      <c r="AP203" s="33"/>
    </row>
    <row r="204" spans="1:42" hidden="1">
      <c r="A204" s="11" t="s">
        <v>747</v>
      </c>
      <c r="B204" s="11"/>
      <c r="C204" s="11" t="s">
        <v>60</v>
      </c>
      <c r="D204" s="23"/>
      <c r="E204" s="6"/>
      <c r="F204" s="23"/>
      <c r="G204" s="6"/>
      <c r="H204" s="23"/>
      <c r="I204" s="6"/>
      <c r="J204" s="23"/>
      <c r="K204" s="6"/>
      <c r="L204" s="23"/>
      <c r="M204" s="6"/>
      <c r="N204" s="23"/>
      <c r="O204" s="6"/>
      <c r="P204" s="23"/>
      <c r="Q204" s="6"/>
      <c r="R204" s="23"/>
      <c r="S204" s="6"/>
      <c r="T204" s="23"/>
      <c r="U204" s="6"/>
      <c r="V204" s="23"/>
      <c r="W204" s="33">
        <f t="shared" si="29"/>
        <v>0</v>
      </c>
      <c r="X204" s="23"/>
      <c r="Y204" s="23"/>
      <c r="Z204" s="23"/>
      <c r="AA204" s="23">
        <v>0</v>
      </c>
      <c r="AB204" s="23"/>
      <c r="AC204" s="23"/>
      <c r="AD204" s="23"/>
      <c r="AE204" s="23"/>
      <c r="AF204" s="23"/>
      <c r="AG204" s="23"/>
      <c r="AH204" s="23"/>
      <c r="AI204" s="23"/>
      <c r="AJ204" s="23"/>
      <c r="AK204" s="23">
        <v>0</v>
      </c>
      <c r="AL204" s="23"/>
      <c r="AM204" s="33">
        <f t="shared" ref="AM204:AM235" si="38">AI204+AC204+Y204</f>
        <v>0</v>
      </c>
      <c r="AN204" s="23"/>
      <c r="AO204" s="33">
        <f t="shared" si="36"/>
        <v>0</v>
      </c>
      <c r="AP204" s="33"/>
    </row>
    <row r="205" spans="1:42">
      <c r="A205" s="11" t="s">
        <v>544</v>
      </c>
      <c r="B205" s="11"/>
      <c r="C205" s="11" t="s">
        <v>69</v>
      </c>
      <c r="D205" s="23"/>
      <c r="E205" s="6">
        <v>11714630</v>
      </c>
      <c r="F205" s="23"/>
      <c r="G205" s="6">
        <v>0</v>
      </c>
      <c r="H205" s="23"/>
      <c r="I205" s="6">
        <v>16369519</v>
      </c>
      <c r="J205" s="23"/>
      <c r="K205" s="6">
        <v>7378</v>
      </c>
      <c r="L205" s="23"/>
      <c r="M205" s="6">
        <f>1108557+439145+86326</f>
        <v>1634028</v>
      </c>
      <c r="N205" s="23"/>
      <c r="O205" s="6">
        <v>205368</v>
      </c>
      <c r="P205" s="23"/>
      <c r="Q205" s="6">
        <v>185014</v>
      </c>
      <c r="R205" s="23"/>
      <c r="S205" s="6">
        <v>179381</v>
      </c>
      <c r="T205" s="23"/>
      <c r="U205" s="6">
        <v>60143</v>
      </c>
      <c r="V205" s="23"/>
      <c r="W205" s="33">
        <f t="shared" si="29"/>
        <v>30355461</v>
      </c>
      <c r="X205" s="23"/>
      <c r="Y205" s="23">
        <v>0</v>
      </c>
      <c r="Z205" s="23"/>
      <c r="AA205" s="23">
        <v>0</v>
      </c>
      <c r="AB205" s="23"/>
      <c r="AC205" s="23">
        <v>0</v>
      </c>
      <c r="AD205" s="23"/>
      <c r="AE205" s="23">
        <v>0</v>
      </c>
      <c r="AF205" s="23"/>
      <c r="AG205" s="23">
        <v>0</v>
      </c>
      <c r="AH205" s="23"/>
      <c r="AI205" s="23">
        <v>0</v>
      </c>
      <c r="AJ205" s="23"/>
      <c r="AK205" s="23">
        <v>0</v>
      </c>
      <c r="AL205" s="23"/>
      <c r="AM205" s="33">
        <f>SUM(Y205:AK205)</f>
        <v>0</v>
      </c>
      <c r="AN205" s="23"/>
      <c r="AO205" s="33">
        <f t="shared" si="36"/>
        <v>30355461</v>
      </c>
      <c r="AP205" s="33"/>
    </row>
    <row r="206" spans="1:42">
      <c r="A206" s="11" t="s">
        <v>444</v>
      </c>
      <c r="B206" s="11"/>
      <c r="C206" s="11" t="s">
        <v>51</v>
      </c>
      <c r="D206" s="23"/>
      <c r="E206" s="6">
        <v>10542349</v>
      </c>
      <c r="F206" s="23"/>
      <c r="G206" s="6">
        <v>0</v>
      </c>
      <c r="H206" s="23"/>
      <c r="I206" s="6">
        <v>16323667</v>
      </c>
      <c r="J206" s="23"/>
      <c r="K206" s="6">
        <v>190592</v>
      </c>
      <c r="L206" s="23"/>
      <c r="M206" s="6">
        <f>406026+1306585</f>
        <v>1712611</v>
      </c>
      <c r="N206" s="23"/>
      <c r="O206" s="6">
        <v>258564</v>
      </c>
      <c r="P206" s="23"/>
      <c r="Q206" s="6">
        <v>2138</v>
      </c>
      <c r="R206" s="23"/>
      <c r="S206" s="6">
        <v>8740</v>
      </c>
      <c r="T206" s="23"/>
      <c r="U206" s="6">
        <v>728</v>
      </c>
      <c r="V206" s="23"/>
      <c r="W206" s="33">
        <f t="shared" si="29"/>
        <v>29039389</v>
      </c>
      <c r="X206" s="23"/>
      <c r="Y206" s="23">
        <v>731587</v>
      </c>
      <c r="Z206" s="23"/>
      <c r="AA206" s="23">
        <v>0</v>
      </c>
      <c r="AB206" s="23"/>
      <c r="AC206" s="23">
        <v>219633</v>
      </c>
      <c r="AD206" s="23"/>
      <c r="AE206" s="23">
        <v>0</v>
      </c>
      <c r="AF206" s="23"/>
      <c r="AG206" s="23">
        <v>0</v>
      </c>
      <c r="AH206" s="23"/>
      <c r="AI206" s="23">
        <v>59820</v>
      </c>
      <c r="AJ206" s="23"/>
      <c r="AK206" s="23">
        <v>0</v>
      </c>
      <c r="AL206" s="23"/>
      <c r="AM206" s="33">
        <f t="shared" si="38"/>
        <v>1011040</v>
      </c>
      <c r="AN206" s="23"/>
      <c r="AO206" s="33">
        <f t="shared" si="36"/>
        <v>30050429</v>
      </c>
      <c r="AP206" s="33"/>
    </row>
    <row r="207" spans="1:42" hidden="1">
      <c r="A207" s="11" t="s">
        <v>615</v>
      </c>
      <c r="B207" s="11"/>
      <c r="C207" s="11" t="s">
        <v>21</v>
      </c>
      <c r="D207" s="23"/>
      <c r="E207" s="6"/>
      <c r="F207" s="23"/>
      <c r="G207" s="6"/>
      <c r="H207" s="23"/>
      <c r="I207" s="6"/>
      <c r="J207" s="23"/>
      <c r="K207" s="6"/>
      <c r="L207" s="23"/>
      <c r="M207" s="6"/>
      <c r="N207" s="23"/>
      <c r="O207" s="6"/>
      <c r="P207" s="23"/>
      <c r="Q207" s="6"/>
      <c r="R207" s="23"/>
      <c r="S207" s="6"/>
      <c r="T207" s="23"/>
      <c r="U207" s="6"/>
      <c r="V207" s="23"/>
      <c r="W207" s="33">
        <f t="shared" si="29"/>
        <v>0</v>
      </c>
      <c r="X207" s="23"/>
      <c r="Y207" s="23">
        <v>0</v>
      </c>
      <c r="Z207" s="23"/>
      <c r="AA207" s="23">
        <v>0</v>
      </c>
      <c r="AB207" s="23"/>
      <c r="AC207" s="23"/>
      <c r="AD207" s="23"/>
      <c r="AE207" s="23"/>
      <c r="AF207" s="23"/>
      <c r="AG207" s="23"/>
      <c r="AH207" s="23"/>
      <c r="AI207" s="23"/>
      <c r="AJ207" s="23"/>
      <c r="AK207" s="23">
        <v>0</v>
      </c>
      <c r="AL207" s="23"/>
      <c r="AM207" s="33">
        <f t="shared" si="38"/>
        <v>0</v>
      </c>
      <c r="AN207" s="23"/>
      <c r="AO207" s="33">
        <f t="shared" si="36"/>
        <v>0</v>
      </c>
      <c r="AP207" s="33"/>
    </row>
    <row r="208" spans="1:42" hidden="1">
      <c r="A208" s="11" t="s">
        <v>664</v>
      </c>
      <c r="B208" s="11"/>
      <c r="C208" s="11" t="s">
        <v>40</v>
      </c>
      <c r="D208" s="23"/>
      <c r="E208" s="6"/>
      <c r="F208" s="23"/>
      <c r="G208" s="6"/>
      <c r="H208" s="23"/>
      <c r="I208" s="6"/>
      <c r="J208" s="23"/>
      <c r="K208" s="6"/>
      <c r="L208" s="23"/>
      <c r="M208" s="6"/>
      <c r="N208" s="23"/>
      <c r="O208" s="6"/>
      <c r="P208" s="23"/>
      <c r="Q208" s="6"/>
      <c r="R208" s="23"/>
      <c r="S208" s="6"/>
      <c r="T208" s="23"/>
      <c r="U208" s="6"/>
      <c r="V208" s="23"/>
      <c r="W208" s="33">
        <f t="shared" si="29"/>
        <v>0</v>
      </c>
      <c r="X208" s="23"/>
      <c r="Y208" s="23">
        <v>0</v>
      </c>
      <c r="Z208" s="23"/>
      <c r="AA208" s="23">
        <v>0</v>
      </c>
      <c r="AB208" s="23"/>
      <c r="AC208" s="23"/>
      <c r="AD208" s="23"/>
      <c r="AE208" s="23"/>
      <c r="AF208" s="23"/>
      <c r="AG208" s="23"/>
      <c r="AH208" s="23"/>
      <c r="AI208" s="23"/>
      <c r="AJ208" s="23"/>
      <c r="AK208" s="23">
        <v>0</v>
      </c>
      <c r="AL208" s="23"/>
      <c r="AM208" s="33">
        <f t="shared" si="38"/>
        <v>0</v>
      </c>
      <c r="AN208" s="23"/>
      <c r="AO208" s="33">
        <f t="shared" si="36"/>
        <v>0</v>
      </c>
      <c r="AP208" s="33"/>
    </row>
    <row r="209" spans="1:42">
      <c r="A209" s="11" t="s">
        <v>644</v>
      </c>
      <c r="B209" s="11"/>
      <c r="C209" s="11" t="s">
        <v>79</v>
      </c>
      <c r="D209" s="23"/>
      <c r="E209" s="6">
        <v>12932750</v>
      </c>
      <c r="F209" s="23"/>
      <c r="G209" s="6">
        <v>6540437</v>
      </c>
      <c r="H209" s="23"/>
      <c r="I209" s="6">
        <v>23729034</v>
      </c>
      <c r="J209" s="23"/>
      <c r="K209" s="6">
        <v>163486</v>
      </c>
      <c r="L209" s="23"/>
      <c r="M209" s="6">
        <f>740132+531838+18041</f>
        <v>1290011</v>
      </c>
      <c r="N209" s="23"/>
      <c r="O209" s="6">
        <v>359084</v>
      </c>
      <c r="P209" s="23"/>
      <c r="Q209" s="6">
        <v>763641</v>
      </c>
      <c r="R209" s="23"/>
      <c r="S209" s="6">
        <v>39075</v>
      </c>
      <c r="T209" s="23"/>
      <c r="U209" s="6">
        <v>200586</v>
      </c>
      <c r="V209" s="23"/>
      <c r="W209" s="33">
        <f t="shared" si="29"/>
        <v>46018104</v>
      </c>
      <c r="X209" s="23"/>
      <c r="Y209" s="23">
        <v>73477</v>
      </c>
      <c r="Z209" s="23"/>
      <c r="AA209" s="23">
        <v>0</v>
      </c>
      <c r="AB209" s="23"/>
      <c r="AC209" s="23">
        <v>0</v>
      </c>
      <c r="AD209" s="23"/>
      <c r="AE209" s="23">
        <v>0</v>
      </c>
      <c r="AF209" s="23"/>
      <c r="AG209" s="23">
        <v>0</v>
      </c>
      <c r="AH209" s="23"/>
      <c r="AI209" s="23">
        <v>0</v>
      </c>
      <c r="AJ209" s="23"/>
      <c r="AK209" s="23">
        <v>0</v>
      </c>
      <c r="AL209" s="23"/>
      <c r="AM209" s="33">
        <f>SUM(Y209:AK209)</f>
        <v>73477</v>
      </c>
      <c r="AN209" s="23"/>
      <c r="AO209" s="33">
        <f t="shared" si="36"/>
        <v>46091581</v>
      </c>
      <c r="AP209" s="33"/>
    </row>
    <row r="210" spans="1:42">
      <c r="A210" s="11" t="s">
        <v>548</v>
      </c>
      <c r="B210" s="11"/>
      <c r="C210" s="11" t="s">
        <v>70</v>
      </c>
      <c r="D210" s="23"/>
      <c r="E210" s="6">
        <v>1431266</v>
      </c>
      <c r="F210" s="23"/>
      <c r="G210" s="6">
        <v>0</v>
      </c>
      <c r="H210" s="23"/>
      <c r="I210" s="6">
        <f>5476980+1261000</f>
        <v>6737980</v>
      </c>
      <c r="J210" s="23"/>
      <c r="K210" s="6">
        <v>8713</v>
      </c>
      <c r="L210" s="23"/>
      <c r="M210" s="6">
        <f>129341+94664+11040</f>
        <v>235045</v>
      </c>
      <c r="N210" s="23"/>
      <c r="O210" s="6">
        <v>52102</v>
      </c>
      <c r="P210" s="23"/>
      <c r="Q210" s="6">
        <v>70030</v>
      </c>
      <c r="R210" s="23"/>
      <c r="S210" s="6">
        <v>5057</v>
      </c>
      <c r="T210" s="23"/>
      <c r="U210" s="6">
        <v>44109</v>
      </c>
      <c r="V210" s="23"/>
      <c r="W210" s="33">
        <f t="shared" si="29"/>
        <v>8584302</v>
      </c>
      <c r="X210" s="23"/>
      <c r="Y210" s="23">
        <v>47249</v>
      </c>
      <c r="Z210" s="23"/>
      <c r="AA210" s="23">
        <v>0</v>
      </c>
      <c r="AB210" s="23"/>
      <c r="AC210" s="23">
        <v>0</v>
      </c>
      <c r="AD210" s="23"/>
      <c r="AE210" s="23">
        <v>0</v>
      </c>
      <c r="AF210" s="23"/>
      <c r="AG210" s="23">
        <v>0</v>
      </c>
      <c r="AH210" s="23"/>
      <c r="AI210" s="23">
        <v>0</v>
      </c>
      <c r="AJ210" s="23"/>
      <c r="AK210" s="23">
        <v>0</v>
      </c>
      <c r="AL210" s="23"/>
      <c r="AM210" s="33">
        <f t="shared" si="38"/>
        <v>47249</v>
      </c>
      <c r="AN210" s="23"/>
      <c r="AO210" s="33">
        <f t="shared" si="36"/>
        <v>8631551</v>
      </c>
      <c r="AP210" s="33"/>
    </row>
    <row r="211" spans="1:42">
      <c r="A211" s="11" t="s">
        <v>641</v>
      </c>
      <c r="B211" s="11"/>
      <c r="C211" s="11" t="s">
        <v>27</v>
      </c>
      <c r="D211" s="23"/>
      <c r="E211" s="6">
        <v>54493804</v>
      </c>
      <c r="F211" s="23"/>
      <c r="G211" s="6">
        <v>0</v>
      </c>
      <c r="H211" s="23"/>
      <c r="I211" s="6">
        <f>21868411+5631883</f>
        <v>27500294</v>
      </c>
      <c r="J211" s="23"/>
      <c r="K211" s="6">
        <v>37855</v>
      </c>
      <c r="L211" s="23"/>
      <c r="M211" s="6">
        <f>328310+2141116</f>
        <v>2469426</v>
      </c>
      <c r="N211" s="23"/>
      <c r="O211" s="6">
        <v>0</v>
      </c>
      <c r="P211" s="23"/>
      <c r="Q211" s="6">
        <v>4097691</v>
      </c>
      <c r="R211" s="23"/>
      <c r="S211" s="6">
        <v>0</v>
      </c>
      <c r="T211" s="23"/>
      <c r="U211" s="6">
        <v>2578248</v>
      </c>
      <c r="V211" s="23"/>
      <c r="W211" s="33">
        <f t="shared" si="29"/>
        <v>91177318</v>
      </c>
      <c r="X211" s="23"/>
      <c r="Y211" s="23">
        <v>1811918</v>
      </c>
      <c r="Z211" s="23"/>
      <c r="AA211" s="23">
        <v>0</v>
      </c>
      <c r="AB211" s="23"/>
      <c r="AC211" s="23">
        <v>0</v>
      </c>
      <c r="AD211" s="23"/>
      <c r="AE211" s="23">
        <v>0</v>
      </c>
      <c r="AF211" s="23"/>
      <c r="AG211" s="23">
        <v>0</v>
      </c>
      <c r="AH211" s="23"/>
      <c r="AI211" s="23">
        <v>195</v>
      </c>
      <c r="AJ211" s="23"/>
      <c r="AK211" s="23">
        <v>0</v>
      </c>
      <c r="AL211" s="23"/>
      <c r="AM211" s="33">
        <f t="shared" si="38"/>
        <v>1812113</v>
      </c>
      <c r="AN211" s="23"/>
      <c r="AO211" s="33">
        <f t="shared" si="36"/>
        <v>92989431</v>
      </c>
      <c r="AP211" s="33"/>
    </row>
    <row r="212" spans="1:42">
      <c r="A212" s="11" t="s">
        <v>259</v>
      </c>
      <c r="B212" s="11"/>
      <c r="C212" s="11" t="s">
        <v>111</v>
      </c>
      <c r="D212" s="23"/>
      <c r="E212" s="6">
        <v>5420900</v>
      </c>
      <c r="F212" s="23"/>
      <c r="G212" s="6">
        <v>0</v>
      </c>
      <c r="H212" s="23"/>
      <c r="I212" s="6">
        <v>13493936</v>
      </c>
      <c r="J212" s="23"/>
      <c r="K212" s="6">
        <v>7973</v>
      </c>
      <c r="L212" s="23"/>
      <c r="M212" s="6">
        <f>514994+278279</f>
        <v>793273</v>
      </c>
      <c r="N212" s="23"/>
      <c r="O212" s="6">
        <v>143204</v>
      </c>
      <c r="P212" s="23"/>
      <c r="Q212" s="6">
        <v>36757</v>
      </c>
      <c r="R212" s="23"/>
      <c r="S212" s="6">
        <v>30445</v>
      </c>
      <c r="T212" s="23"/>
      <c r="U212" s="6">
        <v>137590</v>
      </c>
      <c r="V212" s="23"/>
      <c r="W212" s="33">
        <f t="shared" si="29"/>
        <v>20064078</v>
      </c>
      <c r="X212" s="23"/>
      <c r="Y212" s="23">
        <v>36044</v>
      </c>
      <c r="Z212" s="23"/>
      <c r="AA212" s="23">
        <v>0</v>
      </c>
      <c r="AB212" s="23"/>
      <c r="AC212" s="23">
        <v>0</v>
      </c>
      <c r="AD212" s="23"/>
      <c r="AE212" s="23">
        <v>0</v>
      </c>
      <c r="AF212" s="23"/>
      <c r="AG212" s="23">
        <v>0</v>
      </c>
      <c r="AH212" s="23"/>
      <c r="AI212" s="23">
        <v>0</v>
      </c>
      <c r="AJ212" s="23"/>
      <c r="AK212" s="23">
        <v>0</v>
      </c>
      <c r="AL212" s="23"/>
      <c r="AM212" s="33">
        <f>SUM(Y212:AK212)</f>
        <v>36044</v>
      </c>
      <c r="AN212" s="23"/>
      <c r="AO212" s="33">
        <f t="shared" si="36"/>
        <v>20100122</v>
      </c>
      <c r="AP212" s="33"/>
    </row>
    <row r="213" spans="1:42">
      <c r="A213" s="11" t="s">
        <v>642</v>
      </c>
      <c r="B213" s="11"/>
      <c r="C213" s="11" t="s">
        <v>29</v>
      </c>
      <c r="D213" s="23"/>
      <c r="E213" s="6">
        <v>12660473</v>
      </c>
      <c r="F213" s="23"/>
      <c r="G213" s="6">
        <v>0</v>
      </c>
      <c r="H213" s="23"/>
      <c r="I213" s="6">
        <v>16609714</v>
      </c>
      <c r="J213" s="23"/>
      <c r="K213" s="6">
        <v>374629</v>
      </c>
      <c r="L213" s="23"/>
      <c r="M213" s="6">
        <f>264365+1056861+510</f>
        <v>1321736</v>
      </c>
      <c r="N213" s="23"/>
      <c r="O213" s="6">
        <v>190571</v>
      </c>
      <c r="P213" s="23"/>
      <c r="Q213" s="6">
        <v>0</v>
      </c>
      <c r="R213" s="23"/>
      <c r="S213" s="6">
        <v>0</v>
      </c>
      <c r="T213" s="23"/>
      <c r="U213" s="6">
        <v>365069</v>
      </c>
      <c r="V213" s="23"/>
      <c r="W213" s="33">
        <f t="shared" si="29"/>
        <v>31522192</v>
      </c>
      <c r="X213" s="23"/>
      <c r="Y213" s="23">
        <v>0</v>
      </c>
      <c r="Z213" s="23"/>
      <c r="AA213" s="23">
        <v>0</v>
      </c>
      <c r="AB213" s="23"/>
      <c r="AC213" s="23">
        <v>0</v>
      </c>
      <c r="AD213" s="23"/>
      <c r="AE213" s="23">
        <v>0</v>
      </c>
      <c r="AF213" s="23"/>
      <c r="AG213" s="23">
        <v>0</v>
      </c>
      <c r="AH213" s="23"/>
      <c r="AI213" s="23">
        <v>3500</v>
      </c>
      <c r="AJ213" s="23"/>
      <c r="AK213" s="23">
        <v>0</v>
      </c>
      <c r="AL213" s="23"/>
      <c r="AM213" s="33">
        <f t="shared" si="38"/>
        <v>3500</v>
      </c>
      <c r="AN213" s="23"/>
      <c r="AO213" s="33">
        <f t="shared" si="36"/>
        <v>31525692</v>
      </c>
      <c r="AP213" s="33"/>
    </row>
    <row r="214" spans="1:42">
      <c r="A214" s="11" t="s">
        <v>313</v>
      </c>
      <c r="B214" s="11"/>
      <c r="C214" s="11" t="s">
        <v>29</v>
      </c>
      <c r="D214" s="23"/>
      <c r="E214" s="6">
        <v>6464051</v>
      </c>
      <c r="F214" s="23"/>
      <c r="G214" s="6">
        <v>0</v>
      </c>
      <c r="H214" s="23"/>
      <c r="I214" s="6">
        <f>13727298+3007740</f>
        <v>16735038</v>
      </c>
      <c r="J214" s="23"/>
      <c r="K214" s="6">
        <v>183937</v>
      </c>
      <c r="L214" s="23"/>
      <c r="M214" s="6">
        <f>1250501+66001+244238+32359</f>
        <v>1593099</v>
      </c>
      <c r="N214" s="23"/>
      <c r="O214" s="6">
        <v>287415</v>
      </c>
      <c r="P214" s="23"/>
      <c r="Q214" s="6">
        <v>0</v>
      </c>
      <c r="R214" s="23"/>
      <c r="S214" s="6">
        <v>115998</v>
      </c>
      <c r="T214" s="23"/>
      <c r="U214" s="6">
        <v>307278</v>
      </c>
      <c r="V214" s="23"/>
      <c r="W214" s="33">
        <f t="shared" si="29"/>
        <v>25686816</v>
      </c>
      <c r="X214" s="23"/>
      <c r="Y214" s="23">
        <v>9495</v>
      </c>
      <c r="Z214" s="23"/>
      <c r="AA214" s="23">
        <v>0</v>
      </c>
      <c r="AB214" s="23"/>
      <c r="AC214" s="23">
        <v>0</v>
      </c>
      <c r="AD214" s="23"/>
      <c r="AE214" s="23">
        <v>0</v>
      </c>
      <c r="AF214" s="23"/>
      <c r="AG214" s="23">
        <v>0</v>
      </c>
      <c r="AH214" s="23"/>
      <c r="AI214" s="23">
        <v>104135</v>
      </c>
      <c r="AJ214" s="23"/>
      <c r="AK214" s="23">
        <v>0</v>
      </c>
      <c r="AL214" s="23"/>
      <c r="AM214" s="33">
        <f t="shared" si="38"/>
        <v>113630</v>
      </c>
      <c r="AN214" s="23"/>
      <c r="AO214" s="33">
        <f t="shared" si="36"/>
        <v>25800446</v>
      </c>
      <c r="AP214" s="33"/>
    </row>
    <row r="215" spans="1:42">
      <c r="A215" s="11" t="s">
        <v>535</v>
      </c>
      <c r="B215" s="11"/>
      <c r="C215" s="11" t="s">
        <v>65</v>
      </c>
      <c r="D215" s="23"/>
      <c r="E215" s="6">
        <v>5155524</v>
      </c>
      <c r="F215" s="23"/>
      <c r="G215" s="6">
        <v>0</v>
      </c>
      <c r="H215" s="23"/>
      <c r="I215" s="6">
        <f>4400572+1463961</f>
        <v>5864533</v>
      </c>
      <c r="J215" s="23"/>
      <c r="K215" s="6">
        <v>5851</v>
      </c>
      <c r="L215" s="23"/>
      <c r="M215" s="6">
        <f>629402+18545+208999+54478+374</f>
        <v>911798</v>
      </c>
      <c r="N215" s="23"/>
      <c r="O215" s="6">
        <v>138298</v>
      </c>
      <c r="P215" s="23"/>
      <c r="Q215" s="6">
        <v>0</v>
      </c>
      <c r="R215" s="23"/>
      <c r="S215" s="6">
        <v>24118</v>
      </c>
      <c r="T215" s="23"/>
      <c r="U215" s="6">
        <v>45760</v>
      </c>
      <c r="V215" s="23"/>
      <c r="W215" s="33">
        <f t="shared" si="29"/>
        <v>12145882</v>
      </c>
      <c r="X215" s="23"/>
      <c r="Y215" s="23">
        <v>0</v>
      </c>
      <c r="Z215" s="23"/>
      <c r="AA215" s="23">
        <v>0</v>
      </c>
      <c r="AB215" s="23"/>
      <c r="AC215" s="23">
        <v>0</v>
      </c>
      <c r="AD215" s="23"/>
      <c r="AE215" s="23">
        <v>0</v>
      </c>
      <c r="AF215" s="23"/>
      <c r="AG215" s="23">
        <v>0</v>
      </c>
      <c r="AH215" s="23"/>
      <c r="AI215" s="23">
        <v>0</v>
      </c>
      <c r="AJ215" s="23"/>
      <c r="AK215" s="23">
        <v>0</v>
      </c>
      <c r="AL215" s="23"/>
      <c r="AM215" s="33">
        <f t="shared" si="38"/>
        <v>0</v>
      </c>
      <c r="AN215" s="23"/>
      <c r="AO215" s="33">
        <f t="shared" si="36"/>
        <v>12145882</v>
      </c>
      <c r="AP215" s="33"/>
    </row>
    <row r="216" spans="1:42">
      <c r="A216" s="11" t="s">
        <v>678</v>
      </c>
      <c r="B216" s="11"/>
      <c r="C216" s="11" t="s">
        <v>20</v>
      </c>
      <c r="D216" s="23"/>
      <c r="E216" s="6">
        <v>15074315</v>
      </c>
      <c r="F216" s="23"/>
      <c r="G216" s="6">
        <v>0</v>
      </c>
      <c r="H216" s="23"/>
      <c r="I216" s="6">
        <v>28684266</v>
      </c>
      <c r="J216" s="23"/>
      <c r="K216" s="6">
        <v>326528</v>
      </c>
      <c r="L216" s="23"/>
      <c r="M216" s="6">
        <f>619508+295553+26022</f>
        <v>941083</v>
      </c>
      <c r="N216" s="23"/>
      <c r="O216" s="6">
        <v>69673</v>
      </c>
      <c r="P216" s="23"/>
      <c r="Q216" s="6">
        <v>428606</v>
      </c>
      <c r="R216" s="23"/>
      <c r="S216" s="6">
        <v>6040</v>
      </c>
      <c r="T216" s="23"/>
      <c r="U216" s="6">
        <v>842751</v>
      </c>
      <c r="V216" s="23"/>
      <c r="W216" s="33">
        <f t="shared" si="29"/>
        <v>46373262</v>
      </c>
      <c r="X216" s="23"/>
      <c r="Y216" s="23">
        <v>674771</v>
      </c>
      <c r="Z216" s="23"/>
      <c r="AA216" s="23">
        <v>0</v>
      </c>
      <c r="AB216" s="23"/>
      <c r="AC216" s="23">
        <v>0</v>
      </c>
      <c r="AD216" s="23"/>
      <c r="AE216" s="23">
        <v>0</v>
      </c>
      <c r="AF216" s="23"/>
      <c r="AG216" s="23">
        <v>0</v>
      </c>
      <c r="AH216" s="23"/>
      <c r="AI216" s="23">
        <v>0</v>
      </c>
      <c r="AJ216" s="23"/>
      <c r="AK216" s="23">
        <v>0</v>
      </c>
      <c r="AL216" s="23"/>
      <c r="AM216" s="33">
        <f t="shared" si="38"/>
        <v>674771</v>
      </c>
      <c r="AN216" s="23"/>
      <c r="AO216" s="33">
        <f t="shared" si="36"/>
        <v>47048033</v>
      </c>
      <c r="AP216" s="33"/>
    </row>
    <row r="217" spans="1:42">
      <c r="A217" s="11" t="s">
        <v>643</v>
      </c>
      <c r="B217" s="11"/>
      <c r="C217" s="11" t="s">
        <v>12</v>
      </c>
      <c r="D217" s="23"/>
      <c r="E217" s="6">
        <v>8261855</v>
      </c>
      <c r="F217" s="23"/>
      <c r="G217" s="6">
        <v>0</v>
      </c>
      <c r="H217" s="23"/>
      <c r="I217" s="6">
        <v>26819755</v>
      </c>
      <c r="J217" s="23"/>
      <c r="K217" s="6">
        <v>70437</v>
      </c>
      <c r="L217" s="23"/>
      <c r="M217" s="6">
        <f>1695701+364263+100101</f>
        <v>2160065</v>
      </c>
      <c r="N217" s="23"/>
      <c r="O217" s="6">
        <v>130878</v>
      </c>
      <c r="P217" s="23"/>
      <c r="Q217" s="6">
        <v>114696</v>
      </c>
      <c r="R217" s="23"/>
      <c r="S217" s="6">
        <v>77047</v>
      </c>
      <c r="T217" s="23"/>
      <c r="U217" s="6">
        <v>143420</v>
      </c>
      <c r="V217" s="23"/>
      <c r="W217" s="33">
        <f t="shared" si="29"/>
        <v>37778153</v>
      </c>
      <c r="X217" s="23"/>
      <c r="Y217" s="23">
        <v>37352</v>
      </c>
      <c r="Z217" s="23"/>
      <c r="AA217" s="23">
        <v>0</v>
      </c>
      <c r="AB217" s="23"/>
      <c r="AC217" s="23">
        <v>14860000</v>
      </c>
      <c r="AD217" s="23"/>
      <c r="AE217" s="23">
        <v>0</v>
      </c>
      <c r="AF217" s="23"/>
      <c r="AG217" s="23">
        <v>0</v>
      </c>
      <c r="AH217" s="23"/>
      <c r="AI217" s="23">
        <v>0</v>
      </c>
      <c r="AJ217" s="23"/>
      <c r="AK217" s="23">
        <v>0</v>
      </c>
      <c r="AL217" s="23"/>
      <c r="AM217" s="33">
        <f t="shared" si="38"/>
        <v>14897352</v>
      </c>
      <c r="AN217" s="23"/>
      <c r="AO217" s="33">
        <f t="shared" si="36"/>
        <v>52675505</v>
      </c>
      <c r="AP217" s="33"/>
    </row>
    <row r="218" spans="1:42" hidden="1">
      <c r="A218" s="11" t="s">
        <v>832</v>
      </c>
      <c r="B218" s="11"/>
      <c r="C218" s="11" t="s">
        <v>53</v>
      </c>
      <c r="D218" s="23"/>
      <c r="E218" s="6"/>
      <c r="F218" s="23"/>
      <c r="G218" s="6"/>
      <c r="H218" s="23"/>
      <c r="I218" s="6"/>
      <c r="J218" s="23"/>
      <c r="K218" s="6"/>
      <c r="L218" s="23"/>
      <c r="M218" s="6"/>
      <c r="N218" s="23"/>
      <c r="O218" s="6"/>
      <c r="P218" s="23"/>
      <c r="Q218" s="6"/>
      <c r="R218" s="23"/>
      <c r="S218" s="6"/>
      <c r="T218" s="23"/>
      <c r="U218" s="6"/>
      <c r="V218" s="23"/>
      <c r="W218" s="33">
        <f t="shared" si="29"/>
        <v>0</v>
      </c>
      <c r="X218" s="23"/>
      <c r="Y218" s="23"/>
      <c r="Z218" s="23"/>
      <c r="AA218" s="23">
        <v>0</v>
      </c>
      <c r="AB218" s="23"/>
      <c r="AC218" s="23"/>
      <c r="AD218" s="23"/>
      <c r="AE218" s="23"/>
      <c r="AF218" s="23"/>
      <c r="AG218" s="23"/>
      <c r="AH218" s="23"/>
      <c r="AI218" s="23"/>
      <c r="AJ218" s="23"/>
      <c r="AK218" s="23">
        <v>0</v>
      </c>
      <c r="AL218" s="23"/>
      <c r="AM218" s="33">
        <f t="shared" si="38"/>
        <v>0</v>
      </c>
      <c r="AN218" s="23"/>
      <c r="AO218" s="33">
        <f t="shared" si="36"/>
        <v>0</v>
      </c>
      <c r="AP218" s="33"/>
    </row>
    <row r="219" spans="1:42" hidden="1">
      <c r="A219" s="11" t="s">
        <v>665</v>
      </c>
      <c r="B219" s="11"/>
      <c r="C219" s="11" t="s">
        <v>77</v>
      </c>
      <c r="D219" s="23"/>
      <c r="E219" s="6"/>
      <c r="F219" s="23"/>
      <c r="G219" s="6"/>
      <c r="H219" s="23"/>
      <c r="I219" s="6"/>
      <c r="J219" s="23"/>
      <c r="K219" s="6"/>
      <c r="L219" s="23"/>
      <c r="M219" s="6"/>
      <c r="N219" s="23"/>
      <c r="O219" s="6"/>
      <c r="P219" s="23"/>
      <c r="Q219" s="6"/>
      <c r="R219" s="23"/>
      <c r="S219" s="6"/>
      <c r="T219" s="23"/>
      <c r="U219" s="6"/>
      <c r="V219" s="23"/>
      <c r="W219" s="33">
        <f t="shared" si="29"/>
        <v>0</v>
      </c>
      <c r="X219" s="23"/>
      <c r="Y219" s="23"/>
      <c r="Z219" s="23"/>
      <c r="AA219" s="23">
        <v>0</v>
      </c>
      <c r="AB219" s="23"/>
      <c r="AC219" s="23"/>
      <c r="AD219" s="23"/>
      <c r="AE219" s="23"/>
      <c r="AF219" s="23"/>
      <c r="AG219" s="23"/>
      <c r="AH219" s="23"/>
      <c r="AI219" s="23"/>
      <c r="AJ219" s="23"/>
      <c r="AK219" s="23">
        <v>0</v>
      </c>
      <c r="AL219" s="23"/>
      <c r="AM219" s="33">
        <f t="shared" si="38"/>
        <v>0</v>
      </c>
      <c r="AN219" s="23"/>
      <c r="AO219" s="33">
        <f t="shared" si="36"/>
        <v>0</v>
      </c>
      <c r="AP219" s="33"/>
    </row>
    <row r="220" spans="1:42">
      <c r="A220" s="11" t="s">
        <v>748</v>
      </c>
      <c r="B220" s="11"/>
      <c r="C220" s="11" t="s">
        <v>79</v>
      </c>
      <c r="D220" s="23"/>
      <c r="E220" s="6">
        <v>2363531</v>
      </c>
      <c r="F220" s="23"/>
      <c r="G220" s="6">
        <v>0</v>
      </c>
      <c r="H220" s="23"/>
      <c r="I220" s="6">
        <f>5776030+590747</f>
        <v>6366777</v>
      </c>
      <c r="J220" s="23"/>
      <c r="K220" s="6">
        <v>1603</v>
      </c>
      <c r="L220" s="23"/>
      <c r="M220" s="6">
        <f>473768+279319+40262</f>
        <v>793349</v>
      </c>
      <c r="N220" s="23"/>
      <c r="O220" s="6">
        <v>73167</v>
      </c>
      <c r="P220" s="23"/>
      <c r="Q220" s="6">
        <v>0</v>
      </c>
      <c r="R220" s="23"/>
      <c r="S220" s="6">
        <v>46748</v>
      </c>
      <c r="T220" s="23"/>
      <c r="U220" s="6">
        <v>10169</v>
      </c>
      <c r="V220" s="23"/>
      <c r="W220" s="33">
        <f t="shared" si="29"/>
        <v>9655344</v>
      </c>
      <c r="X220" s="23"/>
      <c r="Y220" s="23">
        <v>0</v>
      </c>
      <c r="Z220" s="23"/>
      <c r="AA220" s="23">
        <v>0</v>
      </c>
      <c r="AB220" s="23"/>
      <c r="AC220" s="23">
        <v>0</v>
      </c>
      <c r="AD220" s="23"/>
      <c r="AE220" s="23">
        <v>0</v>
      </c>
      <c r="AF220" s="23"/>
      <c r="AG220" s="23">
        <v>0</v>
      </c>
      <c r="AH220" s="23"/>
      <c r="AI220" s="23">
        <v>0</v>
      </c>
      <c r="AJ220" s="23"/>
      <c r="AK220" s="23">
        <v>0</v>
      </c>
      <c r="AL220" s="23"/>
      <c r="AM220" s="33">
        <f t="shared" si="38"/>
        <v>0</v>
      </c>
      <c r="AN220" s="23"/>
      <c r="AO220" s="33">
        <f t="shared" si="36"/>
        <v>9655344</v>
      </c>
      <c r="AP220" s="33"/>
    </row>
    <row r="221" spans="1:42">
      <c r="A221" s="11" t="s">
        <v>521</v>
      </c>
      <c r="B221" s="11"/>
      <c r="C221" s="11" t="s">
        <v>64</v>
      </c>
      <c r="D221" s="23"/>
      <c r="E221" s="6">
        <v>4588601</v>
      </c>
      <c r="F221" s="23"/>
      <c r="G221" s="6">
        <v>0</v>
      </c>
      <c r="H221" s="23"/>
      <c r="I221" s="6">
        <f>9444021+1912943</f>
        <v>11356964</v>
      </c>
      <c r="J221" s="23"/>
      <c r="K221" s="6">
        <v>41044</v>
      </c>
      <c r="L221" s="23"/>
      <c r="M221" s="6">
        <f>416514+12018+169782+483</f>
        <v>598797</v>
      </c>
      <c r="N221" s="23"/>
      <c r="O221" s="6">
        <v>153303</v>
      </c>
      <c r="P221" s="23"/>
      <c r="Q221" s="6">
        <v>0</v>
      </c>
      <c r="R221" s="23"/>
      <c r="S221" s="6">
        <v>0</v>
      </c>
      <c r="T221" s="23"/>
      <c r="U221" s="6">
        <v>235845</v>
      </c>
      <c r="V221" s="23"/>
      <c r="W221" s="33">
        <f t="shared" si="29"/>
        <v>16974554</v>
      </c>
      <c r="X221" s="23"/>
      <c r="Y221" s="23">
        <v>236511</v>
      </c>
      <c r="Z221" s="23"/>
      <c r="AA221" s="23">
        <v>0</v>
      </c>
      <c r="AB221" s="23"/>
      <c r="AC221" s="23">
        <v>0</v>
      </c>
      <c r="AD221" s="23"/>
      <c r="AE221" s="23">
        <v>0</v>
      </c>
      <c r="AF221" s="23"/>
      <c r="AG221" s="23">
        <v>0</v>
      </c>
      <c r="AH221" s="23"/>
      <c r="AI221" s="23">
        <v>0</v>
      </c>
      <c r="AJ221" s="23"/>
      <c r="AK221" s="23">
        <v>0</v>
      </c>
      <c r="AL221" s="23"/>
      <c r="AM221" s="33">
        <f t="shared" si="38"/>
        <v>236511</v>
      </c>
      <c r="AN221" s="23"/>
      <c r="AO221" s="33">
        <f t="shared" si="36"/>
        <v>17211065</v>
      </c>
      <c r="AP221" s="33"/>
    </row>
    <row r="222" spans="1:42" hidden="1">
      <c r="A222" s="11" t="s">
        <v>790</v>
      </c>
      <c r="B222" s="11"/>
      <c r="C222" s="11" t="s">
        <v>28</v>
      </c>
      <c r="D222" s="23"/>
      <c r="E222" s="6"/>
      <c r="F222" s="23"/>
      <c r="G222" s="6"/>
      <c r="H222" s="23"/>
      <c r="I222" s="6"/>
      <c r="J222" s="23"/>
      <c r="K222" s="6"/>
      <c r="L222" s="23"/>
      <c r="M222" s="6"/>
      <c r="N222" s="23"/>
      <c r="O222" s="6"/>
      <c r="P222" s="23"/>
      <c r="Q222" s="6"/>
      <c r="R222" s="23"/>
      <c r="S222" s="6"/>
      <c r="T222" s="23"/>
      <c r="U222" s="6"/>
      <c r="V222" s="23"/>
      <c r="W222" s="33">
        <f t="shared" si="29"/>
        <v>0</v>
      </c>
      <c r="X222" s="23"/>
      <c r="Y222" s="23"/>
      <c r="Z222" s="23"/>
      <c r="AA222" s="23">
        <v>0</v>
      </c>
      <c r="AB222" s="23"/>
      <c r="AC222" s="23"/>
      <c r="AD222" s="23"/>
      <c r="AE222" s="23"/>
      <c r="AF222" s="23"/>
      <c r="AG222" s="23"/>
      <c r="AH222" s="23"/>
      <c r="AI222" s="23"/>
      <c r="AJ222" s="23"/>
      <c r="AK222" s="23">
        <v>0</v>
      </c>
      <c r="AL222" s="23"/>
      <c r="AM222" s="33">
        <f t="shared" si="38"/>
        <v>0</v>
      </c>
      <c r="AN222" s="23"/>
      <c r="AO222" s="33">
        <f t="shared" si="36"/>
        <v>0</v>
      </c>
      <c r="AP222" s="33"/>
    </row>
    <row r="223" spans="1:42">
      <c r="A223" s="11" t="s">
        <v>240</v>
      </c>
      <c r="B223" s="11"/>
      <c r="C223" s="11" t="s">
        <v>113</v>
      </c>
      <c r="D223" s="23"/>
      <c r="E223" s="6">
        <v>6998294</v>
      </c>
      <c r="F223" s="23"/>
      <c r="G223" s="6">
        <v>2866726</v>
      </c>
      <c r="H223" s="23"/>
      <c r="I223" s="6">
        <v>15324764</v>
      </c>
      <c r="J223" s="23"/>
      <c r="K223" s="6">
        <v>44554</v>
      </c>
      <c r="L223" s="23"/>
      <c r="M223" s="6">
        <f>1715903+20060+420666</f>
        <v>2156629</v>
      </c>
      <c r="N223" s="23"/>
      <c r="O223" s="6">
        <v>181811</v>
      </c>
      <c r="P223" s="23"/>
      <c r="Q223" s="6">
        <v>83472</v>
      </c>
      <c r="R223" s="23"/>
      <c r="S223" s="6">
        <v>1600</v>
      </c>
      <c r="T223" s="23"/>
      <c r="U223" s="6">
        <v>490428</v>
      </c>
      <c r="V223" s="23"/>
      <c r="W223" s="33">
        <f t="shared" si="29"/>
        <v>28148278</v>
      </c>
      <c r="X223" s="23"/>
      <c r="Y223" s="23">
        <v>45948</v>
      </c>
      <c r="Z223" s="23"/>
      <c r="AA223" s="23">
        <v>0</v>
      </c>
      <c r="AB223" s="23"/>
      <c r="AC223" s="23">
        <v>0</v>
      </c>
      <c r="AD223" s="23"/>
      <c r="AE223" s="23">
        <v>0</v>
      </c>
      <c r="AF223" s="23"/>
      <c r="AG223" s="23">
        <v>0</v>
      </c>
      <c r="AH223" s="23"/>
      <c r="AI223" s="23">
        <v>0</v>
      </c>
      <c r="AJ223" s="23"/>
      <c r="AK223" s="23">
        <v>0</v>
      </c>
      <c r="AL223" s="23"/>
      <c r="AM223" s="33">
        <f t="shared" si="38"/>
        <v>45948</v>
      </c>
      <c r="AN223" s="23"/>
      <c r="AO223" s="33">
        <f t="shared" si="36"/>
        <v>28194226</v>
      </c>
      <c r="AP223" s="33"/>
    </row>
    <row r="224" spans="1:42" hidden="1">
      <c r="A224" s="11" t="s">
        <v>791</v>
      </c>
      <c r="B224" s="11"/>
      <c r="C224" s="11" t="s">
        <v>228</v>
      </c>
      <c r="D224" s="23"/>
      <c r="E224" s="6"/>
      <c r="F224" s="23"/>
      <c r="G224" s="6"/>
      <c r="H224" s="23"/>
      <c r="I224" s="6"/>
      <c r="J224" s="23"/>
      <c r="K224" s="6"/>
      <c r="L224" s="23"/>
      <c r="M224" s="6"/>
      <c r="N224" s="23"/>
      <c r="O224" s="6"/>
      <c r="P224" s="23"/>
      <c r="Q224" s="6"/>
      <c r="R224" s="23"/>
      <c r="S224" s="6"/>
      <c r="T224" s="23"/>
      <c r="U224" s="6"/>
      <c r="V224" s="23"/>
      <c r="W224" s="33">
        <f t="shared" ref="W224:W291" si="39">SUM(E224:U224)</f>
        <v>0</v>
      </c>
      <c r="X224" s="23"/>
      <c r="Y224" s="23"/>
      <c r="Z224" s="23"/>
      <c r="AA224" s="23">
        <v>0</v>
      </c>
      <c r="AB224" s="23"/>
      <c r="AC224" s="23"/>
      <c r="AD224" s="23"/>
      <c r="AE224" s="23"/>
      <c r="AF224" s="23"/>
      <c r="AG224" s="23"/>
      <c r="AH224" s="23"/>
      <c r="AI224" s="23"/>
      <c r="AJ224" s="23"/>
      <c r="AK224" s="23">
        <v>0</v>
      </c>
      <c r="AL224" s="23"/>
      <c r="AM224" s="33">
        <f t="shared" si="38"/>
        <v>0</v>
      </c>
      <c r="AN224" s="23"/>
      <c r="AO224" s="33">
        <f t="shared" si="36"/>
        <v>0</v>
      </c>
      <c r="AP224" s="33"/>
    </row>
    <row r="225" spans="1:42">
      <c r="A225" s="11" t="s">
        <v>208</v>
      </c>
      <c r="B225" s="11"/>
      <c r="C225" s="11" t="s">
        <v>12</v>
      </c>
      <c r="D225" s="23"/>
      <c r="E225" s="6">
        <v>4187680</v>
      </c>
      <c r="F225" s="23"/>
      <c r="G225" s="6">
        <v>0</v>
      </c>
      <c r="H225" s="23"/>
      <c r="I225" s="6">
        <v>8362318</v>
      </c>
      <c r="J225" s="23"/>
      <c r="K225" s="6">
        <v>33719</v>
      </c>
      <c r="L225" s="23"/>
      <c r="M225" s="6">
        <f>583760+196142+25084</f>
        <v>804986</v>
      </c>
      <c r="N225" s="23"/>
      <c r="O225" s="6">
        <v>146058</v>
      </c>
      <c r="P225" s="23"/>
      <c r="Q225" s="6">
        <v>0</v>
      </c>
      <c r="R225" s="23"/>
      <c r="S225" s="6">
        <v>3074</v>
      </c>
      <c r="T225" s="23"/>
      <c r="U225" s="6">
        <v>66023</v>
      </c>
      <c r="V225" s="23"/>
      <c r="W225" s="33">
        <f t="shared" si="39"/>
        <v>13603858</v>
      </c>
      <c r="X225" s="23"/>
      <c r="Y225" s="23">
        <v>8000</v>
      </c>
      <c r="Z225" s="23"/>
      <c r="AA225" s="23">
        <v>0</v>
      </c>
      <c r="AB225" s="23"/>
      <c r="AC225" s="23">
        <f>8689988+798796</f>
        <v>9488784</v>
      </c>
      <c r="AD225" s="23"/>
      <c r="AE225" s="23">
        <v>0</v>
      </c>
      <c r="AF225" s="23"/>
      <c r="AG225" s="23">
        <v>0</v>
      </c>
      <c r="AH225" s="23"/>
      <c r="AI225" s="23">
        <v>0</v>
      </c>
      <c r="AJ225" s="23"/>
      <c r="AK225" s="23">
        <v>0</v>
      </c>
      <c r="AL225" s="23"/>
      <c r="AM225" s="33">
        <f t="shared" si="38"/>
        <v>9496784</v>
      </c>
      <c r="AN225" s="23"/>
      <c r="AO225" s="33">
        <f t="shared" si="36"/>
        <v>23100642</v>
      </c>
      <c r="AP225" s="33"/>
    </row>
    <row r="226" spans="1:42">
      <c r="A226" s="11" t="s">
        <v>303</v>
      </c>
      <c r="B226" s="11"/>
      <c r="C226" s="11" t="s">
        <v>27</v>
      </c>
      <c r="D226" s="23"/>
      <c r="E226" s="6">
        <v>12261921</v>
      </c>
      <c r="F226" s="23"/>
      <c r="G226" s="6">
        <v>0</v>
      </c>
      <c r="H226" s="23"/>
      <c r="I226" s="6">
        <f>4062006+768166</f>
        <v>4830172</v>
      </c>
      <c r="J226" s="23"/>
      <c r="K226" s="6">
        <v>18543</v>
      </c>
      <c r="L226" s="23"/>
      <c r="M226" s="6">
        <v>253801</v>
      </c>
      <c r="N226" s="23"/>
      <c r="O226" s="6">
        <v>0</v>
      </c>
      <c r="P226" s="23"/>
      <c r="Q226" s="6">
        <v>409091</v>
      </c>
      <c r="R226" s="23"/>
      <c r="S226" s="6">
        <v>0</v>
      </c>
      <c r="T226" s="23"/>
      <c r="U226" s="6">
        <v>345429</v>
      </c>
      <c r="V226" s="23"/>
      <c r="W226" s="33">
        <f t="shared" si="39"/>
        <v>18118957</v>
      </c>
      <c r="X226" s="23"/>
      <c r="Y226" s="23">
        <v>24768</v>
      </c>
      <c r="Z226" s="23"/>
      <c r="AA226" s="23">
        <v>0</v>
      </c>
      <c r="AB226" s="23"/>
      <c r="AC226" s="23">
        <v>110476</v>
      </c>
      <c r="AD226" s="23"/>
      <c r="AE226" s="23">
        <v>0</v>
      </c>
      <c r="AF226" s="23"/>
      <c r="AG226" s="23">
        <v>0</v>
      </c>
      <c r="AH226" s="23"/>
      <c r="AI226" s="23">
        <v>0</v>
      </c>
      <c r="AJ226" s="23"/>
      <c r="AK226" s="23">
        <v>0</v>
      </c>
      <c r="AL226" s="23"/>
      <c r="AM226" s="33">
        <f t="shared" si="38"/>
        <v>135244</v>
      </c>
      <c r="AN226" s="23"/>
      <c r="AO226" s="33">
        <f t="shared" si="36"/>
        <v>18254201</v>
      </c>
      <c r="AP226" s="33"/>
    </row>
    <row r="227" spans="1:42">
      <c r="A227" s="11" t="s">
        <v>666</v>
      </c>
      <c r="B227" s="11"/>
      <c r="C227" s="11" t="s">
        <v>42</v>
      </c>
      <c r="D227" s="23"/>
      <c r="E227" s="6">
        <v>16268510</v>
      </c>
      <c r="F227" s="23"/>
      <c r="G227" s="6">
        <v>0</v>
      </c>
      <c r="H227" s="23"/>
      <c r="I227" s="6">
        <v>8655657</v>
      </c>
      <c r="J227" s="23"/>
      <c r="K227" s="6">
        <v>14850</v>
      </c>
      <c r="L227" s="23"/>
      <c r="M227" s="6">
        <f>675462+151905</f>
        <v>827367</v>
      </c>
      <c r="N227" s="23"/>
      <c r="O227" s="6">
        <v>386304</v>
      </c>
      <c r="P227" s="23"/>
      <c r="Q227" s="6">
        <v>94681</v>
      </c>
      <c r="R227" s="23"/>
      <c r="S227" s="6">
        <v>45160</v>
      </c>
      <c r="T227" s="23"/>
      <c r="U227" s="6">
        <v>210904</v>
      </c>
      <c r="V227" s="23"/>
      <c r="W227" s="33">
        <f t="shared" si="39"/>
        <v>26503433</v>
      </c>
      <c r="X227" s="23"/>
      <c r="Y227" s="23">
        <v>0</v>
      </c>
      <c r="Z227" s="23"/>
      <c r="AA227" s="23">
        <v>0</v>
      </c>
      <c r="AB227" s="23"/>
      <c r="AC227" s="23">
        <v>0</v>
      </c>
      <c r="AD227" s="23"/>
      <c r="AE227" s="23">
        <v>0</v>
      </c>
      <c r="AF227" s="23"/>
      <c r="AG227" s="23">
        <v>0</v>
      </c>
      <c r="AH227" s="23"/>
      <c r="AI227" s="23">
        <v>1500</v>
      </c>
      <c r="AJ227" s="23"/>
      <c r="AK227" s="23">
        <v>0</v>
      </c>
      <c r="AL227" s="23"/>
      <c r="AM227" s="33">
        <f t="shared" si="38"/>
        <v>1500</v>
      </c>
      <c r="AN227" s="23"/>
      <c r="AO227" s="33">
        <f t="shared" si="36"/>
        <v>26504933</v>
      </c>
      <c r="AP227" s="33"/>
    </row>
    <row r="228" spans="1:42">
      <c r="A228" s="11" t="s">
        <v>481</v>
      </c>
      <c r="B228" s="11"/>
      <c r="C228" s="11" t="s">
        <v>59</v>
      </c>
      <c r="D228" s="23"/>
      <c r="E228" s="6">
        <v>1287759</v>
      </c>
      <c r="F228" s="23"/>
      <c r="G228" s="6">
        <v>0</v>
      </c>
      <c r="H228" s="23"/>
      <c r="I228" s="6">
        <v>5318201</v>
      </c>
      <c r="J228" s="23"/>
      <c r="K228" s="6">
        <v>31</v>
      </c>
      <c r="L228" s="23"/>
      <c r="M228" s="6">
        <f>472644+25546+56915</f>
        <v>555105</v>
      </c>
      <c r="N228" s="23"/>
      <c r="O228" s="6">
        <v>66592</v>
      </c>
      <c r="P228" s="23"/>
      <c r="Q228" s="6">
        <v>105375</v>
      </c>
      <c r="R228" s="23"/>
      <c r="S228" s="6">
        <v>35767</v>
      </c>
      <c r="T228" s="23"/>
      <c r="U228" s="6">
        <v>182746</v>
      </c>
      <c r="V228" s="23"/>
      <c r="W228" s="33">
        <f t="shared" si="39"/>
        <v>7551576</v>
      </c>
      <c r="X228" s="23"/>
      <c r="Y228" s="23">
        <v>0</v>
      </c>
      <c r="Z228" s="23"/>
      <c r="AA228" s="23">
        <v>0</v>
      </c>
      <c r="AB228" s="23"/>
      <c r="AC228" s="23">
        <v>0</v>
      </c>
      <c r="AD228" s="23"/>
      <c r="AE228" s="23">
        <v>0</v>
      </c>
      <c r="AF228" s="23"/>
      <c r="AG228" s="23">
        <v>0</v>
      </c>
      <c r="AH228" s="23"/>
      <c r="AI228" s="23">
        <v>1908</v>
      </c>
      <c r="AJ228" s="23"/>
      <c r="AK228" s="23">
        <v>0</v>
      </c>
      <c r="AL228" s="23"/>
      <c r="AM228" s="33">
        <f t="shared" si="38"/>
        <v>1908</v>
      </c>
      <c r="AN228" s="23"/>
      <c r="AO228" s="33">
        <f t="shared" si="36"/>
        <v>7553484</v>
      </c>
      <c r="AP228" s="33"/>
    </row>
    <row r="229" spans="1:42">
      <c r="A229" s="11" t="s">
        <v>481</v>
      </c>
      <c r="B229" s="11"/>
      <c r="C229" s="11" t="s">
        <v>63</v>
      </c>
      <c r="D229" s="23"/>
      <c r="E229" s="6">
        <v>23041597</v>
      </c>
      <c r="F229" s="23"/>
      <c r="G229" s="6">
        <v>0</v>
      </c>
      <c r="H229" s="23"/>
      <c r="I229" s="6">
        <v>15697737</v>
      </c>
      <c r="J229" s="23"/>
      <c r="K229" s="6">
        <v>7774</v>
      </c>
      <c r="L229" s="23"/>
      <c r="M229" s="6">
        <f>1002271+12713+781807</f>
        <v>1796791</v>
      </c>
      <c r="N229" s="23"/>
      <c r="O229" s="6">
        <v>817000</v>
      </c>
      <c r="P229" s="23"/>
      <c r="Q229" s="6">
        <v>0</v>
      </c>
      <c r="R229" s="23"/>
      <c r="S229" s="6">
        <v>68716</v>
      </c>
      <c r="T229" s="23"/>
      <c r="U229" s="6">
        <v>63695</v>
      </c>
      <c r="V229" s="23"/>
      <c r="W229" s="33">
        <f t="shared" si="39"/>
        <v>41493310</v>
      </c>
      <c r="X229" s="23"/>
      <c r="Y229" s="23">
        <v>0</v>
      </c>
      <c r="Z229" s="23"/>
      <c r="AA229" s="23">
        <v>0</v>
      </c>
      <c r="AB229" s="23"/>
      <c r="AC229" s="23">
        <v>0</v>
      </c>
      <c r="AD229" s="23"/>
      <c r="AE229" s="23">
        <v>0</v>
      </c>
      <c r="AF229" s="23"/>
      <c r="AG229" s="23">
        <v>0</v>
      </c>
      <c r="AH229" s="23"/>
      <c r="AI229" s="23">
        <v>36763</v>
      </c>
      <c r="AJ229" s="23"/>
      <c r="AK229" s="23">
        <v>0</v>
      </c>
      <c r="AL229" s="23"/>
      <c r="AM229" s="33">
        <f t="shared" si="38"/>
        <v>36763</v>
      </c>
      <c r="AN229" s="23"/>
      <c r="AO229" s="33">
        <f t="shared" si="36"/>
        <v>41530073</v>
      </c>
      <c r="AP229" s="33"/>
    </row>
    <row r="230" spans="1:42" hidden="1">
      <c r="A230" s="10" t="s">
        <v>856</v>
      </c>
      <c r="B230" s="11"/>
      <c r="C230" s="11" t="s">
        <v>71</v>
      </c>
      <c r="D230" s="23"/>
      <c r="E230" s="6"/>
      <c r="F230" s="23"/>
      <c r="G230" s="6"/>
      <c r="H230" s="23"/>
      <c r="I230" s="6"/>
      <c r="J230" s="23"/>
      <c r="K230" s="6"/>
      <c r="L230" s="23"/>
      <c r="M230" s="6"/>
      <c r="N230" s="23"/>
      <c r="O230" s="6"/>
      <c r="P230" s="23"/>
      <c r="Q230" s="6"/>
      <c r="R230" s="23"/>
      <c r="S230" s="6"/>
      <c r="T230" s="23"/>
      <c r="U230" s="6"/>
      <c r="V230" s="23"/>
      <c r="W230" s="33">
        <f t="shared" si="39"/>
        <v>0</v>
      </c>
      <c r="X230" s="23"/>
      <c r="Y230" s="23"/>
      <c r="Z230" s="23"/>
      <c r="AA230" s="23">
        <v>0</v>
      </c>
      <c r="AB230" s="23"/>
      <c r="AC230" s="23"/>
      <c r="AD230" s="23"/>
      <c r="AE230" s="23"/>
      <c r="AF230" s="23"/>
      <c r="AG230" s="23"/>
      <c r="AH230" s="23"/>
      <c r="AI230" s="23"/>
      <c r="AJ230" s="23"/>
      <c r="AK230" s="23">
        <v>0</v>
      </c>
      <c r="AL230" s="23"/>
      <c r="AM230" s="33">
        <f t="shared" si="38"/>
        <v>0</v>
      </c>
      <c r="AN230" s="23"/>
      <c r="AO230" s="33">
        <f t="shared" si="36"/>
        <v>0</v>
      </c>
      <c r="AP230" s="33"/>
    </row>
    <row r="231" spans="1:42">
      <c r="A231" s="11" t="s">
        <v>318</v>
      </c>
      <c r="B231" s="11"/>
      <c r="C231" s="11" t="s">
        <v>114</v>
      </c>
      <c r="D231" s="23"/>
      <c r="E231" s="6">
        <v>4334254</v>
      </c>
      <c r="F231" s="23"/>
      <c r="G231" s="6">
        <v>1682455</v>
      </c>
      <c r="H231" s="23"/>
      <c r="I231" s="6">
        <v>10885501</v>
      </c>
      <c r="J231" s="23"/>
      <c r="K231" s="6">
        <v>47740</v>
      </c>
      <c r="L231" s="23"/>
      <c r="M231" s="6">
        <f>924448+218512+8072</f>
        <v>1151032</v>
      </c>
      <c r="N231" s="23"/>
      <c r="O231" s="6">
        <v>196017</v>
      </c>
      <c r="P231" s="23"/>
      <c r="Q231" s="6">
        <v>0</v>
      </c>
      <c r="R231" s="23"/>
      <c r="S231" s="6">
        <v>145506</v>
      </c>
      <c r="T231" s="23"/>
      <c r="U231" s="6">
        <v>43292</v>
      </c>
      <c r="V231" s="23"/>
      <c r="W231" s="33">
        <f t="shared" si="39"/>
        <v>18485797</v>
      </c>
      <c r="X231" s="23"/>
      <c r="Y231" s="23">
        <v>85000</v>
      </c>
      <c r="Z231" s="23"/>
      <c r="AA231" s="23">
        <v>0</v>
      </c>
      <c r="AB231" s="23"/>
      <c r="AC231" s="23">
        <v>0</v>
      </c>
      <c r="AD231" s="23"/>
      <c r="AE231" s="23">
        <v>0</v>
      </c>
      <c r="AF231" s="23"/>
      <c r="AG231" s="23">
        <v>0</v>
      </c>
      <c r="AH231" s="23"/>
      <c r="AI231" s="23">
        <v>4197</v>
      </c>
      <c r="AJ231" s="23"/>
      <c r="AK231" s="23">
        <v>0</v>
      </c>
      <c r="AL231" s="23"/>
      <c r="AM231" s="33">
        <f t="shared" si="38"/>
        <v>89197</v>
      </c>
      <c r="AN231" s="23"/>
      <c r="AO231" s="33">
        <f t="shared" si="36"/>
        <v>18574994</v>
      </c>
      <c r="AP231" s="33"/>
    </row>
    <row r="232" spans="1:42">
      <c r="A232" s="11" t="s">
        <v>760</v>
      </c>
      <c r="B232" s="11"/>
      <c r="C232" s="11" t="s">
        <v>348</v>
      </c>
      <c r="D232" s="23"/>
      <c r="E232" s="6">
        <v>3473602</v>
      </c>
      <c r="F232" s="23"/>
      <c r="G232" s="6">
        <v>1737664</v>
      </c>
      <c r="H232" s="23"/>
      <c r="I232" s="6">
        <v>15917352</v>
      </c>
      <c r="J232" s="23"/>
      <c r="K232" s="6">
        <v>32337</v>
      </c>
      <c r="L232" s="23"/>
      <c r="M232" s="6">
        <f>499778+1850+212501</f>
        <v>714129</v>
      </c>
      <c r="N232" s="23"/>
      <c r="O232" s="6">
        <v>138348</v>
      </c>
      <c r="P232" s="23"/>
      <c r="Q232" s="6">
        <v>0</v>
      </c>
      <c r="R232" s="23"/>
      <c r="S232" s="6">
        <v>41530</v>
      </c>
      <c r="T232" s="23"/>
      <c r="U232" s="6">
        <v>178452</v>
      </c>
      <c r="V232" s="23"/>
      <c r="W232" s="33">
        <f t="shared" si="39"/>
        <v>22233414</v>
      </c>
      <c r="X232" s="23"/>
      <c r="Y232" s="23">
        <v>255000</v>
      </c>
      <c r="Z232" s="23"/>
      <c r="AA232" s="23">
        <v>0</v>
      </c>
      <c r="AB232" s="23"/>
      <c r="AC232" s="23">
        <v>0</v>
      </c>
      <c r="AD232" s="23"/>
      <c r="AE232" s="23">
        <v>0</v>
      </c>
      <c r="AF232" s="23"/>
      <c r="AG232" s="23">
        <v>0</v>
      </c>
      <c r="AH232" s="23"/>
      <c r="AI232" s="23">
        <v>0</v>
      </c>
      <c r="AJ232" s="23"/>
      <c r="AK232" s="23">
        <v>0</v>
      </c>
      <c r="AL232" s="23"/>
      <c r="AM232" s="33">
        <f t="shared" si="38"/>
        <v>255000</v>
      </c>
      <c r="AN232" s="23"/>
      <c r="AO232" s="33">
        <f t="shared" si="36"/>
        <v>22488414</v>
      </c>
      <c r="AP232" s="33"/>
    </row>
    <row r="233" spans="1:42">
      <c r="A233" s="11" t="s">
        <v>232</v>
      </c>
      <c r="B233" s="11"/>
      <c r="C233" s="11" t="s">
        <v>17</v>
      </c>
      <c r="D233" s="23"/>
      <c r="E233" s="6">
        <v>6414850</v>
      </c>
      <c r="F233" s="23"/>
      <c r="G233" s="6">
        <v>0</v>
      </c>
      <c r="H233" s="23"/>
      <c r="I233" s="6">
        <v>9110667</v>
      </c>
      <c r="J233" s="23"/>
      <c r="K233" s="6">
        <v>12569</v>
      </c>
      <c r="L233" s="23"/>
      <c r="M233" s="6">
        <f>413404+857517+10532</f>
        <v>1281453</v>
      </c>
      <c r="N233" s="23"/>
      <c r="O233" s="6">
        <v>326290</v>
      </c>
      <c r="P233" s="23"/>
      <c r="Q233" s="6">
        <v>0</v>
      </c>
      <c r="R233" s="23"/>
      <c r="S233" s="6">
        <v>40932</v>
      </c>
      <c r="T233" s="23"/>
      <c r="U233" s="6">
        <v>32694</v>
      </c>
      <c r="V233" s="23"/>
      <c r="W233" s="33">
        <f t="shared" si="39"/>
        <v>17219455</v>
      </c>
      <c r="X233" s="23"/>
      <c r="Y233" s="23">
        <v>21321</v>
      </c>
      <c r="Z233" s="23"/>
      <c r="AA233" s="23">
        <v>0</v>
      </c>
      <c r="AB233" s="23"/>
      <c r="AC233" s="23">
        <v>84000</v>
      </c>
      <c r="AD233" s="23"/>
      <c r="AE233" s="23">
        <v>0</v>
      </c>
      <c r="AF233" s="23"/>
      <c r="AG233" s="23">
        <v>0</v>
      </c>
      <c r="AH233" s="23"/>
      <c r="AI233" s="23">
        <v>62418</v>
      </c>
      <c r="AJ233" s="23"/>
      <c r="AK233" s="23">
        <v>0</v>
      </c>
      <c r="AL233" s="23"/>
      <c r="AM233" s="33">
        <f t="shared" si="38"/>
        <v>167739</v>
      </c>
      <c r="AN233" s="23"/>
      <c r="AO233" s="33">
        <f t="shared" si="36"/>
        <v>17387194</v>
      </c>
      <c r="AP233" s="33"/>
    </row>
    <row r="234" spans="1:42">
      <c r="A234" s="11" t="s">
        <v>282</v>
      </c>
      <c r="B234" s="11"/>
      <c r="C234" s="11" t="s">
        <v>21</v>
      </c>
      <c r="D234" s="23"/>
      <c r="E234" s="6">
        <v>9486224</v>
      </c>
      <c r="F234" s="23"/>
      <c r="G234" s="6">
        <v>1889147</v>
      </c>
      <c r="H234" s="23"/>
      <c r="I234" s="6">
        <v>16361335</v>
      </c>
      <c r="J234" s="23"/>
      <c r="K234" s="6">
        <v>25894</v>
      </c>
      <c r="L234" s="23"/>
      <c r="M234" s="6">
        <f>506688+13706+363638</f>
        <v>884032</v>
      </c>
      <c r="N234" s="23"/>
      <c r="O234" s="6">
        <v>345702</v>
      </c>
      <c r="P234" s="23"/>
      <c r="Q234" s="6">
        <v>42418</v>
      </c>
      <c r="R234" s="23"/>
      <c r="S234" s="6">
        <v>61508</v>
      </c>
      <c r="T234" s="23"/>
      <c r="U234" s="6">
        <v>70788</v>
      </c>
      <c r="V234" s="23"/>
      <c r="W234" s="33">
        <f t="shared" si="39"/>
        <v>29167048</v>
      </c>
      <c r="X234" s="23"/>
      <c r="Y234" s="23">
        <v>218836</v>
      </c>
      <c r="Z234" s="23"/>
      <c r="AA234" s="23">
        <v>0</v>
      </c>
      <c r="AB234" s="23"/>
      <c r="AC234" s="23">
        <v>0</v>
      </c>
      <c r="AD234" s="23"/>
      <c r="AE234" s="23">
        <v>0</v>
      </c>
      <c r="AF234" s="23"/>
      <c r="AG234" s="23">
        <v>0</v>
      </c>
      <c r="AH234" s="23"/>
      <c r="AI234" s="23">
        <v>0</v>
      </c>
      <c r="AJ234" s="23"/>
      <c r="AK234" s="23">
        <v>0</v>
      </c>
      <c r="AL234" s="23"/>
      <c r="AM234" s="33">
        <f t="shared" si="38"/>
        <v>218836</v>
      </c>
      <c r="AN234" s="23"/>
      <c r="AO234" s="33">
        <f t="shared" si="36"/>
        <v>29385884</v>
      </c>
      <c r="AP234" s="33"/>
    </row>
    <row r="235" spans="1:42">
      <c r="A235" s="11" t="s">
        <v>304</v>
      </c>
      <c r="B235" s="11"/>
      <c r="C235" s="11" t="s">
        <v>27</v>
      </c>
      <c r="D235" s="23"/>
      <c r="E235" s="6">
        <v>24856207</v>
      </c>
      <c r="F235" s="23"/>
      <c r="G235" s="6">
        <v>0</v>
      </c>
      <c r="H235" s="23"/>
      <c r="I235" s="6">
        <v>41652911</v>
      </c>
      <c r="J235" s="23"/>
      <c r="K235" s="6">
        <v>5072</v>
      </c>
      <c r="L235" s="23"/>
      <c r="M235" s="6">
        <f>750616+1575986</f>
        <v>2326602</v>
      </c>
      <c r="N235" s="23"/>
      <c r="O235" s="6">
        <v>239088</v>
      </c>
      <c r="P235" s="23"/>
      <c r="Q235" s="6">
        <v>801128</v>
      </c>
      <c r="R235" s="23"/>
      <c r="S235" s="6">
        <v>16880</v>
      </c>
      <c r="T235" s="23"/>
      <c r="U235" s="6">
        <v>381255</v>
      </c>
      <c r="V235" s="23"/>
      <c r="W235" s="33">
        <f t="shared" si="39"/>
        <v>70279143</v>
      </c>
      <c r="X235" s="23"/>
      <c r="Y235" s="23">
        <v>390018</v>
      </c>
      <c r="Z235" s="23"/>
      <c r="AA235" s="23">
        <v>0</v>
      </c>
      <c r="AB235" s="23"/>
      <c r="AC235" s="23">
        <f>5739650+4445895</f>
        <v>10185545</v>
      </c>
      <c r="AD235" s="23"/>
      <c r="AE235" s="23">
        <v>0</v>
      </c>
      <c r="AF235" s="23"/>
      <c r="AG235" s="23">
        <v>0</v>
      </c>
      <c r="AH235" s="23"/>
      <c r="AI235" s="23">
        <v>911</v>
      </c>
      <c r="AJ235" s="23"/>
      <c r="AK235" s="23">
        <v>0</v>
      </c>
      <c r="AL235" s="23"/>
      <c r="AM235" s="33">
        <f t="shared" si="38"/>
        <v>10576474</v>
      </c>
      <c r="AN235" s="23"/>
      <c r="AO235" s="33">
        <f t="shared" si="36"/>
        <v>80855617</v>
      </c>
      <c r="AP235" s="33"/>
    </row>
    <row r="236" spans="1:42" hidden="1">
      <c r="A236" s="10" t="s">
        <v>857</v>
      </c>
      <c r="B236" s="11"/>
      <c r="C236" s="11" t="s">
        <v>221</v>
      </c>
      <c r="D236" s="23"/>
      <c r="E236" s="6"/>
      <c r="F236" s="23"/>
      <c r="G236" s="6"/>
      <c r="H236" s="23"/>
      <c r="I236" s="6"/>
      <c r="J236" s="23"/>
      <c r="K236" s="6"/>
      <c r="L236" s="23"/>
      <c r="M236" s="6"/>
      <c r="N236" s="23"/>
      <c r="O236" s="6"/>
      <c r="P236" s="23"/>
      <c r="Q236" s="6"/>
      <c r="R236" s="23"/>
      <c r="S236" s="6"/>
      <c r="T236" s="23"/>
      <c r="U236" s="6"/>
      <c r="V236" s="23"/>
      <c r="W236" s="33">
        <f t="shared" si="39"/>
        <v>0</v>
      </c>
      <c r="X236" s="23"/>
      <c r="Y236" s="23"/>
      <c r="Z236" s="23"/>
      <c r="AA236" s="23">
        <v>0</v>
      </c>
      <c r="AB236" s="23"/>
      <c r="AC236" s="23"/>
      <c r="AD236" s="23"/>
      <c r="AE236" s="23"/>
      <c r="AF236" s="23"/>
      <c r="AG236" s="23"/>
      <c r="AH236" s="23"/>
      <c r="AI236" s="23"/>
      <c r="AJ236" s="23"/>
      <c r="AK236" s="23">
        <v>0</v>
      </c>
      <c r="AL236" s="23"/>
      <c r="AM236" s="33">
        <f t="shared" ref="AM236:AM258" si="40">AI236+AC236+Y236</f>
        <v>0</v>
      </c>
      <c r="AN236" s="23"/>
      <c r="AO236" s="33">
        <f t="shared" si="36"/>
        <v>0</v>
      </c>
      <c r="AP236" s="33"/>
    </row>
    <row r="237" spans="1:42">
      <c r="A237" s="10" t="s">
        <v>802</v>
      </c>
      <c r="B237" s="11"/>
      <c r="C237" s="11" t="s">
        <v>27</v>
      </c>
      <c r="D237" s="23"/>
      <c r="E237" s="6">
        <v>6826407</v>
      </c>
      <c r="F237" s="23"/>
      <c r="G237" s="6">
        <v>0</v>
      </c>
      <c r="H237" s="23"/>
      <c r="I237" s="6">
        <v>22394489</v>
      </c>
      <c r="J237" s="23"/>
      <c r="K237" s="6">
        <v>16544</v>
      </c>
      <c r="L237" s="23"/>
      <c r="M237" s="6">
        <f>375259+34184</f>
        <v>409443</v>
      </c>
      <c r="N237" s="23"/>
      <c r="O237" s="6">
        <v>380179</v>
      </c>
      <c r="P237" s="23"/>
      <c r="Q237" s="6">
        <v>708466</v>
      </c>
      <c r="R237" s="23"/>
      <c r="S237" s="6">
        <v>0</v>
      </c>
      <c r="T237" s="23"/>
      <c r="U237" s="6">
        <v>277780</v>
      </c>
      <c r="V237" s="23"/>
      <c r="W237" s="33">
        <f t="shared" si="39"/>
        <v>31013308</v>
      </c>
      <c r="X237" s="23"/>
      <c r="Y237" s="23">
        <v>137885</v>
      </c>
      <c r="Z237" s="23"/>
      <c r="AA237" s="23">
        <v>0</v>
      </c>
      <c r="AB237" s="23"/>
      <c r="AC237" s="23">
        <v>87210</v>
      </c>
      <c r="AD237" s="23"/>
      <c r="AE237" s="23">
        <v>0</v>
      </c>
      <c r="AF237" s="23"/>
      <c r="AG237" s="23">
        <v>0</v>
      </c>
      <c r="AH237" s="23"/>
      <c r="AI237" s="23">
        <v>0</v>
      </c>
      <c r="AJ237" s="23"/>
      <c r="AK237" s="23">
        <v>0</v>
      </c>
      <c r="AL237" s="23"/>
      <c r="AM237" s="33">
        <f t="shared" si="40"/>
        <v>225095</v>
      </c>
      <c r="AN237" s="23"/>
      <c r="AO237" s="33">
        <f t="shared" si="36"/>
        <v>31238403</v>
      </c>
      <c r="AP237" s="33"/>
    </row>
    <row r="238" spans="1:42" ht="12" customHeight="1">
      <c r="A238" s="10" t="s">
        <v>340</v>
      </c>
      <c r="B238" s="11"/>
      <c r="C238" s="11" t="s">
        <v>339</v>
      </c>
      <c r="D238" s="23"/>
      <c r="E238" s="6">
        <v>1508448</v>
      </c>
      <c r="F238" s="23"/>
      <c r="G238" s="6">
        <v>922795</v>
      </c>
      <c r="H238" s="23"/>
      <c r="I238" s="6">
        <v>3036450</v>
      </c>
      <c r="J238" s="23"/>
      <c r="K238" s="6">
        <v>2702</v>
      </c>
      <c r="L238" s="23"/>
      <c r="M238" s="6">
        <f>458252+83450+15620</f>
        <v>557322</v>
      </c>
      <c r="N238" s="23"/>
      <c r="O238" s="6">
        <v>62049</v>
      </c>
      <c r="P238" s="23"/>
      <c r="Q238" s="6">
        <v>0</v>
      </c>
      <c r="R238" s="23"/>
      <c r="S238" s="6">
        <v>0</v>
      </c>
      <c r="T238" s="23"/>
      <c r="U238" s="6">
        <v>10526</v>
      </c>
      <c r="V238" s="23"/>
      <c r="W238" s="33">
        <f t="shared" si="39"/>
        <v>6100292</v>
      </c>
      <c r="X238" s="23"/>
      <c r="Y238" s="23">
        <v>0</v>
      </c>
      <c r="Z238" s="23"/>
      <c r="AA238" s="23">
        <v>0</v>
      </c>
      <c r="AB238" s="23"/>
      <c r="AC238" s="23">
        <v>0</v>
      </c>
      <c r="AD238" s="23"/>
      <c r="AE238" s="23">
        <v>0</v>
      </c>
      <c r="AF238" s="23"/>
      <c r="AG238" s="23">
        <v>0</v>
      </c>
      <c r="AH238" s="23"/>
      <c r="AI238" s="23">
        <v>341</v>
      </c>
      <c r="AJ238" s="23"/>
      <c r="AK238" s="23">
        <v>0</v>
      </c>
      <c r="AL238" s="23"/>
      <c r="AM238" s="33">
        <f t="shared" si="40"/>
        <v>341</v>
      </c>
      <c r="AN238" s="23"/>
      <c r="AO238" s="33">
        <f t="shared" si="36"/>
        <v>6100633</v>
      </c>
      <c r="AP238" s="33"/>
    </row>
    <row r="239" spans="1:42">
      <c r="A239" s="10" t="s">
        <v>491</v>
      </c>
      <c r="B239" s="11"/>
      <c r="C239" s="11" t="s">
        <v>61</v>
      </c>
      <c r="D239" s="23"/>
      <c r="E239" s="6">
        <v>2346588</v>
      </c>
      <c r="F239" s="23"/>
      <c r="G239" s="6">
        <v>694159</v>
      </c>
      <c r="H239" s="23"/>
      <c r="I239" s="6">
        <v>5329957</v>
      </c>
      <c r="J239" s="23"/>
      <c r="K239" s="6">
        <v>1248</v>
      </c>
      <c r="L239" s="23"/>
      <c r="M239" s="6">
        <f>1220430+149046</f>
        <v>1369476</v>
      </c>
      <c r="N239" s="23"/>
      <c r="O239" s="6">
        <v>61204</v>
      </c>
      <c r="P239" s="23"/>
      <c r="Q239" s="6">
        <v>0</v>
      </c>
      <c r="R239" s="23"/>
      <c r="S239" s="6">
        <v>8424</v>
      </c>
      <c r="T239" s="23"/>
      <c r="U239" s="6">
        <v>17947</v>
      </c>
      <c r="V239" s="23"/>
      <c r="W239" s="33">
        <f t="shared" si="39"/>
        <v>9829003</v>
      </c>
      <c r="X239" s="23"/>
      <c r="Y239" s="23">
        <v>0</v>
      </c>
      <c r="Z239" s="23"/>
      <c r="AA239" s="23">
        <v>0</v>
      </c>
      <c r="AB239" s="23"/>
      <c r="AC239" s="23">
        <v>0</v>
      </c>
      <c r="AD239" s="23"/>
      <c r="AE239" s="23">
        <v>0</v>
      </c>
      <c r="AF239" s="23"/>
      <c r="AG239" s="23">
        <v>0</v>
      </c>
      <c r="AH239" s="23"/>
      <c r="AI239" s="23">
        <v>59760</v>
      </c>
      <c r="AJ239" s="23"/>
      <c r="AK239" s="23">
        <v>0</v>
      </c>
      <c r="AL239" s="23"/>
      <c r="AM239" s="33">
        <f t="shared" si="40"/>
        <v>59760</v>
      </c>
      <c r="AN239" s="23"/>
      <c r="AO239" s="33">
        <f t="shared" si="36"/>
        <v>9888763</v>
      </c>
      <c r="AP239" s="33"/>
    </row>
    <row r="240" spans="1:42" hidden="1">
      <c r="A240" s="10" t="s">
        <v>858</v>
      </c>
      <c r="B240" s="11"/>
      <c r="C240" s="11" t="s">
        <v>343</v>
      </c>
      <c r="D240" s="23"/>
      <c r="E240" s="6"/>
      <c r="F240" s="23"/>
      <c r="G240" s="6"/>
      <c r="H240" s="23"/>
      <c r="I240" s="6"/>
      <c r="J240" s="23"/>
      <c r="K240" s="6"/>
      <c r="L240" s="23"/>
      <c r="M240" s="6"/>
      <c r="N240" s="23"/>
      <c r="O240" s="6"/>
      <c r="P240" s="23"/>
      <c r="Q240" s="6"/>
      <c r="R240" s="23"/>
      <c r="S240" s="6"/>
      <c r="T240" s="23"/>
      <c r="U240" s="6"/>
      <c r="V240" s="23"/>
      <c r="W240" s="33">
        <f t="shared" si="39"/>
        <v>0</v>
      </c>
      <c r="X240" s="23"/>
      <c r="Y240" s="23"/>
      <c r="Z240" s="23"/>
      <c r="AA240" s="23">
        <v>0</v>
      </c>
      <c r="AB240" s="23"/>
      <c r="AC240" s="23"/>
      <c r="AD240" s="23"/>
      <c r="AE240" s="23"/>
      <c r="AF240" s="23"/>
      <c r="AG240" s="23"/>
      <c r="AH240" s="23"/>
      <c r="AI240" s="23"/>
      <c r="AJ240" s="23"/>
      <c r="AK240" s="23">
        <v>0</v>
      </c>
      <c r="AL240" s="23"/>
      <c r="AM240" s="33">
        <f t="shared" si="40"/>
        <v>0</v>
      </c>
      <c r="AN240" s="23"/>
      <c r="AO240" s="33">
        <f t="shared" si="36"/>
        <v>0</v>
      </c>
      <c r="AP240" s="33"/>
    </row>
    <row r="241" spans="1:42">
      <c r="A241" s="11" t="s">
        <v>373</v>
      </c>
      <c r="B241" s="11"/>
      <c r="C241" s="11" t="s">
        <v>42</v>
      </c>
      <c r="D241" s="23"/>
      <c r="E241" s="6">
        <v>8381872</v>
      </c>
      <c r="F241" s="23"/>
      <c r="G241" s="6">
        <v>0</v>
      </c>
      <c r="H241" s="23"/>
      <c r="I241" s="6">
        <f>6115330+836314</f>
        <v>6951644</v>
      </c>
      <c r="J241" s="23"/>
      <c r="K241" s="6">
        <v>9590</v>
      </c>
      <c r="L241" s="23"/>
      <c r="M241" s="6">
        <f>66003+241808+64454</f>
        <v>372265</v>
      </c>
      <c r="N241" s="23"/>
      <c r="O241" s="6">
        <v>87820</v>
      </c>
      <c r="P241" s="23"/>
      <c r="Q241" s="6">
        <v>0</v>
      </c>
      <c r="R241" s="23"/>
      <c r="S241" s="6">
        <v>0</v>
      </c>
      <c r="T241" s="23"/>
      <c r="U241" s="6">
        <v>572818</v>
      </c>
      <c r="V241" s="23"/>
      <c r="W241" s="33">
        <f t="shared" si="39"/>
        <v>16376009</v>
      </c>
      <c r="X241" s="23"/>
      <c r="Y241" s="23">
        <v>0</v>
      </c>
      <c r="Z241" s="23"/>
      <c r="AA241" s="23">
        <v>0</v>
      </c>
      <c r="AB241" s="23"/>
      <c r="AC241" s="23">
        <v>0</v>
      </c>
      <c r="AD241" s="23"/>
      <c r="AE241" s="23">
        <v>0</v>
      </c>
      <c r="AF241" s="23"/>
      <c r="AG241" s="23">
        <v>0</v>
      </c>
      <c r="AH241" s="23"/>
      <c r="AI241" s="23">
        <v>0</v>
      </c>
      <c r="AJ241" s="23"/>
      <c r="AK241" s="23">
        <v>0</v>
      </c>
      <c r="AL241" s="23"/>
      <c r="AM241" s="33">
        <f t="shared" si="40"/>
        <v>0</v>
      </c>
      <c r="AN241" s="23"/>
      <c r="AO241" s="33">
        <f t="shared" si="36"/>
        <v>16376009</v>
      </c>
      <c r="AP241" s="33"/>
    </row>
    <row r="242" spans="1:42" hidden="1">
      <c r="A242" s="11" t="s">
        <v>667</v>
      </c>
      <c r="B242" s="11"/>
      <c r="C242" s="11" t="s">
        <v>22</v>
      </c>
      <c r="D242" s="23"/>
      <c r="E242" s="6"/>
      <c r="F242" s="23"/>
      <c r="G242" s="6"/>
      <c r="H242" s="23"/>
      <c r="I242" s="6"/>
      <c r="J242" s="23"/>
      <c r="K242" s="6"/>
      <c r="L242" s="23"/>
      <c r="M242" s="6"/>
      <c r="N242" s="23"/>
      <c r="O242" s="6"/>
      <c r="P242" s="23"/>
      <c r="Q242" s="6"/>
      <c r="R242" s="23"/>
      <c r="S242" s="6"/>
      <c r="T242" s="23"/>
      <c r="U242" s="6"/>
      <c r="V242" s="23"/>
      <c r="W242" s="33">
        <f t="shared" si="39"/>
        <v>0</v>
      </c>
      <c r="X242" s="23"/>
      <c r="Y242" s="23"/>
      <c r="Z242" s="23"/>
      <c r="AA242" s="23">
        <v>0</v>
      </c>
      <c r="AB242" s="23"/>
      <c r="AC242" s="23"/>
      <c r="AD242" s="23"/>
      <c r="AE242" s="23"/>
      <c r="AF242" s="23"/>
      <c r="AG242" s="23"/>
      <c r="AH242" s="23"/>
      <c r="AI242" s="23"/>
      <c r="AJ242" s="23"/>
      <c r="AK242" s="23">
        <v>0</v>
      </c>
      <c r="AL242" s="23"/>
      <c r="AM242" s="33">
        <f t="shared" si="40"/>
        <v>0</v>
      </c>
      <c r="AN242" s="23"/>
      <c r="AO242" s="33">
        <f t="shared" ref="AO242:AO293" si="41">W242+AM242</f>
        <v>0</v>
      </c>
      <c r="AP242" s="33"/>
    </row>
    <row r="243" spans="1:42">
      <c r="A243" s="11" t="s">
        <v>417</v>
      </c>
      <c r="B243" s="11"/>
      <c r="C243" s="11" t="s">
        <v>47</v>
      </c>
      <c r="D243" s="23"/>
      <c r="E243" s="6">
        <v>21064928</v>
      </c>
      <c r="F243" s="23"/>
      <c r="G243" s="6">
        <v>0</v>
      </c>
      <c r="H243" s="23"/>
      <c r="I243" s="6">
        <v>10167638</v>
      </c>
      <c r="J243" s="23"/>
      <c r="K243" s="6">
        <v>38181</v>
      </c>
      <c r="L243" s="23"/>
      <c r="M243" s="6">
        <f>766747+930344+29679</f>
        <v>1726770</v>
      </c>
      <c r="N243" s="23"/>
      <c r="O243" s="6">
        <v>582340</v>
      </c>
      <c r="P243" s="23"/>
      <c r="Q243" s="6">
        <v>0</v>
      </c>
      <c r="R243" s="23"/>
      <c r="S243" s="6">
        <v>3445</v>
      </c>
      <c r="T243" s="23"/>
      <c r="U243" s="6">
        <v>80612</v>
      </c>
      <c r="V243" s="23"/>
      <c r="W243" s="33">
        <f t="shared" si="39"/>
        <v>33663914</v>
      </c>
      <c r="X243" s="23"/>
      <c r="Y243" s="23">
        <v>0</v>
      </c>
      <c r="Z243" s="23"/>
      <c r="AA243" s="23">
        <v>0</v>
      </c>
      <c r="AB243" s="23"/>
      <c r="AC243" s="23">
        <v>0</v>
      </c>
      <c r="AD243" s="23"/>
      <c r="AE243" s="23">
        <v>0</v>
      </c>
      <c r="AF243" s="23"/>
      <c r="AG243" s="23">
        <v>0</v>
      </c>
      <c r="AH243" s="23"/>
      <c r="AI243" s="23">
        <v>5200</v>
      </c>
      <c r="AJ243" s="23"/>
      <c r="AK243" s="23">
        <v>0</v>
      </c>
      <c r="AL243" s="23"/>
      <c r="AM243" s="33">
        <f t="shared" si="40"/>
        <v>5200</v>
      </c>
      <c r="AN243" s="23"/>
      <c r="AO243" s="33">
        <f t="shared" si="41"/>
        <v>33669114</v>
      </c>
      <c r="AP243" s="33"/>
    </row>
    <row r="244" spans="1:42">
      <c r="A244" s="11" t="s">
        <v>417</v>
      </c>
      <c r="B244" s="11"/>
      <c r="C244" s="11" t="s">
        <v>78</v>
      </c>
      <c r="D244" s="23"/>
      <c r="E244" s="6">
        <v>4534998</v>
      </c>
      <c r="F244" s="23"/>
      <c r="G244" s="6">
        <v>973330</v>
      </c>
      <c r="H244" s="23"/>
      <c r="I244" s="6">
        <v>12172716</v>
      </c>
      <c r="J244" s="23"/>
      <c r="K244" s="6">
        <v>13061</v>
      </c>
      <c r="L244" s="23"/>
      <c r="M244" s="6">
        <f>202631+292470</f>
        <v>495101</v>
      </c>
      <c r="N244" s="23"/>
      <c r="O244" s="6">
        <v>136073</v>
      </c>
      <c r="P244" s="23"/>
      <c r="Q244" s="6">
        <v>0</v>
      </c>
      <c r="R244" s="23"/>
      <c r="S244" s="6">
        <v>4982</v>
      </c>
      <c r="T244" s="23"/>
      <c r="U244" s="6">
        <v>463316</v>
      </c>
      <c r="V244" s="23"/>
      <c r="W244" s="33">
        <f t="shared" si="39"/>
        <v>18793577</v>
      </c>
      <c r="X244" s="23"/>
      <c r="Y244" s="23">
        <v>0</v>
      </c>
      <c r="Z244" s="23"/>
      <c r="AA244" s="23">
        <v>0</v>
      </c>
      <c r="AB244" s="23"/>
      <c r="AC244" s="23">
        <v>0</v>
      </c>
      <c r="AD244" s="23"/>
      <c r="AE244" s="23">
        <v>0</v>
      </c>
      <c r="AF244" s="23"/>
      <c r="AG244" s="23">
        <v>0</v>
      </c>
      <c r="AH244" s="23"/>
      <c r="AI244" s="23">
        <v>67851</v>
      </c>
      <c r="AJ244" s="23"/>
      <c r="AK244" s="23">
        <v>0</v>
      </c>
      <c r="AL244" s="23"/>
      <c r="AM244" s="33">
        <f t="shared" si="40"/>
        <v>67851</v>
      </c>
      <c r="AN244" s="23"/>
      <c r="AO244" s="33">
        <f t="shared" si="41"/>
        <v>18861428</v>
      </c>
      <c r="AP244" s="33"/>
    </row>
    <row r="245" spans="1:42">
      <c r="A245" s="11" t="s">
        <v>305</v>
      </c>
      <c r="B245" s="11"/>
      <c r="C245" s="11" t="s">
        <v>27</v>
      </c>
      <c r="D245" s="23"/>
      <c r="E245" s="6">
        <v>124561285</v>
      </c>
      <c r="F245" s="23"/>
      <c r="G245" s="6">
        <v>0</v>
      </c>
      <c r="H245" s="23"/>
      <c r="I245" s="6">
        <f>57632156+9433081</f>
        <v>67065237</v>
      </c>
      <c r="J245" s="23"/>
      <c r="K245" s="6">
        <v>189390</v>
      </c>
      <c r="L245" s="23"/>
      <c r="M245" s="6">
        <f>2721616+922624+3363808</f>
        <v>7008048</v>
      </c>
      <c r="N245" s="23"/>
      <c r="O245" s="6">
        <v>695956</v>
      </c>
      <c r="P245" s="23"/>
      <c r="Q245" s="6">
        <v>0</v>
      </c>
      <c r="R245" s="23"/>
      <c r="S245" s="6">
        <v>0</v>
      </c>
      <c r="T245" s="23"/>
      <c r="U245" s="6">
        <v>3875611</v>
      </c>
      <c r="V245" s="23"/>
      <c r="W245" s="33">
        <f t="shared" si="39"/>
        <v>203395527</v>
      </c>
      <c r="X245" s="23"/>
      <c r="Y245" s="23">
        <v>333333</v>
      </c>
      <c r="Z245" s="23"/>
      <c r="AA245" s="23">
        <v>0</v>
      </c>
      <c r="AB245" s="23"/>
      <c r="AC245" s="23">
        <f>13885000+1899524</f>
        <v>15784524</v>
      </c>
      <c r="AD245" s="23"/>
      <c r="AE245" s="23">
        <v>0</v>
      </c>
      <c r="AF245" s="23"/>
      <c r="AG245" s="23">
        <v>0</v>
      </c>
      <c r="AH245" s="23"/>
      <c r="AI245" s="23">
        <f>103800+45713+926946</f>
        <v>1076459</v>
      </c>
      <c r="AJ245" s="23"/>
      <c r="AK245" s="23">
        <v>0</v>
      </c>
      <c r="AL245" s="23"/>
      <c r="AM245" s="33">
        <f>AI245+AC245+Y245+AK245</f>
        <v>17194316</v>
      </c>
      <c r="AN245" s="23"/>
      <c r="AO245" s="33">
        <f t="shared" si="41"/>
        <v>220589843</v>
      </c>
      <c r="AP245" s="33"/>
    </row>
    <row r="246" spans="1:42">
      <c r="A246" s="11" t="s">
        <v>350</v>
      </c>
      <c r="B246" s="11"/>
      <c r="C246" s="11" t="s">
        <v>348</v>
      </c>
      <c r="D246" s="23"/>
      <c r="E246" s="6">
        <v>6322170</v>
      </c>
      <c r="F246" s="23"/>
      <c r="G246" s="6">
        <v>2314717</v>
      </c>
      <c r="H246" s="23"/>
      <c r="I246" s="6">
        <v>16633030</v>
      </c>
      <c r="J246" s="23"/>
      <c r="K246" s="6">
        <v>58872</v>
      </c>
      <c r="L246" s="23"/>
      <c r="M246" s="6">
        <f>1272137+23919+367375</f>
        <v>1663431</v>
      </c>
      <c r="N246" s="23"/>
      <c r="O246" s="6">
        <v>148390</v>
      </c>
      <c r="P246" s="23"/>
      <c r="Q246" s="6">
        <v>0</v>
      </c>
      <c r="R246" s="23"/>
      <c r="S246" s="6">
        <v>45992</v>
      </c>
      <c r="T246" s="23"/>
      <c r="U246" s="6">
        <v>324599</v>
      </c>
      <c r="V246" s="23"/>
      <c r="W246" s="33">
        <f t="shared" si="39"/>
        <v>27511201</v>
      </c>
      <c r="X246" s="23"/>
      <c r="Y246" s="23">
        <v>741021</v>
      </c>
      <c r="Z246" s="23"/>
      <c r="AA246" s="23">
        <v>0</v>
      </c>
      <c r="AB246" s="23"/>
      <c r="AC246" s="23">
        <v>0</v>
      </c>
      <c r="AD246" s="23"/>
      <c r="AE246" s="23">
        <v>0</v>
      </c>
      <c r="AF246" s="23"/>
      <c r="AG246" s="23">
        <v>0</v>
      </c>
      <c r="AH246" s="23"/>
      <c r="AI246" s="23">
        <v>25701</v>
      </c>
      <c r="AJ246" s="23"/>
      <c r="AK246" s="23">
        <v>0</v>
      </c>
      <c r="AL246" s="23"/>
      <c r="AM246" s="33">
        <f t="shared" si="40"/>
        <v>766722</v>
      </c>
      <c r="AN246" s="23"/>
      <c r="AO246" s="33">
        <f t="shared" si="41"/>
        <v>28277923</v>
      </c>
      <c r="AP246" s="33"/>
    </row>
    <row r="247" spans="1:42">
      <c r="A247" s="11" t="s">
        <v>204</v>
      </c>
      <c r="B247" s="11"/>
      <c r="C247" s="11" t="s">
        <v>11</v>
      </c>
      <c r="D247" s="23"/>
      <c r="E247" s="6">
        <v>3790154</v>
      </c>
      <c r="F247" s="23"/>
      <c r="G247" s="6">
        <v>0</v>
      </c>
      <c r="H247" s="23"/>
      <c r="I247" s="6">
        <f>2520+4329207+790536</f>
        <v>5122263</v>
      </c>
      <c r="J247" s="23"/>
      <c r="K247" s="6">
        <v>3039</v>
      </c>
      <c r="L247" s="23"/>
      <c r="M247" s="6">
        <f>375545+230319+41291</f>
        <v>647155</v>
      </c>
      <c r="N247" s="23"/>
      <c r="O247" s="6">
        <v>142785</v>
      </c>
      <c r="P247" s="23"/>
      <c r="Q247" s="6">
        <v>0</v>
      </c>
      <c r="R247" s="23"/>
      <c r="S247" s="6">
        <v>39544</v>
      </c>
      <c r="T247" s="23"/>
      <c r="U247" s="6">
        <v>78249</v>
      </c>
      <c r="V247" s="23"/>
      <c r="W247" s="33">
        <f t="shared" si="39"/>
        <v>9823189</v>
      </c>
      <c r="X247" s="23"/>
      <c r="Y247" s="23">
        <v>64740</v>
      </c>
      <c r="Z247" s="23"/>
      <c r="AA247" s="23">
        <v>0</v>
      </c>
      <c r="AB247" s="23"/>
      <c r="AC247" s="23">
        <v>0</v>
      </c>
      <c r="AD247" s="23"/>
      <c r="AE247" s="23">
        <v>0</v>
      </c>
      <c r="AF247" s="23"/>
      <c r="AG247" s="23">
        <v>0</v>
      </c>
      <c r="AH247" s="23"/>
      <c r="AI247" s="23">
        <v>0</v>
      </c>
      <c r="AJ247" s="23"/>
      <c r="AK247" s="23">
        <v>0</v>
      </c>
      <c r="AL247" s="23"/>
      <c r="AM247" s="33">
        <f t="shared" si="40"/>
        <v>64740</v>
      </c>
      <c r="AN247" s="23"/>
      <c r="AO247" s="33">
        <f t="shared" si="41"/>
        <v>9887929</v>
      </c>
      <c r="AP247" s="33"/>
    </row>
    <row r="248" spans="1:42">
      <c r="A248" s="11" t="s">
        <v>344</v>
      </c>
      <c r="B248" s="11"/>
      <c r="C248" s="11" t="s">
        <v>34</v>
      </c>
      <c r="D248" s="23"/>
      <c r="E248" s="6">
        <v>1553670</v>
      </c>
      <c r="F248" s="23"/>
      <c r="G248" s="6">
        <v>697318</v>
      </c>
      <c r="H248" s="23"/>
      <c r="I248" s="6">
        <v>3115228</v>
      </c>
      <c r="J248" s="23"/>
      <c r="K248" s="6">
        <v>18296</v>
      </c>
      <c r="L248" s="23"/>
      <c r="M248" s="6">
        <f>428373+123441</f>
        <v>551814</v>
      </c>
      <c r="N248" s="23"/>
      <c r="O248" s="6">
        <v>90392</v>
      </c>
      <c r="P248" s="23"/>
      <c r="Q248" s="6">
        <v>1477</v>
      </c>
      <c r="R248" s="23"/>
      <c r="S248" s="6">
        <v>3621</v>
      </c>
      <c r="T248" s="23"/>
      <c r="U248" s="6">
        <v>84623</v>
      </c>
      <c r="V248" s="23"/>
      <c r="W248" s="33">
        <f t="shared" si="39"/>
        <v>6116439</v>
      </c>
      <c r="X248" s="23"/>
      <c r="Y248" s="23">
        <v>303084</v>
      </c>
      <c r="Z248" s="23"/>
      <c r="AA248" s="23">
        <v>0</v>
      </c>
      <c r="AB248" s="23"/>
      <c r="AC248" s="23">
        <v>1155000</v>
      </c>
      <c r="AD248" s="23"/>
      <c r="AE248" s="23">
        <v>0</v>
      </c>
      <c r="AF248" s="23"/>
      <c r="AG248" s="23">
        <v>0</v>
      </c>
      <c r="AH248" s="23"/>
      <c r="AI248" s="23">
        <v>870</v>
      </c>
      <c r="AJ248" s="23"/>
      <c r="AK248" s="23">
        <v>0</v>
      </c>
      <c r="AL248" s="23"/>
      <c r="AM248" s="33">
        <f t="shared" si="40"/>
        <v>1458954</v>
      </c>
      <c r="AN248" s="23"/>
      <c r="AO248" s="33">
        <f t="shared" si="41"/>
        <v>7575393</v>
      </c>
      <c r="AP248" s="33"/>
    </row>
    <row r="249" spans="1:42" hidden="1">
      <c r="A249" s="10" t="s">
        <v>891</v>
      </c>
      <c r="B249" s="10"/>
      <c r="C249" s="10" t="s">
        <v>60</v>
      </c>
      <c r="D249" s="23"/>
      <c r="E249" s="6"/>
      <c r="F249" s="23"/>
      <c r="G249" s="6"/>
      <c r="H249" s="23"/>
      <c r="I249" s="6"/>
      <c r="J249" s="23"/>
      <c r="K249" s="6"/>
      <c r="L249" s="23"/>
      <c r="M249" s="6"/>
      <c r="N249" s="23"/>
      <c r="O249" s="6"/>
      <c r="P249" s="23"/>
      <c r="Q249" s="6"/>
      <c r="R249" s="23"/>
      <c r="S249" s="6"/>
      <c r="T249" s="23"/>
      <c r="U249" s="6"/>
      <c r="V249" s="23"/>
      <c r="W249" s="33">
        <f t="shared" ref="W249" si="42">SUM(E249:U249)</f>
        <v>0</v>
      </c>
      <c r="X249" s="23"/>
      <c r="Y249" s="23"/>
      <c r="Z249" s="23"/>
      <c r="AA249" s="23">
        <v>0</v>
      </c>
      <c r="AB249" s="23"/>
      <c r="AC249" s="23"/>
      <c r="AD249" s="23"/>
      <c r="AE249" s="23">
        <v>0</v>
      </c>
      <c r="AF249" s="23"/>
      <c r="AG249" s="23">
        <v>0</v>
      </c>
      <c r="AH249" s="23"/>
      <c r="AI249" s="23"/>
      <c r="AJ249" s="23"/>
      <c r="AK249" s="23"/>
      <c r="AL249" s="23"/>
      <c r="AM249" s="33"/>
      <c r="AN249" s="23"/>
      <c r="AO249" s="33">
        <f t="shared" ref="AO249" si="43">W249+AM249</f>
        <v>0</v>
      </c>
      <c r="AP249" s="33"/>
    </row>
    <row r="250" spans="1:42">
      <c r="A250" s="11" t="s">
        <v>522</v>
      </c>
      <c r="B250" s="11"/>
      <c r="C250" s="11" t="s">
        <v>64</v>
      </c>
      <c r="D250" s="23"/>
      <c r="E250" s="6">
        <v>16374679</v>
      </c>
      <c r="F250" s="23"/>
      <c r="G250" s="6">
        <v>0</v>
      </c>
      <c r="H250" s="23"/>
      <c r="I250" s="6">
        <f>10759316+1744486</f>
        <v>12503802</v>
      </c>
      <c r="J250" s="23"/>
      <c r="K250" s="6">
        <v>21455</v>
      </c>
      <c r="L250" s="23"/>
      <c r="M250" s="6">
        <f>1343380+15513+442311+79285+4349</f>
        <v>1884838</v>
      </c>
      <c r="N250" s="23"/>
      <c r="O250" s="6">
        <v>243129</v>
      </c>
      <c r="P250" s="23"/>
      <c r="Q250" s="6">
        <v>0</v>
      </c>
      <c r="R250" s="23"/>
      <c r="S250" s="6">
        <v>37085</v>
      </c>
      <c r="T250" s="23"/>
      <c r="U250" s="6">
        <v>247893</v>
      </c>
      <c r="V250" s="23"/>
      <c r="W250" s="33">
        <f t="shared" si="39"/>
        <v>31312881</v>
      </c>
      <c r="X250" s="23"/>
      <c r="Y250" s="23">
        <v>0</v>
      </c>
      <c r="Z250" s="23"/>
      <c r="AA250" s="23">
        <v>0</v>
      </c>
      <c r="AB250" s="23"/>
      <c r="AC250" s="23">
        <v>0</v>
      </c>
      <c r="AD250" s="23"/>
      <c r="AE250" s="23">
        <v>0</v>
      </c>
      <c r="AF250" s="23"/>
      <c r="AG250" s="23">
        <v>0</v>
      </c>
      <c r="AH250" s="23"/>
      <c r="AI250" s="23">
        <v>0</v>
      </c>
      <c r="AJ250" s="23"/>
      <c r="AK250" s="23">
        <v>0</v>
      </c>
      <c r="AL250" s="23"/>
      <c r="AM250" s="33">
        <f t="shared" si="40"/>
        <v>0</v>
      </c>
      <c r="AN250" s="23"/>
      <c r="AO250" s="33">
        <f t="shared" si="41"/>
        <v>31312881</v>
      </c>
      <c r="AP250" s="33"/>
    </row>
    <row r="251" spans="1:42">
      <c r="A251" s="11" t="s">
        <v>761</v>
      </c>
      <c r="B251" s="11"/>
      <c r="C251" s="11" t="s">
        <v>64</v>
      </c>
      <c r="D251" s="23"/>
      <c r="E251" s="6">
        <v>6708219</v>
      </c>
      <c r="F251" s="23"/>
      <c r="G251" s="6">
        <v>0</v>
      </c>
      <c r="H251" s="23"/>
      <c r="I251" s="6">
        <v>12568970</v>
      </c>
      <c r="J251" s="23"/>
      <c r="K251" s="6">
        <v>173219</v>
      </c>
      <c r="L251" s="23"/>
      <c r="M251" s="6">
        <f>372840+1155722+51340</f>
        <v>1579902</v>
      </c>
      <c r="N251" s="23"/>
      <c r="O251" s="6">
        <v>116725</v>
      </c>
      <c r="P251" s="23"/>
      <c r="Q251" s="6">
        <v>0</v>
      </c>
      <c r="R251" s="23"/>
      <c r="S251" s="6">
        <v>96204</v>
      </c>
      <c r="T251" s="23"/>
      <c r="U251" s="6">
        <v>626392</v>
      </c>
      <c r="V251" s="23"/>
      <c r="W251" s="33">
        <f t="shared" si="39"/>
        <v>21869631</v>
      </c>
      <c r="X251" s="23"/>
      <c r="Y251" s="23">
        <v>1432278</v>
      </c>
      <c r="Z251" s="23"/>
      <c r="AA251" s="23">
        <v>0</v>
      </c>
      <c r="AB251" s="23"/>
      <c r="AC251" s="23">
        <v>0</v>
      </c>
      <c r="AD251" s="23"/>
      <c r="AE251" s="23">
        <v>0</v>
      </c>
      <c r="AF251" s="23"/>
      <c r="AG251" s="23">
        <v>0</v>
      </c>
      <c r="AH251" s="23"/>
      <c r="AI251" s="23">
        <v>0</v>
      </c>
      <c r="AJ251" s="23"/>
      <c r="AK251" s="23">
        <v>0</v>
      </c>
      <c r="AL251" s="23"/>
      <c r="AM251" s="33">
        <f t="shared" si="40"/>
        <v>1432278</v>
      </c>
      <c r="AN251" s="23"/>
      <c r="AO251" s="33">
        <f t="shared" si="41"/>
        <v>23301909</v>
      </c>
      <c r="AP251" s="33"/>
    </row>
    <row r="252" spans="1:42" ht="12.6" customHeight="1">
      <c r="A252" s="11" t="s">
        <v>430</v>
      </c>
      <c r="B252" s="11"/>
      <c r="C252" s="11" t="s">
        <v>50</v>
      </c>
      <c r="D252" s="23"/>
      <c r="E252" s="6">
        <v>32184555</v>
      </c>
      <c r="F252" s="23"/>
      <c r="G252" s="6">
        <v>0</v>
      </c>
      <c r="H252" s="23"/>
      <c r="I252" s="6">
        <f>34153161+4728195</f>
        <v>38881356</v>
      </c>
      <c r="J252" s="23"/>
      <c r="K252" s="6">
        <v>255043</v>
      </c>
      <c r="L252" s="23"/>
      <c r="M252" s="6">
        <f>658879+1055513+146143</f>
        <v>1860535</v>
      </c>
      <c r="N252" s="23"/>
      <c r="O252" s="6">
        <v>856352</v>
      </c>
      <c r="P252" s="23"/>
      <c r="Q252" s="6">
        <v>0</v>
      </c>
      <c r="R252" s="23"/>
      <c r="S252" s="6">
        <v>0</v>
      </c>
      <c r="T252" s="23"/>
      <c r="U252" s="6">
        <v>530231</v>
      </c>
      <c r="V252" s="23"/>
      <c r="W252" s="33">
        <f t="shared" si="39"/>
        <v>74568072</v>
      </c>
      <c r="X252" s="23"/>
      <c r="Y252" s="23">
        <v>218705</v>
      </c>
      <c r="Z252" s="23"/>
      <c r="AA252" s="23">
        <v>0</v>
      </c>
      <c r="AB252" s="23"/>
      <c r="AC252" s="23">
        <v>0</v>
      </c>
      <c r="AD252" s="23"/>
      <c r="AE252" s="23">
        <v>0</v>
      </c>
      <c r="AF252" s="23"/>
      <c r="AG252" s="23">
        <v>0</v>
      </c>
      <c r="AH252" s="23"/>
      <c r="AI252" s="23">
        <v>40766</v>
      </c>
      <c r="AJ252" s="23"/>
      <c r="AK252" s="23">
        <v>0</v>
      </c>
      <c r="AL252" s="23"/>
      <c r="AM252" s="33">
        <f t="shared" si="40"/>
        <v>259471</v>
      </c>
      <c r="AN252" s="23"/>
      <c r="AO252" s="33">
        <f t="shared" si="41"/>
        <v>74827543</v>
      </c>
      <c r="AP252" s="33"/>
    </row>
    <row r="253" spans="1:42">
      <c r="A253" s="11" t="s">
        <v>509</v>
      </c>
      <c r="B253" s="11"/>
      <c r="C253" s="11" t="s">
        <v>63</v>
      </c>
      <c r="D253" s="23"/>
      <c r="E253" s="6">
        <v>40745914</v>
      </c>
      <c r="F253" s="23"/>
      <c r="G253" s="6">
        <v>0</v>
      </c>
      <c r="H253" s="23"/>
      <c r="I253" s="6">
        <f>1156822+20820684+2253792</f>
        <v>24231298</v>
      </c>
      <c r="J253" s="23"/>
      <c r="K253" s="6">
        <v>180591</v>
      </c>
      <c r="L253" s="23"/>
      <c r="M253" s="6">
        <f>205244+1288685+328148</f>
        <v>1822077</v>
      </c>
      <c r="N253" s="23"/>
      <c r="O253" s="6">
        <v>1086564</v>
      </c>
      <c r="P253" s="23"/>
      <c r="Q253" s="6">
        <v>314000</v>
      </c>
      <c r="R253" s="23"/>
      <c r="S253" s="6">
        <v>0</v>
      </c>
      <c r="T253" s="23"/>
      <c r="U253" s="6">
        <v>907017</v>
      </c>
      <c r="V253" s="23"/>
      <c r="W253" s="33">
        <f t="shared" si="39"/>
        <v>69287461</v>
      </c>
      <c r="X253" s="23"/>
      <c r="Y253" s="23">
        <v>1326000</v>
      </c>
      <c r="Z253" s="23"/>
      <c r="AA253" s="23">
        <v>0</v>
      </c>
      <c r="AB253" s="23"/>
      <c r="AC253" s="23">
        <v>0</v>
      </c>
      <c r="AD253" s="23"/>
      <c r="AE253" s="23">
        <v>0</v>
      </c>
      <c r="AF253" s="23"/>
      <c r="AG253" s="23">
        <v>0</v>
      </c>
      <c r="AH253" s="23"/>
      <c r="AI253" s="23">
        <v>19307</v>
      </c>
      <c r="AJ253" s="23"/>
      <c r="AK253" s="23">
        <v>0</v>
      </c>
      <c r="AL253" s="23"/>
      <c r="AM253" s="33">
        <f t="shared" si="40"/>
        <v>1345307</v>
      </c>
      <c r="AN253" s="23"/>
      <c r="AO253" s="33">
        <f t="shared" si="41"/>
        <v>70632768</v>
      </c>
      <c r="AP253" s="33"/>
    </row>
    <row r="254" spans="1:42">
      <c r="A254" s="11" t="s">
        <v>474</v>
      </c>
      <c r="B254" s="11"/>
      <c r="C254" s="11" t="s">
        <v>58</v>
      </c>
      <c r="D254" s="23"/>
      <c r="E254" s="6">
        <v>1074277</v>
      </c>
      <c r="F254" s="23"/>
      <c r="G254" s="6">
        <v>0</v>
      </c>
      <c r="H254" s="23"/>
      <c r="I254" s="6">
        <v>10951680</v>
      </c>
      <c r="J254" s="23"/>
      <c r="K254" s="6">
        <v>2644</v>
      </c>
      <c r="L254" s="23"/>
      <c r="M254" s="6">
        <f>984745+8700+153992</f>
        <v>1147437</v>
      </c>
      <c r="N254" s="23"/>
      <c r="O254" s="6">
        <v>154006</v>
      </c>
      <c r="P254" s="23"/>
      <c r="Q254" s="6">
        <v>0</v>
      </c>
      <c r="R254" s="23"/>
      <c r="S254" s="6">
        <v>0</v>
      </c>
      <c r="T254" s="23"/>
      <c r="U254" s="6">
        <v>60399</v>
      </c>
      <c r="V254" s="23"/>
      <c r="W254" s="33">
        <f t="shared" si="39"/>
        <v>13390443</v>
      </c>
      <c r="X254" s="23"/>
      <c r="Y254" s="23">
        <v>0</v>
      </c>
      <c r="Z254" s="23"/>
      <c r="AA254" s="23">
        <v>0</v>
      </c>
      <c r="AB254" s="23"/>
      <c r="AC254" s="23">
        <v>0</v>
      </c>
      <c r="AD254" s="23"/>
      <c r="AE254" s="23">
        <v>0</v>
      </c>
      <c r="AF254" s="23"/>
      <c r="AG254" s="23">
        <v>0</v>
      </c>
      <c r="AH254" s="23"/>
      <c r="AI254" s="23">
        <v>0</v>
      </c>
      <c r="AJ254" s="23"/>
      <c r="AK254" s="23">
        <v>0</v>
      </c>
      <c r="AL254" s="23"/>
      <c r="AM254" s="33">
        <f t="shared" si="40"/>
        <v>0</v>
      </c>
      <c r="AN254" s="23"/>
      <c r="AO254" s="33">
        <f t="shared" si="41"/>
        <v>13390443</v>
      </c>
      <c r="AP254" s="33"/>
    </row>
    <row r="255" spans="1:42">
      <c r="A255" s="11" t="s">
        <v>286</v>
      </c>
      <c r="B255" s="11"/>
      <c r="C255" s="11" t="s">
        <v>24</v>
      </c>
      <c r="D255" s="23"/>
      <c r="E255" s="6">
        <v>10093909</v>
      </c>
      <c r="F255" s="23"/>
      <c r="G255" s="6">
        <v>0</v>
      </c>
      <c r="H255" s="23"/>
      <c r="I255" s="6">
        <f>5254805+833097</f>
        <v>6087902</v>
      </c>
      <c r="J255" s="23"/>
      <c r="K255" s="6">
        <v>31691</v>
      </c>
      <c r="L255" s="23"/>
      <c r="M255" s="6">
        <f>399235+347+354947+56851+61062</f>
        <v>872442</v>
      </c>
      <c r="N255" s="23"/>
      <c r="O255" s="6">
        <v>274386</v>
      </c>
      <c r="P255" s="23"/>
      <c r="Q255" s="6">
        <v>0</v>
      </c>
      <c r="R255" s="23"/>
      <c r="S255" s="6">
        <v>59829</v>
      </c>
      <c r="T255" s="23"/>
      <c r="U255" s="6">
        <v>136143</v>
      </c>
      <c r="V255" s="23"/>
      <c r="W255" s="33">
        <f t="shared" si="39"/>
        <v>17556302</v>
      </c>
      <c r="X255" s="23"/>
      <c r="Y255" s="23">
        <v>0</v>
      </c>
      <c r="Z255" s="23"/>
      <c r="AA255" s="23">
        <v>0</v>
      </c>
      <c r="AB255" s="23"/>
      <c r="AC255" s="23">
        <v>210312</v>
      </c>
      <c r="AD255" s="23"/>
      <c r="AE255" s="23">
        <v>0</v>
      </c>
      <c r="AF255" s="23"/>
      <c r="AG255" s="23">
        <v>0</v>
      </c>
      <c r="AH255" s="23"/>
      <c r="AI255" s="23">
        <v>25250</v>
      </c>
      <c r="AJ255" s="23"/>
      <c r="AK255" s="23">
        <v>0</v>
      </c>
      <c r="AL255" s="23"/>
      <c r="AM255" s="33">
        <f t="shared" si="40"/>
        <v>235562</v>
      </c>
      <c r="AN255" s="23"/>
      <c r="AO255" s="33">
        <f t="shared" si="41"/>
        <v>17791864</v>
      </c>
      <c r="AP255" s="33"/>
    </row>
    <row r="256" spans="1:42">
      <c r="A256" s="11" t="s">
        <v>269</v>
      </c>
      <c r="B256" s="11"/>
      <c r="C256" s="11" t="s">
        <v>20</v>
      </c>
      <c r="D256" s="23"/>
      <c r="E256" s="6">
        <v>15155945</v>
      </c>
      <c r="F256" s="23"/>
      <c r="G256" s="6">
        <v>0</v>
      </c>
      <c r="H256" s="23"/>
      <c r="I256" s="6">
        <v>3140405</v>
      </c>
      <c r="J256" s="23"/>
      <c r="K256" s="6">
        <v>22748</v>
      </c>
      <c r="L256" s="23"/>
      <c r="M256" s="6">
        <f>140875+67246+227159</f>
        <v>435280</v>
      </c>
      <c r="N256" s="23"/>
      <c r="O256" s="6">
        <v>148483</v>
      </c>
      <c r="P256" s="23"/>
      <c r="Q256" s="6">
        <v>50000</v>
      </c>
      <c r="R256" s="23"/>
      <c r="S256" s="6">
        <v>4558</v>
      </c>
      <c r="T256" s="23"/>
      <c r="U256" s="6">
        <v>171677</v>
      </c>
      <c r="V256" s="23"/>
      <c r="W256" s="33">
        <f t="shared" si="39"/>
        <v>19129096</v>
      </c>
      <c r="X256" s="23"/>
      <c r="Y256" s="23">
        <v>119970</v>
      </c>
      <c r="Z256" s="23"/>
      <c r="AA256" s="23">
        <v>0</v>
      </c>
      <c r="AB256" s="23"/>
      <c r="AC256" s="23">
        <f>1250000+91778+39260</f>
        <v>1381038</v>
      </c>
      <c r="AD256" s="23"/>
      <c r="AE256" s="23">
        <v>0</v>
      </c>
      <c r="AF256" s="23"/>
      <c r="AG256" s="23">
        <v>0</v>
      </c>
      <c r="AH256" s="23"/>
      <c r="AI256" s="23">
        <v>0</v>
      </c>
      <c r="AJ256" s="23"/>
      <c r="AK256" s="23">
        <v>0</v>
      </c>
      <c r="AL256" s="23"/>
      <c r="AM256" s="33">
        <f t="shared" si="40"/>
        <v>1501008</v>
      </c>
      <c r="AN256" s="23"/>
      <c r="AO256" s="33">
        <f t="shared" si="41"/>
        <v>20630104</v>
      </c>
      <c r="AP256" s="33"/>
    </row>
    <row r="257" spans="1:42" ht="13.15" customHeight="1">
      <c r="A257" s="11" t="s">
        <v>363</v>
      </c>
      <c r="B257" s="11"/>
      <c r="C257" s="11" t="s">
        <v>39</v>
      </c>
      <c r="D257" s="23"/>
      <c r="E257" s="6">
        <v>7702853</v>
      </c>
      <c r="F257" s="23"/>
      <c r="G257" s="6">
        <v>0</v>
      </c>
      <c r="H257" s="23"/>
      <c r="I257" s="6">
        <v>12760101</v>
      </c>
      <c r="J257" s="23"/>
      <c r="K257" s="6">
        <v>25317</v>
      </c>
      <c r="L257" s="23"/>
      <c r="M257" s="6">
        <f>288645+2030282</f>
        <v>2318927</v>
      </c>
      <c r="N257" s="23"/>
      <c r="O257" s="6">
        <v>216279</v>
      </c>
      <c r="P257" s="23"/>
      <c r="Q257" s="6">
        <v>0</v>
      </c>
      <c r="R257" s="23"/>
      <c r="S257" s="6">
        <v>45578</v>
      </c>
      <c r="T257" s="23"/>
      <c r="U257" s="6">
        <v>25799</v>
      </c>
      <c r="V257" s="23"/>
      <c r="W257" s="33">
        <f t="shared" si="39"/>
        <v>23094854</v>
      </c>
      <c r="X257" s="23"/>
      <c r="Y257" s="23">
        <v>1030000</v>
      </c>
      <c r="Z257" s="23"/>
      <c r="AA257" s="23">
        <v>0</v>
      </c>
      <c r="AB257" s="23"/>
      <c r="AC257" s="23">
        <v>174216</v>
      </c>
      <c r="AD257" s="23"/>
      <c r="AE257" s="23">
        <v>0</v>
      </c>
      <c r="AF257" s="23"/>
      <c r="AG257" s="23">
        <v>0</v>
      </c>
      <c r="AH257" s="23"/>
      <c r="AI257" s="23">
        <v>0</v>
      </c>
      <c r="AJ257" s="23"/>
      <c r="AK257" s="23">
        <v>0</v>
      </c>
      <c r="AL257" s="23"/>
      <c r="AM257" s="33">
        <f t="shared" si="40"/>
        <v>1204216</v>
      </c>
      <c r="AN257" s="23"/>
      <c r="AO257" s="33">
        <f t="shared" si="41"/>
        <v>24299070</v>
      </c>
      <c r="AP257" s="33"/>
    </row>
    <row r="258" spans="1:42">
      <c r="A258" s="11" t="s">
        <v>762</v>
      </c>
      <c r="B258" s="11"/>
      <c r="C258" s="11" t="s">
        <v>32</v>
      </c>
      <c r="D258" s="23"/>
      <c r="E258" s="6">
        <v>27732137</v>
      </c>
      <c r="F258" s="23"/>
      <c r="G258" s="6">
        <v>0</v>
      </c>
      <c r="H258" s="23"/>
      <c r="I258" s="6">
        <f>5900354+889570</f>
        <v>6789924</v>
      </c>
      <c r="J258" s="23"/>
      <c r="K258" s="6">
        <v>133118</v>
      </c>
      <c r="L258" s="23"/>
      <c r="M258" s="6">
        <f>29352+557199+13300</f>
        <v>599851</v>
      </c>
      <c r="N258" s="23"/>
      <c r="O258" s="6">
        <v>199687</v>
      </c>
      <c r="P258" s="23"/>
      <c r="Q258" s="6">
        <v>3622226</v>
      </c>
      <c r="R258" s="23"/>
      <c r="S258" s="6">
        <v>500</v>
      </c>
      <c r="T258" s="23"/>
      <c r="U258" s="6">
        <v>155862</v>
      </c>
      <c r="V258" s="23"/>
      <c r="W258" s="33">
        <f t="shared" si="39"/>
        <v>39233305</v>
      </c>
      <c r="X258" s="23"/>
      <c r="Y258" s="23">
        <v>0</v>
      </c>
      <c r="Z258" s="23"/>
      <c r="AA258" s="23">
        <v>0</v>
      </c>
      <c r="AB258" s="23"/>
      <c r="AC258" s="23">
        <v>0</v>
      </c>
      <c r="AD258" s="23"/>
      <c r="AE258" s="23">
        <v>0</v>
      </c>
      <c r="AF258" s="23"/>
      <c r="AG258" s="23">
        <v>0</v>
      </c>
      <c r="AH258" s="23"/>
      <c r="AI258" s="23">
        <v>0</v>
      </c>
      <c r="AJ258" s="23"/>
      <c r="AK258" s="23">
        <v>0</v>
      </c>
      <c r="AL258" s="23"/>
      <c r="AM258" s="33">
        <f t="shared" si="40"/>
        <v>0</v>
      </c>
      <c r="AN258" s="23"/>
      <c r="AO258" s="33">
        <f t="shared" si="41"/>
        <v>39233305</v>
      </c>
      <c r="AP258" s="33"/>
    </row>
    <row r="259" spans="1:42" hidden="1">
      <c r="A259" s="11" t="s">
        <v>795</v>
      </c>
      <c r="B259" s="11"/>
      <c r="C259" s="11" t="s">
        <v>43</v>
      </c>
      <c r="D259" s="23"/>
      <c r="E259" s="6"/>
      <c r="F259" s="23"/>
      <c r="G259" s="6"/>
      <c r="H259" s="23"/>
      <c r="I259" s="6"/>
      <c r="J259" s="23"/>
      <c r="K259" s="6"/>
      <c r="L259" s="23"/>
      <c r="M259" s="6"/>
      <c r="N259" s="23"/>
      <c r="O259" s="6"/>
      <c r="P259" s="23"/>
      <c r="Q259" s="6"/>
      <c r="R259" s="23"/>
      <c r="S259" s="6"/>
      <c r="T259" s="23"/>
      <c r="U259" s="6"/>
      <c r="V259" s="23"/>
      <c r="W259" s="33">
        <f t="shared" si="39"/>
        <v>0</v>
      </c>
      <c r="X259" s="23"/>
      <c r="Y259" s="23"/>
      <c r="Z259" s="23"/>
      <c r="AA259" s="23">
        <v>0</v>
      </c>
      <c r="AB259" s="23"/>
      <c r="AC259" s="23"/>
      <c r="AD259" s="23"/>
      <c r="AE259" s="23">
        <v>0</v>
      </c>
      <c r="AF259" s="23"/>
      <c r="AG259" s="23">
        <v>0</v>
      </c>
      <c r="AH259" s="23"/>
      <c r="AI259" s="23"/>
      <c r="AJ259" s="23"/>
      <c r="AK259" s="23"/>
      <c r="AL259" s="23"/>
      <c r="AM259" s="33"/>
      <c r="AN259" s="23"/>
      <c r="AO259" s="33">
        <f t="shared" si="41"/>
        <v>0</v>
      </c>
      <c r="AP259" s="33"/>
    </row>
    <row r="260" spans="1:42">
      <c r="A260" s="11" t="s">
        <v>536</v>
      </c>
      <c r="B260" s="11"/>
      <c r="C260" s="11" t="s">
        <v>65</v>
      </c>
      <c r="D260" s="23"/>
      <c r="E260" s="6">
        <v>5014096</v>
      </c>
      <c r="F260" s="23"/>
      <c r="G260" s="6">
        <v>0</v>
      </c>
      <c r="H260" s="23"/>
      <c r="I260" s="6">
        <v>11829392</v>
      </c>
      <c r="J260" s="23"/>
      <c r="K260" s="6">
        <v>2730</v>
      </c>
      <c r="L260" s="23"/>
      <c r="M260" s="6">
        <f>1560219+2176+406304</f>
        <v>1968699</v>
      </c>
      <c r="N260" s="23"/>
      <c r="O260" s="6">
        <v>192876</v>
      </c>
      <c r="P260" s="23"/>
      <c r="Q260" s="6">
        <v>0</v>
      </c>
      <c r="R260" s="23"/>
      <c r="S260" s="6">
        <v>45527</v>
      </c>
      <c r="T260" s="23"/>
      <c r="U260" s="6">
        <v>204614</v>
      </c>
      <c r="V260" s="23"/>
      <c r="W260" s="33">
        <f t="shared" si="39"/>
        <v>19257934</v>
      </c>
      <c r="X260" s="23"/>
      <c r="Y260" s="23">
        <v>0</v>
      </c>
      <c r="Z260" s="23"/>
      <c r="AA260" s="23">
        <v>0</v>
      </c>
      <c r="AB260" s="23"/>
      <c r="AC260" s="23">
        <v>0</v>
      </c>
      <c r="AD260" s="23"/>
      <c r="AE260" s="23">
        <v>0</v>
      </c>
      <c r="AF260" s="23"/>
      <c r="AG260" s="23">
        <v>0</v>
      </c>
      <c r="AH260" s="23"/>
      <c r="AI260" s="23">
        <v>3650</v>
      </c>
      <c r="AJ260" s="23"/>
      <c r="AK260" s="23">
        <v>0</v>
      </c>
      <c r="AL260" s="23"/>
      <c r="AM260" s="33">
        <f t="shared" ref="AM260:AM269" si="44">AI260+AC260+Y260</f>
        <v>3650</v>
      </c>
      <c r="AN260" s="23"/>
      <c r="AO260" s="33">
        <f t="shared" si="41"/>
        <v>19261584</v>
      </c>
      <c r="AP260" s="33"/>
    </row>
    <row r="261" spans="1:42">
      <c r="A261" s="11" t="s">
        <v>369</v>
      </c>
      <c r="B261" s="11"/>
      <c r="C261" s="11" t="s">
        <v>366</v>
      </c>
      <c r="D261" s="23"/>
      <c r="E261" s="6">
        <v>3754686</v>
      </c>
      <c r="F261" s="23"/>
      <c r="G261" s="6">
        <v>0</v>
      </c>
      <c r="H261" s="23"/>
      <c r="I261" s="6">
        <v>10891038</v>
      </c>
      <c r="J261" s="23"/>
      <c r="K261" s="6">
        <v>10679</v>
      </c>
      <c r="L261" s="23"/>
      <c r="M261" s="6">
        <f>1178215+5600+130861</f>
        <v>1314676</v>
      </c>
      <c r="N261" s="23"/>
      <c r="O261" s="6">
        <v>367562</v>
      </c>
      <c r="P261" s="23"/>
      <c r="Q261" s="6">
        <v>0</v>
      </c>
      <c r="R261" s="23"/>
      <c r="S261" s="6">
        <v>3196</v>
      </c>
      <c r="T261" s="23"/>
      <c r="U261" s="6">
        <v>38463</v>
      </c>
      <c r="V261" s="23"/>
      <c r="W261" s="33">
        <f t="shared" si="39"/>
        <v>16380300</v>
      </c>
      <c r="X261" s="23"/>
      <c r="Y261" s="23">
        <v>0</v>
      </c>
      <c r="Z261" s="23"/>
      <c r="AA261" s="23">
        <v>0</v>
      </c>
      <c r="AB261" s="23"/>
      <c r="AC261" s="23">
        <v>0</v>
      </c>
      <c r="AD261" s="23"/>
      <c r="AE261" s="23">
        <v>0</v>
      </c>
      <c r="AF261" s="23"/>
      <c r="AG261" s="23">
        <v>0</v>
      </c>
      <c r="AH261" s="23"/>
      <c r="AI261" s="23">
        <v>151501</v>
      </c>
      <c r="AJ261" s="23"/>
      <c r="AK261" s="23">
        <v>0</v>
      </c>
      <c r="AL261" s="23"/>
      <c r="AM261" s="33">
        <f t="shared" si="44"/>
        <v>151501</v>
      </c>
      <c r="AN261" s="23"/>
      <c r="AO261" s="33">
        <f t="shared" si="41"/>
        <v>16531801</v>
      </c>
      <c r="AP261" s="33"/>
    </row>
    <row r="262" spans="1:42" hidden="1">
      <c r="A262" s="11" t="s">
        <v>668</v>
      </c>
      <c r="B262" s="11"/>
      <c r="C262" s="11" t="s">
        <v>61</v>
      </c>
      <c r="D262" s="23"/>
      <c r="E262" s="6"/>
      <c r="F262" s="23"/>
      <c r="G262" s="6"/>
      <c r="H262" s="23"/>
      <c r="I262" s="6"/>
      <c r="J262" s="23"/>
      <c r="K262" s="6"/>
      <c r="L262" s="23"/>
      <c r="M262" s="6"/>
      <c r="N262" s="23"/>
      <c r="O262" s="6"/>
      <c r="P262" s="23"/>
      <c r="Q262" s="6"/>
      <c r="R262" s="23"/>
      <c r="S262" s="6"/>
      <c r="T262" s="23"/>
      <c r="U262" s="6"/>
      <c r="V262" s="23"/>
      <c r="W262" s="33">
        <f t="shared" si="39"/>
        <v>0</v>
      </c>
      <c r="X262" s="23"/>
      <c r="Y262" s="23"/>
      <c r="Z262" s="23"/>
      <c r="AA262" s="23">
        <v>0</v>
      </c>
      <c r="AB262" s="23"/>
      <c r="AC262" s="23"/>
      <c r="AD262" s="23"/>
      <c r="AE262" s="23">
        <v>0</v>
      </c>
      <c r="AF262" s="23"/>
      <c r="AG262" s="23">
        <v>0</v>
      </c>
      <c r="AH262" s="23"/>
      <c r="AI262" s="23"/>
      <c r="AJ262" s="23"/>
      <c r="AK262" s="23">
        <v>0</v>
      </c>
      <c r="AL262" s="23"/>
      <c r="AM262" s="33">
        <f t="shared" si="44"/>
        <v>0</v>
      </c>
      <c r="AN262" s="23"/>
      <c r="AO262" s="33">
        <f t="shared" si="41"/>
        <v>0</v>
      </c>
      <c r="AP262" s="33"/>
    </row>
    <row r="263" spans="1:42" hidden="1">
      <c r="A263" s="11" t="s">
        <v>679</v>
      </c>
      <c r="B263" s="11"/>
      <c r="C263" s="11" t="s">
        <v>38</v>
      </c>
      <c r="D263" s="23"/>
      <c r="E263" s="6"/>
      <c r="F263" s="23"/>
      <c r="G263" s="6"/>
      <c r="H263" s="23"/>
      <c r="I263" s="6"/>
      <c r="J263" s="23"/>
      <c r="K263" s="6"/>
      <c r="L263" s="23"/>
      <c r="M263" s="6"/>
      <c r="N263" s="23"/>
      <c r="O263" s="6"/>
      <c r="P263" s="23"/>
      <c r="Q263" s="6"/>
      <c r="R263" s="23"/>
      <c r="S263" s="6"/>
      <c r="T263" s="23"/>
      <c r="U263" s="6"/>
      <c r="V263" s="23"/>
      <c r="W263" s="33">
        <f>SUM(E263:U263)</f>
        <v>0</v>
      </c>
      <c r="X263" s="23"/>
      <c r="Y263" s="23"/>
      <c r="Z263" s="23"/>
      <c r="AA263" s="23">
        <v>0</v>
      </c>
      <c r="AB263" s="23"/>
      <c r="AC263" s="23"/>
      <c r="AD263" s="23"/>
      <c r="AE263" s="23">
        <v>0</v>
      </c>
      <c r="AF263" s="23"/>
      <c r="AG263" s="23">
        <v>0</v>
      </c>
      <c r="AH263" s="23"/>
      <c r="AI263" s="23"/>
      <c r="AJ263" s="23"/>
      <c r="AK263" s="23">
        <v>0</v>
      </c>
      <c r="AL263" s="23"/>
      <c r="AM263" s="33">
        <f t="shared" si="44"/>
        <v>0</v>
      </c>
      <c r="AN263" s="23"/>
      <c r="AO263" s="33">
        <f t="shared" si="41"/>
        <v>0</v>
      </c>
      <c r="AP263" s="33"/>
    </row>
    <row r="264" spans="1:42">
      <c r="A264" s="11" t="s">
        <v>497</v>
      </c>
      <c r="B264" s="11"/>
      <c r="C264" s="11" t="s">
        <v>62</v>
      </c>
      <c r="D264" s="23"/>
      <c r="E264" s="6">
        <v>41111428</v>
      </c>
      <c r="F264" s="23"/>
      <c r="G264" s="6">
        <v>0</v>
      </c>
      <c r="H264" s="23"/>
      <c r="I264" s="6">
        <f>33600+13698690+2552052</f>
        <v>16284342</v>
      </c>
      <c r="J264" s="23"/>
      <c r="K264" s="6">
        <v>83972</v>
      </c>
      <c r="L264" s="23"/>
      <c r="M264" s="6">
        <f>500813+8572+241182+29793+132362+1250400</f>
        <v>2163122</v>
      </c>
      <c r="N264" s="23"/>
      <c r="O264" s="6">
        <v>794277</v>
      </c>
      <c r="P264" s="23"/>
      <c r="Q264" s="6">
        <v>127695</v>
      </c>
      <c r="R264" s="23"/>
      <c r="S264" s="6">
        <v>236641</v>
      </c>
      <c r="T264" s="23"/>
      <c r="U264" s="6">
        <v>251322</v>
      </c>
      <c r="V264" s="23"/>
      <c r="W264" s="33">
        <f t="shared" si="39"/>
        <v>61052799</v>
      </c>
      <c r="X264" s="23"/>
      <c r="Y264" s="23">
        <v>0</v>
      </c>
      <c r="Z264" s="23"/>
      <c r="AA264" s="23">
        <v>0</v>
      </c>
      <c r="AB264" s="23"/>
      <c r="AC264" s="23">
        <v>0</v>
      </c>
      <c r="AD264" s="23"/>
      <c r="AE264" s="23">
        <v>0</v>
      </c>
      <c r="AF264" s="23"/>
      <c r="AG264" s="23">
        <v>0</v>
      </c>
      <c r="AH264" s="23"/>
      <c r="AI264" s="23">
        <v>19435</v>
      </c>
      <c r="AJ264" s="23"/>
      <c r="AK264" s="23">
        <v>0</v>
      </c>
      <c r="AL264" s="23"/>
      <c r="AM264" s="33">
        <f t="shared" si="44"/>
        <v>19435</v>
      </c>
      <c r="AN264" s="23"/>
      <c r="AO264" s="33">
        <f t="shared" si="41"/>
        <v>61072234</v>
      </c>
      <c r="AP264" s="33"/>
    </row>
    <row r="265" spans="1:42">
      <c r="A265" s="11" t="s">
        <v>404</v>
      </c>
      <c r="B265" s="11"/>
      <c r="C265" s="11" t="s">
        <v>45</v>
      </c>
      <c r="D265" s="23"/>
      <c r="E265" s="6">
        <v>5615798</v>
      </c>
      <c r="F265" s="23"/>
      <c r="G265" s="6">
        <v>0</v>
      </c>
      <c r="H265" s="23"/>
      <c r="I265" s="6">
        <f>17370+3483319+735077</f>
        <v>4235766</v>
      </c>
      <c r="J265" s="23"/>
      <c r="K265" s="6">
        <v>1422</v>
      </c>
      <c r="L265" s="23"/>
      <c r="M265" s="6">
        <f>595833+199283+8335</f>
        <v>803451</v>
      </c>
      <c r="N265" s="23"/>
      <c r="O265" s="6">
        <v>76317</v>
      </c>
      <c r="P265" s="23"/>
      <c r="Q265" s="6">
        <v>0</v>
      </c>
      <c r="R265" s="23"/>
      <c r="S265" s="6">
        <v>37796</v>
      </c>
      <c r="T265" s="23"/>
      <c r="U265" s="6">
        <v>46616</v>
      </c>
      <c r="V265" s="23"/>
      <c r="W265" s="33">
        <f t="shared" si="39"/>
        <v>10817166</v>
      </c>
      <c r="X265" s="23"/>
      <c r="Y265" s="23">
        <v>6091</v>
      </c>
      <c r="Z265" s="23"/>
      <c r="AA265" s="23">
        <v>0</v>
      </c>
      <c r="AB265" s="23"/>
      <c r="AC265" s="23">
        <v>697400</v>
      </c>
      <c r="AD265" s="23"/>
      <c r="AE265" s="23">
        <v>0</v>
      </c>
      <c r="AF265" s="23"/>
      <c r="AG265" s="23">
        <v>0</v>
      </c>
      <c r="AH265" s="23"/>
      <c r="AI265" s="23">
        <v>0</v>
      </c>
      <c r="AJ265" s="23"/>
      <c r="AK265" s="23">
        <v>0</v>
      </c>
      <c r="AL265" s="23"/>
      <c r="AM265" s="33">
        <f t="shared" si="44"/>
        <v>703491</v>
      </c>
      <c r="AN265" s="23"/>
      <c r="AO265" s="33">
        <f t="shared" si="41"/>
        <v>11520657</v>
      </c>
      <c r="AP265" s="33"/>
    </row>
    <row r="266" spans="1:42">
      <c r="A266" s="11" t="s">
        <v>460</v>
      </c>
      <c r="B266" s="11"/>
      <c r="C266" s="11" t="s">
        <v>56</v>
      </c>
      <c r="D266" s="23"/>
      <c r="E266" s="6">
        <v>4451782</v>
      </c>
      <c r="F266" s="23"/>
      <c r="G266" s="6">
        <v>0</v>
      </c>
      <c r="H266" s="23"/>
      <c r="I266" s="6">
        <f>6534803+1413628</f>
        <v>7948431</v>
      </c>
      <c r="J266" s="23"/>
      <c r="K266" s="6">
        <v>11556</v>
      </c>
      <c r="L266" s="23"/>
      <c r="M266" s="6">
        <f>1190222+3893+299508+14917</f>
        <v>1508540</v>
      </c>
      <c r="N266" s="23"/>
      <c r="O266" s="6">
        <v>123947</v>
      </c>
      <c r="P266" s="23"/>
      <c r="Q266" s="6">
        <v>0</v>
      </c>
      <c r="R266" s="23"/>
      <c r="S266" s="6">
        <v>0</v>
      </c>
      <c r="T266" s="23"/>
      <c r="U266" s="6">
        <v>94264</v>
      </c>
      <c r="V266" s="23"/>
      <c r="W266" s="33">
        <f t="shared" si="39"/>
        <v>14138520</v>
      </c>
      <c r="X266" s="23"/>
      <c r="Y266" s="23">
        <v>0</v>
      </c>
      <c r="Z266" s="23"/>
      <c r="AA266" s="23">
        <v>0</v>
      </c>
      <c r="AB266" s="23"/>
      <c r="AC266" s="23">
        <v>175243</v>
      </c>
      <c r="AD266" s="23"/>
      <c r="AE266" s="23">
        <v>0</v>
      </c>
      <c r="AF266" s="23"/>
      <c r="AG266" s="23">
        <v>0</v>
      </c>
      <c r="AH266" s="23"/>
      <c r="AI266" s="23">
        <v>2019</v>
      </c>
      <c r="AJ266" s="23"/>
      <c r="AK266" s="23">
        <v>0</v>
      </c>
      <c r="AL266" s="23"/>
      <c r="AM266" s="33">
        <f t="shared" si="44"/>
        <v>177262</v>
      </c>
      <c r="AN266" s="23"/>
      <c r="AO266" s="33">
        <f t="shared" si="41"/>
        <v>14315782</v>
      </c>
      <c r="AP266" s="33"/>
    </row>
    <row r="267" spans="1:42">
      <c r="A267" s="11" t="s">
        <v>209</v>
      </c>
      <c r="B267" s="11"/>
      <c r="C267" s="11" t="s">
        <v>12</v>
      </c>
      <c r="D267" s="23"/>
      <c r="E267" s="6">
        <v>6623594</v>
      </c>
      <c r="F267" s="23"/>
      <c r="G267" s="6">
        <v>0</v>
      </c>
      <c r="H267" s="23"/>
      <c r="I267" s="6">
        <v>10804840</v>
      </c>
      <c r="J267" s="23"/>
      <c r="K267" s="6">
        <v>4080</v>
      </c>
      <c r="L267" s="23"/>
      <c r="M267" s="6">
        <f>1321317+348626</f>
        <v>1669943</v>
      </c>
      <c r="N267" s="23"/>
      <c r="O267" s="6">
        <v>191341</v>
      </c>
      <c r="P267" s="23"/>
      <c r="Q267" s="6">
        <v>0</v>
      </c>
      <c r="R267" s="23"/>
      <c r="S267" s="6">
        <v>8559</v>
      </c>
      <c r="T267" s="23"/>
      <c r="U267" s="6">
        <v>154554</v>
      </c>
      <c r="V267" s="23"/>
      <c r="W267" s="33">
        <f t="shared" si="39"/>
        <v>19456911</v>
      </c>
      <c r="X267" s="23"/>
      <c r="Y267" s="23">
        <v>1500263</v>
      </c>
      <c r="Z267" s="23"/>
      <c r="AA267" s="23">
        <v>0</v>
      </c>
      <c r="AB267" s="23"/>
      <c r="AC267" s="23">
        <v>0</v>
      </c>
      <c r="AD267" s="23"/>
      <c r="AE267" s="23">
        <v>0</v>
      </c>
      <c r="AF267" s="23"/>
      <c r="AG267" s="23">
        <v>0</v>
      </c>
      <c r="AH267" s="23"/>
      <c r="AI267" s="23">
        <v>0</v>
      </c>
      <c r="AJ267" s="23"/>
      <c r="AK267" s="23">
        <v>0</v>
      </c>
      <c r="AL267" s="23"/>
      <c r="AM267" s="33">
        <f t="shared" si="44"/>
        <v>1500263</v>
      </c>
      <c r="AN267" s="23"/>
      <c r="AO267" s="33">
        <f t="shared" si="41"/>
        <v>20957174</v>
      </c>
      <c r="AP267" s="33"/>
    </row>
    <row r="268" spans="1:42">
      <c r="A268" s="11" t="s">
        <v>397</v>
      </c>
      <c r="B268" s="11"/>
      <c r="C268" s="11" t="s">
        <v>398</v>
      </c>
      <c r="D268" s="23"/>
      <c r="E268" s="6">
        <v>5378718</v>
      </c>
      <c r="F268" s="23"/>
      <c r="G268" s="6">
        <v>773437</v>
      </c>
      <c r="H268" s="23"/>
      <c r="I268" s="6">
        <f>4816983+1136835</f>
        <v>5953818</v>
      </c>
      <c r="J268" s="23"/>
      <c r="K268" s="6">
        <v>6112</v>
      </c>
      <c r="L268" s="23"/>
      <c r="M268" s="6">
        <f>765692+316562+24827+3561</f>
        <v>1110642</v>
      </c>
      <c r="N268" s="23"/>
      <c r="O268" s="6">
        <v>217994</v>
      </c>
      <c r="P268" s="23"/>
      <c r="Q268" s="6">
        <v>839260</v>
      </c>
      <c r="R268" s="23"/>
      <c r="S268" s="6">
        <v>9144</v>
      </c>
      <c r="T268" s="23"/>
      <c r="U268" s="6">
        <v>8134</v>
      </c>
      <c r="V268" s="23"/>
      <c r="W268" s="33">
        <f t="shared" si="39"/>
        <v>14297259</v>
      </c>
      <c r="X268" s="23"/>
      <c r="Y268" s="23">
        <v>124768</v>
      </c>
      <c r="Z268" s="23"/>
      <c r="AA268" s="23">
        <v>0</v>
      </c>
      <c r="AB268" s="23"/>
      <c r="AC268" s="23">
        <f>675000+169</f>
        <v>675169</v>
      </c>
      <c r="AD268" s="23"/>
      <c r="AE268" s="23">
        <v>0</v>
      </c>
      <c r="AF268" s="23"/>
      <c r="AG268" s="23">
        <v>0</v>
      </c>
      <c r="AH268" s="23"/>
      <c r="AI268" s="23">
        <v>0</v>
      </c>
      <c r="AJ268" s="23"/>
      <c r="AK268" s="23">
        <v>0</v>
      </c>
      <c r="AL268" s="23"/>
      <c r="AM268" s="33">
        <f t="shared" si="44"/>
        <v>799937</v>
      </c>
      <c r="AN268" s="23"/>
      <c r="AO268" s="33">
        <f t="shared" si="41"/>
        <v>15097196</v>
      </c>
      <c r="AP268" s="33"/>
    </row>
    <row r="269" spans="1:42">
      <c r="A269" s="11" t="s">
        <v>680</v>
      </c>
      <c r="B269" s="11"/>
      <c r="C269" s="11" t="s">
        <v>50</v>
      </c>
      <c r="D269" s="23"/>
      <c r="E269" s="6">
        <v>2800839</v>
      </c>
      <c r="F269" s="23"/>
      <c r="G269" s="6">
        <v>0</v>
      </c>
      <c r="H269" s="23"/>
      <c r="I269" s="6">
        <f>4591049+1019606</f>
        <v>5610655</v>
      </c>
      <c r="J269" s="23"/>
      <c r="K269" s="6">
        <v>1324</v>
      </c>
      <c r="L269" s="23"/>
      <c r="M269" s="6">
        <f>437793+10739+2938</f>
        <v>451470</v>
      </c>
      <c r="N269" s="23"/>
      <c r="O269" s="6">
        <v>31518</v>
      </c>
      <c r="P269" s="23"/>
      <c r="Q269" s="6">
        <v>6779</v>
      </c>
      <c r="R269" s="23"/>
      <c r="S269" s="6">
        <v>4733</v>
      </c>
      <c r="T269" s="23"/>
      <c r="U269" s="6">
        <v>12960</v>
      </c>
      <c r="V269" s="23"/>
      <c r="W269" s="33">
        <f t="shared" si="39"/>
        <v>8920278</v>
      </c>
      <c r="X269" s="23"/>
      <c r="Y269" s="23">
        <v>7000</v>
      </c>
      <c r="Z269" s="23"/>
      <c r="AA269" s="23">
        <v>0</v>
      </c>
      <c r="AB269" s="23"/>
      <c r="AC269" s="23">
        <v>80527</v>
      </c>
      <c r="AD269" s="23"/>
      <c r="AE269" s="23">
        <v>0</v>
      </c>
      <c r="AF269" s="23"/>
      <c r="AG269" s="23">
        <v>0</v>
      </c>
      <c r="AH269" s="23"/>
      <c r="AI269" s="23">
        <v>0</v>
      </c>
      <c r="AJ269" s="23"/>
      <c r="AK269" s="23">
        <v>0</v>
      </c>
      <c r="AL269" s="23"/>
      <c r="AM269" s="33">
        <f t="shared" si="44"/>
        <v>87527</v>
      </c>
      <c r="AN269" s="23"/>
      <c r="AO269" s="33">
        <f t="shared" si="41"/>
        <v>9007805</v>
      </c>
      <c r="AP269" s="33"/>
    </row>
    <row r="270" spans="1:42" hidden="1">
      <c r="A270" s="11" t="s">
        <v>872</v>
      </c>
      <c r="B270" s="11"/>
      <c r="C270" s="11" t="s">
        <v>467</v>
      </c>
      <c r="D270" s="23"/>
      <c r="E270" s="6"/>
      <c r="F270" s="23"/>
      <c r="G270" s="6"/>
      <c r="H270" s="23"/>
      <c r="I270" s="6"/>
      <c r="J270" s="23"/>
      <c r="K270" s="6"/>
      <c r="L270" s="23"/>
      <c r="M270" s="6"/>
      <c r="N270" s="23"/>
      <c r="O270" s="6"/>
      <c r="P270" s="23"/>
      <c r="Q270" s="6"/>
      <c r="R270" s="23"/>
      <c r="S270" s="6"/>
      <c r="T270" s="23"/>
      <c r="U270" s="6"/>
      <c r="V270" s="23"/>
      <c r="W270" s="33">
        <f t="shared" si="39"/>
        <v>0</v>
      </c>
      <c r="X270" s="23"/>
      <c r="Y270" s="23"/>
      <c r="Z270" s="23"/>
      <c r="AA270" s="23">
        <v>0</v>
      </c>
      <c r="AB270" s="23"/>
      <c r="AC270" s="23"/>
      <c r="AD270" s="23"/>
      <c r="AE270" s="23">
        <v>0</v>
      </c>
      <c r="AF270" s="23"/>
      <c r="AG270" s="23">
        <v>0</v>
      </c>
      <c r="AH270" s="23"/>
      <c r="AI270" s="23"/>
      <c r="AJ270" s="23"/>
      <c r="AK270" s="23"/>
      <c r="AL270" s="23"/>
      <c r="AM270" s="33"/>
      <c r="AN270" s="23"/>
      <c r="AO270" s="33">
        <f t="shared" si="41"/>
        <v>0</v>
      </c>
      <c r="AP270" s="33"/>
    </row>
    <row r="271" spans="1:42">
      <c r="A271" s="11" t="s">
        <v>374</v>
      </c>
      <c r="B271" s="11"/>
      <c r="C271" s="11" t="s">
        <v>42</v>
      </c>
      <c r="D271" s="23"/>
      <c r="E271" s="6">
        <v>6367590</v>
      </c>
      <c r="F271" s="23"/>
      <c r="G271" s="6">
        <v>2260171</v>
      </c>
      <c r="H271" s="23"/>
      <c r="I271" s="6">
        <f>3520+5379199+849540</f>
        <v>6232259</v>
      </c>
      <c r="J271" s="23"/>
      <c r="K271" s="6">
        <v>34134</v>
      </c>
      <c r="L271" s="23"/>
      <c r="M271" s="6">
        <f>245718+80144+219245+50285+3495</f>
        <v>598887</v>
      </c>
      <c r="N271" s="23"/>
      <c r="O271" s="6">
        <v>163505</v>
      </c>
      <c r="P271" s="23"/>
      <c r="Q271" s="6">
        <v>0</v>
      </c>
      <c r="R271" s="23"/>
      <c r="S271" s="6">
        <v>9215</v>
      </c>
      <c r="T271" s="23"/>
      <c r="U271" s="6">
        <v>51736</v>
      </c>
      <c r="V271" s="23"/>
      <c r="W271" s="33">
        <f t="shared" si="39"/>
        <v>15717497</v>
      </c>
      <c r="X271" s="23"/>
      <c r="Y271" s="23">
        <v>124161</v>
      </c>
      <c r="Z271" s="23"/>
      <c r="AA271" s="23">
        <v>0</v>
      </c>
      <c r="AB271" s="23"/>
      <c r="AC271" s="23">
        <v>0</v>
      </c>
      <c r="AD271" s="23"/>
      <c r="AE271" s="23">
        <v>0</v>
      </c>
      <c r="AF271" s="23"/>
      <c r="AG271" s="23">
        <v>0</v>
      </c>
      <c r="AH271" s="23"/>
      <c r="AI271" s="23">
        <v>48806</v>
      </c>
      <c r="AJ271" s="23"/>
      <c r="AK271" s="23">
        <v>0</v>
      </c>
      <c r="AL271" s="23"/>
      <c r="AM271" s="33">
        <f t="shared" ref="AM271:AM293" si="45">AI271+AC271+Y271</f>
        <v>172967</v>
      </c>
      <c r="AN271" s="23"/>
      <c r="AO271" s="33">
        <f t="shared" si="41"/>
        <v>15890464</v>
      </c>
      <c r="AP271" s="33"/>
    </row>
    <row r="272" spans="1:42">
      <c r="A272" s="11" t="s">
        <v>399</v>
      </c>
      <c r="B272" s="11"/>
      <c r="C272" s="11" t="s">
        <v>398</v>
      </c>
      <c r="D272" s="23"/>
      <c r="E272" s="6">
        <v>7806599</v>
      </c>
      <c r="F272" s="23"/>
      <c r="G272" s="6">
        <v>2047742</v>
      </c>
      <c r="H272" s="23"/>
      <c r="I272" s="6">
        <f>10242754+1442681</f>
        <v>11685435</v>
      </c>
      <c r="J272" s="23"/>
      <c r="K272" s="6">
        <v>3188</v>
      </c>
      <c r="L272" s="23"/>
      <c r="M272" s="6">
        <f>880105+455666+105422+7458</f>
        <v>1448651</v>
      </c>
      <c r="N272" s="23"/>
      <c r="O272" s="6">
        <v>459522</v>
      </c>
      <c r="P272" s="23"/>
      <c r="Q272" s="6">
        <v>0</v>
      </c>
      <c r="R272" s="23"/>
      <c r="S272" s="6">
        <v>0</v>
      </c>
      <c r="T272" s="23"/>
      <c r="U272" s="6">
        <v>88289</v>
      </c>
      <c r="V272" s="23"/>
      <c r="W272" s="33">
        <f t="shared" si="39"/>
        <v>23539426</v>
      </c>
      <c r="X272" s="23"/>
      <c r="Y272" s="23">
        <v>2256102</v>
      </c>
      <c r="Z272" s="23"/>
      <c r="AA272" s="23">
        <v>0</v>
      </c>
      <c r="AB272" s="23"/>
      <c r="AC272" s="23">
        <v>0</v>
      </c>
      <c r="AD272" s="23"/>
      <c r="AE272" s="23">
        <v>0</v>
      </c>
      <c r="AF272" s="23"/>
      <c r="AG272" s="23">
        <v>0</v>
      </c>
      <c r="AH272" s="23"/>
      <c r="AI272" s="23">
        <v>0</v>
      </c>
      <c r="AJ272" s="23"/>
      <c r="AK272" s="23">
        <v>0</v>
      </c>
      <c r="AL272" s="23"/>
      <c r="AM272" s="33">
        <f t="shared" si="45"/>
        <v>2256102</v>
      </c>
      <c r="AN272" s="23"/>
      <c r="AO272" s="33">
        <f t="shared" si="41"/>
        <v>25795528</v>
      </c>
      <c r="AP272" s="33"/>
    </row>
    <row r="273" spans="1:42">
      <c r="A273" s="11" t="s">
        <v>523</v>
      </c>
      <c r="B273" s="11"/>
      <c r="C273" s="11" t="s">
        <v>64</v>
      </c>
      <c r="D273" s="23"/>
      <c r="E273" s="6">
        <v>3401250</v>
      </c>
      <c r="F273" s="23"/>
      <c r="G273" s="6">
        <v>0</v>
      </c>
      <c r="H273" s="23"/>
      <c r="I273" s="6">
        <v>5222340</v>
      </c>
      <c r="J273" s="23"/>
      <c r="K273" s="6">
        <v>5979</v>
      </c>
      <c r="L273" s="23"/>
      <c r="M273" s="6">
        <f>332737+6729</f>
        <v>339466</v>
      </c>
      <c r="N273" s="23"/>
      <c r="O273" s="6">
        <v>61133</v>
      </c>
      <c r="P273" s="23"/>
      <c r="Q273" s="6">
        <v>0</v>
      </c>
      <c r="R273" s="23"/>
      <c r="S273" s="6">
        <v>9242</v>
      </c>
      <c r="T273" s="23"/>
      <c r="U273" s="6">
        <v>768</v>
      </c>
      <c r="V273" s="23"/>
      <c r="W273" s="33">
        <f t="shared" si="39"/>
        <v>9040178</v>
      </c>
      <c r="X273" s="23"/>
      <c r="Y273" s="23">
        <v>22563</v>
      </c>
      <c r="Z273" s="23"/>
      <c r="AA273" s="23">
        <v>0</v>
      </c>
      <c r="AB273" s="23"/>
      <c r="AC273" s="23">
        <v>0</v>
      </c>
      <c r="AD273" s="23"/>
      <c r="AE273" s="23">
        <v>0</v>
      </c>
      <c r="AF273" s="23"/>
      <c r="AG273" s="23">
        <v>0</v>
      </c>
      <c r="AH273" s="23"/>
      <c r="AI273" s="23">
        <v>4921</v>
      </c>
      <c r="AJ273" s="23"/>
      <c r="AK273" s="23">
        <v>0</v>
      </c>
      <c r="AL273" s="23"/>
      <c r="AM273" s="33">
        <f t="shared" si="45"/>
        <v>27484</v>
      </c>
      <c r="AN273" s="23"/>
      <c r="AO273" s="33">
        <f t="shared" si="41"/>
        <v>9067662</v>
      </c>
      <c r="AP273" s="33"/>
    </row>
    <row r="274" spans="1:42" hidden="1">
      <c r="A274" s="10" t="s">
        <v>873</v>
      </c>
      <c r="B274" s="10"/>
      <c r="C274" s="10" t="s">
        <v>467</v>
      </c>
      <c r="D274" s="23"/>
      <c r="E274" s="6">
        <v>0</v>
      </c>
      <c r="F274" s="23"/>
      <c r="G274" s="6">
        <v>0</v>
      </c>
      <c r="H274" s="23"/>
      <c r="I274" s="6">
        <v>0</v>
      </c>
      <c r="J274" s="23"/>
      <c r="K274" s="6">
        <v>0</v>
      </c>
      <c r="L274" s="23"/>
      <c r="M274" s="6">
        <v>0</v>
      </c>
      <c r="N274" s="23"/>
      <c r="O274" s="6">
        <v>0</v>
      </c>
      <c r="P274" s="23"/>
      <c r="Q274" s="6">
        <v>0</v>
      </c>
      <c r="R274" s="23"/>
      <c r="S274" s="6">
        <v>0</v>
      </c>
      <c r="T274" s="23"/>
      <c r="U274" s="6">
        <v>0</v>
      </c>
      <c r="V274" s="23"/>
      <c r="W274" s="33">
        <f t="shared" ref="W274" si="46">SUM(E274:U274)</f>
        <v>0</v>
      </c>
      <c r="X274" s="23"/>
      <c r="Y274" s="23">
        <v>0</v>
      </c>
      <c r="Z274" s="23"/>
      <c r="AA274" s="23">
        <v>0</v>
      </c>
      <c r="AB274" s="23"/>
      <c r="AC274" s="23">
        <v>0</v>
      </c>
      <c r="AD274" s="23"/>
      <c r="AE274" s="23">
        <v>0</v>
      </c>
      <c r="AF274" s="23"/>
      <c r="AG274" s="23">
        <v>0</v>
      </c>
      <c r="AH274" s="23"/>
      <c r="AI274" s="23">
        <v>0</v>
      </c>
      <c r="AJ274" s="23"/>
      <c r="AK274" s="23">
        <v>0</v>
      </c>
      <c r="AL274" s="23"/>
      <c r="AM274" s="33">
        <f t="shared" ref="AM274" si="47">AI274+AC274+Y274</f>
        <v>0</v>
      </c>
      <c r="AN274" s="23"/>
      <c r="AO274" s="33">
        <f t="shared" ref="AO274" si="48">W274+AM274</f>
        <v>0</v>
      </c>
      <c r="AP274" s="33"/>
    </row>
    <row r="275" spans="1:42">
      <c r="A275" s="11" t="s">
        <v>287</v>
      </c>
      <c r="B275" s="11"/>
      <c r="C275" s="11" t="s">
        <v>24</v>
      </c>
      <c r="D275" s="23"/>
      <c r="E275" s="6">
        <v>598642</v>
      </c>
      <c r="F275" s="23"/>
      <c r="G275" s="6">
        <v>0</v>
      </c>
      <c r="H275" s="23"/>
      <c r="I275" s="6">
        <f>83853+11966</f>
        <v>95819</v>
      </c>
      <c r="J275" s="23"/>
      <c r="K275" s="6">
        <v>2548</v>
      </c>
      <c r="L275" s="23"/>
      <c r="M275" s="6">
        <v>1</v>
      </c>
      <c r="N275" s="23"/>
      <c r="O275" s="6">
        <v>0</v>
      </c>
      <c r="P275" s="23"/>
      <c r="Q275" s="6">
        <v>0</v>
      </c>
      <c r="R275" s="23"/>
      <c r="S275" s="6">
        <v>360</v>
      </c>
      <c r="T275" s="23"/>
      <c r="U275" s="6">
        <v>0</v>
      </c>
      <c r="V275" s="23"/>
      <c r="W275" s="33">
        <f t="shared" si="39"/>
        <v>697370</v>
      </c>
      <c r="X275" s="23"/>
      <c r="Y275" s="23">
        <v>0</v>
      </c>
      <c r="Z275" s="23"/>
      <c r="AA275" s="23">
        <v>0</v>
      </c>
      <c r="AB275" s="23"/>
      <c r="AC275" s="23">
        <v>0</v>
      </c>
      <c r="AD275" s="23"/>
      <c r="AE275" s="23">
        <v>0</v>
      </c>
      <c r="AF275" s="23"/>
      <c r="AG275" s="23">
        <v>0</v>
      </c>
      <c r="AH275" s="23"/>
      <c r="AI275" s="23">
        <v>0</v>
      </c>
      <c r="AJ275" s="23"/>
      <c r="AK275" s="23">
        <v>0</v>
      </c>
      <c r="AL275" s="23"/>
      <c r="AM275" s="33">
        <f t="shared" si="45"/>
        <v>0</v>
      </c>
      <c r="AN275" s="23"/>
      <c r="AO275" s="33">
        <f t="shared" si="41"/>
        <v>697370</v>
      </c>
      <c r="AP275" s="33"/>
    </row>
    <row r="276" spans="1:42">
      <c r="A276" s="11" t="s">
        <v>314</v>
      </c>
      <c r="B276" s="11"/>
      <c r="C276" s="11" t="s">
        <v>30</v>
      </c>
      <c r="D276" s="23"/>
      <c r="E276" s="6">
        <v>27895350</v>
      </c>
      <c r="F276" s="23"/>
      <c r="G276" s="6">
        <v>0</v>
      </c>
      <c r="H276" s="23"/>
      <c r="I276" s="6">
        <v>12056422</v>
      </c>
      <c r="J276" s="23"/>
      <c r="K276" s="6">
        <v>40881</v>
      </c>
      <c r="L276" s="23"/>
      <c r="M276" s="6">
        <v>171328</v>
      </c>
      <c r="N276" s="23"/>
      <c r="O276" s="6">
        <v>720946</v>
      </c>
      <c r="P276" s="23"/>
      <c r="Q276" s="6">
        <v>0</v>
      </c>
      <c r="R276" s="23"/>
      <c r="S276" s="6">
        <v>0</v>
      </c>
      <c r="T276" s="23"/>
      <c r="U276" s="6">
        <v>267134</v>
      </c>
      <c r="V276" s="23"/>
      <c r="W276" s="33">
        <f t="shared" si="39"/>
        <v>41152061</v>
      </c>
      <c r="X276" s="23"/>
      <c r="Y276" s="23">
        <v>140377</v>
      </c>
      <c r="Z276" s="23"/>
      <c r="AA276" s="23">
        <v>0</v>
      </c>
      <c r="AB276" s="23"/>
      <c r="AC276" s="23">
        <f>36970000+3071774</f>
        <v>40041774</v>
      </c>
      <c r="AD276" s="23"/>
      <c r="AE276" s="23">
        <v>0</v>
      </c>
      <c r="AF276" s="23"/>
      <c r="AG276" s="23">
        <v>0</v>
      </c>
      <c r="AH276" s="23"/>
      <c r="AI276" s="23">
        <v>0</v>
      </c>
      <c r="AJ276" s="23"/>
      <c r="AK276" s="23">
        <v>0</v>
      </c>
      <c r="AL276" s="23"/>
      <c r="AM276" s="33">
        <f t="shared" si="45"/>
        <v>40182151</v>
      </c>
      <c r="AN276" s="23"/>
      <c r="AO276" s="33">
        <f t="shared" si="41"/>
        <v>81334212</v>
      </c>
      <c r="AP276" s="33"/>
    </row>
    <row r="277" spans="1:42">
      <c r="A277" s="11" t="s">
        <v>461</v>
      </c>
      <c r="B277" s="11"/>
      <c r="C277" s="11" t="s">
        <v>56</v>
      </c>
      <c r="D277" s="23"/>
      <c r="E277" s="6">
        <v>22621490</v>
      </c>
      <c r="F277" s="23"/>
      <c r="G277" s="6">
        <v>0</v>
      </c>
      <c r="H277" s="23"/>
      <c r="I277" s="6">
        <v>21524593</v>
      </c>
      <c r="J277" s="23"/>
      <c r="K277" s="6">
        <v>22268</v>
      </c>
      <c r="L277" s="23"/>
      <c r="M277" s="6">
        <f>3147552+584013+205003</f>
        <v>3936568</v>
      </c>
      <c r="N277" s="23"/>
      <c r="O277" s="6">
        <v>392810</v>
      </c>
      <c r="P277" s="23"/>
      <c r="Q277" s="6">
        <v>0</v>
      </c>
      <c r="R277" s="23"/>
      <c r="S277" s="6">
        <v>94542</v>
      </c>
      <c r="T277" s="23"/>
      <c r="U277" s="6">
        <v>83094</v>
      </c>
      <c r="V277" s="23"/>
      <c r="W277" s="33">
        <f t="shared" si="39"/>
        <v>48675365</v>
      </c>
      <c r="X277" s="23"/>
      <c r="Y277" s="23">
        <v>480810</v>
      </c>
      <c r="Z277" s="23"/>
      <c r="AA277" s="23">
        <v>0</v>
      </c>
      <c r="AB277" s="23"/>
      <c r="AC277" s="23">
        <v>0</v>
      </c>
      <c r="AD277" s="23"/>
      <c r="AE277" s="23">
        <v>0</v>
      </c>
      <c r="AF277" s="23"/>
      <c r="AG277" s="23">
        <v>0</v>
      </c>
      <c r="AH277" s="23"/>
      <c r="AI277" s="23">
        <v>21045</v>
      </c>
      <c r="AJ277" s="23"/>
      <c r="AK277" s="23">
        <v>0</v>
      </c>
      <c r="AL277" s="23"/>
      <c r="AM277" s="33">
        <f t="shared" si="45"/>
        <v>501855</v>
      </c>
      <c r="AN277" s="23"/>
      <c r="AO277" s="33">
        <f t="shared" si="41"/>
        <v>49177220</v>
      </c>
      <c r="AP277" s="33"/>
    </row>
    <row r="278" spans="1:42">
      <c r="A278" s="11" t="s">
        <v>341</v>
      </c>
      <c r="B278" s="11"/>
      <c r="C278" s="11" t="s">
        <v>339</v>
      </c>
      <c r="D278" s="23"/>
      <c r="E278" s="6">
        <v>4449812</v>
      </c>
      <c r="F278" s="23"/>
      <c r="G278" s="6">
        <v>2738524</v>
      </c>
      <c r="H278" s="23"/>
      <c r="I278" s="6">
        <v>12723407</v>
      </c>
      <c r="J278" s="23"/>
      <c r="K278" s="6">
        <v>2892</v>
      </c>
      <c r="L278" s="23"/>
      <c r="M278" s="6">
        <f>862396+334487</f>
        <v>1196883</v>
      </c>
      <c r="N278" s="23"/>
      <c r="O278" s="6">
        <v>263597</v>
      </c>
      <c r="P278" s="23"/>
      <c r="Q278" s="6">
        <v>0</v>
      </c>
      <c r="R278" s="23"/>
      <c r="S278" s="6">
        <v>24063</v>
      </c>
      <c r="T278" s="23"/>
      <c r="U278" s="6">
        <v>159370</v>
      </c>
      <c r="V278" s="23"/>
      <c r="W278" s="33">
        <f t="shared" si="39"/>
        <v>21558548</v>
      </c>
      <c r="X278" s="23"/>
      <c r="Y278" s="23">
        <v>9546743</v>
      </c>
      <c r="Z278" s="23"/>
      <c r="AA278" s="23">
        <v>0</v>
      </c>
      <c r="AB278" s="23"/>
      <c r="AC278" s="23">
        <f>13604587+328839</f>
        <v>13933426</v>
      </c>
      <c r="AD278" s="23"/>
      <c r="AE278" s="23">
        <v>0</v>
      </c>
      <c r="AF278" s="23"/>
      <c r="AG278" s="23">
        <v>0</v>
      </c>
      <c r="AH278" s="23"/>
      <c r="AI278" s="23">
        <v>0</v>
      </c>
      <c r="AJ278" s="23"/>
      <c r="AK278" s="23">
        <v>0</v>
      </c>
      <c r="AL278" s="23"/>
      <c r="AM278" s="33">
        <f t="shared" si="45"/>
        <v>23480169</v>
      </c>
      <c r="AN278" s="23"/>
      <c r="AO278" s="33">
        <f t="shared" si="41"/>
        <v>45038717</v>
      </c>
      <c r="AP278" s="33"/>
    </row>
    <row r="279" spans="1:42">
      <c r="A279" s="11" t="s">
        <v>431</v>
      </c>
      <c r="B279" s="11"/>
      <c r="C279" s="11" t="s">
        <v>50</v>
      </c>
      <c r="D279" s="23"/>
      <c r="E279" s="6">
        <v>61313023</v>
      </c>
      <c r="F279" s="23"/>
      <c r="G279" s="6">
        <v>0</v>
      </c>
      <c r="H279" s="23"/>
      <c r="I279" s="6">
        <v>34521364</v>
      </c>
      <c r="J279" s="23"/>
      <c r="K279" s="6">
        <v>116494</v>
      </c>
      <c r="L279" s="23"/>
      <c r="M279" s="6">
        <f>1003619+45698+1579194+193980</f>
        <v>2822491</v>
      </c>
      <c r="N279" s="23"/>
      <c r="O279" s="6">
        <v>696663</v>
      </c>
      <c r="P279" s="23"/>
      <c r="Q279" s="6">
        <v>151425</v>
      </c>
      <c r="R279" s="23"/>
      <c r="S279" s="6">
        <v>0</v>
      </c>
      <c r="T279" s="23"/>
      <c r="U279" s="6">
        <v>1186339</v>
      </c>
      <c r="V279" s="23"/>
      <c r="W279" s="33">
        <f t="shared" si="39"/>
        <v>100807799</v>
      </c>
      <c r="X279" s="23"/>
      <c r="Y279" s="23">
        <v>13500</v>
      </c>
      <c r="Z279" s="23"/>
      <c r="AA279" s="23">
        <v>0</v>
      </c>
      <c r="AB279" s="23"/>
      <c r="AC279" s="23">
        <v>0</v>
      </c>
      <c r="AD279" s="23"/>
      <c r="AE279" s="23">
        <v>0</v>
      </c>
      <c r="AF279" s="23"/>
      <c r="AG279" s="23">
        <v>0</v>
      </c>
      <c r="AH279" s="23"/>
      <c r="AI279" s="23">
        <v>0</v>
      </c>
      <c r="AJ279" s="23"/>
      <c r="AK279" s="23">
        <v>0</v>
      </c>
      <c r="AL279" s="23"/>
      <c r="AM279" s="33">
        <f t="shared" si="45"/>
        <v>13500</v>
      </c>
      <c r="AN279" s="23"/>
      <c r="AO279" s="33">
        <f t="shared" si="41"/>
        <v>100821299</v>
      </c>
      <c r="AP279" s="33"/>
    </row>
    <row r="280" spans="1:42" s="28" customFormat="1">
      <c r="A280" s="27" t="s">
        <v>637</v>
      </c>
      <c r="B280" s="27"/>
      <c r="C280" s="27" t="s">
        <v>44</v>
      </c>
      <c r="D280" s="31"/>
      <c r="E280" s="28">
        <v>6770183</v>
      </c>
      <c r="F280" s="31"/>
      <c r="G280" s="28">
        <v>0</v>
      </c>
      <c r="H280" s="31"/>
      <c r="I280" s="28">
        <f>40007+7480036+1697573</f>
        <v>9217616</v>
      </c>
      <c r="J280" s="31"/>
      <c r="K280" s="28">
        <v>53694</v>
      </c>
      <c r="L280" s="31"/>
      <c r="M280" s="28">
        <f>930521+338593+69433+7817+3911</f>
        <v>1350275</v>
      </c>
      <c r="N280" s="31"/>
      <c r="O280" s="28">
        <v>98937</v>
      </c>
      <c r="P280" s="31"/>
      <c r="Q280" s="28">
        <v>0</v>
      </c>
      <c r="R280" s="31"/>
      <c r="S280" s="28">
        <v>29069</v>
      </c>
      <c r="T280" s="31"/>
      <c r="U280" s="28">
        <v>350349</v>
      </c>
      <c r="V280" s="31"/>
      <c r="W280" s="41">
        <f t="shared" si="39"/>
        <v>17870123</v>
      </c>
      <c r="X280" s="31"/>
      <c r="Y280" s="31">
        <v>41800</v>
      </c>
      <c r="Z280" s="31"/>
      <c r="AA280" s="31">
        <v>0</v>
      </c>
      <c r="AB280" s="31"/>
      <c r="AC280" s="31">
        <f>8554726+935832</f>
        <v>9490558</v>
      </c>
      <c r="AD280" s="31"/>
      <c r="AE280" s="31">
        <v>0</v>
      </c>
      <c r="AF280" s="31"/>
      <c r="AG280" s="31">
        <v>0</v>
      </c>
      <c r="AH280" s="31"/>
      <c r="AI280" s="31">
        <v>0</v>
      </c>
      <c r="AJ280" s="31"/>
      <c r="AK280" s="31">
        <v>0</v>
      </c>
      <c r="AL280" s="31"/>
      <c r="AM280" s="41">
        <f t="shared" si="45"/>
        <v>9532358</v>
      </c>
      <c r="AN280" s="31"/>
      <c r="AO280" s="41">
        <f t="shared" si="41"/>
        <v>27402481</v>
      </c>
      <c r="AP280" s="41"/>
    </row>
    <row r="281" spans="1:42">
      <c r="A281" s="11" t="s">
        <v>721</v>
      </c>
      <c r="B281" s="11"/>
      <c r="C281" s="11" t="s">
        <v>69</v>
      </c>
      <c r="D281" s="23"/>
      <c r="E281" s="6">
        <v>27046695</v>
      </c>
      <c r="F281" s="23"/>
      <c r="G281" s="6">
        <v>0</v>
      </c>
      <c r="H281" s="23"/>
      <c r="I281" s="6">
        <v>15569227</v>
      </c>
      <c r="J281" s="23"/>
      <c r="K281" s="6">
        <v>8378</v>
      </c>
      <c r="L281" s="23"/>
      <c r="M281" s="6">
        <f>718689+139533+19825</f>
        <v>878047</v>
      </c>
      <c r="N281" s="23"/>
      <c r="O281" s="6">
        <v>143298</v>
      </c>
      <c r="P281" s="23"/>
      <c r="Q281" s="6">
        <v>1737271</v>
      </c>
      <c r="R281" s="23"/>
      <c r="S281" s="6">
        <v>369458</v>
      </c>
      <c r="T281" s="23"/>
      <c r="U281" s="6">
        <v>312466</v>
      </c>
      <c r="V281" s="23"/>
      <c r="W281" s="33">
        <f t="shared" si="39"/>
        <v>46064840</v>
      </c>
      <c r="X281" s="23"/>
      <c r="Y281" s="23">
        <v>0</v>
      </c>
      <c r="Z281" s="23"/>
      <c r="AA281" s="23">
        <v>0</v>
      </c>
      <c r="AB281" s="23"/>
      <c r="AC281" s="23">
        <v>0</v>
      </c>
      <c r="AD281" s="23"/>
      <c r="AE281" s="23">
        <v>0</v>
      </c>
      <c r="AF281" s="23"/>
      <c r="AG281" s="23">
        <v>0</v>
      </c>
      <c r="AH281" s="23"/>
      <c r="AI281" s="23">
        <v>0</v>
      </c>
      <c r="AJ281" s="23"/>
      <c r="AK281" s="23">
        <v>0</v>
      </c>
      <c r="AL281" s="23"/>
      <c r="AM281" s="33">
        <f t="shared" si="45"/>
        <v>0</v>
      </c>
      <c r="AN281" s="23"/>
      <c r="AO281" s="33">
        <f t="shared" si="41"/>
        <v>46064840</v>
      </c>
      <c r="AP281" s="33"/>
    </row>
    <row r="282" spans="1:42" hidden="1">
      <c r="A282" s="11" t="s">
        <v>693</v>
      </c>
      <c r="B282" s="11"/>
      <c r="C282" s="11" t="s">
        <v>41</v>
      </c>
      <c r="D282" s="23"/>
      <c r="E282" s="9"/>
      <c r="F282" s="23"/>
      <c r="G282" s="9"/>
      <c r="H282" s="23"/>
      <c r="I282" s="9"/>
      <c r="J282" s="23"/>
      <c r="K282" s="9"/>
      <c r="L282" s="23"/>
      <c r="M282" s="9"/>
      <c r="N282" s="23"/>
      <c r="O282" s="9"/>
      <c r="P282" s="23"/>
      <c r="Q282" s="9"/>
      <c r="R282" s="23"/>
      <c r="S282" s="9"/>
      <c r="T282" s="23"/>
      <c r="U282" s="9"/>
      <c r="V282" s="23"/>
      <c r="W282" s="33">
        <f t="shared" si="39"/>
        <v>0</v>
      </c>
      <c r="X282" s="23"/>
      <c r="Y282" s="23"/>
      <c r="Z282" s="23"/>
      <c r="AA282" s="23">
        <v>0</v>
      </c>
      <c r="AB282" s="23"/>
      <c r="AC282" s="23"/>
      <c r="AD282" s="23"/>
      <c r="AE282" s="23">
        <v>0</v>
      </c>
      <c r="AF282" s="23"/>
      <c r="AG282" s="23">
        <v>0</v>
      </c>
      <c r="AH282" s="23"/>
      <c r="AI282" s="23"/>
      <c r="AJ282" s="23"/>
      <c r="AK282" s="23">
        <v>0</v>
      </c>
      <c r="AL282" s="23"/>
      <c r="AM282" s="33">
        <f t="shared" si="45"/>
        <v>0</v>
      </c>
      <c r="AN282" s="23"/>
      <c r="AO282" s="33">
        <f t="shared" si="41"/>
        <v>0</v>
      </c>
      <c r="AP282" s="33"/>
    </row>
    <row r="283" spans="1:42">
      <c r="A283" s="11" t="s">
        <v>524</v>
      </c>
      <c r="B283" s="11"/>
      <c r="C283" s="11" t="s">
        <v>64</v>
      </c>
      <c r="D283" s="23"/>
      <c r="E283" s="6">
        <v>3148682</v>
      </c>
      <c r="F283" s="23"/>
      <c r="G283" s="6">
        <v>0</v>
      </c>
      <c r="H283" s="23"/>
      <c r="I283" s="6">
        <f>8533284+1316110</f>
        <v>9849394</v>
      </c>
      <c r="J283" s="23"/>
      <c r="K283" s="6">
        <v>8353</v>
      </c>
      <c r="L283" s="23"/>
      <c r="M283" s="6">
        <f>1256452+186963+30446+53992</f>
        <v>1527853</v>
      </c>
      <c r="N283" s="23"/>
      <c r="O283" s="6">
        <v>174623</v>
      </c>
      <c r="P283" s="23"/>
      <c r="Q283" s="6">
        <v>0</v>
      </c>
      <c r="R283" s="23"/>
      <c r="S283" s="6">
        <v>27728</v>
      </c>
      <c r="T283" s="23"/>
      <c r="U283" s="6">
        <v>74992</v>
      </c>
      <c r="V283" s="23"/>
      <c r="W283" s="33">
        <f t="shared" si="39"/>
        <v>14811625</v>
      </c>
      <c r="X283" s="23"/>
      <c r="Y283" s="23">
        <v>1501095</v>
      </c>
      <c r="Z283" s="23"/>
      <c r="AA283" s="23">
        <v>0</v>
      </c>
      <c r="AB283" s="23"/>
      <c r="AC283" s="23">
        <f>477462+5049995</f>
        <v>5527457</v>
      </c>
      <c r="AD283" s="23"/>
      <c r="AE283" s="23">
        <v>0</v>
      </c>
      <c r="AF283" s="23"/>
      <c r="AG283" s="23">
        <v>0</v>
      </c>
      <c r="AH283" s="23"/>
      <c r="AI283" s="23">
        <v>20000</v>
      </c>
      <c r="AJ283" s="23"/>
      <c r="AK283" s="23">
        <v>0</v>
      </c>
      <c r="AL283" s="23"/>
      <c r="AM283" s="33">
        <f t="shared" si="45"/>
        <v>7048552</v>
      </c>
      <c r="AN283" s="23"/>
      <c r="AO283" s="33">
        <f t="shared" si="41"/>
        <v>21860177</v>
      </c>
      <c r="AP283" s="33"/>
    </row>
    <row r="284" spans="1:42">
      <c r="A284" s="11" t="s">
        <v>498</v>
      </c>
      <c r="B284" s="11"/>
      <c r="C284" s="11" t="s">
        <v>62</v>
      </c>
      <c r="D284" s="23"/>
      <c r="E284" s="6">
        <v>13296064</v>
      </c>
      <c r="F284" s="23"/>
      <c r="G284" s="6">
        <v>0</v>
      </c>
      <c r="H284" s="23"/>
      <c r="I284" s="6">
        <v>17923610</v>
      </c>
      <c r="J284" s="23"/>
      <c r="K284" s="6">
        <v>3374</v>
      </c>
      <c r="L284" s="23"/>
      <c r="M284" s="6">
        <f>237836+104248</f>
        <v>342084</v>
      </c>
      <c r="N284" s="23"/>
      <c r="O284" s="6">
        <v>384032</v>
      </c>
      <c r="P284" s="23"/>
      <c r="Q284" s="6">
        <v>0</v>
      </c>
      <c r="R284" s="23"/>
      <c r="S284" s="6">
        <v>24241</v>
      </c>
      <c r="T284" s="23"/>
      <c r="U284" s="6">
        <v>20128</v>
      </c>
      <c r="V284" s="23"/>
      <c r="W284" s="33">
        <f t="shared" si="39"/>
        <v>31993533</v>
      </c>
      <c r="X284" s="23"/>
      <c r="Y284" s="23">
        <v>0</v>
      </c>
      <c r="Z284" s="23"/>
      <c r="AA284" s="23">
        <v>0</v>
      </c>
      <c r="AB284" s="23"/>
      <c r="AC284" s="23">
        <v>0</v>
      </c>
      <c r="AD284" s="23"/>
      <c r="AE284" s="23">
        <v>0</v>
      </c>
      <c r="AF284" s="23"/>
      <c r="AG284" s="23">
        <v>0</v>
      </c>
      <c r="AH284" s="23"/>
      <c r="AI284" s="23">
        <v>0</v>
      </c>
      <c r="AJ284" s="23"/>
      <c r="AK284" s="23">
        <v>0</v>
      </c>
      <c r="AL284" s="23"/>
      <c r="AM284" s="33">
        <f t="shared" si="45"/>
        <v>0</v>
      </c>
      <c r="AN284" s="23"/>
      <c r="AO284" s="33">
        <f t="shared" si="41"/>
        <v>31993533</v>
      </c>
      <c r="AP284" s="33"/>
    </row>
    <row r="285" spans="1:42" hidden="1">
      <c r="A285" s="11" t="s">
        <v>796</v>
      </c>
      <c r="B285" s="11"/>
      <c r="C285" s="11" t="s">
        <v>72</v>
      </c>
      <c r="D285" s="23"/>
      <c r="E285" s="6"/>
      <c r="F285" s="23"/>
      <c r="G285" s="6"/>
      <c r="H285" s="23"/>
      <c r="I285" s="6"/>
      <c r="J285" s="23"/>
      <c r="K285" s="6"/>
      <c r="L285" s="23"/>
      <c r="M285" s="6"/>
      <c r="N285" s="23"/>
      <c r="O285" s="6"/>
      <c r="P285" s="23"/>
      <c r="Q285" s="6"/>
      <c r="R285" s="23"/>
      <c r="S285" s="6"/>
      <c r="T285" s="23"/>
      <c r="U285" s="6"/>
      <c r="V285" s="23"/>
      <c r="W285" s="33">
        <f t="shared" si="39"/>
        <v>0</v>
      </c>
      <c r="X285" s="23"/>
      <c r="Y285" s="23"/>
      <c r="Z285" s="23"/>
      <c r="AA285" s="23">
        <v>0</v>
      </c>
      <c r="AB285" s="23"/>
      <c r="AC285" s="23"/>
      <c r="AD285" s="23"/>
      <c r="AE285" s="23">
        <v>0</v>
      </c>
      <c r="AF285" s="23"/>
      <c r="AG285" s="23">
        <v>0</v>
      </c>
      <c r="AH285" s="23"/>
      <c r="AI285" s="23"/>
      <c r="AJ285" s="23"/>
      <c r="AK285" s="23">
        <v>0</v>
      </c>
      <c r="AL285" s="23"/>
      <c r="AM285" s="33">
        <f t="shared" si="45"/>
        <v>0</v>
      </c>
      <c r="AN285" s="23"/>
      <c r="AO285" s="33">
        <f t="shared" si="41"/>
        <v>0</v>
      </c>
      <c r="AP285" s="33"/>
    </row>
    <row r="286" spans="1:42">
      <c r="A286" s="11" t="s">
        <v>525</v>
      </c>
      <c r="B286" s="11"/>
      <c r="C286" s="11" t="s">
        <v>64</v>
      </c>
      <c r="D286" s="23"/>
      <c r="E286" s="6">
        <v>7897876</v>
      </c>
      <c r="F286" s="23"/>
      <c r="G286" s="6">
        <v>0</v>
      </c>
      <c r="H286" s="23"/>
      <c r="I286" s="6">
        <v>9382615</v>
      </c>
      <c r="J286" s="23"/>
      <c r="K286" s="6">
        <v>8123</v>
      </c>
      <c r="L286" s="23"/>
      <c r="M286" s="6">
        <f>687839+330976+18195</f>
        <v>1037010</v>
      </c>
      <c r="N286" s="23"/>
      <c r="O286" s="6">
        <v>176566</v>
      </c>
      <c r="P286" s="23"/>
      <c r="Q286" s="6">
        <v>0</v>
      </c>
      <c r="R286" s="23"/>
      <c r="S286" s="6">
        <v>29648</v>
      </c>
      <c r="T286" s="23"/>
      <c r="U286" s="6">
        <v>5221</v>
      </c>
      <c r="V286" s="23"/>
      <c r="W286" s="33">
        <f t="shared" si="39"/>
        <v>18537059</v>
      </c>
      <c r="X286" s="23"/>
      <c r="Y286" s="23">
        <v>27</v>
      </c>
      <c r="Z286" s="23"/>
      <c r="AA286" s="23">
        <v>0</v>
      </c>
      <c r="AB286" s="23"/>
      <c r="AC286" s="23">
        <v>0</v>
      </c>
      <c r="AD286" s="23"/>
      <c r="AE286" s="23">
        <v>0</v>
      </c>
      <c r="AF286" s="23"/>
      <c r="AG286" s="23">
        <v>0</v>
      </c>
      <c r="AH286" s="23"/>
      <c r="AI286" s="23">
        <v>0</v>
      </c>
      <c r="AJ286" s="23"/>
      <c r="AK286" s="23">
        <v>0</v>
      </c>
      <c r="AL286" s="23"/>
      <c r="AM286" s="33">
        <f t="shared" si="45"/>
        <v>27</v>
      </c>
      <c r="AN286" s="23"/>
      <c r="AO286" s="33">
        <f t="shared" si="41"/>
        <v>18537086</v>
      </c>
      <c r="AP286" s="33"/>
    </row>
    <row r="287" spans="1:42">
      <c r="A287" s="11" t="s">
        <v>270</v>
      </c>
      <c r="B287" s="11"/>
      <c r="C287" s="11" t="s">
        <v>20</v>
      </c>
      <c r="D287" s="23"/>
      <c r="E287" s="6">
        <v>46742863</v>
      </c>
      <c r="F287" s="23"/>
      <c r="G287" s="6">
        <v>0</v>
      </c>
      <c r="H287" s="23"/>
      <c r="I287" s="6">
        <f>2650+26326834+5866632</f>
        <v>32196116</v>
      </c>
      <c r="J287" s="23"/>
      <c r="K287" s="6">
        <v>149694</v>
      </c>
      <c r="L287" s="23"/>
      <c r="M287" s="6">
        <f>3014644+192062+338888+1260824</f>
        <v>4806418</v>
      </c>
      <c r="N287" s="23"/>
      <c r="O287" s="6">
        <v>1060939</v>
      </c>
      <c r="P287" s="23"/>
      <c r="Q287" s="6">
        <v>38454</v>
      </c>
      <c r="R287" s="23"/>
      <c r="S287" s="6">
        <v>87765</v>
      </c>
      <c r="T287" s="23"/>
      <c r="U287" s="6">
        <v>190550</v>
      </c>
      <c r="V287" s="23"/>
      <c r="W287" s="33">
        <f t="shared" si="39"/>
        <v>85272799</v>
      </c>
      <c r="X287" s="23"/>
      <c r="Y287" s="23">
        <v>920000</v>
      </c>
      <c r="Z287" s="23"/>
      <c r="AA287" s="23">
        <v>0</v>
      </c>
      <c r="AB287" s="23"/>
      <c r="AC287" s="23">
        <v>0</v>
      </c>
      <c r="AD287" s="23"/>
      <c r="AE287" s="23">
        <v>0</v>
      </c>
      <c r="AF287" s="23"/>
      <c r="AG287" s="23">
        <v>0</v>
      </c>
      <c r="AH287" s="23"/>
      <c r="AI287" s="23">
        <v>0</v>
      </c>
      <c r="AJ287" s="23"/>
      <c r="AK287" s="23">
        <v>0</v>
      </c>
      <c r="AL287" s="23"/>
      <c r="AM287" s="33">
        <f t="shared" si="45"/>
        <v>920000</v>
      </c>
      <c r="AN287" s="23"/>
      <c r="AO287" s="33">
        <f t="shared" si="41"/>
        <v>86192799</v>
      </c>
      <c r="AP287" s="33"/>
    </row>
    <row r="288" spans="1:42">
      <c r="A288" s="11" t="s">
        <v>630</v>
      </c>
      <c r="B288" s="11"/>
      <c r="C288" s="11" t="s">
        <v>42</v>
      </c>
      <c r="D288" s="23"/>
      <c r="E288" s="6">
        <v>12245105</v>
      </c>
      <c r="F288" s="23"/>
      <c r="G288" s="6">
        <v>0</v>
      </c>
      <c r="H288" s="23"/>
      <c r="I288" s="6">
        <f>8578408+995061</f>
        <v>9573469</v>
      </c>
      <c r="J288" s="23"/>
      <c r="K288" s="6">
        <v>31452</v>
      </c>
      <c r="L288" s="23"/>
      <c r="M288" s="6">
        <f>438497+42551</f>
        <v>481048</v>
      </c>
      <c r="N288" s="23"/>
      <c r="O288" s="6">
        <v>141550</v>
      </c>
      <c r="P288" s="23"/>
      <c r="Q288" s="6">
        <v>0</v>
      </c>
      <c r="R288" s="23"/>
      <c r="S288" s="6">
        <v>0</v>
      </c>
      <c r="T288" s="23"/>
      <c r="U288" s="6">
        <f>10611+244743</f>
        <v>255354</v>
      </c>
      <c r="V288" s="23"/>
      <c r="W288" s="33">
        <f t="shared" si="39"/>
        <v>22727978</v>
      </c>
      <c r="X288" s="23"/>
      <c r="Y288" s="23">
        <v>20000</v>
      </c>
      <c r="Z288" s="23"/>
      <c r="AA288" s="23">
        <v>0</v>
      </c>
      <c r="AB288" s="23"/>
      <c r="AC288" s="23">
        <v>0</v>
      </c>
      <c r="AD288" s="23"/>
      <c r="AE288" s="23">
        <v>0</v>
      </c>
      <c r="AF288" s="23"/>
      <c r="AG288" s="23">
        <v>0</v>
      </c>
      <c r="AH288" s="23"/>
      <c r="AI288" s="23">
        <v>23393</v>
      </c>
      <c r="AJ288" s="23"/>
      <c r="AK288" s="23">
        <v>0</v>
      </c>
      <c r="AL288" s="23"/>
      <c r="AM288" s="33">
        <f t="shared" si="45"/>
        <v>43393</v>
      </c>
      <c r="AN288" s="23"/>
      <c r="AO288" s="33">
        <f t="shared" si="41"/>
        <v>22771371</v>
      </c>
      <c r="AP288" s="33"/>
    </row>
    <row r="289" spans="1:42">
      <c r="A289" s="11" t="s">
        <v>223</v>
      </c>
      <c r="B289" s="11"/>
      <c r="C289" s="11" t="s">
        <v>221</v>
      </c>
      <c r="D289" s="23"/>
      <c r="E289" s="6">
        <v>80952105</v>
      </c>
      <c r="F289" s="23"/>
      <c r="G289" s="6">
        <v>0</v>
      </c>
      <c r="H289" s="23"/>
      <c r="I289" s="6">
        <v>72825089</v>
      </c>
      <c r="J289" s="23"/>
      <c r="K289" s="6">
        <v>93272</v>
      </c>
      <c r="L289" s="23"/>
      <c r="M289" s="6">
        <f>865429+4865460</f>
        <v>5730889</v>
      </c>
      <c r="N289" s="23"/>
      <c r="O289" s="6">
        <v>2471629</v>
      </c>
      <c r="P289" s="23"/>
      <c r="Q289" s="6">
        <v>11824742</v>
      </c>
      <c r="R289" s="23"/>
      <c r="S289" s="6">
        <v>0</v>
      </c>
      <c r="T289" s="23"/>
      <c r="U289" s="6">
        <v>958635</v>
      </c>
      <c r="V289" s="23"/>
      <c r="W289" s="33">
        <f t="shared" si="39"/>
        <v>174856361</v>
      </c>
      <c r="X289" s="23"/>
      <c r="Y289" s="23">
        <v>1500000</v>
      </c>
      <c r="Z289" s="23"/>
      <c r="AA289" s="23">
        <v>0</v>
      </c>
      <c r="AB289" s="23"/>
      <c r="AC289" s="23">
        <v>0</v>
      </c>
      <c r="AD289" s="23"/>
      <c r="AE289" s="23">
        <v>0</v>
      </c>
      <c r="AF289" s="23"/>
      <c r="AG289" s="23">
        <v>0</v>
      </c>
      <c r="AH289" s="23"/>
      <c r="AI289" s="23">
        <v>203980</v>
      </c>
      <c r="AJ289" s="23"/>
      <c r="AK289" s="23">
        <v>0</v>
      </c>
      <c r="AL289" s="23"/>
      <c r="AM289" s="33">
        <f t="shared" si="45"/>
        <v>1703980</v>
      </c>
      <c r="AN289" s="23"/>
      <c r="AO289" s="33">
        <f t="shared" si="41"/>
        <v>176560341</v>
      </c>
      <c r="AP289" s="33"/>
    </row>
    <row r="290" spans="1:42" hidden="1">
      <c r="A290" s="11" t="s">
        <v>797</v>
      </c>
      <c r="B290" s="11"/>
      <c r="C290" s="11" t="s">
        <v>79</v>
      </c>
      <c r="D290" s="23"/>
      <c r="E290" s="6"/>
      <c r="F290" s="23"/>
      <c r="G290" s="6"/>
      <c r="H290" s="23"/>
      <c r="I290" s="6"/>
      <c r="J290" s="23"/>
      <c r="K290" s="6"/>
      <c r="L290" s="23"/>
      <c r="M290" s="6"/>
      <c r="N290" s="23"/>
      <c r="O290" s="6"/>
      <c r="P290" s="23"/>
      <c r="Q290" s="6"/>
      <c r="R290" s="23"/>
      <c r="S290" s="6"/>
      <c r="T290" s="23"/>
      <c r="U290" s="6"/>
      <c r="V290" s="23"/>
      <c r="W290" s="33">
        <f t="shared" si="39"/>
        <v>0</v>
      </c>
      <c r="X290" s="23"/>
      <c r="Y290" s="23"/>
      <c r="Z290" s="23"/>
      <c r="AA290" s="23">
        <v>0</v>
      </c>
      <c r="AB290" s="23"/>
      <c r="AC290" s="23"/>
      <c r="AD290" s="23"/>
      <c r="AE290" s="23">
        <v>0</v>
      </c>
      <c r="AF290" s="23"/>
      <c r="AG290" s="23">
        <v>0</v>
      </c>
      <c r="AH290" s="23"/>
      <c r="AI290" s="23"/>
      <c r="AJ290" s="23"/>
      <c r="AK290" s="23">
        <v>0</v>
      </c>
      <c r="AL290" s="23"/>
      <c r="AM290" s="33">
        <f t="shared" si="45"/>
        <v>0</v>
      </c>
      <c r="AN290" s="23"/>
      <c r="AO290" s="33">
        <f t="shared" si="41"/>
        <v>0</v>
      </c>
      <c r="AP290" s="33"/>
    </row>
    <row r="291" spans="1:42">
      <c r="A291" s="11" t="s">
        <v>295</v>
      </c>
      <c r="B291" s="11"/>
      <c r="C291" s="11" t="s">
        <v>25</v>
      </c>
      <c r="D291" s="23"/>
      <c r="E291" s="6">
        <v>18670963</v>
      </c>
      <c r="F291" s="23"/>
      <c r="G291" s="6">
        <v>10274903</v>
      </c>
      <c r="H291" s="23"/>
      <c r="I291" s="6">
        <v>32914732</v>
      </c>
      <c r="J291" s="23"/>
      <c r="K291" s="6">
        <v>201627</v>
      </c>
      <c r="L291" s="23"/>
      <c r="M291" s="6">
        <f>1082139+737163+130816</f>
        <v>1950118</v>
      </c>
      <c r="N291" s="23"/>
      <c r="O291" s="6">
        <v>567484</v>
      </c>
      <c r="P291" s="23"/>
      <c r="Q291" s="6">
        <v>90883</v>
      </c>
      <c r="R291" s="23"/>
      <c r="S291" s="6">
        <v>88646</v>
      </c>
      <c r="T291" s="23"/>
      <c r="U291" s="6">
        <v>64627</v>
      </c>
      <c r="V291" s="23"/>
      <c r="W291" s="33">
        <f t="shared" si="39"/>
        <v>64823983</v>
      </c>
      <c r="X291" s="23"/>
      <c r="Y291" s="23">
        <v>14081</v>
      </c>
      <c r="Z291" s="23"/>
      <c r="AA291" s="23">
        <v>0</v>
      </c>
      <c r="AB291" s="23"/>
      <c r="AC291" s="23">
        <v>0</v>
      </c>
      <c r="AD291" s="23"/>
      <c r="AE291" s="23">
        <v>0</v>
      </c>
      <c r="AF291" s="23"/>
      <c r="AG291" s="23">
        <v>0</v>
      </c>
      <c r="AH291" s="23"/>
      <c r="AI291" s="23">
        <v>20409</v>
      </c>
      <c r="AJ291" s="23"/>
      <c r="AK291" s="23">
        <v>0</v>
      </c>
      <c r="AL291" s="23"/>
      <c r="AM291" s="33">
        <f t="shared" si="45"/>
        <v>34490</v>
      </c>
      <c r="AN291" s="23"/>
      <c r="AO291" s="33">
        <f t="shared" si="41"/>
        <v>64858473</v>
      </c>
      <c r="AP291" s="33"/>
    </row>
    <row r="292" spans="1:42" hidden="1">
      <c r="A292" s="11" t="s">
        <v>729</v>
      </c>
      <c r="B292" s="11"/>
      <c r="C292" s="11" t="s">
        <v>69</v>
      </c>
      <c r="D292" s="23"/>
      <c r="E292" s="6"/>
      <c r="F292" s="23"/>
      <c r="G292" s="6"/>
      <c r="H292" s="23"/>
      <c r="I292" s="6"/>
      <c r="J292" s="23"/>
      <c r="K292" s="6"/>
      <c r="L292" s="23"/>
      <c r="M292" s="6"/>
      <c r="N292" s="23"/>
      <c r="O292" s="6"/>
      <c r="P292" s="23"/>
      <c r="Q292" s="6"/>
      <c r="R292" s="23"/>
      <c r="S292" s="6"/>
      <c r="T292" s="23"/>
      <c r="U292" s="6"/>
      <c r="V292" s="23"/>
      <c r="W292" s="33">
        <f t="shared" ref="W292:W361" si="49">SUM(E292:U292)</f>
        <v>0</v>
      </c>
      <c r="X292" s="23"/>
      <c r="Y292" s="23"/>
      <c r="Z292" s="23"/>
      <c r="AA292" s="23">
        <v>0</v>
      </c>
      <c r="AB292" s="23"/>
      <c r="AC292" s="23"/>
      <c r="AD292" s="23"/>
      <c r="AE292" s="23">
        <v>0</v>
      </c>
      <c r="AF292" s="23"/>
      <c r="AG292" s="23">
        <v>0</v>
      </c>
      <c r="AH292" s="23"/>
      <c r="AI292" s="23"/>
      <c r="AJ292" s="23"/>
      <c r="AK292" s="23">
        <v>0</v>
      </c>
      <c r="AL292" s="23"/>
      <c r="AM292" s="33">
        <f t="shared" si="45"/>
        <v>0</v>
      </c>
      <c r="AN292" s="23"/>
      <c r="AO292" s="33">
        <f t="shared" si="41"/>
        <v>0</v>
      </c>
      <c r="AP292" s="33"/>
    </row>
    <row r="293" spans="1:42">
      <c r="A293" s="11" t="s">
        <v>315</v>
      </c>
      <c r="B293" s="11"/>
      <c r="C293" s="11" t="s">
        <v>30</v>
      </c>
      <c r="D293" s="23"/>
      <c r="E293" s="6">
        <v>1917938</v>
      </c>
      <c r="F293" s="23"/>
      <c r="G293" s="6">
        <v>892308</v>
      </c>
      <c r="H293" s="23"/>
      <c r="I293" s="6">
        <v>2865705</v>
      </c>
      <c r="J293" s="23"/>
      <c r="K293" s="6">
        <v>2368</v>
      </c>
      <c r="L293" s="23"/>
      <c r="M293" s="6">
        <f>198336+97681+6000</f>
        <v>302017</v>
      </c>
      <c r="N293" s="23"/>
      <c r="O293" s="6">
        <v>73460</v>
      </c>
      <c r="P293" s="23"/>
      <c r="Q293" s="6">
        <v>0</v>
      </c>
      <c r="R293" s="23"/>
      <c r="S293" s="6">
        <v>16816</v>
      </c>
      <c r="T293" s="23"/>
      <c r="U293" s="6">
        <v>2369</v>
      </c>
      <c r="V293" s="23"/>
      <c r="W293" s="33">
        <f t="shared" si="49"/>
        <v>6072981</v>
      </c>
      <c r="X293" s="23"/>
      <c r="Y293" s="23">
        <v>57603</v>
      </c>
      <c r="Z293" s="23"/>
      <c r="AA293" s="23">
        <v>0</v>
      </c>
      <c r="AB293" s="23"/>
      <c r="AC293" s="23">
        <v>0</v>
      </c>
      <c r="AD293" s="23"/>
      <c r="AE293" s="23">
        <v>0</v>
      </c>
      <c r="AF293" s="23"/>
      <c r="AG293" s="23">
        <v>0</v>
      </c>
      <c r="AH293" s="23"/>
      <c r="AI293" s="23">
        <v>0</v>
      </c>
      <c r="AJ293" s="23"/>
      <c r="AK293" s="23">
        <v>0</v>
      </c>
      <c r="AL293" s="23"/>
      <c r="AM293" s="33">
        <f t="shared" si="45"/>
        <v>57603</v>
      </c>
      <c r="AN293" s="23"/>
      <c r="AO293" s="33">
        <f t="shared" si="41"/>
        <v>6130584</v>
      </c>
      <c r="AP293" s="33"/>
    </row>
    <row r="294" spans="1:42" hidden="1">
      <c r="A294" s="11" t="s">
        <v>763</v>
      </c>
      <c r="B294" s="11"/>
      <c r="C294" s="11" t="s">
        <v>112</v>
      </c>
      <c r="D294" s="23"/>
      <c r="E294" s="6"/>
      <c r="F294" s="23"/>
      <c r="G294" s="6"/>
      <c r="H294" s="23"/>
      <c r="I294" s="6"/>
      <c r="J294" s="23"/>
      <c r="K294" s="6"/>
      <c r="L294" s="23"/>
      <c r="M294" s="6"/>
      <c r="N294" s="23"/>
      <c r="O294" s="6"/>
      <c r="P294" s="23"/>
      <c r="Q294" s="6"/>
      <c r="R294" s="23"/>
      <c r="S294" s="6"/>
      <c r="T294" s="23"/>
      <c r="U294" s="6"/>
      <c r="V294" s="23"/>
      <c r="W294" s="33"/>
      <c r="X294" s="23"/>
      <c r="Y294" s="23"/>
      <c r="Z294" s="23"/>
      <c r="AA294" s="23">
        <v>0</v>
      </c>
      <c r="AB294" s="23"/>
      <c r="AC294" s="23"/>
      <c r="AD294" s="23"/>
      <c r="AE294" s="23">
        <v>0</v>
      </c>
      <c r="AF294" s="23"/>
      <c r="AG294" s="23">
        <v>0</v>
      </c>
      <c r="AH294" s="23"/>
      <c r="AI294" s="23"/>
      <c r="AJ294" s="23"/>
      <c r="AK294" s="23"/>
      <c r="AL294" s="23"/>
      <c r="AM294" s="33"/>
      <c r="AN294" s="23"/>
      <c r="AO294" s="33"/>
      <c r="AP294" s="33"/>
    </row>
    <row r="295" spans="1:42" hidden="1">
      <c r="A295" s="11" t="s">
        <v>681</v>
      </c>
      <c r="B295" s="11"/>
      <c r="C295" s="11" t="s">
        <v>467</v>
      </c>
      <c r="D295" s="23"/>
      <c r="E295" s="6"/>
      <c r="F295" s="23"/>
      <c r="G295" s="6"/>
      <c r="H295" s="23"/>
      <c r="I295" s="6"/>
      <c r="J295" s="23"/>
      <c r="K295" s="6"/>
      <c r="L295" s="23"/>
      <c r="M295" s="6"/>
      <c r="N295" s="23"/>
      <c r="O295" s="6"/>
      <c r="P295" s="23"/>
      <c r="Q295" s="6"/>
      <c r="R295" s="23"/>
      <c r="S295" s="6"/>
      <c r="T295" s="23"/>
      <c r="U295" s="6"/>
      <c r="V295" s="23"/>
      <c r="W295" s="33">
        <f t="shared" si="49"/>
        <v>0</v>
      </c>
      <c r="X295" s="23"/>
      <c r="Y295" s="23"/>
      <c r="Z295" s="23"/>
      <c r="AA295" s="23">
        <v>0</v>
      </c>
      <c r="AB295" s="23"/>
      <c r="AC295" s="23"/>
      <c r="AD295" s="23"/>
      <c r="AE295" s="23">
        <v>0</v>
      </c>
      <c r="AF295" s="23"/>
      <c r="AG295" s="23">
        <v>0</v>
      </c>
      <c r="AH295" s="23"/>
      <c r="AI295" s="23"/>
      <c r="AJ295" s="23"/>
      <c r="AK295" s="23">
        <v>0</v>
      </c>
      <c r="AL295" s="23"/>
      <c r="AM295" s="33">
        <f t="shared" ref="AM295:AM321" si="50">AI295+AC295+Y295</f>
        <v>0</v>
      </c>
      <c r="AN295" s="23"/>
      <c r="AO295" s="33">
        <f t="shared" ref="AO295:AO327" si="51">W295+AM295</f>
        <v>0</v>
      </c>
      <c r="AP295" s="33"/>
    </row>
    <row r="296" spans="1:42" hidden="1">
      <c r="A296" s="11" t="s">
        <v>798</v>
      </c>
      <c r="B296" s="11"/>
      <c r="C296" s="11" t="s">
        <v>110</v>
      </c>
      <c r="D296" s="23"/>
      <c r="E296" s="6"/>
      <c r="F296" s="23"/>
      <c r="G296" s="6"/>
      <c r="H296" s="23"/>
      <c r="I296" s="6"/>
      <c r="J296" s="23"/>
      <c r="K296" s="6"/>
      <c r="L296" s="23"/>
      <c r="M296" s="6"/>
      <c r="N296" s="23"/>
      <c r="O296" s="6"/>
      <c r="P296" s="23"/>
      <c r="Q296" s="6"/>
      <c r="R296" s="23"/>
      <c r="S296" s="6"/>
      <c r="T296" s="23"/>
      <c r="U296" s="6"/>
      <c r="V296" s="23"/>
      <c r="W296" s="33">
        <f t="shared" si="49"/>
        <v>0</v>
      </c>
      <c r="X296" s="23"/>
      <c r="Y296" s="23"/>
      <c r="Z296" s="23"/>
      <c r="AA296" s="23">
        <v>0</v>
      </c>
      <c r="AB296" s="23"/>
      <c r="AC296" s="23"/>
      <c r="AD296" s="23"/>
      <c r="AE296" s="23">
        <v>0</v>
      </c>
      <c r="AF296" s="23"/>
      <c r="AG296" s="23">
        <v>0</v>
      </c>
      <c r="AH296" s="23"/>
      <c r="AI296" s="23"/>
      <c r="AJ296" s="23"/>
      <c r="AK296" s="23">
        <v>0</v>
      </c>
      <c r="AL296" s="23"/>
      <c r="AM296" s="33">
        <f t="shared" si="50"/>
        <v>0</v>
      </c>
      <c r="AN296" s="23"/>
      <c r="AO296" s="33">
        <f t="shared" si="51"/>
        <v>0</v>
      </c>
      <c r="AP296" s="33"/>
    </row>
    <row r="297" spans="1:42">
      <c r="A297" s="11" t="s">
        <v>799</v>
      </c>
      <c r="B297" s="11"/>
      <c r="C297" s="11" t="s">
        <v>33</v>
      </c>
      <c r="D297" s="23"/>
      <c r="E297" s="6">
        <v>5115451</v>
      </c>
      <c r="F297" s="23"/>
      <c r="G297" s="6">
        <v>1665811</v>
      </c>
      <c r="H297" s="23"/>
      <c r="I297" s="6">
        <v>6828686</v>
      </c>
      <c r="J297" s="23"/>
      <c r="K297" s="6">
        <v>6589</v>
      </c>
      <c r="L297" s="23"/>
      <c r="M297" s="6">
        <f>1161690+292784</f>
        <v>1454474</v>
      </c>
      <c r="N297" s="23"/>
      <c r="O297" s="6">
        <v>113035</v>
      </c>
      <c r="P297" s="23"/>
      <c r="Q297" s="6">
        <v>16799</v>
      </c>
      <c r="R297" s="23"/>
      <c r="S297" s="6">
        <v>30750</v>
      </c>
      <c r="T297" s="23"/>
      <c r="U297" s="6">
        <v>224555</v>
      </c>
      <c r="V297" s="23"/>
      <c r="W297" s="33">
        <f>SUM(E297:U297)</f>
        <v>15456150</v>
      </c>
      <c r="X297" s="23"/>
      <c r="Y297" s="23">
        <v>569432</v>
      </c>
      <c r="Z297" s="23"/>
      <c r="AA297" s="23">
        <v>0</v>
      </c>
      <c r="AB297" s="23"/>
      <c r="AC297" s="23">
        <v>0</v>
      </c>
      <c r="AD297" s="23"/>
      <c r="AE297" s="23">
        <v>0</v>
      </c>
      <c r="AF297" s="23"/>
      <c r="AG297" s="23">
        <v>0</v>
      </c>
      <c r="AH297" s="23"/>
      <c r="AI297" s="23">
        <v>3352</v>
      </c>
      <c r="AJ297" s="23"/>
      <c r="AK297" s="23">
        <v>0</v>
      </c>
      <c r="AL297" s="23"/>
      <c r="AM297" s="33">
        <f>AI297+AC297+Y297</f>
        <v>572784</v>
      </c>
      <c r="AN297" s="23"/>
      <c r="AO297" s="33">
        <f>W297+AM297</f>
        <v>16028934</v>
      </c>
      <c r="AP297" s="33"/>
    </row>
    <row r="298" spans="1:42">
      <c r="A298" s="11" t="s">
        <v>345</v>
      </c>
      <c r="B298" s="11"/>
      <c r="C298" s="11" t="s">
        <v>34</v>
      </c>
      <c r="D298" s="23"/>
      <c r="E298" s="6">
        <v>2946872</v>
      </c>
      <c r="F298" s="23"/>
      <c r="G298" s="6">
        <v>2121315</v>
      </c>
      <c r="H298" s="23"/>
      <c r="I298" s="6">
        <v>6876699</v>
      </c>
      <c r="J298" s="23"/>
      <c r="K298" s="6">
        <v>20331</v>
      </c>
      <c r="L298" s="23"/>
      <c r="M298" s="6">
        <f>1146744+68932+259649</f>
        <v>1475325</v>
      </c>
      <c r="N298" s="23"/>
      <c r="O298" s="6">
        <v>166572</v>
      </c>
      <c r="P298" s="23"/>
      <c r="Q298" s="6">
        <v>0</v>
      </c>
      <c r="R298" s="23"/>
      <c r="S298" s="6">
        <v>96821</v>
      </c>
      <c r="T298" s="23"/>
      <c r="U298" s="6">
        <v>32795</v>
      </c>
      <c r="V298" s="23"/>
      <c r="W298" s="33">
        <f t="shared" si="49"/>
        <v>13736730</v>
      </c>
      <c r="X298" s="23"/>
      <c r="Y298" s="23">
        <v>0</v>
      </c>
      <c r="Z298" s="23"/>
      <c r="AA298" s="23">
        <v>0</v>
      </c>
      <c r="AB298" s="23"/>
      <c r="AC298" s="23">
        <v>0</v>
      </c>
      <c r="AD298" s="23"/>
      <c r="AE298" s="23">
        <v>0</v>
      </c>
      <c r="AF298" s="23"/>
      <c r="AG298" s="23">
        <v>0</v>
      </c>
      <c r="AH298" s="23"/>
      <c r="AI298" s="23">
        <v>5149</v>
      </c>
      <c r="AJ298" s="23"/>
      <c r="AK298" s="23">
        <v>0</v>
      </c>
      <c r="AL298" s="23"/>
      <c r="AM298" s="33">
        <f t="shared" si="50"/>
        <v>5149</v>
      </c>
      <c r="AN298" s="23"/>
      <c r="AO298" s="33">
        <f t="shared" si="51"/>
        <v>13741879</v>
      </c>
      <c r="AP298" s="33"/>
    </row>
    <row r="299" spans="1:42">
      <c r="A299" s="11" t="s">
        <v>526</v>
      </c>
      <c r="B299" s="11"/>
      <c r="C299" s="11" t="s">
        <v>64</v>
      </c>
      <c r="D299" s="23"/>
      <c r="E299" s="6">
        <v>8407676</v>
      </c>
      <c r="F299" s="23"/>
      <c r="G299" s="6">
        <v>0</v>
      </c>
      <c r="H299" s="23"/>
      <c r="I299" s="6">
        <v>8267755</v>
      </c>
      <c r="J299" s="23"/>
      <c r="K299" s="6">
        <v>27592</v>
      </c>
      <c r="L299" s="23"/>
      <c r="M299" s="6">
        <f>828657+165426</f>
        <v>994083</v>
      </c>
      <c r="N299" s="23"/>
      <c r="O299" s="6">
        <v>100460</v>
      </c>
      <c r="P299" s="23"/>
      <c r="Q299" s="6">
        <v>0</v>
      </c>
      <c r="R299" s="23"/>
      <c r="S299" s="6">
        <v>3308</v>
      </c>
      <c r="T299" s="23"/>
      <c r="U299" s="6">
        <v>483733</v>
      </c>
      <c r="V299" s="23"/>
      <c r="W299" s="33">
        <f t="shared" si="49"/>
        <v>18284607</v>
      </c>
      <c r="X299" s="23"/>
      <c r="Y299" s="23">
        <v>205912</v>
      </c>
      <c r="Z299" s="23"/>
      <c r="AA299" s="23">
        <v>0</v>
      </c>
      <c r="AB299" s="23"/>
      <c r="AC299" s="23">
        <v>129583</v>
      </c>
      <c r="AD299" s="23"/>
      <c r="AE299" s="23">
        <v>0</v>
      </c>
      <c r="AF299" s="23"/>
      <c r="AG299" s="23">
        <v>0</v>
      </c>
      <c r="AH299" s="23"/>
      <c r="AI299" s="23">
        <v>0</v>
      </c>
      <c r="AJ299" s="23"/>
      <c r="AK299" s="23">
        <v>0</v>
      </c>
      <c r="AL299" s="23"/>
      <c r="AM299" s="33">
        <f t="shared" si="50"/>
        <v>335495</v>
      </c>
      <c r="AN299" s="23"/>
      <c r="AO299" s="33">
        <f t="shared" si="51"/>
        <v>18620102</v>
      </c>
      <c r="AP299" s="33"/>
    </row>
    <row r="300" spans="1:42">
      <c r="A300" s="11" t="s">
        <v>744</v>
      </c>
      <c r="B300" s="11"/>
      <c r="C300" s="11" t="s">
        <v>25</v>
      </c>
      <c r="D300" s="23"/>
      <c r="E300" s="6">
        <v>3817175</v>
      </c>
      <c r="F300" s="23"/>
      <c r="G300" s="6">
        <v>3007302</v>
      </c>
      <c r="H300" s="23"/>
      <c r="I300" s="6">
        <v>7773334</v>
      </c>
      <c r="J300" s="23"/>
      <c r="K300" s="6">
        <v>50353</v>
      </c>
      <c r="L300" s="23"/>
      <c r="M300" s="6">
        <f>368693+60+337769</f>
        <v>706522</v>
      </c>
      <c r="N300" s="23"/>
      <c r="O300" s="6">
        <v>280938</v>
      </c>
      <c r="P300" s="23"/>
      <c r="Q300" s="6">
        <v>0</v>
      </c>
      <c r="R300" s="23"/>
      <c r="S300" s="6">
        <v>68454</v>
      </c>
      <c r="T300" s="23"/>
      <c r="U300" s="6">
        <v>100971</v>
      </c>
      <c r="V300" s="23"/>
      <c r="W300" s="33">
        <f t="shared" si="49"/>
        <v>15805049</v>
      </c>
      <c r="X300" s="23"/>
      <c r="Y300" s="23">
        <v>0</v>
      </c>
      <c r="Z300" s="23"/>
      <c r="AA300" s="23">
        <v>0</v>
      </c>
      <c r="AB300" s="23"/>
      <c r="AC300" s="23">
        <v>0</v>
      </c>
      <c r="AD300" s="23"/>
      <c r="AE300" s="23">
        <v>0</v>
      </c>
      <c r="AF300" s="23"/>
      <c r="AG300" s="23">
        <v>0</v>
      </c>
      <c r="AH300" s="23"/>
      <c r="AI300" s="23">
        <v>44117</v>
      </c>
      <c r="AJ300" s="23"/>
      <c r="AK300" s="23">
        <v>0</v>
      </c>
      <c r="AL300" s="23"/>
      <c r="AM300" s="33">
        <f t="shared" si="50"/>
        <v>44117</v>
      </c>
      <c r="AN300" s="23"/>
      <c r="AO300" s="33">
        <f t="shared" si="51"/>
        <v>15849166</v>
      </c>
      <c r="AP300" s="33"/>
    </row>
    <row r="301" spans="1:42" hidden="1">
      <c r="A301" s="11" t="s">
        <v>874</v>
      </c>
      <c r="B301" s="11"/>
      <c r="C301" s="11" t="s">
        <v>42</v>
      </c>
      <c r="D301" s="23"/>
      <c r="E301" s="6">
        <v>0</v>
      </c>
      <c r="F301" s="23"/>
      <c r="G301" s="6">
        <v>0</v>
      </c>
      <c r="H301" s="23"/>
      <c r="I301" s="6">
        <v>0</v>
      </c>
      <c r="J301" s="23"/>
      <c r="K301" s="6">
        <v>0</v>
      </c>
      <c r="L301" s="23"/>
      <c r="M301" s="6">
        <v>0</v>
      </c>
      <c r="N301" s="23"/>
      <c r="O301" s="6">
        <v>0</v>
      </c>
      <c r="P301" s="23"/>
      <c r="Q301" s="6">
        <v>0</v>
      </c>
      <c r="R301" s="23"/>
      <c r="S301" s="6">
        <v>0</v>
      </c>
      <c r="T301" s="23"/>
      <c r="U301" s="6">
        <v>0</v>
      </c>
      <c r="V301" s="23"/>
      <c r="W301" s="33">
        <f t="shared" si="49"/>
        <v>0</v>
      </c>
      <c r="X301" s="23"/>
      <c r="Y301" s="23">
        <v>0</v>
      </c>
      <c r="Z301" s="23"/>
      <c r="AA301" s="23">
        <v>0</v>
      </c>
      <c r="AB301" s="23"/>
      <c r="AC301" s="23">
        <v>0</v>
      </c>
      <c r="AD301" s="23"/>
      <c r="AE301" s="23">
        <v>0</v>
      </c>
      <c r="AF301" s="23"/>
      <c r="AG301" s="23">
        <v>0</v>
      </c>
      <c r="AH301" s="23"/>
      <c r="AI301" s="23">
        <v>0</v>
      </c>
      <c r="AJ301" s="23"/>
      <c r="AK301" s="23">
        <v>0</v>
      </c>
      <c r="AL301" s="23"/>
      <c r="AM301" s="33">
        <f t="shared" si="50"/>
        <v>0</v>
      </c>
      <c r="AN301" s="23"/>
      <c r="AO301" s="33">
        <f t="shared" si="51"/>
        <v>0</v>
      </c>
      <c r="AP301" s="33"/>
    </row>
    <row r="302" spans="1:42">
      <c r="A302" s="11" t="s">
        <v>375</v>
      </c>
      <c r="B302" s="11"/>
      <c r="C302" s="11" t="s">
        <v>42</v>
      </c>
      <c r="D302" s="23"/>
      <c r="E302" s="6">
        <v>4693986</v>
      </c>
      <c r="F302" s="23"/>
      <c r="G302" s="6">
        <v>2002999</v>
      </c>
      <c r="H302" s="23"/>
      <c r="I302" s="6">
        <v>11538433</v>
      </c>
      <c r="J302" s="23"/>
      <c r="K302" s="6">
        <v>13303</v>
      </c>
      <c r="L302" s="23"/>
      <c r="M302" s="6">
        <f>1013859+444555</f>
        <v>1458414</v>
      </c>
      <c r="N302" s="23"/>
      <c r="O302" s="6">
        <v>312918</v>
      </c>
      <c r="P302" s="23"/>
      <c r="Q302" s="6">
        <v>42146</v>
      </c>
      <c r="R302" s="23"/>
      <c r="S302" s="6">
        <v>341144</v>
      </c>
      <c r="T302" s="23"/>
      <c r="U302" s="6">
        <v>174696</v>
      </c>
      <c r="V302" s="23"/>
      <c r="W302" s="33">
        <f t="shared" si="49"/>
        <v>20578039</v>
      </c>
      <c r="X302" s="23"/>
      <c r="Y302" s="23">
        <v>188529</v>
      </c>
      <c r="Z302" s="23"/>
      <c r="AA302" s="23">
        <v>0</v>
      </c>
      <c r="AB302" s="23"/>
      <c r="AC302" s="23">
        <v>2000000</v>
      </c>
      <c r="AD302" s="23"/>
      <c r="AE302" s="23">
        <v>0</v>
      </c>
      <c r="AF302" s="23"/>
      <c r="AG302" s="23">
        <v>0</v>
      </c>
      <c r="AH302" s="23"/>
      <c r="AI302" s="23">
        <v>59399</v>
      </c>
      <c r="AJ302" s="23"/>
      <c r="AK302" s="23">
        <v>0</v>
      </c>
      <c r="AL302" s="23"/>
      <c r="AM302" s="33">
        <f t="shared" si="50"/>
        <v>2247928</v>
      </c>
      <c r="AN302" s="23"/>
      <c r="AO302" s="33">
        <f t="shared" si="51"/>
        <v>22825967</v>
      </c>
      <c r="AP302" s="33"/>
    </row>
    <row r="303" spans="1:42" hidden="1">
      <c r="A303" s="11" t="s">
        <v>682</v>
      </c>
      <c r="B303" s="11"/>
      <c r="C303" s="11" t="s">
        <v>10</v>
      </c>
      <c r="D303" s="23"/>
      <c r="E303" s="6"/>
      <c r="F303" s="23"/>
      <c r="G303" s="6"/>
      <c r="H303" s="23"/>
      <c r="I303" s="6"/>
      <c r="J303" s="23"/>
      <c r="K303" s="6"/>
      <c r="L303" s="23"/>
      <c r="M303" s="6"/>
      <c r="N303" s="23"/>
      <c r="O303" s="6"/>
      <c r="P303" s="23"/>
      <c r="Q303" s="6"/>
      <c r="R303" s="23"/>
      <c r="S303" s="6"/>
      <c r="T303" s="23"/>
      <c r="U303" s="6"/>
      <c r="V303" s="23"/>
      <c r="W303" s="33">
        <f t="shared" si="49"/>
        <v>0</v>
      </c>
      <c r="X303" s="23"/>
      <c r="Y303" s="23"/>
      <c r="Z303" s="23"/>
      <c r="AA303" s="23">
        <v>0</v>
      </c>
      <c r="AB303" s="23"/>
      <c r="AC303" s="23"/>
      <c r="AD303" s="23"/>
      <c r="AE303" s="23">
        <v>0</v>
      </c>
      <c r="AF303" s="23"/>
      <c r="AG303" s="23">
        <v>0</v>
      </c>
      <c r="AH303" s="23"/>
      <c r="AI303" s="23"/>
      <c r="AJ303" s="23"/>
      <c r="AK303" s="23"/>
      <c r="AL303" s="23"/>
      <c r="AM303" s="33">
        <f t="shared" si="50"/>
        <v>0</v>
      </c>
      <c r="AN303" s="23"/>
      <c r="AO303" s="33">
        <f t="shared" si="51"/>
        <v>0</v>
      </c>
      <c r="AP303" s="33"/>
    </row>
    <row r="304" spans="1:42">
      <c r="A304" s="11" t="s">
        <v>541</v>
      </c>
      <c r="B304" s="11"/>
      <c r="C304" s="11" t="s">
        <v>67</v>
      </c>
      <c r="D304" s="23"/>
      <c r="E304" s="6">
        <v>3180832</v>
      </c>
      <c r="F304" s="23"/>
      <c r="G304" s="6">
        <v>0</v>
      </c>
      <c r="H304" s="23"/>
      <c r="I304" s="6">
        <f>1302+4446019+692226</f>
        <v>5139547</v>
      </c>
      <c r="J304" s="23"/>
      <c r="K304" s="6">
        <v>56628</v>
      </c>
      <c r="L304" s="23"/>
      <c r="M304" s="6">
        <f>1857937+179483+40437+1655</f>
        <v>2079512</v>
      </c>
      <c r="N304" s="23"/>
      <c r="O304" s="6">
        <v>94588</v>
      </c>
      <c r="P304" s="23"/>
      <c r="Q304" s="6">
        <v>79000</v>
      </c>
      <c r="R304" s="23"/>
      <c r="S304" s="6">
        <v>48851</v>
      </c>
      <c r="T304" s="23"/>
      <c r="U304" s="6">
        <v>116544</v>
      </c>
      <c r="V304" s="23"/>
      <c r="W304" s="33">
        <f t="shared" si="49"/>
        <v>10795502</v>
      </c>
      <c r="X304" s="23"/>
      <c r="Y304" s="23">
        <v>119176</v>
      </c>
      <c r="Z304" s="23"/>
      <c r="AA304" s="23">
        <v>0</v>
      </c>
      <c r="AB304" s="23"/>
      <c r="AC304" s="23">
        <v>0</v>
      </c>
      <c r="AD304" s="23"/>
      <c r="AE304" s="23">
        <v>0</v>
      </c>
      <c r="AF304" s="23"/>
      <c r="AG304" s="23">
        <v>0</v>
      </c>
      <c r="AH304" s="23"/>
      <c r="AI304" s="23">
        <v>17282</v>
      </c>
      <c r="AJ304" s="23"/>
      <c r="AK304" s="23">
        <v>0</v>
      </c>
      <c r="AL304" s="23"/>
      <c r="AM304" s="33">
        <f t="shared" si="50"/>
        <v>136458</v>
      </c>
      <c r="AN304" s="23"/>
      <c r="AO304" s="33">
        <f t="shared" si="51"/>
        <v>10931960</v>
      </c>
      <c r="AP304" s="33"/>
    </row>
    <row r="305" spans="1:42">
      <c r="A305" s="11" t="s">
        <v>766</v>
      </c>
      <c r="B305" s="11"/>
      <c r="C305" s="11" t="s">
        <v>112</v>
      </c>
      <c r="D305" s="23"/>
      <c r="E305" s="6">
        <v>2117027</v>
      </c>
      <c r="F305" s="23"/>
      <c r="G305" s="6">
        <v>0</v>
      </c>
      <c r="H305" s="23"/>
      <c r="I305" s="6">
        <v>6847708</v>
      </c>
      <c r="J305" s="23"/>
      <c r="K305" s="6">
        <v>47030</v>
      </c>
      <c r="L305" s="23"/>
      <c r="M305" s="6">
        <f>264572+1161681+21432</f>
        <v>1447685</v>
      </c>
      <c r="N305" s="23"/>
      <c r="O305" s="6">
        <v>113783</v>
      </c>
      <c r="P305" s="23"/>
      <c r="Q305" s="6">
        <v>0</v>
      </c>
      <c r="R305" s="23"/>
      <c r="S305" s="6">
        <v>61969</v>
      </c>
      <c r="T305" s="23"/>
      <c r="U305" s="6">
        <v>0</v>
      </c>
      <c r="V305" s="23"/>
      <c r="W305" s="33">
        <f t="shared" si="49"/>
        <v>10635202</v>
      </c>
      <c r="X305" s="23"/>
      <c r="Y305" s="23">
        <v>0</v>
      </c>
      <c r="Z305" s="23"/>
      <c r="AA305" s="23">
        <v>0</v>
      </c>
      <c r="AB305" s="23"/>
      <c r="AC305" s="23">
        <v>0</v>
      </c>
      <c r="AD305" s="23"/>
      <c r="AE305" s="23">
        <v>0</v>
      </c>
      <c r="AF305" s="23"/>
      <c r="AG305" s="23">
        <v>0</v>
      </c>
      <c r="AH305" s="23"/>
      <c r="AI305" s="23">
        <v>0</v>
      </c>
      <c r="AJ305" s="23"/>
      <c r="AK305" s="23">
        <v>0</v>
      </c>
      <c r="AL305" s="23"/>
      <c r="AM305" s="33">
        <f t="shared" si="50"/>
        <v>0</v>
      </c>
      <c r="AN305" s="23"/>
      <c r="AO305" s="33">
        <f t="shared" si="51"/>
        <v>10635202</v>
      </c>
      <c r="AP305" s="33"/>
    </row>
    <row r="306" spans="1:42">
      <c r="A306" s="11" t="s">
        <v>545</v>
      </c>
      <c r="B306" s="11"/>
      <c r="C306" s="11" t="s">
        <v>69</v>
      </c>
      <c r="D306" s="23"/>
      <c r="E306" s="6">
        <v>25675994</v>
      </c>
      <c r="F306" s="23"/>
      <c r="G306" s="6">
        <v>0</v>
      </c>
      <c r="H306" s="23"/>
      <c r="I306" s="6">
        <v>14688786</v>
      </c>
      <c r="J306" s="23"/>
      <c r="K306" s="6">
        <v>34152</v>
      </c>
      <c r="L306" s="23"/>
      <c r="M306" s="6">
        <f>612398+980901</f>
        <v>1593299</v>
      </c>
      <c r="N306" s="23"/>
      <c r="O306" s="6">
        <v>466895</v>
      </c>
      <c r="P306" s="23"/>
      <c r="Q306" s="6">
        <v>0</v>
      </c>
      <c r="R306" s="23"/>
      <c r="S306" s="6">
        <v>0</v>
      </c>
      <c r="T306" s="23"/>
      <c r="U306" s="6">
        <v>384936</v>
      </c>
      <c r="V306" s="23"/>
      <c r="W306" s="33">
        <f t="shared" si="49"/>
        <v>42844062</v>
      </c>
      <c r="X306" s="23"/>
      <c r="Y306" s="23">
        <v>0</v>
      </c>
      <c r="Z306" s="23"/>
      <c r="AA306" s="23">
        <v>0</v>
      </c>
      <c r="AB306" s="23"/>
      <c r="AC306" s="23">
        <v>0</v>
      </c>
      <c r="AD306" s="23"/>
      <c r="AE306" s="23">
        <v>0</v>
      </c>
      <c r="AF306" s="23"/>
      <c r="AG306" s="23">
        <v>0</v>
      </c>
      <c r="AH306" s="23"/>
      <c r="AI306" s="23">
        <v>0</v>
      </c>
      <c r="AJ306" s="23"/>
      <c r="AK306" s="23">
        <v>0</v>
      </c>
      <c r="AL306" s="23"/>
      <c r="AM306" s="33">
        <f t="shared" si="50"/>
        <v>0</v>
      </c>
      <c r="AN306" s="23"/>
      <c r="AO306" s="33">
        <f t="shared" si="51"/>
        <v>42844062</v>
      </c>
      <c r="AP306" s="33"/>
    </row>
    <row r="307" spans="1:42" hidden="1">
      <c r="A307" s="11" t="s">
        <v>800</v>
      </c>
      <c r="B307" s="11"/>
      <c r="C307" s="11" t="s">
        <v>32</v>
      </c>
      <c r="D307" s="23"/>
      <c r="E307" s="6">
        <v>0</v>
      </c>
      <c r="F307" s="23"/>
      <c r="G307" s="6">
        <v>0</v>
      </c>
      <c r="H307" s="23"/>
      <c r="I307" s="6">
        <v>0</v>
      </c>
      <c r="J307" s="23"/>
      <c r="K307" s="6">
        <v>0</v>
      </c>
      <c r="L307" s="23"/>
      <c r="M307" s="6">
        <v>0</v>
      </c>
      <c r="N307" s="23"/>
      <c r="O307" s="6">
        <v>0</v>
      </c>
      <c r="P307" s="23"/>
      <c r="Q307" s="6">
        <v>0</v>
      </c>
      <c r="R307" s="23"/>
      <c r="S307" s="6">
        <v>0</v>
      </c>
      <c r="T307" s="23"/>
      <c r="U307" s="6">
        <v>0</v>
      </c>
      <c r="V307" s="23"/>
      <c r="W307" s="33">
        <f t="shared" si="49"/>
        <v>0</v>
      </c>
      <c r="X307" s="23"/>
      <c r="Y307" s="23"/>
      <c r="Z307" s="23"/>
      <c r="AA307" s="23">
        <v>0</v>
      </c>
      <c r="AB307" s="23"/>
      <c r="AC307" s="23"/>
      <c r="AD307" s="23"/>
      <c r="AE307" s="23">
        <v>0</v>
      </c>
      <c r="AF307" s="23"/>
      <c r="AG307" s="23">
        <v>0</v>
      </c>
      <c r="AH307" s="23"/>
      <c r="AI307" s="23"/>
      <c r="AJ307" s="23"/>
      <c r="AK307" s="23">
        <v>0</v>
      </c>
      <c r="AL307" s="23"/>
      <c r="AM307" s="33">
        <f t="shared" si="50"/>
        <v>0</v>
      </c>
      <c r="AN307" s="23"/>
      <c r="AO307" s="33">
        <f t="shared" si="51"/>
        <v>0</v>
      </c>
      <c r="AP307" s="33"/>
    </row>
    <row r="308" spans="1:42">
      <c r="A308" s="11" t="s">
        <v>453</v>
      </c>
      <c r="B308" s="11"/>
      <c r="C308" s="11" t="s">
        <v>54</v>
      </c>
      <c r="D308" s="23"/>
      <c r="E308" s="6">
        <v>5515757</v>
      </c>
      <c r="F308" s="23"/>
      <c r="G308" s="6">
        <v>2239973</v>
      </c>
      <c r="H308" s="23"/>
      <c r="I308" s="6">
        <v>0</v>
      </c>
      <c r="J308" s="23"/>
      <c r="K308" s="6">
        <v>13908</v>
      </c>
      <c r="L308" s="23"/>
      <c r="M308" s="6">
        <f>744457+3007+415784+47131</f>
        <v>1210379</v>
      </c>
      <c r="N308" s="23"/>
      <c r="O308" s="6">
        <v>326530</v>
      </c>
      <c r="P308" s="23"/>
      <c r="Q308" s="6">
        <v>0</v>
      </c>
      <c r="R308" s="23"/>
      <c r="S308" s="6">
        <v>11337</v>
      </c>
      <c r="T308" s="23"/>
      <c r="U308" s="6">
        <f>314918+8986802+1885694</f>
        <v>11187414</v>
      </c>
      <c r="V308" s="23"/>
      <c r="W308" s="33">
        <f t="shared" si="49"/>
        <v>20505298</v>
      </c>
      <c r="X308" s="23"/>
      <c r="Y308" s="23">
        <v>53050</v>
      </c>
      <c r="Z308" s="23"/>
      <c r="AA308" s="23">
        <v>0</v>
      </c>
      <c r="AB308" s="23"/>
      <c r="AC308" s="23">
        <v>0</v>
      </c>
      <c r="AD308" s="23"/>
      <c r="AE308" s="23">
        <v>0</v>
      </c>
      <c r="AF308" s="23"/>
      <c r="AG308" s="23">
        <v>0</v>
      </c>
      <c r="AH308" s="23"/>
      <c r="AI308" s="23">
        <v>0</v>
      </c>
      <c r="AJ308" s="23"/>
      <c r="AK308" s="23">
        <v>0</v>
      </c>
      <c r="AL308" s="23"/>
      <c r="AM308" s="33">
        <f t="shared" si="50"/>
        <v>53050</v>
      </c>
      <c r="AN308" s="23"/>
      <c r="AO308" s="33">
        <f t="shared" si="51"/>
        <v>20558348</v>
      </c>
      <c r="AP308" s="33"/>
    </row>
    <row r="309" spans="1:42">
      <c r="A309" s="11" t="s">
        <v>352</v>
      </c>
      <c r="B309" s="11"/>
      <c r="C309" s="11" t="s">
        <v>35</v>
      </c>
      <c r="D309" s="23"/>
      <c r="E309" s="6">
        <v>11103900</v>
      </c>
      <c r="F309" s="23"/>
      <c r="G309" s="6">
        <v>0</v>
      </c>
      <c r="H309" s="23"/>
      <c r="I309" s="6">
        <f>22396522+5016886</f>
        <v>27413408</v>
      </c>
      <c r="J309" s="23"/>
      <c r="K309" s="6">
        <v>305585</v>
      </c>
      <c r="L309" s="23"/>
      <c r="M309" s="6">
        <f>1192658+2500</f>
        <v>1195158</v>
      </c>
      <c r="N309" s="23"/>
      <c r="O309" s="6">
        <v>315266</v>
      </c>
      <c r="P309" s="23"/>
      <c r="Q309" s="6">
        <v>0</v>
      </c>
      <c r="R309" s="23"/>
      <c r="S309" s="6">
        <v>0</v>
      </c>
      <c r="T309" s="23"/>
      <c r="U309" s="6">
        <f>218052+69564</f>
        <v>287616</v>
      </c>
      <c r="V309" s="23"/>
      <c r="W309" s="33">
        <f t="shared" si="49"/>
        <v>40620933</v>
      </c>
      <c r="X309" s="23"/>
      <c r="Y309" s="23">
        <v>95739</v>
      </c>
      <c r="Z309" s="23"/>
      <c r="AA309" s="23">
        <v>0</v>
      </c>
      <c r="AB309" s="23"/>
      <c r="AC309" s="23">
        <v>78758</v>
      </c>
      <c r="AD309" s="23"/>
      <c r="AE309" s="23">
        <v>0</v>
      </c>
      <c r="AF309" s="23"/>
      <c r="AG309" s="23">
        <v>0</v>
      </c>
      <c r="AH309" s="23"/>
      <c r="AI309" s="23">
        <v>7912</v>
      </c>
      <c r="AJ309" s="23"/>
      <c r="AK309" s="23">
        <v>0</v>
      </c>
      <c r="AL309" s="23"/>
      <c r="AM309" s="33">
        <f t="shared" si="50"/>
        <v>182409</v>
      </c>
      <c r="AN309" s="23"/>
      <c r="AO309" s="33">
        <f t="shared" si="51"/>
        <v>40803342</v>
      </c>
      <c r="AP309" s="33"/>
    </row>
    <row r="310" spans="1:42">
      <c r="A310" s="11" t="s">
        <v>400</v>
      </c>
      <c r="B310" s="11"/>
      <c r="C310" s="11" t="s">
        <v>398</v>
      </c>
      <c r="D310" s="23"/>
      <c r="E310" s="6">
        <v>8311798</v>
      </c>
      <c r="F310" s="23"/>
      <c r="G310" s="6">
        <v>3384833</v>
      </c>
      <c r="H310" s="23"/>
      <c r="I310" s="6">
        <v>11414679</v>
      </c>
      <c r="J310" s="23"/>
      <c r="K310" s="6">
        <v>15122</v>
      </c>
      <c r="L310" s="23"/>
      <c r="M310" s="6">
        <f>431647+1872775</f>
        <v>2304422</v>
      </c>
      <c r="N310" s="23"/>
      <c r="O310" s="6">
        <v>229541</v>
      </c>
      <c r="P310" s="23"/>
      <c r="Q310" s="6">
        <v>159134</v>
      </c>
      <c r="R310" s="23"/>
      <c r="S310" s="6">
        <v>37192</v>
      </c>
      <c r="T310" s="23"/>
      <c r="U310" s="6">
        <v>190673</v>
      </c>
      <c r="V310" s="23"/>
      <c r="W310" s="33">
        <f t="shared" si="49"/>
        <v>26047394</v>
      </c>
      <c r="X310" s="23"/>
      <c r="Y310" s="23">
        <v>773</v>
      </c>
      <c r="Z310" s="23"/>
      <c r="AA310" s="23">
        <v>0</v>
      </c>
      <c r="AB310" s="23"/>
      <c r="AC310" s="23">
        <f>4155000+159634</f>
        <v>4314634</v>
      </c>
      <c r="AD310" s="23"/>
      <c r="AE310" s="23">
        <v>0</v>
      </c>
      <c r="AF310" s="23"/>
      <c r="AG310" s="23">
        <v>0</v>
      </c>
      <c r="AH310" s="23"/>
      <c r="AI310" s="23">
        <f>500+9943</f>
        <v>10443</v>
      </c>
      <c r="AJ310" s="23"/>
      <c r="AK310" s="23">
        <v>0</v>
      </c>
      <c r="AL310" s="23"/>
      <c r="AM310" s="33">
        <f t="shared" si="50"/>
        <v>4325850</v>
      </c>
      <c r="AN310" s="23"/>
      <c r="AO310" s="33">
        <f t="shared" si="51"/>
        <v>30373244</v>
      </c>
      <c r="AP310" s="33"/>
    </row>
    <row r="311" spans="1:42">
      <c r="A311" s="11" t="s">
        <v>386</v>
      </c>
      <c r="B311" s="11"/>
      <c r="C311" s="11" t="s">
        <v>44</v>
      </c>
      <c r="D311" s="23"/>
      <c r="E311" s="6">
        <v>18768870</v>
      </c>
      <c r="F311" s="23"/>
      <c r="G311" s="6">
        <v>0</v>
      </c>
      <c r="H311" s="23"/>
      <c r="I311" s="6">
        <v>88827778</v>
      </c>
      <c r="J311" s="23"/>
      <c r="K311" s="6">
        <v>442730</v>
      </c>
      <c r="L311" s="23"/>
      <c r="M311" s="6">
        <f>1120029+40219+424904</f>
        <v>1585152</v>
      </c>
      <c r="N311" s="23"/>
      <c r="O311" s="6">
        <v>275768</v>
      </c>
      <c r="P311" s="23"/>
      <c r="Q311" s="6">
        <v>33091</v>
      </c>
      <c r="R311" s="23"/>
      <c r="S311" s="6">
        <v>268949</v>
      </c>
      <c r="T311" s="23"/>
      <c r="U311" s="6">
        <v>129762</v>
      </c>
      <c r="V311" s="23"/>
      <c r="W311" s="33">
        <f t="shared" si="49"/>
        <v>110332100</v>
      </c>
      <c r="X311" s="23"/>
      <c r="Y311" s="23">
        <v>379685</v>
      </c>
      <c r="Z311" s="23"/>
      <c r="AA311" s="23">
        <v>0</v>
      </c>
      <c r="AB311" s="23"/>
      <c r="AC311" s="23">
        <f>9335000+662935</f>
        <v>9997935</v>
      </c>
      <c r="AD311" s="23"/>
      <c r="AE311" s="23">
        <v>0</v>
      </c>
      <c r="AF311" s="23"/>
      <c r="AG311" s="23">
        <v>0</v>
      </c>
      <c r="AH311" s="23"/>
      <c r="AI311" s="23">
        <f>378460+67039</f>
        <v>445499</v>
      </c>
      <c r="AJ311" s="23"/>
      <c r="AK311" s="23">
        <v>0</v>
      </c>
      <c r="AL311" s="23"/>
      <c r="AM311" s="33">
        <f t="shared" si="50"/>
        <v>10823119</v>
      </c>
      <c r="AN311" s="23"/>
      <c r="AO311" s="33">
        <f t="shared" si="51"/>
        <v>121155219</v>
      </c>
      <c r="AP311" s="33"/>
    </row>
    <row r="312" spans="1:42">
      <c r="A312" s="11" t="s">
        <v>527</v>
      </c>
      <c r="B312" s="11"/>
      <c r="C312" s="11" t="s">
        <v>64</v>
      </c>
      <c r="D312" s="23"/>
      <c r="E312" s="6">
        <v>3479766</v>
      </c>
      <c r="F312" s="23"/>
      <c r="G312" s="6">
        <v>0</v>
      </c>
      <c r="H312" s="23"/>
      <c r="I312" s="6">
        <f>2466277+303786</f>
        <v>2770063</v>
      </c>
      <c r="J312" s="23"/>
      <c r="K312" s="6">
        <v>471</v>
      </c>
      <c r="L312" s="23"/>
      <c r="M312" s="6">
        <f>386725+93280+13187+56577+138</f>
        <v>549907</v>
      </c>
      <c r="N312" s="23"/>
      <c r="O312" s="6">
        <v>37708</v>
      </c>
      <c r="P312" s="23"/>
      <c r="Q312" s="6">
        <v>0</v>
      </c>
      <c r="R312" s="23"/>
      <c r="S312" s="6">
        <v>162</v>
      </c>
      <c r="T312" s="23"/>
      <c r="U312" s="6">
        <v>205023</v>
      </c>
      <c r="V312" s="23"/>
      <c r="W312" s="33">
        <f t="shared" si="49"/>
        <v>7043100</v>
      </c>
      <c r="X312" s="23"/>
      <c r="Y312" s="23">
        <v>47000</v>
      </c>
      <c r="Z312" s="23"/>
      <c r="AA312" s="23">
        <v>0</v>
      </c>
      <c r="AB312" s="23"/>
      <c r="AC312" s="23">
        <v>0</v>
      </c>
      <c r="AD312" s="23"/>
      <c r="AE312" s="23">
        <v>0</v>
      </c>
      <c r="AF312" s="23"/>
      <c r="AG312" s="23">
        <v>0</v>
      </c>
      <c r="AH312" s="23"/>
      <c r="AI312" s="23">
        <v>0</v>
      </c>
      <c r="AJ312" s="23"/>
      <c r="AK312" s="23">
        <v>0</v>
      </c>
      <c r="AL312" s="23"/>
      <c r="AM312" s="33">
        <f t="shared" si="50"/>
        <v>47000</v>
      </c>
      <c r="AN312" s="23"/>
      <c r="AO312" s="33">
        <f t="shared" si="51"/>
        <v>7090100</v>
      </c>
      <c r="AP312" s="33"/>
    </row>
    <row r="313" spans="1:42">
      <c r="A313" s="11" t="s">
        <v>683</v>
      </c>
      <c r="B313" s="11"/>
      <c r="C313" s="11" t="s">
        <v>11</v>
      </c>
      <c r="D313" s="23"/>
      <c r="E313" s="6">
        <v>4432774</v>
      </c>
      <c r="F313" s="23"/>
      <c r="G313" s="6">
        <v>1530444</v>
      </c>
      <c r="H313" s="23"/>
      <c r="I313" s="6">
        <f>4964186+1501963</f>
        <v>6466149</v>
      </c>
      <c r="J313" s="23"/>
      <c r="K313" s="6">
        <v>13083</v>
      </c>
      <c r="L313" s="23"/>
      <c r="M313" s="6">
        <f>384992+3678+192342+28747+186</f>
        <v>609945</v>
      </c>
      <c r="N313" s="23"/>
      <c r="O313" s="6">
        <v>150909</v>
      </c>
      <c r="P313" s="23"/>
      <c r="Q313" s="6">
        <v>0</v>
      </c>
      <c r="R313" s="23"/>
      <c r="S313" s="6">
        <v>64665</v>
      </c>
      <c r="T313" s="23"/>
      <c r="U313" s="6">
        <v>38007</v>
      </c>
      <c r="V313" s="23"/>
      <c r="W313" s="33">
        <f t="shared" si="49"/>
        <v>13305976</v>
      </c>
      <c r="X313" s="23"/>
      <c r="Y313" s="23">
        <v>0</v>
      </c>
      <c r="Z313" s="23"/>
      <c r="AA313" s="23">
        <v>0</v>
      </c>
      <c r="AB313" s="23"/>
      <c r="AC313" s="23">
        <v>0</v>
      </c>
      <c r="AD313" s="23"/>
      <c r="AE313" s="23">
        <v>0</v>
      </c>
      <c r="AF313" s="23"/>
      <c r="AG313" s="23">
        <v>0</v>
      </c>
      <c r="AH313" s="23"/>
      <c r="AI313" s="23">
        <v>10961</v>
      </c>
      <c r="AJ313" s="23"/>
      <c r="AK313" s="23">
        <v>0</v>
      </c>
      <c r="AL313" s="23"/>
      <c r="AM313" s="33">
        <f t="shared" si="50"/>
        <v>10961</v>
      </c>
      <c r="AN313" s="23"/>
      <c r="AO313" s="33">
        <f t="shared" si="51"/>
        <v>13316937</v>
      </c>
      <c r="AP313" s="33"/>
    </row>
    <row r="314" spans="1:42">
      <c r="A314" s="11" t="s">
        <v>499</v>
      </c>
      <c r="B314" s="11"/>
      <c r="C314" s="11" t="s">
        <v>62</v>
      </c>
      <c r="D314" s="23"/>
      <c r="E314" s="6">
        <v>7519565</v>
      </c>
      <c r="F314" s="23"/>
      <c r="G314" s="6">
        <v>0</v>
      </c>
      <c r="H314" s="23"/>
      <c r="I314" s="6">
        <v>19718367</v>
      </c>
      <c r="J314" s="23"/>
      <c r="K314" s="6">
        <v>19416</v>
      </c>
      <c r="L314" s="23"/>
      <c r="M314" s="6">
        <f>882463+750083+9653</f>
        <v>1642199</v>
      </c>
      <c r="N314" s="23"/>
      <c r="O314" s="6">
        <v>583464</v>
      </c>
      <c r="P314" s="23"/>
      <c r="Q314" s="6">
        <v>2722</v>
      </c>
      <c r="R314" s="23"/>
      <c r="S314" s="6">
        <v>64597</v>
      </c>
      <c r="T314" s="23"/>
      <c r="U314" s="6">
        <v>144009</v>
      </c>
      <c r="V314" s="23"/>
      <c r="W314" s="33">
        <f t="shared" si="49"/>
        <v>29694339</v>
      </c>
      <c r="X314" s="23"/>
      <c r="Y314" s="23">
        <v>57250</v>
      </c>
      <c r="Z314" s="23"/>
      <c r="AA314" s="23">
        <v>0</v>
      </c>
      <c r="AB314" s="23"/>
      <c r="AC314" s="23">
        <v>0</v>
      </c>
      <c r="AD314" s="23"/>
      <c r="AE314" s="23">
        <v>0</v>
      </c>
      <c r="AF314" s="23"/>
      <c r="AG314" s="23">
        <v>0</v>
      </c>
      <c r="AH314" s="23"/>
      <c r="AI314" s="23">
        <v>65058</v>
      </c>
      <c r="AJ314" s="23"/>
      <c r="AK314" s="23">
        <v>0</v>
      </c>
      <c r="AL314" s="23"/>
      <c r="AM314" s="33">
        <f t="shared" si="50"/>
        <v>122308</v>
      </c>
      <c r="AN314" s="23"/>
      <c r="AO314" s="33">
        <f t="shared" si="51"/>
        <v>29816647</v>
      </c>
      <c r="AP314" s="33"/>
    </row>
    <row r="315" spans="1:42">
      <c r="A315" s="11" t="s">
        <v>324</v>
      </c>
      <c r="B315" s="11"/>
      <c r="C315" s="11" t="s">
        <v>32</v>
      </c>
      <c r="D315" s="23"/>
      <c r="E315" s="6">
        <v>26815419</v>
      </c>
      <c r="F315" s="23"/>
      <c r="G315" s="6">
        <v>0</v>
      </c>
      <c r="H315" s="23"/>
      <c r="I315" s="6">
        <v>16967061</v>
      </c>
      <c r="J315" s="23"/>
      <c r="K315" s="6">
        <v>37062</v>
      </c>
      <c r="L315" s="23"/>
      <c r="M315" s="6">
        <f>724529+1124400</f>
        <v>1848929</v>
      </c>
      <c r="N315" s="23"/>
      <c r="O315" s="6">
        <v>499197</v>
      </c>
      <c r="P315" s="23"/>
      <c r="Q315" s="6">
        <v>125754</v>
      </c>
      <c r="R315" s="23"/>
      <c r="S315" s="6">
        <v>0</v>
      </c>
      <c r="T315" s="23"/>
      <c r="U315" s="6">
        <v>328562</v>
      </c>
      <c r="V315" s="23"/>
      <c r="W315" s="33">
        <f t="shared" si="49"/>
        <v>46621984</v>
      </c>
      <c r="X315" s="23"/>
      <c r="Y315" s="23">
        <v>0</v>
      </c>
      <c r="Z315" s="23"/>
      <c r="AA315" s="23">
        <v>0</v>
      </c>
      <c r="AB315" s="23"/>
      <c r="AC315" s="23">
        <v>0</v>
      </c>
      <c r="AD315" s="23"/>
      <c r="AE315" s="23">
        <v>0</v>
      </c>
      <c r="AF315" s="23"/>
      <c r="AG315" s="23">
        <v>0</v>
      </c>
      <c r="AH315" s="23"/>
      <c r="AI315" s="23">
        <v>0</v>
      </c>
      <c r="AJ315" s="23"/>
      <c r="AK315" s="23">
        <v>0</v>
      </c>
      <c r="AL315" s="23"/>
      <c r="AM315" s="33">
        <f t="shared" si="50"/>
        <v>0</v>
      </c>
      <c r="AN315" s="23"/>
      <c r="AO315" s="33">
        <f t="shared" si="51"/>
        <v>46621984</v>
      </c>
      <c r="AP315" s="33"/>
    </row>
    <row r="316" spans="1:42">
      <c r="A316" s="11" t="s">
        <v>684</v>
      </c>
      <c r="B316" s="11"/>
      <c r="C316" s="11" t="s">
        <v>45</v>
      </c>
      <c r="D316" s="23"/>
      <c r="E316" s="6">
        <v>1001213</v>
      </c>
      <c r="F316" s="23"/>
      <c r="G316" s="6">
        <v>0</v>
      </c>
      <c r="H316" s="23"/>
      <c r="I316" s="6">
        <f>2333834+519088</f>
        <v>2852922</v>
      </c>
      <c r="J316" s="23"/>
      <c r="K316" s="6">
        <v>48448</v>
      </c>
      <c r="L316" s="23"/>
      <c r="M316" s="6">
        <f>1545131+145130+480</f>
        <v>1690741</v>
      </c>
      <c r="N316" s="23"/>
      <c r="O316" s="6">
        <v>99111</v>
      </c>
      <c r="P316" s="23"/>
      <c r="Q316" s="6">
        <v>0</v>
      </c>
      <c r="R316" s="23"/>
      <c r="S316" s="6">
        <v>53555</v>
      </c>
      <c r="T316" s="23"/>
      <c r="U316" s="6">
        <v>84313</v>
      </c>
      <c r="V316" s="23"/>
      <c r="W316" s="33">
        <f t="shared" si="49"/>
        <v>5830303</v>
      </c>
      <c r="X316" s="23"/>
      <c r="Y316" s="23">
        <v>468058</v>
      </c>
      <c r="Z316" s="23"/>
      <c r="AA316" s="23">
        <v>0</v>
      </c>
      <c r="AB316" s="23"/>
      <c r="AC316" s="23">
        <v>0</v>
      </c>
      <c r="AD316" s="23"/>
      <c r="AE316" s="23">
        <v>0</v>
      </c>
      <c r="AF316" s="23"/>
      <c r="AG316" s="23">
        <v>0</v>
      </c>
      <c r="AH316" s="23"/>
      <c r="AI316" s="23">
        <v>0</v>
      </c>
      <c r="AJ316" s="23"/>
      <c r="AK316" s="23">
        <v>0</v>
      </c>
      <c r="AL316" s="23"/>
      <c r="AM316" s="33">
        <f t="shared" si="50"/>
        <v>468058</v>
      </c>
      <c r="AN316" s="23"/>
      <c r="AO316" s="33">
        <f t="shared" si="51"/>
        <v>6298361</v>
      </c>
      <c r="AP316" s="33"/>
    </row>
    <row r="317" spans="1:42">
      <c r="A317" s="11" t="s">
        <v>801</v>
      </c>
      <c r="B317" s="11"/>
      <c r="C317" s="11" t="s">
        <v>110</v>
      </c>
      <c r="D317" s="23"/>
      <c r="E317" s="6">
        <v>2622252</v>
      </c>
      <c r="F317" s="23"/>
      <c r="G317" s="6">
        <v>0</v>
      </c>
      <c r="H317" s="23"/>
      <c r="I317" s="6">
        <f>19058+2369199+468137</f>
        <v>2856394</v>
      </c>
      <c r="J317" s="23"/>
      <c r="K317" s="6">
        <v>92761</v>
      </c>
      <c r="L317" s="23"/>
      <c r="M317" s="6">
        <f>216954+115845+13539+766</f>
        <v>347104</v>
      </c>
      <c r="N317" s="23"/>
      <c r="O317" s="6">
        <v>93823</v>
      </c>
      <c r="P317" s="23"/>
      <c r="Q317" s="6">
        <v>0</v>
      </c>
      <c r="R317" s="23"/>
      <c r="S317" s="6">
        <v>11066</v>
      </c>
      <c r="T317" s="23"/>
      <c r="U317" s="6">
        <v>55833</v>
      </c>
      <c r="V317" s="23"/>
      <c r="W317" s="33">
        <f t="shared" si="49"/>
        <v>6079233</v>
      </c>
      <c r="X317" s="23"/>
      <c r="Y317" s="23">
        <v>244045</v>
      </c>
      <c r="Z317" s="23"/>
      <c r="AA317" s="23">
        <v>0</v>
      </c>
      <c r="AB317" s="23"/>
      <c r="AC317" s="23">
        <v>0</v>
      </c>
      <c r="AD317" s="23"/>
      <c r="AE317" s="23">
        <v>0</v>
      </c>
      <c r="AF317" s="23"/>
      <c r="AG317" s="23">
        <v>0</v>
      </c>
      <c r="AH317" s="23"/>
      <c r="AI317" s="23">
        <v>0</v>
      </c>
      <c r="AJ317" s="23"/>
      <c r="AK317" s="23">
        <v>0</v>
      </c>
      <c r="AL317" s="23"/>
      <c r="AM317" s="33">
        <f t="shared" si="50"/>
        <v>244045</v>
      </c>
      <c r="AN317" s="23"/>
      <c r="AO317" s="33">
        <f>W317+AM317</f>
        <v>6323278</v>
      </c>
      <c r="AP317" s="33"/>
    </row>
    <row r="318" spans="1:42">
      <c r="A318" s="11" t="s">
        <v>351</v>
      </c>
      <c r="B318" s="11"/>
      <c r="C318" s="11" t="s">
        <v>348</v>
      </c>
      <c r="D318" s="23"/>
      <c r="E318" s="6">
        <v>1973049</v>
      </c>
      <c r="F318" s="23"/>
      <c r="G318" s="6">
        <v>0</v>
      </c>
      <c r="H318" s="23"/>
      <c r="I318" s="6">
        <v>9503265</v>
      </c>
      <c r="J318" s="23"/>
      <c r="K318" s="6">
        <v>57662</v>
      </c>
      <c r="L318" s="23"/>
      <c r="M318" s="6">
        <f>732060+895+255426</f>
        <v>988381</v>
      </c>
      <c r="N318" s="23"/>
      <c r="O318" s="6">
        <v>86175</v>
      </c>
      <c r="P318" s="23"/>
      <c r="Q318" s="6">
        <v>0</v>
      </c>
      <c r="R318" s="23"/>
      <c r="S318" s="6">
        <v>40328</v>
      </c>
      <c r="T318" s="23"/>
      <c r="U318" s="6">
        <v>111526</v>
      </c>
      <c r="V318" s="23"/>
      <c r="W318" s="33">
        <f t="shared" si="49"/>
        <v>12760386</v>
      </c>
      <c r="X318" s="23"/>
      <c r="Y318" s="23">
        <v>97935</v>
      </c>
      <c r="Z318" s="23"/>
      <c r="AA318" s="23">
        <v>0</v>
      </c>
      <c r="AB318" s="23"/>
      <c r="AC318" s="23">
        <v>195303</v>
      </c>
      <c r="AD318" s="23"/>
      <c r="AE318" s="23">
        <v>0</v>
      </c>
      <c r="AF318" s="23"/>
      <c r="AG318" s="23">
        <v>0</v>
      </c>
      <c r="AH318" s="23"/>
      <c r="AI318" s="23">
        <v>0</v>
      </c>
      <c r="AJ318" s="23"/>
      <c r="AK318" s="23">
        <v>0</v>
      </c>
      <c r="AL318" s="23"/>
      <c r="AM318" s="33">
        <f t="shared" si="50"/>
        <v>293238</v>
      </c>
      <c r="AN318" s="23"/>
      <c r="AO318" s="33">
        <f t="shared" si="51"/>
        <v>13053624</v>
      </c>
      <c r="AP318" s="33"/>
    </row>
    <row r="319" spans="1:42">
      <c r="A319" s="11" t="s">
        <v>711</v>
      </c>
      <c r="B319" s="11"/>
      <c r="C319" s="11" t="s">
        <v>50</v>
      </c>
      <c r="D319" s="23"/>
      <c r="E319" s="6">
        <v>9694675</v>
      </c>
      <c r="F319" s="23"/>
      <c r="G319" s="6">
        <v>0</v>
      </c>
      <c r="H319" s="23"/>
      <c r="I319" s="6">
        <v>30178978</v>
      </c>
      <c r="J319" s="23"/>
      <c r="K319" s="6">
        <v>64824</v>
      </c>
      <c r="L319" s="23"/>
      <c r="M319" s="6">
        <f>1649393+755564</f>
        <v>2404957</v>
      </c>
      <c r="N319" s="23"/>
      <c r="O319" s="6">
        <v>255133</v>
      </c>
      <c r="P319" s="23"/>
      <c r="Q319" s="6">
        <v>0</v>
      </c>
      <c r="R319" s="23"/>
      <c r="S319" s="6">
        <v>0</v>
      </c>
      <c r="T319" s="23"/>
      <c r="U319" s="6">
        <v>182012</v>
      </c>
      <c r="V319" s="23"/>
      <c r="W319" s="33">
        <f t="shared" si="49"/>
        <v>42780579</v>
      </c>
      <c r="X319" s="23"/>
      <c r="Y319" s="23">
        <v>0</v>
      </c>
      <c r="Z319" s="23"/>
      <c r="AA319" s="23">
        <v>0</v>
      </c>
      <c r="AB319" s="23"/>
      <c r="AC319" s="23">
        <v>0</v>
      </c>
      <c r="AD319" s="23"/>
      <c r="AE319" s="23"/>
      <c r="AF319" s="23"/>
      <c r="AG319" s="23"/>
      <c r="AH319" s="23"/>
      <c r="AI319" s="23">
        <v>22961</v>
      </c>
      <c r="AJ319" s="23"/>
      <c r="AK319" s="23">
        <v>0</v>
      </c>
      <c r="AL319" s="23"/>
      <c r="AM319" s="33">
        <f t="shared" si="50"/>
        <v>22961</v>
      </c>
      <c r="AN319" s="23"/>
      <c r="AO319" s="33">
        <f t="shared" si="51"/>
        <v>42803540</v>
      </c>
      <c r="AP319" s="33"/>
    </row>
    <row r="320" spans="1:42">
      <c r="A320" s="11" t="s">
        <v>325</v>
      </c>
      <c r="B320" s="11"/>
      <c r="C320" s="11" t="s">
        <v>32</v>
      </c>
      <c r="D320" s="23"/>
      <c r="E320" s="6">
        <v>13382931</v>
      </c>
      <c r="F320" s="23"/>
      <c r="G320" s="6">
        <v>0</v>
      </c>
      <c r="H320" s="23"/>
      <c r="I320" s="6">
        <v>5380938</v>
      </c>
      <c r="J320" s="23"/>
      <c r="K320" s="6">
        <v>19003</v>
      </c>
      <c r="L320" s="23"/>
      <c r="M320" s="6">
        <f>147794+583907</f>
        <v>731701</v>
      </c>
      <c r="N320" s="23"/>
      <c r="O320" s="6">
        <v>334869</v>
      </c>
      <c r="P320" s="23"/>
      <c r="Q320" s="6">
        <v>105000</v>
      </c>
      <c r="R320" s="23"/>
      <c r="S320" s="6">
        <v>0</v>
      </c>
      <c r="T320" s="23"/>
      <c r="U320" s="6">
        <v>116978</v>
      </c>
      <c r="V320" s="23"/>
      <c r="W320" s="33">
        <f t="shared" si="49"/>
        <v>20071420</v>
      </c>
      <c r="X320" s="23"/>
      <c r="Y320" s="23">
        <v>300000</v>
      </c>
      <c r="Z320" s="23"/>
      <c r="AA320" s="23">
        <v>0</v>
      </c>
      <c r="AB320" s="23"/>
      <c r="AC320" s="23">
        <v>366480</v>
      </c>
      <c r="AD320" s="23"/>
      <c r="AE320" s="23"/>
      <c r="AF320" s="23"/>
      <c r="AG320" s="23"/>
      <c r="AH320" s="23"/>
      <c r="AI320" s="23">
        <v>0</v>
      </c>
      <c r="AJ320" s="23"/>
      <c r="AK320" s="23">
        <v>0</v>
      </c>
      <c r="AL320" s="23"/>
      <c r="AM320" s="33">
        <f t="shared" si="50"/>
        <v>666480</v>
      </c>
      <c r="AN320" s="23"/>
      <c r="AO320" s="33">
        <f t="shared" si="51"/>
        <v>20737900</v>
      </c>
      <c r="AP320" s="33"/>
    </row>
    <row r="321" spans="1:42">
      <c r="A321" s="11" t="s">
        <v>224</v>
      </c>
      <c r="B321" s="11"/>
      <c r="C321" s="11" t="s">
        <v>221</v>
      </c>
      <c r="D321" s="23"/>
      <c r="E321" s="6">
        <v>6215876</v>
      </c>
      <c r="F321" s="23"/>
      <c r="G321" s="6">
        <v>0</v>
      </c>
      <c r="H321" s="23"/>
      <c r="I321" s="6">
        <f>6532980+1243914</f>
        <v>7776894</v>
      </c>
      <c r="J321" s="23"/>
      <c r="K321" s="6">
        <v>2494</v>
      </c>
      <c r="L321" s="23"/>
      <c r="M321" s="6">
        <f>966215+445903+51412</f>
        <v>1463530</v>
      </c>
      <c r="N321" s="23"/>
      <c r="O321" s="6">
        <v>141558</v>
      </c>
      <c r="P321" s="23"/>
      <c r="Q321" s="6">
        <v>0</v>
      </c>
      <c r="R321" s="23"/>
      <c r="S321" s="6">
        <v>0</v>
      </c>
      <c r="T321" s="23"/>
      <c r="U321" s="6">
        <v>288670</v>
      </c>
      <c r="V321" s="23"/>
      <c r="W321" s="33">
        <f t="shared" si="49"/>
        <v>15889022</v>
      </c>
      <c r="X321" s="23"/>
      <c r="Y321" s="23">
        <v>0</v>
      </c>
      <c r="Z321" s="23"/>
      <c r="AA321" s="23">
        <v>0</v>
      </c>
      <c r="AB321" s="23"/>
      <c r="AC321" s="23">
        <v>0</v>
      </c>
      <c r="AD321" s="23"/>
      <c r="AE321" s="23"/>
      <c r="AF321" s="23"/>
      <c r="AG321" s="23"/>
      <c r="AH321" s="23"/>
      <c r="AI321" s="23">
        <v>0</v>
      </c>
      <c r="AJ321" s="23"/>
      <c r="AK321" s="23">
        <v>0</v>
      </c>
      <c r="AL321" s="23"/>
      <c r="AM321" s="33">
        <f t="shared" si="50"/>
        <v>0</v>
      </c>
      <c r="AN321" s="23"/>
      <c r="AO321" s="33">
        <f t="shared" si="51"/>
        <v>15889022</v>
      </c>
      <c r="AP321" s="33"/>
    </row>
    <row r="322" spans="1:42" hidden="1">
      <c r="A322" s="11" t="s">
        <v>730</v>
      </c>
      <c r="B322" s="11"/>
      <c r="C322" s="11" t="s">
        <v>41</v>
      </c>
      <c r="D322" s="23"/>
      <c r="E322" s="6">
        <v>0</v>
      </c>
      <c r="F322" s="23"/>
      <c r="G322" s="6">
        <v>0</v>
      </c>
      <c r="H322" s="23"/>
      <c r="I322" s="6">
        <v>0</v>
      </c>
      <c r="J322" s="23"/>
      <c r="K322" s="6">
        <v>0</v>
      </c>
      <c r="L322" s="23"/>
      <c r="M322" s="6">
        <v>0</v>
      </c>
      <c r="N322" s="23"/>
      <c r="O322" s="6">
        <v>0</v>
      </c>
      <c r="P322" s="23"/>
      <c r="Q322" s="6">
        <v>0</v>
      </c>
      <c r="R322" s="23"/>
      <c r="S322" s="6">
        <v>0</v>
      </c>
      <c r="T322" s="23"/>
      <c r="U322" s="6">
        <v>0</v>
      </c>
      <c r="V322" s="23"/>
      <c r="W322" s="33">
        <f t="shared" si="49"/>
        <v>0</v>
      </c>
      <c r="X322" s="23"/>
      <c r="Y322" s="23"/>
      <c r="Z322" s="23"/>
      <c r="AA322" s="23">
        <v>0</v>
      </c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33"/>
      <c r="AN322" s="23"/>
      <c r="AO322" s="33">
        <f t="shared" si="51"/>
        <v>0</v>
      </c>
      <c r="AP322" s="33"/>
    </row>
    <row r="323" spans="1:42">
      <c r="A323" s="11" t="s">
        <v>224</v>
      </c>
      <c r="B323" s="11"/>
      <c r="C323" s="11" t="s">
        <v>110</v>
      </c>
      <c r="D323" s="23"/>
      <c r="E323" s="6">
        <v>9734219</v>
      </c>
      <c r="F323" s="23"/>
      <c r="G323" s="6">
        <v>0</v>
      </c>
      <c r="H323" s="23"/>
      <c r="I323" s="6">
        <f>24435915+4577946</f>
        <v>29013861</v>
      </c>
      <c r="J323" s="23"/>
      <c r="K323" s="6">
        <v>132438</v>
      </c>
      <c r="L323" s="23"/>
      <c r="M323" s="6">
        <f>1411419+17690+370067+115612+3320+97509</f>
        <v>2015617</v>
      </c>
      <c r="N323" s="23"/>
      <c r="O323" s="6">
        <v>141948</v>
      </c>
      <c r="P323" s="23"/>
      <c r="Q323" s="6">
        <v>315784</v>
      </c>
      <c r="R323" s="23"/>
      <c r="S323" s="6">
        <v>16634</v>
      </c>
      <c r="T323" s="23"/>
      <c r="U323" s="6">
        <v>294719</v>
      </c>
      <c r="V323" s="23"/>
      <c r="W323" s="33">
        <f t="shared" si="49"/>
        <v>41665220</v>
      </c>
      <c r="X323" s="23"/>
      <c r="Y323" s="23">
        <v>2800958</v>
      </c>
      <c r="Z323" s="23"/>
      <c r="AA323" s="23">
        <v>0</v>
      </c>
      <c r="AB323" s="23"/>
      <c r="AC323" s="23">
        <v>0</v>
      </c>
      <c r="AD323" s="23"/>
      <c r="AE323" s="23"/>
      <c r="AF323" s="23"/>
      <c r="AG323" s="23"/>
      <c r="AH323" s="23"/>
      <c r="AI323" s="23">
        <v>0</v>
      </c>
      <c r="AJ323" s="23"/>
      <c r="AK323" s="23">
        <v>0</v>
      </c>
      <c r="AL323" s="23"/>
      <c r="AM323" s="33">
        <f t="shared" ref="AM323:AM334" si="52">AI323+AC323+Y323</f>
        <v>2800958</v>
      </c>
      <c r="AN323" s="23"/>
      <c r="AO323" s="33">
        <f t="shared" si="51"/>
        <v>44466178</v>
      </c>
      <c r="AP323" s="33"/>
    </row>
    <row r="324" spans="1:42">
      <c r="A324" s="11" t="s">
        <v>694</v>
      </c>
      <c r="B324" s="11"/>
      <c r="C324" s="11" t="s">
        <v>398</v>
      </c>
      <c r="D324" s="23"/>
      <c r="E324" s="6">
        <v>5631828</v>
      </c>
      <c r="F324" s="23"/>
      <c r="G324" s="6">
        <v>0</v>
      </c>
      <c r="H324" s="23"/>
      <c r="I324" s="6">
        <v>7367601</v>
      </c>
      <c r="J324" s="23"/>
      <c r="K324" s="6">
        <v>37694</v>
      </c>
      <c r="L324" s="23"/>
      <c r="M324" s="6">
        <f>958440+325585</f>
        <v>1284025</v>
      </c>
      <c r="N324" s="23"/>
      <c r="O324" s="6">
        <v>108302</v>
      </c>
      <c r="P324" s="23"/>
      <c r="Q324" s="6">
        <v>11170</v>
      </c>
      <c r="R324" s="23"/>
      <c r="S324" s="6">
        <v>51701</v>
      </c>
      <c r="T324" s="23"/>
      <c r="U324" s="6">
        <v>171161</v>
      </c>
      <c r="V324" s="23"/>
      <c r="W324" s="33">
        <f t="shared" si="49"/>
        <v>14663482</v>
      </c>
      <c r="X324" s="23"/>
      <c r="Y324" s="23">
        <v>2246870</v>
      </c>
      <c r="Z324" s="23"/>
      <c r="AA324" s="23">
        <v>0</v>
      </c>
      <c r="AB324" s="23"/>
      <c r="AC324" s="23">
        <v>0</v>
      </c>
      <c r="AD324" s="23"/>
      <c r="AE324" s="23"/>
      <c r="AF324" s="23"/>
      <c r="AG324" s="23"/>
      <c r="AH324" s="23"/>
      <c r="AI324" s="23">
        <v>78617</v>
      </c>
      <c r="AJ324" s="23"/>
      <c r="AK324" s="23">
        <v>0</v>
      </c>
      <c r="AL324" s="23"/>
      <c r="AM324" s="33">
        <f t="shared" si="52"/>
        <v>2325487</v>
      </c>
      <c r="AN324" s="23"/>
      <c r="AO324" s="33">
        <f t="shared" si="51"/>
        <v>16988969</v>
      </c>
      <c r="AP324" s="33"/>
    </row>
    <row r="325" spans="1:42">
      <c r="A325" s="11" t="s">
        <v>605</v>
      </c>
      <c r="B325" s="11"/>
      <c r="C325" s="11" t="s">
        <v>200</v>
      </c>
      <c r="D325" s="23"/>
      <c r="E325" s="6">
        <v>8311663</v>
      </c>
      <c r="F325" s="23"/>
      <c r="G325" s="6">
        <v>0</v>
      </c>
      <c r="H325" s="23"/>
      <c r="I325" s="6">
        <v>6103839</v>
      </c>
      <c r="J325" s="23"/>
      <c r="K325" s="6">
        <v>30616</v>
      </c>
      <c r="L325" s="23"/>
      <c r="M325" s="6">
        <f>552400+128421+1041</f>
        <v>681862</v>
      </c>
      <c r="N325" s="23"/>
      <c r="O325" s="6">
        <v>100940</v>
      </c>
      <c r="P325" s="23"/>
      <c r="Q325" s="6">
        <v>0</v>
      </c>
      <c r="R325" s="23"/>
      <c r="S325" s="6">
        <v>22018</v>
      </c>
      <c r="T325" s="23"/>
      <c r="U325" s="6">
        <v>52995</v>
      </c>
      <c r="V325" s="23"/>
      <c r="W325" s="33">
        <f t="shared" si="49"/>
        <v>15303933</v>
      </c>
      <c r="X325" s="23"/>
      <c r="Y325" s="23">
        <v>0</v>
      </c>
      <c r="Z325" s="23"/>
      <c r="AA325" s="23">
        <v>0</v>
      </c>
      <c r="AB325" s="23"/>
      <c r="AC325" s="23">
        <v>8206348</v>
      </c>
      <c r="AD325" s="23"/>
      <c r="AE325" s="23"/>
      <c r="AF325" s="23"/>
      <c r="AG325" s="23"/>
      <c r="AH325" s="23"/>
      <c r="AI325" s="23">
        <v>0</v>
      </c>
      <c r="AJ325" s="23"/>
      <c r="AK325" s="23">
        <v>0</v>
      </c>
      <c r="AL325" s="23"/>
      <c r="AM325" s="33">
        <f t="shared" si="52"/>
        <v>8206348</v>
      </c>
      <c r="AN325" s="23"/>
      <c r="AO325" s="33">
        <f t="shared" si="51"/>
        <v>23510281</v>
      </c>
      <c r="AP325" s="33"/>
    </row>
    <row r="326" spans="1:42" hidden="1">
      <c r="A326" s="11" t="s">
        <v>805</v>
      </c>
      <c r="B326" s="11"/>
      <c r="C326" s="11" t="s">
        <v>63</v>
      </c>
      <c r="D326" s="23"/>
      <c r="E326" s="6">
        <v>0</v>
      </c>
      <c r="F326" s="23"/>
      <c r="G326" s="6">
        <v>0</v>
      </c>
      <c r="H326" s="23"/>
      <c r="I326" s="6">
        <v>0</v>
      </c>
      <c r="J326" s="23"/>
      <c r="K326" s="6">
        <v>0</v>
      </c>
      <c r="L326" s="23"/>
      <c r="M326" s="6">
        <v>0</v>
      </c>
      <c r="N326" s="23"/>
      <c r="O326" s="6">
        <v>0</v>
      </c>
      <c r="P326" s="23"/>
      <c r="Q326" s="6">
        <v>0</v>
      </c>
      <c r="R326" s="23"/>
      <c r="S326" s="6">
        <v>0</v>
      </c>
      <c r="T326" s="23"/>
      <c r="U326" s="6">
        <v>0</v>
      </c>
      <c r="V326" s="23"/>
      <c r="W326" s="33">
        <f t="shared" ref="W326" si="53">SUM(E326:U326)</f>
        <v>0</v>
      </c>
      <c r="X326" s="23"/>
      <c r="Y326" s="23"/>
      <c r="Z326" s="23"/>
      <c r="AA326" s="23">
        <v>0</v>
      </c>
      <c r="AB326" s="23"/>
      <c r="AC326" s="23"/>
      <c r="AD326" s="23"/>
      <c r="AE326" s="23"/>
      <c r="AF326" s="23"/>
      <c r="AG326" s="23"/>
      <c r="AH326" s="23"/>
      <c r="AI326" s="23"/>
      <c r="AJ326" s="23"/>
      <c r="AK326" s="23">
        <v>0</v>
      </c>
      <c r="AL326" s="23"/>
      <c r="AM326" s="33">
        <f t="shared" ref="AM326" si="54">AI326+AC326+Y326</f>
        <v>0</v>
      </c>
      <c r="AN326" s="23"/>
      <c r="AO326" s="33">
        <f t="shared" ref="AO326" si="55">W326+AM326</f>
        <v>0</v>
      </c>
      <c r="AP326" s="33"/>
    </row>
    <row r="327" spans="1:42">
      <c r="A327" s="11" t="s">
        <v>469</v>
      </c>
      <c r="B327" s="11"/>
      <c r="C327" s="11" t="s">
        <v>110</v>
      </c>
      <c r="D327" s="23"/>
      <c r="E327" s="6">
        <v>17880029</v>
      </c>
      <c r="F327" s="23"/>
      <c r="G327" s="6">
        <v>0</v>
      </c>
      <c r="H327" s="23"/>
      <c r="I327" s="6">
        <f>35396352+8771082</f>
        <v>44167434</v>
      </c>
      <c r="J327" s="23"/>
      <c r="K327" s="6">
        <v>87452</v>
      </c>
      <c r="L327" s="23"/>
      <c r="M327" s="6">
        <f>988323+47679+314672+42358+14065+55087</f>
        <v>1462184</v>
      </c>
      <c r="N327" s="23"/>
      <c r="O327" s="6">
        <v>308750</v>
      </c>
      <c r="P327" s="23"/>
      <c r="Q327" s="6">
        <v>0</v>
      </c>
      <c r="R327" s="23"/>
      <c r="S327" s="6">
        <v>42036</v>
      </c>
      <c r="T327" s="23"/>
      <c r="U327" s="6">
        <v>1582891</v>
      </c>
      <c r="V327" s="23"/>
      <c r="W327" s="33">
        <f t="shared" si="49"/>
        <v>65530776</v>
      </c>
      <c r="X327" s="23"/>
      <c r="Y327" s="23">
        <v>1833036</v>
      </c>
      <c r="Z327" s="23"/>
      <c r="AA327" s="23">
        <v>0</v>
      </c>
      <c r="AB327" s="23"/>
      <c r="AC327" s="23">
        <v>0</v>
      </c>
      <c r="AD327" s="23"/>
      <c r="AE327" s="23"/>
      <c r="AF327" s="23"/>
      <c r="AG327" s="23"/>
      <c r="AH327" s="23"/>
      <c r="AI327" s="23">
        <v>119811</v>
      </c>
      <c r="AJ327" s="23"/>
      <c r="AK327" s="23">
        <v>-1124525</v>
      </c>
      <c r="AL327" s="23"/>
      <c r="AM327" s="33">
        <f>AI327+AC327+Y327+AK327</f>
        <v>828322</v>
      </c>
      <c r="AN327" s="23"/>
      <c r="AO327" s="33">
        <f t="shared" si="51"/>
        <v>66359098</v>
      </c>
      <c r="AP327" s="33"/>
    </row>
    <row r="328" spans="1:42">
      <c r="A328" s="11" t="s">
        <v>722</v>
      </c>
      <c r="B328" s="11"/>
      <c r="C328" s="11" t="s">
        <v>20</v>
      </c>
      <c r="D328" s="23"/>
      <c r="E328" s="6">
        <v>17561717</v>
      </c>
      <c r="F328" s="23"/>
      <c r="G328" s="6">
        <v>0</v>
      </c>
      <c r="H328" s="23"/>
      <c r="I328" s="6">
        <v>27811895</v>
      </c>
      <c r="J328" s="23"/>
      <c r="K328" s="6">
        <v>282266</v>
      </c>
      <c r="L328" s="23"/>
      <c r="M328" s="6">
        <f>322656+644081</f>
        <v>966737</v>
      </c>
      <c r="N328" s="23"/>
      <c r="O328" s="6">
        <v>141471</v>
      </c>
      <c r="P328" s="23"/>
      <c r="Q328" s="6">
        <v>0</v>
      </c>
      <c r="R328" s="23"/>
      <c r="S328" s="6">
        <v>71155</v>
      </c>
      <c r="T328" s="23"/>
      <c r="U328" s="6">
        <v>1006950</v>
      </c>
      <c r="V328" s="23"/>
      <c r="W328" s="33">
        <f t="shared" si="49"/>
        <v>47842191</v>
      </c>
      <c r="X328" s="23"/>
      <c r="Y328" s="23">
        <v>997044</v>
      </c>
      <c r="Z328" s="23"/>
      <c r="AA328" s="23">
        <v>0</v>
      </c>
      <c r="AB328" s="23"/>
      <c r="AC328" s="23">
        <v>0</v>
      </c>
      <c r="AD328" s="23"/>
      <c r="AE328" s="23"/>
      <c r="AF328" s="23"/>
      <c r="AG328" s="23"/>
      <c r="AH328" s="23"/>
      <c r="AI328" s="23">
        <v>0</v>
      </c>
      <c r="AJ328" s="23"/>
      <c r="AK328" s="23">
        <v>0</v>
      </c>
      <c r="AL328" s="23"/>
      <c r="AM328" s="33">
        <f t="shared" ref="AM328:AM329" si="56">AI328+AC328+Y328+AK328</f>
        <v>997044</v>
      </c>
      <c r="AN328" s="23"/>
      <c r="AO328" s="33">
        <f t="shared" ref="AO328:AO360" si="57">W328+AM328</f>
        <v>48839235</v>
      </c>
      <c r="AP328" s="33"/>
    </row>
    <row r="329" spans="1:42">
      <c r="A329" s="11" t="s">
        <v>205</v>
      </c>
      <c r="B329" s="11"/>
      <c r="C329" s="11" t="s">
        <v>11</v>
      </c>
      <c r="D329" s="23"/>
      <c r="E329" s="6">
        <v>2809748</v>
      </c>
      <c r="F329" s="23"/>
      <c r="G329" s="6">
        <v>0</v>
      </c>
      <c r="H329" s="23"/>
      <c r="I329" s="6">
        <f>8096+4703578+942784</f>
        <v>5654458</v>
      </c>
      <c r="J329" s="23"/>
      <c r="K329" s="6">
        <v>2951</v>
      </c>
      <c r="L329" s="23"/>
      <c r="M329" s="6">
        <f>656257+13831+151227+30603</f>
        <v>851918</v>
      </c>
      <c r="N329" s="23"/>
      <c r="O329" s="6">
        <v>135559</v>
      </c>
      <c r="P329" s="23"/>
      <c r="Q329" s="6">
        <v>0</v>
      </c>
      <c r="R329" s="23"/>
      <c r="S329" s="6">
        <v>7184</v>
      </c>
      <c r="T329" s="23"/>
      <c r="U329" s="6">
        <v>13397</v>
      </c>
      <c r="V329" s="23"/>
      <c r="W329" s="33">
        <f t="shared" si="49"/>
        <v>9475215</v>
      </c>
      <c r="X329" s="23"/>
      <c r="Y329" s="23">
        <v>277844</v>
      </c>
      <c r="Z329" s="23"/>
      <c r="AA329" s="23">
        <v>0</v>
      </c>
      <c r="AB329" s="23"/>
      <c r="AC329" s="23">
        <v>0</v>
      </c>
      <c r="AD329" s="23"/>
      <c r="AE329" s="23"/>
      <c r="AF329" s="23"/>
      <c r="AG329" s="23"/>
      <c r="AH329" s="23"/>
      <c r="AI329" s="23">
        <v>0</v>
      </c>
      <c r="AJ329" s="23"/>
      <c r="AK329" s="23">
        <v>-623623</v>
      </c>
      <c r="AL329" s="23"/>
      <c r="AM329" s="33">
        <f t="shared" si="56"/>
        <v>-345779</v>
      </c>
      <c r="AN329" s="23"/>
      <c r="AO329" s="33">
        <f t="shared" si="57"/>
        <v>9129436</v>
      </c>
      <c r="AP329" s="33"/>
    </row>
    <row r="330" spans="1:42">
      <c r="A330" s="11" t="s">
        <v>528</v>
      </c>
      <c r="B330" s="11"/>
      <c r="C330" s="11" t="s">
        <v>64</v>
      </c>
      <c r="D330" s="23"/>
      <c r="E330" s="6">
        <v>2625840</v>
      </c>
      <c r="F330" s="23"/>
      <c r="G330" s="6">
        <v>0</v>
      </c>
      <c r="H330" s="23"/>
      <c r="I330" s="6">
        <v>6362244</v>
      </c>
      <c r="J330" s="23"/>
      <c r="K330" s="6">
        <v>13870</v>
      </c>
      <c r="L330" s="23"/>
      <c r="M330" s="6">
        <f>305954+174615</f>
        <v>480569</v>
      </c>
      <c r="N330" s="23"/>
      <c r="O330" s="6">
        <v>64247</v>
      </c>
      <c r="P330" s="23"/>
      <c r="Q330" s="6">
        <v>0</v>
      </c>
      <c r="R330" s="23"/>
      <c r="S330" s="6">
        <v>11053</v>
      </c>
      <c r="T330" s="23"/>
      <c r="U330" s="6">
        <v>58732</v>
      </c>
      <c r="V330" s="23"/>
      <c r="W330" s="33">
        <f>SUM(E330:U330)</f>
        <v>9616555</v>
      </c>
      <c r="X330" s="23"/>
      <c r="Y330" s="23">
        <v>20131</v>
      </c>
      <c r="Z330" s="23"/>
      <c r="AA330" s="23">
        <v>0</v>
      </c>
      <c r="AB330" s="23"/>
      <c r="AC330" s="23">
        <v>0</v>
      </c>
      <c r="AD330" s="23"/>
      <c r="AE330" s="23"/>
      <c r="AF330" s="23"/>
      <c r="AG330" s="23"/>
      <c r="AH330" s="23"/>
      <c r="AI330" s="23">
        <v>0</v>
      </c>
      <c r="AJ330" s="23"/>
      <c r="AK330" s="23">
        <v>0</v>
      </c>
      <c r="AL330" s="23"/>
      <c r="AM330" s="33">
        <f t="shared" si="52"/>
        <v>20131</v>
      </c>
      <c r="AN330" s="23"/>
      <c r="AO330" s="33">
        <f t="shared" si="57"/>
        <v>9636686</v>
      </c>
      <c r="AP330" s="33"/>
    </row>
    <row r="331" spans="1:42">
      <c r="A331" s="11" t="s">
        <v>288</v>
      </c>
      <c r="B331" s="11"/>
      <c r="C331" s="11" t="s">
        <v>24</v>
      </c>
      <c r="D331" s="23"/>
      <c r="E331" s="6">
        <v>5501782</v>
      </c>
      <c r="F331" s="23"/>
      <c r="G331" s="6">
        <v>0</v>
      </c>
      <c r="H331" s="23"/>
      <c r="I331" s="6">
        <f>6483254+1124924</f>
        <v>7608178</v>
      </c>
      <c r="J331" s="23"/>
      <c r="K331" s="6">
        <v>762</v>
      </c>
      <c r="L331" s="23"/>
      <c r="M331" s="6">
        <f>694464+326060+38455+56070+23847</f>
        <v>1138896</v>
      </c>
      <c r="N331" s="23"/>
      <c r="O331" s="6">
        <v>291137</v>
      </c>
      <c r="P331" s="23"/>
      <c r="Q331" s="6">
        <v>0</v>
      </c>
      <c r="R331" s="23"/>
      <c r="S331" s="6">
        <v>0</v>
      </c>
      <c r="T331" s="23"/>
      <c r="U331" s="6">
        <v>211613</v>
      </c>
      <c r="V331" s="23"/>
      <c r="W331" s="33">
        <f t="shared" si="49"/>
        <v>14752368</v>
      </c>
      <c r="X331" s="23"/>
      <c r="Y331" s="23">
        <v>81786</v>
      </c>
      <c r="Z331" s="23"/>
      <c r="AA331" s="23">
        <v>0</v>
      </c>
      <c r="AB331" s="23"/>
      <c r="AC331" s="23">
        <v>0</v>
      </c>
      <c r="AD331" s="23"/>
      <c r="AE331" s="23"/>
      <c r="AF331" s="23"/>
      <c r="AG331" s="23"/>
      <c r="AH331" s="23"/>
      <c r="AI331" s="23">
        <v>0</v>
      </c>
      <c r="AJ331" s="23"/>
      <c r="AK331" s="23">
        <v>0</v>
      </c>
      <c r="AL331" s="23"/>
      <c r="AM331" s="33">
        <f t="shared" si="52"/>
        <v>81786</v>
      </c>
      <c r="AN331" s="23"/>
      <c r="AO331" s="33">
        <f t="shared" si="57"/>
        <v>14834154</v>
      </c>
      <c r="AP331" s="33"/>
    </row>
    <row r="332" spans="1:42">
      <c r="A332" s="11" t="s">
        <v>326</v>
      </c>
      <c r="B332" s="11"/>
      <c r="C332" s="11" t="s">
        <v>32</v>
      </c>
      <c r="D332" s="23"/>
      <c r="E332" s="6">
        <v>16296531</v>
      </c>
      <c r="F332" s="23"/>
      <c r="G332" s="6">
        <v>0</v>
      </c>
      <c r="H332" s="23"/>
      <c r="I332" s="6">
        <v>6614477</v>
      </c>
      <c r="J332" s="23"/>
      <c r="K332" s="6">
        <v>148577</v>
      </c>
      <c r="L332" s="23"/>
      <c r="M332" s="6">
        <f>302393+120470</f>
        <v>422863</v>
      </c>
      <c r="N332" s="23"/>
      <c r="O332" s="6">
        <v>458535</v>
      </c>
      <c r="P332" s="23"/>
      <c r="Q332" s="6">
        <v>0</v>
      </c>
      <c r="R332" s="23"/>
      <c r="S332" s="6">
        <v>0</v>
      </c>
      <c r="T332" s="23"/>
      <c r="U332" s="6">
        <v>102627</v>
      </c>
      <c r="V332" s="23"/>
      <c r="W332" s="33">
        <f t="shared" si="49"/>
        <v>24043610</v>
      </c>
      <c r="X332" s="23"/>
      <c r="Y332" s="23">
        <v>899000</v>
      </c>
      <c r="Z332" s="23"/>
      <c r="AA332" s="23">
        <v>0</v>
      </c>
      <c r="AB332" s="23"/>
      <c r="AC332" s="23">
        <v>0</v>
      </c>
      <c r="AD332" s="23"/>
      <c r="AE332" s="23"/>
      <c r="AF332" s="23"/>
      <c r="AG332" s="23"/>
      <c r="AH332" s="23"/>
      <c r="AI332" s="23">
        <v>0</v>
      </c>
      <c r="AJ332" s="23"/>
      <c r="AK332" s="23">
        <v>0</v>
      </c>
      <c r="AL332" s="23"/>
      <c r="AM332" s="33">
        <f t="shared" si="52"/>
        <v>899000</v>
      </c>
      <c r="AN332" s="23"/>
      <c r="AO332" s="33">
        <f t="shared" si="57"/>
        <v>24942610</v>
      </c>
      <c r="AP332" s="33"/>
    </row>
    <row r="333" spans="1:42" hidden="1">
      <c r="A333" s="11" t="s">
        <v>612</v>
      </c>
      <c r="B333" s="11"/>
      <c r="C333" s="11" t="s">
        <v>70</v>
      </c>
      <c r="D333" s="23"/>
      <c r="E333" s="6">
        <v>0</v>
      </c>
      <c r="F333" s="23"/>
      <c r="G333" s="6">
        <v>0</v>
      </c>
      <c r="H333" s="23"/>
      <c r="I333" s="6">
        <v>0</v>
      </c>
      <c r="J333" s="23"/>
      <c r="K333" s="6">
        <v>0</v>
      </c>
      <c r="L333" s="23"/>
      <c r="M333" s="6">
        <v>0</v>
      </c>
      <c r="N333" s="23"/>
      <c r="O333" s="6">
        <v>0</v>
      </c>
      <c r="P333" s="23"/>
      <c r="Q333" s="6">
        <v>0</v>
      </c>
      <c r="R333" s="23"/>
      <c r="S333" s="6">
        <v>0</v>
      </c>
      <c r="T333" s="23"/>
      <c r="U333" s="6">
        <v>0</v>
      </c>
      <c r="V333" s="23"/>
      <c r="W333" s="33">
        <f t="shared" si="49"/>
        <v>0</v>
      </c>
      <c r="X333" s="23"/>
      <c r="Y333" s="23"/>
      <c r="Z333" s="23"/>
      <c r="AA333" s="23">
        <v>0</v>
      </c>
      <c r="AB333" s="23"/>
      <c r="AC333" s="23"/>
      <c r="AD333" s="23"/>
      <c r="AE333" s="23"/>
      <c r="AF333" s="23"/>
      <c r="AG333" s="23"/>
      <c r="AH333" s="23"/>
      <c r="AI333" s="23"/>
      <c r="AJ333" s="23"/>
      <c r="AK333" s="23">
        <v>0</v>
      </c>
      <c r="AL333" s="23"/>
      <c r="AM333" s="33">
        <f t="shared" si="52"/>
        <v>0</v>
      </c>
      <c r="AN333" s="23"/>
      <c r="AO333" s="33">
        <f t="shared" si="57"/>
        <v>0</v>
      </c>
      <c r="AP333" s="33"/>
    </row>
    <row r="334" spans="1:42">
      <c r="A334" s="11" t="s">
        <v>410</v>
      </c>
      <c r="B334" s="11"/>
      <c r="C334" s="11" t="s">
        <v>46</v>
      </c>
      <c r="D334" s="23"/>
      <c r="E334" s="6">
        <v>9062440</v>
      </c>
      <c r="F334" s="23"/>
      <c r="G334" s="6">
        <v>0</v>
      </c>
      <c r="H334" s="23"/>
      <c r="I334" s="6">
        <f>35661802+5507398</f>
        <v>41169200</v>
      </c>
      <c r="J334" s="23"/>
      <c r="K334" s="6">
        <v>100972</v>
      </c>
      <c r="L334" s="23"/>
      <c r="M334" s="6">
        <f>1659925+15278</f>
        <v>1675203</v>
      </c>
      <c r="N334" s="23"/>
      <c r="O334" s="6">
        <v>138623</v>
      </c>
      <c r="P334" s="23"/>
      <c r="Q334" s="6">
        <v>84115</v>
      </c>
      <c r="R334" s="23"/>
      <c r="S334" s="6">
        <v>0</v>
      </c>
      <c r="T334" s="23"/>
      <c r="U334" s="6">
        <f>27563+373300</f>
        <v>400863</v>
      </c>
      <c r="V334" s="23"/>
      <c r="W334" s="33">
        <f t="shared" si="49"/>
        <v>52631416</v>
      </c>
      <c r="X334" s="23"/>
      <c r="Y334" s="23">
        <v>75000</v>
      </c>
      <c r="Z334" s="23"/>
      <c r="AA334" s="23">
        <v>0</v>
      </c>
      <c r="AB334" s="23"/>
      <c r="AC334" s="23">
        <v>1823390</v>
      </c>
      <c r="AD334" s="23"/>
      <c r="AE334" s="23"/>
      <c r="AF334" s="23"/>
      <c r="AG334" s="23"/>
      <c r="AH334" s="23"/>
      <c r="AI334" s="23">
        <v>0</v>
      </c>
      <c r="AJ334" s="23"/>
      <c r="AK334" s="23">
        <v>0</v>
      </c>
      <c r="AL334" s="23"/>
      <c r="AM334" s="33">
        <f t="shared" si="52"/>
        <v>1898390</v>
      </c>
      <c r="AN334" s="23"/>
      <c r="AO334" s="33">
        <f t="shared" si="57"/>
        <v>54529806</v>
      </c>
      <c r="AP334" s="33"/>
    </row>
    <row r="335" spans="1:42" ht="11.25" hidden="1" customHeight="1">
      <c r="A335" s="11" t="s">
        <v>685</v>
      </c>
      <c r="B335" s="11"/>
      <c r="C335" s="11" t="s">
        <v>422</v>
      </c>
      <c r="D335" s="23"/>
      <c r="E335" s="6">
        <v>0</v>
      </c>
      <c r="F335" s="23"/>
      <c r="G335" s="6">
        <v>0</v>
      </c>
      <c r="H335" s="23"/>
      <c r="I335" s="6">
        <v>0</v>
      </c>
      <c r="J335" s="23"/>
      <c r="K335" s="6">
        <v>0</v>
      </c>
      <c r="L335" s="23"/>
      <c r="M335" s="6">
        <v>0</v>
      </c>
      <c r="N335" s="23"/>
      <c r="O335" s="6">
        <v>0</v>
      </c>
      <c r="P335" s="23"/>
      <c r="Q335" s="6">
        <v>0</v>
      </c>
      <c r="R335" s="23"/>
      <c r="S335" s="6">
        <v>0</v>
      </c>
      <c r="T335" s="23"/>
      <c r="U335" s="6">
        <v>0</v>
      </c>
      <c r="V335" s="23"/>
      <c r="W335" s="33">
        <f t="shared" si="49"/>
        <v>0</v>
      </c>
      <c r="X335" s="23"/>
      <c r="Y335" s="23"/>
      <c r="Z335" s="23"/>
      <c r="AA335" s="23">
        <v>0</v>
      </c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33"/>
      <c r="AN335" s="23"/>
      <c r="AO335" s="33">
        <f t="shared" si="57"/>
        <v>0</v>
      </c>
      <c r="AP335" s="33"/>
    </row>
    <row r="336" spans="1:42">
      <c r="A336" s="11" t="s">
        <v>500</v>
      </c>
      <c r="B336" s="11"/>
      <c r="C336" s="11" t="s">
        <v>62</v>
      </c>
      <c r="D336" s="23"/>
      <c r="E336" s="6">
        <v>7927933</v>
      </c>
      <c r="F336" s="23"/>
      <c r="G336" s="6">
        <v>0</v>
      </c>
      <c r="H336" s="23"/>
      <c r="I336" s="6">
        <f>7498+11466072+2312290</f>
        <v>13785860</v>
      </c>
      <c r="J336" s="23"/>
      <c r="K336" s="6">
        <v>55368</v>
      </c>
      <c r="L336" s="23"/>
      <c r="M336" s="6">
        <f>1023213+498085+110418+498</f>
        <v>1632214</v>
      </c>
      <c r="N336" s="23"/>
      <c r="O336" s="6">
        <v>530399</v>
      </c>
      <c r="P336" s="23"/>
      <c r="Q336" s="6">
        <v>0</v>
      </c>
      <c r="R336" s="23"/>
      <c r="S336" s="6">
        <v>33733</v>
      </c>
      <c r="T336" s="23"/>
      <c r="U336" s="6">
        <v>113193</v>
      </c>
      <c r="V336" s="23"/>
      <c r="W336" s="33">
        <f t="shared" si="49"/>
        <v>24078700</v>
      </c>
      <c r="X336" s="23"/>
      <c r="Y336" s="23">
        <v>260380</v>
      </c>
      <c r="Z336" s="23"/>
      <c r="AA336" s="23">
        <v>0</v>
      </c>
      <c r="AB336" s="23"/>
      <c r="AC336" s="23">
        <v>0</v>
      </c>
      <c r="AD336" s="23"/>
      <c r="AE336" s="23"/>
      <c r="AF336" s="23"/>
      <c r="AG336" s="23"/>
      <c r="AH336" s="23"/>
      <c r="AI336" s="23">
        <v>0</v>
      </c>
      <c r="AJ336" s="23"/>
      <c r="AK336" s="23">
        <v>0</v>
      </c>
      <c r="AL336" s="23"/>
      <c r="AM336" s="33">
        <f t="shared" ref="AM336:AM374" si="58">AI336+AC336+Y336</f>
        <v>260380</v>
      </c>
      <c r="AN336" s="23"/>
      <c r="AO336" s="33">
        <f t="shared" si="57"/>
        <v>24339080</v>
      </c>
      <c r="AP336" s="33"/>
    </row>
    <row r="337" spans="1:42">
      <c r="A337" s="11" t="s">
        <v>216</v>
      </c>
      <c r="B337" s="11"/>
      <c r="C337" s="11" t="s">
        <v>15</v>
      </c>
      <c r="D337" s="23"/>
      <c r="E337" s="6">
        <v>2668425</v>
      </c>
      <c r="F337" s="23"/>
      <c r="G337" s="6">
        <v>0</v>
      </c>
      <c r="H337" s="23"/>
      <c r="I337" s="6">
        <v>11758832</v>
      </c>
      <c r="J337" s="23"/>
      <c r="K337" s="6">
        <v>492</v>
      </c>
      <c r="L337" s="23"/>
      <c r="M337" s="6">
        <f>1087690+293080+254897</f>
        <v>1635667</v>
      </c>
      <c r="N337" s="23"/>
      <c r="O337" s="6">
        <v>107367</v>
      </c>
      <c r="P337" s="23"/>
      <c r="Q337" s="6">
        <v>0</v>
      </c>
      <c r="R337" s="23"/>
      <c r="S337" s="6">
        <v>12425</v>
      </c>
      <c r="T337" s="23"/>
      <c r="U337" s="6">
        <v>71713</v>
      </c>
      <c r="V337" s="23"/>
      <c r="W337" s="33">
        <f t="shared" si="49"/>
        <v>16254921</v>
      </c>
      <c r="X337" s="23"/>
      <c r="Y337" s="23">
        <v>56394</v>
      </c>
      <c r="Z337" s="23"/>
      <c r="AA337" s="23">
        <v>0</v>
      </c>
      <c r="AB337" s="23"/>
      <c r="AC337" s="23">
        <f>8484992+1589927-79106+246536</f>
        <v>10242349</v>
      </c>
      <c r="AD337" s="23"/>
      <c r="AE337" s="23"/>
      <c r="AF337" s="23"/>
      <c r="AG337" s="23"/>
      <c r="AH337" s="23"/>
      <c r="AI337" s="23">
        <v>0</v>
      </c>
      <c r="AJ337" s="23"/>
      <c r="AK337" s="23">
        <v>0</v>
      </c>
      <c r="AL337" s="23"/>
      <c r="AM337" s="33">
        <f t="shared" si="58"/>
        <v>10298743</v>
      </c>
      <c r="AN337" s="23"/>
      <c r="AO337" s="33">
        <f t="shared" si="57"/>
        <v>26553664</v>
      </c>
      <c r="AP337" s="33"/>
    </row>
    <row r="338" spans="1:42">
      <c r="A338" s="11" t="s">
        <v>767</v>
      </c>
      <c r="B338" s="11"/>
      <c r="C338" s="11" t="s">
        <v>66</v>
      </c>
      <c r="D338" s="23"/>
      <c r="E338" s="6">
        <v>25561828</v>
      </c>
      <c r="F338" s="23"/>
      <c r="G338" s="6">
        <v>0</v>
      </c>
      <c r="H338" s="23"/>
      <c r="I338" s="6">
        <f>26680784+3321022</f>
        <v>30001806</v>
      </c>
      <c r="J338" s="23"/>
      <c r="K338" s="6">
        <v>42113</v>
      </c>
      <c r="L338" s="23"/>
      <c r="M338" s="6">
        <f>224528+20964+1327865+231251+151588</f>
        <v>1956196</v>
      </c>
      <c r="N338" s="23"/>
      <c r="O338" s="6">
        <v>739401</v>
      </c>
      <c r="P338" s="23"/>
      <c r="Q338" s="6">
        <v>1387231</v>
      </c>
      <c r="R338" s="23"/>
      <c r="S338" s="6">
        <v>5595</v>
      </c>
      <c r="T338" s="23"/>
      <c r="U338" s="6">
        <v>409970</v>
      </c>
      <c r="V338" s="23"/>
      <c r="W338" s="33">
        <f t="shared" si="49"/>
        <v>60104140</v>
      </c>
      <c r="X338" s="23"/>
      <c r="Y338" s="23">
        <v>2050076</v>
      </c>
      <c r="Z338" s="23"/>
      <c r="AA338" s="23">
        <v>0</v>
      </c>
      <c r="AB338" s="23"/>
      <c r="AC338" s="23">
        <v>0</v>
      </c>
      <c r="AD338" s="23"/>
      <c r="AE338" s="23"/>
      <c r="AF338" s="23"/>
      <c r="AG338" s="23"/>
      <c r="AH338" s="23"/>
      <c r="AI338" s="23">
        <v>1430</v>
      </c>
      <c r="AJ338" s="23"/>
      <c r="AK338" s="23">
        <v>0</v>
      </c>
      <c r="AL338" s="23"/>
      <c r="AM338" s="33">
        <f t="shared" si="58"/>
        <v>2051506</v>
      </c>
      <c r="AN338" s="23"/>
      <c r="AO338" s="33">
        <f t="shared" si="57"/>
        <v>62155646</v>
      </c>
      <c r="AP338" s="33"/>
    </row>
    <row r="339" spans="1:42">
      <c r="A339" s="11" t="s">
        <v>546</v>
      </c>
      <c r="B339" s="11"/>
      <c r="C339" s="11" t="s">
        <v>69</v>
      </c>
      <c r="D339" s="23"/>
      <c r="E339" s="6">
        <v>60288880</v>
      </c>
      <c r="F339" s="23"/>
      <c r="G339" s="6">
        <v>0</v>
      </c>
      <c r="H339" s="23"/>
      <c r="I339" s="6">
        <v>49089810</v>
      </c>
      <c r="J339" s="23"/>
      <c r="K339" s="6">
        <v>603465</v>
      </c>
      <c r="L339" s="23"/>
      <c r="M339" s="6">
        <f>2515311+6215452</f>
        <v>8730763</v>
      </c>
      <c r="N339" s="23"/>
      <c r="O339" s="6">
        <v>1884715</v>
      </c>
      <c r="P339" s="23"/>
      <c r="Q339" s="6">
        <v>4778155</v>
      </c>
      <c r="R339" s="23"/>
      <c r="S339" s="6">
        <v>0</v>
      </c>
      <c r="T339" s="23"/>
      <c r="U339" s="6">
        <v>679903</v>
      </c>
      <c r="V339" s="23"/>
      <c r="W339" s="33">
        <f t="shared" si="49"/>
        <v>126055691</v>
      </c>
      <c r="X339" s="23"/>
      <c r="Y339" s="23">
        <v>16951461</v>
      </c>
      <c r="Z339" s="23"/>
      <c r="AA339" s="23">
        <v>0</v>
      </c>
      <c r="AB339" s="23"/>
      <c r="AC339" s="23">
        <v>0</v>
      </c>
      <c r="AD339" s="23"/>
      <c r="AE339" s="23"/>
      <c r="AF339" s="23"/>
      <c r="AG339" s="23"/>
      <c r="AH339" s="23"/>
      <c r="AI339" s="23">
        <v>0</v>
      </c>
      <c r="AJ339" s="23"/>
      <c r="AK339" s="23">
        <v>0</v>
      </c>
      <c r="AL339" s="23"/>
      <c r="AM339" s="33">
        <f t="shared" si="58"/>
        <v>16951461</v>
      </c>
      <c r="AN339" s="23"/>
      <c r="AO339" s="33">
        <f t="shared" si="57"/>
        <v>143007152</v>
      </c>
      <c r="AP339" s="33"/>
    </row>
    <row r="340" spans="1:42">
      <c r="A340" s="11" t="s">
        <v>501</v>
      </c>
      <c r="B340" s="11"/>
      <c r="C340" s="11" t="s">
        <v>62</v>
      </c>
      <c r="D340" s="23"/>
      <c r="E340" s="6">
        <v>13228563</v>
      </c>
      <c r="F340" s="23"/>
      <c r="G340" s="6">
        <v>35957</v>
      </c>
      <c r="H340" s="23"/>
      <c r="I340" s="6">
        <v>30219473</v>
      </c>
      <c r="J340" s="23"/>
      <c r="K340" s="6">
        <v>62414</v>
      </c>
      <c r="L340" s="23"/>
      <c r="M340" s="6">
        <f>2231588+52006+830774</f>
        <v>3114368</v>
      </c>
      <c r="N340" s="23"/>
      <c r="O340" s="6">
        <v>547289</v>
      </c>
      <c r="P340" s="23"/>
      <c r="Q340" s="6">
        <v>0</v>
      </c>
      <c r="R340" s="23"/>
      <c r="S340" s="6">
        <v>106157</v>
      </c>
      <c r="T340" s="23"/>
      <c r="U340" s="6">
        <v>341747</v>
      </c>
      <c r="V340" s="23"/>
      <c r="W340" s="33">
        <f t="shared" si="49"/>
        <v>47655968</v>
      </c>
      <c r="X340" s="23"/>
      <c r="Y340" s="23">
        <v>0</v>
      </c>
      <c r="Z340" s="23"/>
      <c r="AA340" s="23">
        <v>0</v>
      </c>
      <c r="AB340" s="23"/>
      <c r="AC340" s="23">
        <v>2425000</v>
      </c>
      <c r="AD340" s="23"/>
      <c r="AE340" s="23"/>
      <c r="AF340" s="23"/>
      <c r="AG340" s="23"/>
      <c r="AH340" s="23"/>
      <c r="AI340" s="23">
        <v>5547</v>
      </c>
      <c r="AJ340" s="23"/>
      <c r="AK340" s="23">
        <v>0</v>
      </c>
      <c r="AL340" s="23"/>
      <c r="AM340" s="33">
        <f t="shared" si="58"/>
        <v>2430547</v>
      </c>
      <c r="AN340" s="23"/>
      <c r="AO340" s="33">
        <f t="shared" si="57"/>
        <v>50086515</v>
      </c>
      <c r="AP340" s="33"/>
    </row>
    <row r="341" spans="1:42" ht="11.25" customHeight="1">
      <c r="A341" s="11" t="s">
        <v>529</v>
      </c>
      <c r="B341" s="11"/>
      <c r="C341" s="11" t="s">
        <v>64</v>
      </c>
      <c r="D341" s="23"/>
      <c r="E341" s="6">
        <v>4344648</v>
      </c>
      <c r="F341" s="23"/>
      <c r="G341" s="6">
        <v>0</v>
      </c>
      <c r="H341" s="23"/>
      <c r="I341" s="6">
        <f>3514712+620351</f>
        <v>4135063</v>
      </c>
      <c r="J341" s="23"/>
      <c r="K341" s="6">
        <v>3753</v>
      </c>
      <c r="L341" s="23"/>
      <c r="M341" s="6">
        <f>468599+125+148885+19140</f>
        <v>636749</v>
      </c>
      <c r="N341" s="23"/>
      <c r="O341" s="6">
        <v>88224</v>
      </c>
      <c r="P341" s="23"/>
      <c r="Q341" s="6">
        <v>0</v>
      </c>
      <c r="R341" s="23"/>
      <c r="S341" s="6">
        <v>5972</v>
      </c>
      <c r="T341" s="23"/>
      <c r="U341" s="6">
        <v>105157</v>
      </c>
      <c r="V341" s="23"/>
      <c r="W341" s="33">
        <f t="shared" si="49"/>
        <v>9319566</v>
      </c>
      <c r="X341" s="23"/>
      <c r="Y341" s="23">
        <v>147779</v>
      </c>
      <c r="Z341" s="23"/>
      <c r="AA341" s="23">
        <v>0</v>
      </c>
      <c r="AB341" s="23"/>
      <c r="AC341" s="23">
        <v>0</v>
      </c>
      <c r="AD341" s="23"/>
      <c r="AE341" s="23"/>
      <c r="AF341" s="23"/>
      <c r="AG341" s="23"/>
      <c r="AH341" s="23"/>
      <c r="AI341" s="23">
        <v>6073</v>
      </c>
      <c r="AJ341" s="23"/>
      <c r="AK341" s="23">
        <v>0</v>
      </c>
      <c r="AL341" s="23"/>
      <c r="AM341" s="33">
        <f t="shared" si="58"/>
        <v>153852</v>
      </c>
      <c r="AN341" s="23"/>
      <c r="AO341" s="33">
        <f t="shared" si="57"/>
        <v>9473418</v>
      </c>
      <c r="AP341" s="33"/>
    </row>
    <row r="342" spans="1:42" hidden="1">
      <c r="A342" s="10" t="s">
        <v>878</v>
      </c>
      <c r="B342" s="11"/>
      <c r="C342" s="11" t="s">
        <v>115</v>
      </c>
      <c r="D342" s="23"/>
      <c r="E342" s="6">
        <v>0</v>
      </c>
      <c r="F342" s="23"/>
      <c r="G342" s="6">
        <v>0</v>
      </c>
      <c r="H342" s="23"/>
      <c r="I342" s="6">
        <v>0</v>
      </c>
      <c r="J342" s="23"/>
      <c r="K342" s="6">
        <v>0</v>
      </c>
      <c r="L342" s="23"/>
      <c r="M342" s="6">
        <v>0</v>
      </c>
      <c r="N342" s="23"/>
      <c r="O342" s="6">
        <v>0</v>
      </c>
      <c r="P342" s="23"/>
      <c r="Q342" s="6">
        <v>0</v>
      </c>
      <c r="R342" s="23"/>
      <c r="S342" s="6">
        <v>0</v>
      </c>
      <c r="T342" s="23"/>
      <c r="U342" s="6">
        <v>0</v>
      </c>
      <c r="V342" s="23"/>
      <c r="W342" s="33">
        <f t="shared" si="49"/>
        <v>0</v>
      </c>
      <c r="X342" s="23"/>
      <c r="Y342" s="23">
        <v>0</v>
      </c>
      <c r="Z342" s="23"/>
      <c r="AA342" s="23">
        <v>0</v>
      </c>
      <c r="AB342" s="23"/>
      <c r="AC342" s="23">
        <v>0</v>
      </c>
      <c r="AD342" s="23"/>
      <c r="AE342" s="23"/>
      <c r="AF342" s="23"/>
      <c r="AG342" s="23"/>
      <c r="AH342" s="23"/>
      <c r="AI342" s="23">
        <v>0</v>
      </c>
      <c r="AJ342" s="23"/>
      <c r="AK342" s="23">
        <v>0</v>
      </c>
      <c r="AL342" s="23"/>
      <c r="AM342" s="33">
        <f t="shared" si="58"/>
        <v>0</v>
      </c>
      <c r="AN342" s="23"/>
      <c r="AO342" s="33">
        <f t="shared" si="57"/>
        <v>0</v>
      </c>
      <c r="AP342" s="33"/>
    </row>
    <row r="343" spans="1:42">
      <c r="A343" s="11" t="s">
        <v>723</v>
      </c>
      <c r="B343" s="11"/>
      <c r="C343" s="11" t="s">
        <v>20</v>
      </c>
      <c r="D343" s="23"/>
      <c r="E343" s="6">
        <v>50701868</v>
      </c>
      <c r="F343" s="23"/>
      <c r="G343" s="6">
        <v>0</v>
      </c>
      <c r="H343" s="23"/>
      <c r="I343" s="6">
        <v>19339475</v>
      </c>
      <c r="J343" s="23"/>
      <c r="K343" s="6">
        <v>27554</v>
      </c>
      <c r="L343" s="23"/>
      <c r="M343" s="6">
        <f>8410416+1405168+95461</f>
        <v>9911045</v>
      </c>
      <c r="N343" s="23"/>
      <c r="O343" s="6">
        <v>123660</v>
      </c>
      <c r="P343" s="23"/>
      <c r="Q343" s="6">
        <v>1693572</v>
      </c>
      <c r="R343" s="23"/>
      <c r="S343" s="6">
        <v>168513</v>
      </c>
      <c r="T343" s="23"/>
      <c r="U343" s="6">
        <v>2501490</v>
      </c>
      <c r="V343" s="23"/>
      <c r="W343" s="33">
        <f t="shared" si="49"/>
        <v>84467177</v>
      </c>
      <c r="X343" s="23"/>
      <c r="Y343" s="23">
        <v>3800319</v>
      </c>
      <c r="Z343" s="23"/>
      <c r="AA343" s="23">
        <v>0</v>
      </c>
      <c r="AB343" s="23"/>
      <c r="AC343" s="23">
        <v>0</v>
      </c>
      <c r="AD343" s="23"/>
      <c r="AE343" s="23"/>
      <c r="AF343" s="23"/>
      <c r="AG343" s="23"/>
      <c r="AH343" s="23"/>
      <c r="AI343" s="23">
        <v>0</v>
      </c>
      <c r="AJ343" s="23"/>
      <c r="AK343" s="23">
        <v>0</v>
      </c>
      <c r="AL343" s="23"/>
      <c r="AM343" s="33">
        <f t="shared" si="58"/>
        <v>3800319</v>
      </c>
      <c r="AN343" s="23"/>
      <c r="AO343" s="33">
        <f t="shared" si="57"/>
        <v>88267496</v>
      </c>
      <c r="AP343" s="33"/>
    </row>
    <row r="344" spans="1:42">
      <c r="A344" s="11" t="s">
        <v>445</v>
      </c>
      <c r="B344" s="11"/>
      <c r="C344" s="11" t="s">
        <v>51</v>
      </c>
      <c r="D344" s="23"/>
      <c r="E344" s="6">
        <v>4755990</v>
      </c>
      <c r="F344" s="23"/>
      <c r="G344" s="6">
        <v>0</v>
      </c>
      <c r="H344" s="23"/>
      <c r="I344" s="6">
        <v>15017912</v>
      </c>
      <c r="J344" s="23"/>
      <c r="K344" s="6">
        <v>56372</v>
      </c>
      <c r="L344" s="23"/>
      <c r="M344" s="6">
        <f>2927452+1947+856661</f>
        <v>3786060</v>
      </c>
      <c r="N344" s="23"/>
      <c r="O344" s="6">
        <v>200790</v>
      </c>
      <c r="P344" s="23"/>
      <c r="Q344" s="6">
        <v>3565</v>
      </c>
      <c r="R344" s="23"/>
      <c r="S344" s="6">
        <v>50635</v>
      </c>
      <c r="T344" s="23"/>
      <c r="U344" s="6">
        <v>180915</v>
      </c>
      <c r="V344" s="23"/>
      <c r="W344" s="33">
        <f t="shared" si="49"/>
        <v>24052239</v>
      </c>
      <c r="X344" s="23"/>
      <c r="Y344" s="23">
        <v>0</v>
      </c>
      <c r="Z344" s="23"/>
      <c r="AA344" s="23">
        <v>0</v>
      </c>
      <c r="AB344" s="23"/>
      <c r="AC344" s="23">
        <v>184482</v>
      </c>
      <c r="AD344" s="23"/>
      <c r="AE344" s="23"/>
      <c r="AF344" s="23"/>
      <c r="AG344" s="23"/>
      <c r="AH344" s="23"/>
      <c r="AI344" s="23">
        <v>65068</v>
      </c>
      <c r="AJ344" s="23"/>
      <c r="AK344" s="23">
        <v>0</v>
      </c>
      <c r="AL344" s="23"/>
      <c r="AM344" s="33">
        <f t="shared" si="58"/>
        <v>249550</v>
      </c>
      <c r="AN344" s="23"/>
      <c r="AO344" s="33">
        <f t="shared" si="57"/>
        <v>24301789</v>
      </c>
      <c r="AP344" s="33"/>
    </row>
    <row r="345" spans="1:42" hidden="1">
      <c r="A345" s="11" t="s">
        <v>806</v>
      </c>
      <c r="B345" s="11"/>
      <c r="C345" s="11" t="s">
        <v>33</v>
      </c>
      <c r="D345" s="23"/>
      <c r="E345" s="6"/>
      <c r="F345" s="23"/>
      <c r="G345" s="6"/>
      <c r="H345" s="23"/>
      <c r="I345" s="6"/>
      <c r="J345" s="23"/>
      <c r="K345" s="6"/>
      <c r="L345" s="23"/>
      <c r="M345" s="6"/>
      <c r="N345" s="23"/>
      <c r="O345" s="6"/>
      <c r="P345" s="23"/>
      <c r="Q345" s="6"/>
      <c r="R345" s="23"/>
      <c r="S345" s="6"/>
      <c r="T345" s="23"/>
      <c r="U345" s="6"/>
      <c r="V345" s="23"/>
      <c r="W345" s="33">
        <f t="shared" si="49"/>
        <v>0</v>
      </c>
      <c r="X345" s="23"/>
      <c r="Y345" s="23"/>
      <c r="Z345" s="23"/>
      <c r="AA345" s="23">
        <v>0</v>
      </c>
      <c r="AB345" s="23"/>
      <c r="AC345" s="23"/>
      <c r="AD345" s="23"/>
      <c r="AE345" s="23"/>
      <c r="AF345" s="23"/>
      <c r="AG345" s="23"/>
      <c r="AH345" s="23"/>
      <c r="AI345" s="23"/>
      <c r="AJ345" s="23"/>
      <c r="AK345" s="23">
        <v>0</v>
      </c>
      <c r="AL345" s="23"/>
      <c r="AM345" s="33">
        <f t="shared" si="58"/>
        <v>0</v>
      </c>
      <c r="AN345" s="23"/>
      <c r="AO345" s="33">
        <f t="shared" si="57"/>
        <v>0</v>
      </c>
      <c r="AP345" s="33"/>
    </row>
    <row r="346" spans="1:42">
      <c r="A346" s="11" t="s">
        <v>638</v>
      </c>
      <c r="B346" s="11"/>
      <c r="C346" s="11" t="s">
        <v>64</v>
      </c>
      <c r="D346" s="23"/>
      <c r="E346" s="6">
        <v>1730420</v>
      </c>
      <c r="F346" s="23"/>
      <c r="G346" s="6">
        <v>0</v>
      </c>
      <c r="H346" s="23"/>
      <c r="I346" s="6">
        <v>4200955</v>
      </c>
      <c r="J346" s="23"/>
      <c r="K346" s="6">
        <v>3170</v>
      </c>
      <c r="L346" s="23"/>
      <c r="M346" s="6">
        <f>1094417+63790+37350</f>
        <v>1195557</v>
      </c>
      <c r="N346" s="23"/>
      <c r="O346" s="6">
        <v>79235</v>
      </c>
      <c r="P346" s="23"/>
      <c r="Q346" s="6">
        <v>0</v>
      </c>
      <c r="R346" s="23"/>
      <c r="S346" s="6">
        <v>13065</v>
      </c>
      <c r="T346" s="23"/>
      <c r="U346" s="6">
        <v>7211</v>
      </c>
      <c r="V346" s="23"/>
      <c r="W346" s="33">
        <f t="shared" si="49"/>
        <v>7229613</v>
      </c>
      <c r="X346" s="23"/>
      <c r="Y346" s="23">
        <v>75000</v>
      </c>
      <c r="Z346" s="23"/>
      <c r="AA346" s="23">
        <v>0</v>
      </c>
      <c r="AB346" s="23"/>
      <c r="AC346" s="23">
        <v>0</v>
      </c>
      <c r="AD346" s="23"/>
      <c r="AE346" s="23"/>
      <c r="AF346" s="23"/>
      <c r="AG346" s="23"/>
      <c r="AH346" s="23"/>
      <c r="AI346" s="23">
        <v>0</v>
      </c>
      <c r="AJ346" s="23"/>
      <c r="AK346" s="23">
        <v>0</v>
      </c>
      <c r="AL346" s="23"/>
      <c r="AM346" s="33">
        <f t="shared" si="58"/>
        <v>75000</v>
      </c>
      <c r="AN346" s="23"/>
      <c r="AO346" s="33">
        <f t="shared" si="57"/>
        <v>7304613</v>
      </c>
      <c r="AP346" s="33"/>
    </row>
    <row r="347" spans="1:42">
      <c r="A347" s="11" t="s">
        <v>768</v>
      </c>
      <c r="B347" s="11"/>
      <c r="C347" s="11" t="s">
        <v>228</v>
      </c>
      <c r="D347" s="23"/>
      <c r="E347" s="6">
        <v>3994148</v>
      </c>
      <c r="F347" s="23"/>
      <c r="G347" s="6">
        <v>0</v>
      </c>
      <c r="H347" s="23"/>
      <c r="I347" s="6">
        <f>4623218+799386</f>
        <v>5422604</v>
      </c>
      <c r="J347" s="23"/>
      <c r="K347" s="6">
        <v>2739</v>
      </c>
      <c r="L347" s="23"/>
      <c r="M347" s="6">
        <f>617559+127684+28796</f>
        <v>774039</v>
      </c>
      <c r="N347" s="23"/>
      <c r="O347" s="6">
        <v>107139</v>
      </c>
      <c r="P347" s="23"/>
      <c r="Q347" s="6">
        <v>0</v>
      </c>
      <c r="R347" s="23"/>
      <c r="S347" s="6">
        <v>0</v>
      </c>
      <c r="T347" s="23"/>
      <c r="U347" s="6">
        <v>378971</v>
      </c>
      <c r="V347" s="23"/>
      <c r="W347" s="33">
        <f t="shared" si="49"/>
        <v>10679640</v>
      </c>
      <c r="X347" s="23"/>
      <c r="Y347" s="23">
        <v>106545</v>
      </c>
      <c r="Z347" s="23"/>
      <c r="AA347" s="23">
        <v>0</v>
      </c>
      <c r="AB347" s="23"/>
      <c r="AC347" s="23">
        <v>0</v>
      </c>
      <c r="AD347" s="23"/>
      <c r="AE347" s="23"/>
      <c r="AF347" s="23"/>
      <c r="AG347" s="23"/>
      <c r="AH347" s="23"/>
      <c r="AI347" s="23">
        <v>10428</v>
      </c>
      <c r="AJ347" s="23"/>
      <c r="AK347" s="23">
        <v>0</v>
      </c>
      <c r="AL347" s="23"/>
      <c r="AM347" s="33">
        <f t="shared" si="58"/>
        <v>116973</v>
      </c>
      <c r="AN347" s="23"/>
      <c r="AO347" s="33">
        <f t="shared" si="57"/>
        <v>10796613</v>
      </c>
      <c r="AP347" s="33"/>
    </row>
    <row r="348" spans="1:42">
      <c r="A348" s="11" t="s">
        <v>418</v>
      </c>
      <c r="B348" s="11"/>
      <c r="C348" s="11" t="s">
        <v>47</v>
      </c>
      <c r="D348" s="23"/>
      <c r="E348" s="6">
        <v>47752490</v>
      </c>
      <c r="F348" s="23"/>
      <c r="G348" s="6">
        <v>0</v>
      </c>
      <c r="H348" s="23"/>
      <c r="I348" s="6">
        <v>33476687</v>
      </c>
      <c r="J348" s="23"/>
      <c r="K348" s="6">
        <v>16585</v>
      </c>
      <c r="L348" s="23"/>
      <c r="M348" s="6">
        <f>1630784+1540470+568444</f>
        <v>3739698</v>
      </c>
      <c r="N348" s="23"/>
      <c r="O348" s="6">
        <v>1414830</v>
      </c>
      <c r="P348" s="23"/>
      <c r="Q348" s="6">
        <v>0</v>
      </c>
      <c r="R348" s="23"/>
      <c r="S348" s="6">
        <v>162836</v>
      </c>
      <c r="T348" s="23"/>
      <c r="U348" s="6">
        <v>524635</v>
      </c>
      <c r="V348" s="23"/>
      <c r="W348" s="33">
        <f t="shared" si="49"/>
        <v>87087761</v>
      </c>
      <c r="X348" s="23"/>
      <c r="Y348" s="23">
        <v>490900</v>
      </c>
      <c r="Z348" s="23"/>
      <c r="AA348" s="23">
        <v>0</v>
      </c>
      <c r="AB348" s="23"/>
      <c r="AC348" s="23">
        <v>3220000</v>
      </c>
      <c r="AD348" s="23"/>
      <c r="AE348" s="23"/>
      <c r="AF348" s="23"/>
      <c r="AG348" s="23"/>
      <c r="AH348" s="23"/>
      <c r="AI348" s="23">
        <v>8040</v>
      </c>
      <c r="AJ348" s="23"/>
      <c r="AK348" s="23">
        <v>0</v>
      </c>
      <c r="AL348" s="23"/>
      <c r="AM348" s="33">
        <f t="shared" si="58"/>
        <v>3718940</v>
      </c>
      <c r="AN348" s="23"/>
      <c r="AO348" s="33">
        <f t="shared" si="57"/>
        <v>90806701</v>
      </c>
      <c r="AP348" s="33"/>
    </row>
    <row r="349" spans="1:42">
      <c r="A349" s="11" t="s">
        <v>421</v>
      </c>
      <c r="B349" s="11"/>
      <c r="C349" s="11" t="s">
        <v>420</v>
      </c>
      <c r="D349" s="23"/>
      <c r="E349" s="6">
        <v>4249268</v>
      </c>
      <c r="F349" s="23"/>
      <c r="G349" s="6">
        <v>0</v>
      </c>
      <c r="H349" s="23"/>
      <c r="I349" s="6">
        <v>18402673</v>
      </c>
      <c r="J349" s="23"/>
      <c r="K349" s="6">
        <v>24936</v>
      </c>
      <c r="L349" s="23"/>
      <c r="M349" s="6">
        <f>636465+2918+285283</f>
        <v>924666</v>
      </c>
      <c r="N349" s="23"/>
      <c r="O349" s="6">
        <v>116898</v>
      </c>
      <c r="P349" s="23"/>
      <c r="Q349" s="6">
        <v>0</v>
      </c>
      <c r="R349" s="23"/>
      <c r="S349" s="6">
        <v>26698</v>
      </c>
      <c r="T349" s="23"/>
      <c r="U349" s="6">
        <v>162900</v>
      </c>
      <c r="V349" s="23"/>
      <c r="W349" s="33">
        <f t="shared" si="49"/>
        <v>23908039</v>
      </c>
      <c r="X349" s="23"/>
      <c r="Y349" s="23">
        <v>0</v>
      </c>
      <c r="Z349" s="23"/>
      <c r="AA349" s="23">
        <v>0</v>
      </c>
      <c r="AB349" s="23"/>
      <c r="AC349" s="23">
        <v>0</v>
      </c>
      <c r="AD349" s="23"/>
      <c r="AE349" s="23"/>
      <c r="AF349" s="23"/>
      <c r="AG349" s="23"/>
      <c r="AH349" s="23"/>
      <c r="AI349" s="23">
        <v>33144</v>
      </c>
      <c r="AJ349" s="23"/>
      <c r="AK349" s="23">
        <v>0</v>
      </c>
      <c r="AL349" s="23"/>
      <c r="AM349" s="33">
        <f t="shared" si="58"/>
        <v>33144</v>
      </c>
      <c r="AN349" s="23"/>
      <c r="AO349" s="33">
        <f t="shared" si="57"/>
        <v>23941183</v>
      </c>
      <c r="AP349" s="33"/>
    </row>
    <row r="350" spans="1:42">
      <c r="A350" s="11" t="s">
        <v>769</v>
      </c>
      <c r="B350" s="11"/>
      <c r="C350" s="11" t="s">
        <v>41</v>
      </c>
      <c r="D350" s="23"/>
      <c r="E350" s="6">
        <v>59873748</v>
      </c>
      <c r="F350" s="23"/>
      <c r="G350" s="6">
        <v>0</v>
      </c>
      <c r="H350" s="23"/>
      <c r="I350" s="6">
        <v>38498735</v>
      </c>
      <c r="J350" s="23"/>
      <c r="K350" s="6">
        <v>300565</v>
      </c>
      <c r="L350" s="23"/>
      <c r="M350" s="6">
        <f>1538633+2035547+99512</f>
        <v>3673692</v>
      </c>
      <c r="N350" s="23"/>
      <c r="O350" s="6">
        <v>1398618</v>
      </c>
      <c r="P350" s="23"/>
      <c r="Q350" s="6">
        <v>1167885</v>
      </c>
      <c r="R350" s="23"/>
      <c r="S350" s="6">
        <v>243349</v>
      </c>
      <c r="T350" s="23"/>
      <c r="U350" s="6">
        <v>227963</v>
      </c>
      <c r="V350" s="23"/>
      <c r="W350" s="33">
        <f t="shared" si="49"/>
        <v>105384555</v>
      </c>
      <c r="X350" s="23"/>
      <c r="Y350" s="23">
        <v>478157</v>
      </c>
      <c r="Z350" s="23"/>
      <c r="AA350" s="23">
        <v>0</v>
      </c>
      <c r="AB350" s="23"/>
      <c r="AC350" s="23">
        <v>464000</v>
      </c>
      <c r="AD350" s="23"/>
      <c r="AE350" s="23"/>
      <c r="AF350" s="23"/>
      <c r="AG350" s="23"/>
      <c r="AH350" s="23"/>
      <c r="AI350" s="23">
        <v>8213</v>
      </c>
      <c r="AJ350" s="23"/>
      <c r="AK350" s="23">
        <v>0</v>
      </c>
      <c r="AL350" s="23"/>
      <c r="AM350" s="33">
        <f t="shared" si="58"/>
        <v>950370</v>
      </c>
      <c r="AN350" s="23"/>
      <c r="AO350" s="33">
        <f t="shared" si="57"/>
        <v>106334925</v>
      </c>
      <c r="AP350" s="33"/>
    </row>
    <row r="351" spans="1:42">
      <c r="A351" s="11" t="s">
        <v>424</v>
      </c>
      <c r="B351" s="11"/>
      <c r="C351" s="11" t="s">
        <v>48</v>
      </c>
      <c r="D351" s="23"/>
      <c r="E351" s="6">
        <v>4801966</v>
      </c>
      <c r="F351" s="23"/>
      <c r="G351" s="6">
        <v>2312566</v>
      </c>
      <c r="H351" s="23"/>
      <c r="I351" s="6">
        <f>20152+5261117+530702</f>
        <v>5811971</v>
      </c>
      <c r="J351" s="23"/>
      <c r="K351" s="6">
        <v>29050</v>
      </c>
      <c r="L351" s="23"/>
      <c r="M351" s="6">
        <f>563034+50711+273331+66475+8578+151</f>
        <v>962280</v>
      </c>
      <c r="N351" s="23"/>
      <c r="O351" s="6">
        <v>124600</v>
      </c>
      <c r="P351" s="23"/>
      <c r="Q351" s="6">
        <v>0</v>
      </c>
      <c r="R351" s="23"/>
      <c r="S351" s="6">
        <v>32661</v>
      </c>
      <c r="T351" s="23"/>
      <c r="U351" s="6">
        <v>43925</v>
      </c>
      <c r="V351" s="23"/>
      <c r="W351" s="33">
        <f t="shared" si="49"/>
        <v>14119019</v>
      </c>
      <c r="X351" s="23"/>
      <c r="Y351" s="23">
        <v>71165</v>
      </c>
      <c r="Z351" s="23"/>
      <c r="AA351" s="23">
        <v>0</v>
      </c>
      <c r="AB351" s="23"/>
      <c r="AC351" s="23">
        <v>0</v>
      </c>
      <c r="AD351" s="23"/>
      <c r="AE351" s="23"/>
      <c r="AF351" s="23"/>
      <c r="AG351" s="23"/>
      <c r="AH351" s="23"/>
      <c r="AI351" s="23">
        <v>8471</v>
      </c>
      <c r="AJ351" s="23"/>
      <c r="AK351" s="23">
        <v>0</v>
      </c>
      <c r="AL351" s="23"/>
      <c r="AM351" s="33">
        <f t="shared" si="58"/>
        <v>79636</v>
      </c>
      <c r="AN351" s="23"/>
      <c r="AO351" s="33">
        <f t="shared" si="57"/>
        <v>14198655</v>
      </c>
      <c r="AP351" s="33"/>
    </row>
    <row r="352" spans="1:42">
      <c r="A352" s="11" t="s">
        <v>297</v>
      </c>
      <c r="B352" s="11"/>
      <c r="C352" s="11" t="s">
        <v>26</v>
      </c>
      <c r="D352" s="23"/>
      <c r="E352" s="6">
        <v>12937143</v>
      </c>
      <c r="F352" s="23"/>
      <c r="G352" s="6">
        <v>0</v>
      </c>
      <c r="H352" s="23"/>
      <c r="I352" s="6">
        <v>14168555</v>
      </c>
      <c r="J352" s="23"/>
      <c r="K352" s="6">
        <v>28954</v>
      </c>
      <c r="L352" s="23"/>
      <c r="M352" s="6">
        <f>1537576+528838</f>
        <v>2066414</v>
      </c>
      <c r="N352" s="23"/>
      <c r="O352" s="6">
        <v>363533</v>
      </c>
      <c r="P352" s="23"/>
      <c r="Q352" s="6">
        <v>529835</v>
      </c>
      <c r="R352" s="23"/>
      <c r="S352" s="6">
        <v>0</v>
      </c>
      <c r="T352" s="23"/>
      <c r="U352" s="6">
        <v>513668</v>
      </c>
      <c r="V352" s="23"/>
      <c r="W352" s="33">
        <f t="shared" si="49"/>
        <v>30608102</v>
      </c>
      <c r="X352" s="23"/>
      <c r="Y352" s="23">
        <v>3100</v>
      </c>
      <c r="Z352" s="23"/>
      <c r="AA352" s="23">
        <v>0</v>
      </c>
      <c r="AB352" s="23"/>
      <c r="AC352" s="23">
        <v>0</v>
      </c>
      <c r="AD352" s="23"/>
      <c r="AE352" s="23"/>
      <c r="AF352" s="23"/>
      <c r="AG352" s="23"/>
      <c r="AH352" s="23"/>
      <c r="AI352" s="23">
        <v>90000</v>
      </c>
      <c r="AJ352" s="23"/>
      <c r="AK352" s="23">
        <v>0</v>
      </c>
      <c r="AL352" s="23"/>
      <c r="AM352" s="33">
        <f t="shared" si="58"/>
        <v>93100</v>
      </c>
      <c r="AN352" s="23"/>
      <c r="AO352" s="33">
        <f t="shared" si="57"/>
        <v>30701202</v>
      </c>
      <c r="AP352" s="33"/>
    </row>
    <row r="353" spans="1:42">
      <c r="A353" s="11" t="s">
        <v>432</v>
      </c>
      <c r="B353" s="11"/>
      <c r="C353" s="11" t="s">
        <v>50</v>
      </c>
      <c r="D353" s="23"/>
      <c r="E353" s="6">
        <v>35369493</v>
      </c>
      <c r="F353" s="23"/>
      <c r="G353" s="6">
        <v>0</v>
      </c>
      <c r="H353" s="23"/>
      <c r="I353" s="6">
        <v>23733548</v>
      </c>
      <c r="J353" s="23"/>
      <c r="K353" s="6">
        <v>347009</v>
      </c>
      <c r="L353" s="23"/>
      <c r="M353" s="6">
        <f>647655+4305+1493170</f>
        <v>2145130</v>
      </c>
      <c r="N353" s="23"/>
      <c r="O353" s="6">
        <v>272394</v>
      </c>
      <c r="P353" s="23"/>
      <c r="Q353" s="6">
        <v>189706</v>
      </c>
      <c r="R353" s="23"/>
      <c r="S353" s="6">
        <v>66218</v>
      </c>
      <c r="T353" s="23"/>
      <c r="U353" s="6">
        <v>343705</v>
      </c>
      <c r="V353" s="23"/>
      <c r="W353" s="33">
        <f t="shared" si="49"/>
        <v>62467203</v>
      </c>
      <c r="X353" s="23"/>
      <c r="Y353" s="23">
        <v>809413</v>
      </c>
      <c r="Z353" s="23"/>
      <c r="AA353" s="23">
        <v>0</v>
      </c>
      <c r="AB353" s="23"/>
      <c r="AC353" s="23">
        <f>16100000+394665+328563</f>
        <v>16823228</v>
      </c>
      <c r="AD353" s="23"/>
      <c r="AE353" s="23"/>
      <c r="AF353" s="23"/>
      <c r="AG353" s="23"/>
      <c r="AH353" s="23"/>
      <c r="AI353" s="23">
        <v>7408</v>
      </c>
      <c r="AJ353" s="23"/>
      <c r="AK353" s="23">
        <v>2007932</v>
      </c>
      <c r="AL353" s="23"/>
      <c r="AM353" s="33">
        <f>AI353+AC353+Y353+AK353</f>
        <v>19647981</v>
      </c>
      <c r="AN353" s="23"/>
      <c r="AO353" s="33">
        <f t="shared" si="57"/>
        <v>82115184</v>
      </c>
      <c r="AP353" s="33"/>
    </row>
    <row r="354" spans="1:42" hidden="1">
      <c r="A354" s="11" t="s">
        <v>812</v>
      </c>
      <c r="B354" s="11"/>
      <c r="C354" s="11" t="s">
        <v>53</v>
      </c>
      <c r="D354" s="23"/>
      <c r="E354" s="6"/>
      <c r="F354" s="23"/>
      <c r="G354" s="6"/>
      <c r="H354" s="23"/>
      <c r="I354" s="6"/>
      <c r="J354" s="23"/>
      <c r="K354" s="6"/>
      <c r="L354" s="23"/>
      <c r="M354" s="6"/>
      <c r="N354" s="23"/>
      <c r="O354" s="6"/>
      <c r="P354" s="23"/>
      <c r="Q354" s="6"/>
      <c r="R354" s="23"/>
      <c r="S354" s="6"/>
      <c r="T354" s="23"/>
      <c r="U354" s="6"/>
      <c r="V354" s="23"/>
      <c r="W354" s="33">
        <f t="shared" si="49"/>
        <v>0</v>
      </c>
      <c r="X354" s="23"/>
      <c r="Y354" s="23"/>
      <c r="Z354" s="23"/>
      <c r="AA354" s="23">
        <v>0</v>
      </c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33">
        <f t="shared" ref="AM354" si="59">AI354+AC354+Y354</f>
        <v>0</v>
      </c>
      <c r="AN354" s="23"/>
      <c r="AO354" s="33">
        <f t="shared" ref="AO354" si="60">W354+AM354</f>
        <v>0</v>
      </c>
      <c r="AP354" s="33"/>
    </row>
    <row r="355" spans="1:42">
      <c r="A355" s="11" t="s">
        <v>225</v>
      </c>
      <c r="B355" s="11"/>
      <c r="C355" s="11" t="s">
        <v>221</v>
      </c>
      <c r="D355" s="23"/>
      <c r="E355" s="6">
        <v>31341229</v>
      </c>
      <c r="F355" s="23"/>
      <c r="G355" s="6">
        <v>0</v>
      </c>
      <c r="H355" s="23"/>
      <c r="I355" s="6">
        <v>48553938</v>
      </c>
      <c r="J355" s="23"/>
      <c r="K355" s="6">
        <v>9601</v>
      </c>
      <c r="L355" s="23"/>
      <c r="M355" s="6">
        <f>724610+10458+588504</f>
        <v>1323572</v>
      </c>
      <c r="N355" s="23"/>
      <c r="O355" s="6">
        <v>341328</v>
      </c>
      <c r="P355" s="23"/>
      <c r="Q355" s="6">
        <v>148212</v>
      </c>
      <c r="R355" s="23"/>
      <c r="S355" s="6">
        <v>110623</v>
      </c>
      <c r="T355" s="23"/>
      <c r="U355" s="6">
        <v>477276</v>
      </c>
      <c r="V355" s="23"/>
      <c r="W355" s="33">
        <f t="shared" si="49"/>
        <v>82305779</v>
      </c>
      <c r="X355" s="23"/>
      <c r="Y355" s="23">
        <v>620080</v>
      </c>
      <c r="Z355" s="23"/>
      <c r="AA355" s="23">
        <v>0</v>
      </c>
      <c r="AB355" s="23"/>
      <c r="AC355" s="23">
        <v>0</v>
      </c>
      <c r="AD355" s="23"/>
      <c r="AE355" s="23"/>
      <c r="AF355" s="23"/>
      <c r="AG355" s="23"/>
      <c r="AH355" s="23"/>
      <c r="AI355" s="23">
        <v>10810</v>
      </c>
      <c r="AJ355" s="23"/>
      <c r="AK355" s="23">
        <v>0</v>
      </c>
      <c r="AL355" s="23"/>
      <c r="AM355" s="33">
        <f t="shared" si="58"/>
        <v>630890</v>
      </c>
      <c r="AN355" s="23"/>
      <c r="AO355" s="33">
        <f t="shared" si="57"/>
        <v>82936669</v>
      </c>
      <c r="AP355" s="33"/>
    </row>
    <row r="356" spans="1:42">
      <c r="A356" s="11" t="s">
        <v>387</v>
      </c>
      <c r="B356" s="11"/>
      <c r="C356" s="11" t="s">
        <v>44</v>
      </c>
      <c r="D356" s="23"/>
      <c r="E356" s="6">
        <v>12483398</v>
      </c>
      <c r="F356" s="23"/>
      <c r="G356" s="6">
        <v>0</v>
      </c>
      <c r="H356" s="23"/>
      <c r="I356" s="6">
        <v>25696988</v>
      </c>
      <c r="J356" s="23"/>
      <c r="K356" s="6">
        <v>16879</v>
      </c>
      <c r="L356" s="23"/>
      <c r="M356" s="6">
        <v>267408</v>
      </c>
      <c r="N356" s="23"/>
      <c r="O356" s="6">
        <v>518015</v>
      </c>
      <c r="P356" s="23"/>
      <c r="Q356" s="6">
        <v>0</v>
      </c>
      <c r="R356" s="23"/>
      <c r="S356" s="6">
        <v>0</v>
      </c>
      <c r="T356" s="23"/>
      <c r="U356" s="6">
        <v>542072</v>
      </c>
      <c r="V356" s="23"/>
      <c r="W356" s="33">
        <f t="shared" si="49"/>
        <v>39524760</v>
      </c>
      <c r="X356" s="23"/>
      <c r="Y356" s="23">
        <v>450000</v>
      </c>
      <c r="Z356" s="23"/>
      <c r="AA356" s="23">
        <v>0</v>
      </c>
      <c r="AB356" s="23"/>
      <c r="AC356" s="23">
        <v>0</v>
      </c>
      <c r="AD356" s="23"/>
      <c r="AE356" s="23"/>
      <c r="AF356" s="23"/>
      <c r="AG356" s="23"/>
      <c r="AH356" s="23"/>
      <c r="AI356" s="23">
        <v>18607</v>
      </c>
      <c r="AJ356" s="23"/>
      <c r="AK356" s="23">
        <v>0</v>
      </c>
      <c r="AL356" s="23"/>
      <c r="AM356" s="33">
        <f t="shared" si="58"/>
        <v>468607</v>
      </c>
      <c r="AN356" s="23"/>
      <c r="AO356" s="33">
        <f t="shared" si="57"/>
        <v>39993367</v>
      </c>
      <c r="AP356" s="33"/>
    </row>
    <row r="357" spans="1:42">
      <c r="A357" s="11" t="s">
        <v>770</v>
      </c>
      <c r="B357" s="11"/>
      <c r="C357" s="11" t="s">
        <v>113</v>
      </c>
      <c r="D357" s="23"/>
      <c r="E357" s="6">
        <v>35455656</v>
      </c>
      <c r="F357" s="23"/>
      <c r="G357" s="6">
        <v>0</v>
      </c>
      <c r="H357" s="23"/>
      <c r="I357" s="6">
        <v>26889393</v>
      </c>
      <c r="J357" s="23"/>
      <c r="K357" s="6">
        <v>46619</v>
      </c>
      <c r="L357" s="23"/>
      <c r="M357" s="6">
        <f>2772649+2006472</f>
        <v>4779121</v>
      </c>
      <c r="N357" s="23"/>
      <c r="O357" s="6">
        <v>350593</v>
      </c>
      <c r="P357" s="23"/>
      <c r="Q357" s="6">
        <v>1802442</v>
      </c>
      <c r="R357" s="23"/>
      <c r="S357" s="6">
        <v>0</v>
      </c>
      <c r="T357" s="23"/>
      <c r="U357" s="6">
        <v>1052908</v>
      </c>
      <c r="V357" s="23"/>
      <c r="W357" s="33">
        <f t="shared" si="49"/>
        <v>70376732</v>
      </c>
      <c r="X357" s="23"/>
      <c r="Y357" s="23">
        <v>0</v>
      </c>
      <c r="Z357" s="23"/>
      <c r="AA357" s="23">
        <v>0</v>
      </c>
      <c r="AB357" s="23"/>
      <c r="AC357" s="23">
        <f>2635000+94138</f>
        <v>2729138</v>
      </c>
      <c r="AD357" s="23"/>
      <c r="AE357" s="23"/>
      <c r="AF357" s="23"/>
      <c r="AG357" s="23"/>
      <c r="AH357" s="23"/>
      <c r="AI357" s="23">
        <v>3855</v>
      </c>
      <c r="AJ357" s="23"/>
      <c r="AK357" s="23">
        <v>0</v>
      </c>
      <c r="AL357" s="23"/>
      <c r="AM357" s="33">
        <f t="shared" si="58"/>
        <v>2732993</v>
      </c>
      <c r="AN357" s="23"/>
      <c r="AO357" s="33">
        <f t="shared" si="57"/>
        <v>73109725</v>
      </c>
      <c r="AP357" s="33"/>
    </row>
    <row r="358" spans="1:42" hidden="1">
      <c r="A358" s="11" t="s">
        <v>613</v>
      </c>
      <c r="B358" s="11"/>
      <c r="C358" s="11" t="s">
        <v>552</v>
      </c>
      <c r="D358" s="23"/>
      <c r="E358" s="6"/>
      <c r="F358" s="23"/>
      <c r="G358" s="6"/>
      <c r="H358" s="23"/>
      <c r="I358" s="6"/>
      <c r="J358" s="23"/>
      <c r="K358" s="6"/>
      <c r="L358" s="23"/>
      <c r="M358" s="6"/>
      <c r="N358" s="23"/>
      <c r="O358" s="6"/>
      <c r="P358" s="23"/>
      <c r="Q358" s="6"/>
      <c r="R358" s="23"/>
      <c r="S358" s="6"/>
      <c r="T358" s="23"/>
      <c r="U358" s="6"/>
      <c r="V358" s="23"/>
      <c r="W358" s="33">
        <f t="shared" si="49"/>
        <v>0</v>
      </c>
      <c r="X358" s="23"/>
      <c r="Y358" s="23"/>
      <c r="Z358" s="23"/>
      <c r="AA358" s="23">
        <v>0</v>
      </c>
      <c r="AB358" s="23"/>
      <c r="AC358" s="23"/>
      <c r="AD358" s="23"/>
      <c r="AE358" s="23"/>
      <c r="AF358" s="23"/>
      <c r="AG358" s="23"/>
      <c r="AH358" s="23"/>
      <c r="AI358" s="23"/>
      <c r="AJ358" s="23"/>
      <c r="AK358" s="23">
        <v>0</v>
      </c>
      <c r="AL358" s="23"/>
      <c r="AM358" s="33">
        <f t="shared" si="58"/>
        <v>0</v>
      </c>
      <c r="AN358" s="23"/>
      <c r="AO358" s="33">
        <f t="shared" si="57"/>
        <v>0</v>
      </c>
      <c r="AP358" s="33"/>
    </row>
    <row r="359" spans="1:42" hidden="1">
      <c r="A359" s="11" t="s">
        <v>892</v>
      </c>
      <c r="B359" s="11"/>
      <c r="C359" s="11" t="s">
        <v>467</v>
      </c>
      <c r="D359" s="23"/>
      <c r="E359" s="6"/>
      <c r="F359" s="23"/>
      <c r="G359" s="6"/>
      <c r="H359" s="23"/>
      <c r="I359" s="6"/>
      <c r="J359" s="23"/>
      <c r="K359" s="6"/>
      <c r="L359" s="23"/>
      <c r="M359" s="6"/>
      <c r="N359" s="23"/>
      <c r="O359" s="6"/>
      <c r="P359" s="23"/>
      <c r="Q359" s="6"/>
      <c r="R359" s="23"/>
      <c r="S359" s="6"/>
      <c r="T359" s="23"/>
      <c r="U359" s="6"/>
      <c r="V359" s="23"/>
      <c r="W359" s="33">
        <f t="shared" si="49"/>
        <v>0</v>
      </c>
      <c r="X359" s="23"/>
      <c r="Y359" s="23"/>
      <c r="Z359" s="23"/>
      <c r="AA359" s="23">
        <v>0</v>
      </c>
      <c r="AB359" s="23"/>
      <c r="AC359" s="23"/>
      <c r="AD359" s="23"/>
      <c r="AE359" s="23"/>
      <c r="AF359" s="23"/>
      <c r="AG359" s="23"/>
      <c r="AH359" s="23"/>
      <c r="AI359" s="23"/>
      <c r="AJ359" s="23"/>
      <c r="AK359" s="23">
        <v>0</v>
      </c>
      <c r="AL359" s="23"/>
      <c r="AM359" s="33">
        <f t="shared" si="58"/>
        <v>0</v>
      </c>
      <c r="AN359" s="23"/>
      <c r="AO359" s="33">
        <f t="shared" si="57"/>
        <v>0</v>
      </c>
      <c r="AP359" s="33"/>
    </row>
    <row r="360" spans="1:42" hidden="1">
      <c r="A360" s="11" t="s">
        <v>807</v>
      </c>
      <c r="B360" s="11"/>
      <c r="C360" s="11" t="s">
        <v>48</v>
      </c>
      <c r="D360" s="23"/>
      <c r="E360" s="6"/>
      <c r="F360" s="23"/>
      <c r="G360" s="6"/>
      <c r="H360" s="23"/>
      <c r="I360" s="6"/>
      <c r="J360" s="23"/>
      <c r="K360" s="6"/>
      <c r="L360" s="23"/>
      <c r="M360" s="6"/>
      <c r="N360" s="23"/>
      <c r="O360" s="6"/>
      <c r="P360" s="23"/>
      <c r="Q360" s="6"/>
      <c r="R360" s="23"/>
      <c r="S360" s="6"/>
      <c r="T360" s="23"/>
      <c r="U360" s="6"/>
      <c r="V360" s="23"/>
      <c r="W360" s="33">
        <f t="shared" si="49"/>
        <v>0</v>
      </c>
      <c r="X360" s="23"/>
      <c r="Y360" s="23"/>
      <c r="Z360" s="23"/>
      <c r="AA360" s="23">
        <v>0</v>
      </c>
      <c r="AB360" s="23"/>
      <c r="AC360" s="23"/>
      <c r="AD360" s="23"/>
      <c r="AE360" s="23"/>
      <c r="AF360" s="23"/>
      <c r="AG360" s="23"/>
      <c r="AH360" s="23"/>
      <c r="AI360" s="23"/>
      <c r="AJ360" s="23"/>
      <c r="AK360" s="23">
        <v>0</v>
      </c>
      <c r="AL360" s="23"/>
      <c r="AM360" s="33">
        <f t="shared" si="58"/>
        <v>0</v>
      </c>
      <c r="AN360" s="23"/>
      <c r="AO360" s="33">
        <f t="shared" si="57"/>
        <v>0</v>
      </c>
      <c r="AP360" s="33"/>
    </row>
    <row r="361" spans="1:42">
      <c r="A361" s="11" t="s">
        <v>502</v>
      </c>
      <c r="B361" s="11"/>
      <c r="C361" s="11" t="s">
        <v>62</v>
      </c>
      <c r="D361" s="23"/>
      <c r="E361" s="6">
        <v>5728504</v>
      </c>
      <c r="F361" s="23"/>
      <c r="G361" s="6">
        <v>0</v>
      </c>
      <c r="H361" s="23"/>
      <c r="I361" s="6">
        <v>12491410</v>
      </c>
      <c r="J361" s="23"/>
      <c r="K361" s="6">
        <v>4487</v>
      </c>
      <c r="L361" s="23"/>
      <c r="M361" s="6">
        <f>972987+19422+251810</f>
        <v>1244219</v>
      </c>
      <c r="N361" s="23"/>
      <c r="O361" s="6">
        <v>328099</v>
      </c>
      <c r="P361" s="23"/>
      <c r="Q361" s="6">
        <v>0</v>
      </c>
      <c r="R361" s="23"/>
      <c r="S361" s="6">
        <v>62033</v>
      </c>
      <c r="T361" s="23"/>
      <c r="U361" s="6">
        <v>95931</v>
      </c>
      <c r="V361" s="23"/>
      <c r="W361" s="33">
        <f t="shared" si="49"/>
        <v>19954683</v>
      </c>
      <c r="X361" s="23"/>
      <c r="Y361" s="23">
        <v>44255</v>
      </c>
      <c r="Z361" s="23"/>
      <c r="AA361" s="23">
        <v>0</v>
      </c>
      <c r="AB361" s="23"/>
      <c r="AC361" s="23">
        <f>2213570+115189</f>
        <v>2328759</v>
      </c>
      <c r="AD361" s="23"/>
      <c r="AE361" s="23"/>
      <c r="AF361" s="23"/>
      <c r="AG361" s="23"/>
      <c r="AH361" s="23"/>
      <c r="AI361" s="23">
        <v>0</v>
      </c>
      <c r="AJ361" s="23"/>
      <c r="AK361" s="23">
        <v>0</v>
      </c>
      <c r="AL361" s="23"/>
      <c r="AM361" s="33">
        <f t="shared" si="58"/>
        <v>2373014</v>
      </c>
      <c r="AN361" s="23"/>
      <c r="AO361" s="33">
        <f t="shared" ref="AO361:AO374" si="61">W361+AM361</f>
        <v>22327697</v>
      </c>
      <c r="AP361" s="33"/>
    </row>
    <row r="362" spans="1:42">
      <c r="A362" s="11" t="s">
        <v>482</v>
      </c>
      <c r="B362" s="11"/>
      <c r="C362" s="11" t="s">
        <v>59</v>
      </c>
      <c r="D362" s="23"/>
      <c r="E362" s="6">
        <v>1854463</v>
      </c>
      <c r="F362" s="23"/>
      <c r="G362" s="6">
        <v>0</v>
      </c>
      <c r="H362" s="23"/>
      <c r="I362" s="6">
        <v>11472183</v>
      </c>
      <c r="J362" s="23"/>
      <c r="K362" s="6">
        <v>0</v>
      </c>
      <c r="L362" s="23"/>
      <c r="M362" s="6">
        <f>1916210+875+227031</f>
        <v>2144116</v>
      </c>
      <c r="N362" s="23"/>
      <c r="O362" s="6">
        <v>167738</v>
      </c>
      <c r="P362" s="23"/>
      <c r="Q362" s="6">
        <v>0</v>
      </c>
      <c r="R362" s="23"/>
      <c r="S362" s="6">
        <v>30730</v>
      </c>
      <c r="T362" s="23"/>
      <c r="U362" s="6">
        <v>150881</v>
      </c>
      <c r="V362" s="23"/>
      <c r="W362" s="33">
        <f t="shared" ref="W362:W430" si="62">SUM(E362:U362)</f>
        <v>15820111</v>
      </c>
      <c r="X362" s="23"/>
      <c r="Y362" s="23">
        <v>0</v>
      </c>
      <c r="Z362" s="23"/>
      <c r="AA362" s="23">
        <v>0</v>
      </c>
      <c r="AB362" s="23"/>
      <c r="AC362" s="23">
        <v>0</v>
      </c>
      <c r="AD362" s="23"/>
      <c r="AE362" s="23"/>
      <c r="AF362" s="23"/>
      <c r="AG362" s="23"/>
      <c r="AH362" s="23"/>
      <c r="AI362" s="23">
        <v>0</v>
      </c>
      <c r="AJ362" s="23"/>
      <c r="AK362" s="23">
        <v>0</v>
      </c>
      <c r="AL362" s="23"/>
      <c r="AM362" s="33">
        <f t="shared" si="58"/>
        <v>0</v>
      </c>
      <c r="AN362" s="23"/>
      <c r="AO362" s="33">
        <f t="shared" si="61"/>
        <v>15820111</v>
      </c>
      <c r="AP362" s="33"/>
    </row>
    <row r="363" spans="1:42">
      <c r="A363" s="11" t="s">
        <v>213</v>
      </c>
      <c r="B363" s="11"/>
      <c r="C363" s="11" t="s">
        <v>14</v>
      </c>
      <c r="D363" s="23"/>
      <c r="E363" s="6">
        <v>3870714</v>
      </c>
      <c r="F363" s="23"/>
      <c r="G363" s="6">
        <v>785020</v>
      </c>
      <c r="H363" s="23"/>
      <c r="I363" s="6">
        <v>4452384</v>
      </c>
      <c r="J363" s="23"/>
      <c r="K363" s="6">
        <v>4455</v>
      </c>
      <c r="L363" s="23"/>
      <c r="M363" s="6">
        <f>88583+269941</f>
        <v>358524</v>
      </c>
      <c r="N363" s="23"/>
      <c r="O363" s="6">
        <v>116803</v>
      </c>
      <c r="P363" s="23"/>
      <c r="Q363" s="6">
        <v>45445</v>
      </c>
      <c r="R363" s="23"/>
      <c r="S363" s="6">
        <v>51425</v>
      </c>
      <c r="T363" s="23"/>
      <c r="U363" s="6">
        <v>134203</v>
      </c>
      <c r="V363" s="23"/>
      <c r="W363" s="33">
        <f t="shared" si="62"/>
        <v>9818973</v>
      </c>
      <c r="X363" s="23"/>
      <c r="Y363" s="23">
        <v>10000</v>
      </c>
      <c r="Z363" s="23"/>
      <c r="AA363" s="23">
        <v>0</v>
      </c>
      <c r="AB363" s="23"/>
      <c r="AC363" s="23">
        <v>0</v>
      </c>
      <c r="AD363" s="23"/>
      <c r="AE363" s="23"/>
      <c r="AF363" s="23"/>
      <c r="AG363" s="23"/>
      <c r="AH363" s="23"/>
      <c r="AI363" s="23">
        <v>0</v>
      </c>
      <c r="AJ363" s="23"/>
      <c r="AK363" s="23">
        <v>0</v>
      </c>
      <c r="AL363" s="23"/>
      <c r="AM363" s="33">
        <f t="shared" si="58"/>
        <v>10000</v>
      </c>
      <c r="AN363" s="23"/>
      <c r="AO363" s="33">
        <f t="shared" si="61"/>
        <v>9828973</v>
      </c>
      <c r="AP363" s="33"/>
    </row>
    <row r="364" spans="1:42" hidden="1">
      <c r="A364" s="11" t="s">
        <v>640</v>
      </c>
      <c r="B364" s="11"/>
      <c r="C364" s="11" t="s">
        <v>21</v>
      </c>
      <c r="D364" s="23"/>
      <c r="E364" s="6"/>
      <c r="F364" s="23"/>
      <c r="G364" s="6"/>
      <c r="H364" s="23"/>
      <c r="I364" s="6"/>
      <c r="J364" s="23"/>
      <c r="K364" s="6"/>
      <c r="L364" s="23"/>
      <c r="M364" s="6"/>
      <c r="N364" s="23"/>
      <c r="O364" s="6"/>
      <c r="P364" s="23"/>
      <c r="Q364" s="6"/>
      <c r="R364" s="23"/>
      <c r="S364" s="6"/>
      <c r="T364" s="23"/>
      <c r="U364" s="6"/>
      <c r="V364" s="23"/>
      <c r="W364" s="33">
        <f t="shared" si="62"/>
        <v>0</v>
      </c>
      <c r="X364" s="23"/>
      <c r="Y364" s="23"/>
      <c r="Z364" s="23"/>
      <c r="AA364" s="23">
        <v>0</v>
      </c>
      <c r="AB364" s="23"/>
      <c r="AC364" s="23"/>
      <c r="AD364" s="23"/>
      <c r="AE364" s="23"/>
      <c r="AF364" s="23"/>
      <c r="AG364" s="23"/>
      <c r="AH364" s="23"/>
      <c r="AI364" s="23"/>
      <c r="AJ364" s="23"/>
      <c r="AK364" s="23">
        <v>0</v>
      </c>
      <c r="AL364" s="23"/>
      <c r="AM364" s="33">
        <f t="shared" si="58"/>
        <v>0</v>
      </c>
      <c r="AN364" s="23"/>
      <c r="AO364" s="33">
        <f t="shared" si="61"/>
        <v>0</v>
      </c>
      <c r="AP364" s="33"/>
    </row>
    <row r="365" spans="1:42">
      <c r="A365" s="11" t="s">
        <v>510</v>
      </c>
      <c r="B365" s="11"/>
      <c r="C365" s="11" t="s">
        <v>63</v>
      </c>
      <c r="D365" s="23"/>
      <c r="E365" s="6">
        <v>3464599</v>
      </c>
      <c r="F365" s="23"/>
      <c r="G365" s="6">
        <v>0</v>
      </c>
      <c r="H365" s="23"/>
      <c r="I365" s="6">
        <v>5033238</v>
      </c>
      <c r="J365" s="23"/>
      <c r="K365" s="6">
        <v>73286</v>
      </c>
      <c r="L365" s="23"/>
      <c r="M365" s="6">
        <f>1585363+170403</f>
        <v>1755766</v>
      </c>
      <c r="N365" s="23"/>
      <c r="O365" s="6">
        <v>152095</v>
      </c>
      <c r="P365" s="23"/>
      <c r="Q365" s="6">
        <v>0</v>
      </c>
      <c r="R365" s="23"/>
      <c r="S365" s="6">
        <v>28231</v>
      </c>
      <c r="T365" s="23"/>
      <c r="U365" s="6">
        <v>6126</v>
      </c>
      <c r="V365" s="23"/>
      <c r="W365" s="33">
        <f t="shared" si="62"/>
        <v>10513341</v>
      </c>
      <c r="X365" s="23"/>
      <c r="Y365" s="23">
        <v>171115</v>
      </c>
      <c r="Z365" s="23"/>
      <c r="AA365" s="23">
        <v>0</v>
      </c>
      <c r="AB365" s="23"/>
      <c r="AC365" s="23">
        <v>0</v>
      </c>
      <c r="AD365" s="23"/>
      <c r="AE365" s="23"/>
      <c r="AF365" s="23"/>
      <c r="AG365" s="23"/>
      <c r="AH365" s="23"/>
      <c r="AI365" s="23">
        <v>0</v>
      </c>
      <c r="AJ365" s="23"/>
      <c r="AK365" s="23">
        <v>0</v>
      </c>
      <c r="AL365" s="23"/>
      <c r="AM365" s="33">
        <f t="shared" si="58"/>
        <v>171115</v>
      </c>
      <c r="AN365" s="23"/>
      <c r="AO365" s="33">
        <f t="shared" si="61"/>
        <v>10684456</v>
      </c>
      <c r="AP365" s="33"/>
    </row>
    <row r="366" spans="1:42" hidden="1">
      <c r="A366" s="11" t="s">
        <v>621</v>
      </c>
      <c r="B366" s="11"/>
      <c r="C366" s="11" t="s">
        <v>558</v>
      </c>
      <c r="D366" s="23"/>
      <c r="E366" s="6"/>
      <c r="F366" s="23"/>
      <c r="G366" s="6"/>
      <c r="H366" s="23"/>
      <c r="I366" s="6"/>
      <c r="J366" s="23"/>
      <c r="K366" s="6"/>
      <c r="L366" s="23"/>
      <c r="M366" s="6"/>
      <c r="N366" s="23"/>
      <c r="O366" s="6"/>
      <c r="P366" s="23"/>
      <c r="Q366" s="6"/>
      <c r="R366" s="23"/>
      <c r="S366" s="6"/>
      <c r="T366" s="23"/>
      <c r="U366" s="6"/>
      <c r="V366" s="23"/>
      <c r="W366" s="33">
        <f t="shared" si="62"/>
        <v>0</v>
      </c>
      <c r="X366" s="23"/>
      <c r="Y366" s="23"/>
      <c r="Z366" s="23"/>
      <c r="AA366" s="23">
        <v>0</v>
      </c>
      <c r="AB366" s="23"/>
      <c r="AC366" s="23"/>
      <c r="AD366" s="23"/>
      <c r="AE366" s="23"/>
      <c r="AF366" s="23"/>
      <c r="AG366" s="23"/>
      <c r="AH366" s="23"/>
      <c r="AI366" s="23"/>
      <c r="AJ366" s="23"/>
      <c r="AK366" s="23">
        <v>0</v>
      </c>
      <c r="AL366" s="23"/>
      <c r="AM366" s="33">
        <f t="shared" si="58"/>
        <v>0</v>
      </c>
      <c r="AN366" s="23"/>
      <c r="AO366" s="33">
        <f t="shared" si="61"/>
        <v>0</v>
      </c>
      <c r="AP366" s="33"/>
    </row>
    <row r="367" spans="1:42" hidden="1">
      <c r="A367" s="10" t="s">
        <v>879</v>
      </c>
      <c r="B367" s="11"/>
      <c r="C367" s="11" t="s">
        <v>221</v>
      </c>
      <c r="D367" s="23"/>
      <c r="E367" s="6">
        <v>0</v>
      </c>
      <c r="F367" s="23"/>
      <c r="G367" s="6">
        <v>0</v>
      </c>
      <c r="H367" s="23"/>
      <c r="I367" s="6">
        <v>0</v>
      </c>
      <c r="J367" s="23"/>
      <c r="K367" s="6">
        <v>0</v>
      </c>
      <c r="L367" s="23"/>
      <c r="M367" s="6">
        <v>0</v>
      </c>
      <c r="N367" s="23"/>
      <c r="O367" s="6">
        <v>0</v>
      </c>
      <c r="P367" s="23"/>
      <c r="Q367" s="6">
        <v>0</v>
      </c>
      <c r="R367" s="23"/>
      <c r="S367" s="6">
        <v>0</v>
      </c>
      <c r="T367" s="23"/>
      <c r="U367" s="6">
        <v>0</v>
      </c>
      <c r="V367" s="23"/>
      <c r="W367" s="33">
        <f t="shared" si="62"/>
        <v>0</v>
      </c>
      <c r="X367" s="23"/>
      <c r="Y367" s="6">
        <v>0</v>
      </c>
      <c r="Z367" s="23"/>
      <c r="AA367" s="23">
        <v>0</v>
      </c>
      <c r="AB367" s="23"/>
      <c r="AC367" s="23">
        <v>0</v>
      </c>
      <c r="AD367" s="23"/>
      <c r="AE367" s="23"/>
      <c r="AF367" s="23"/>
      <c r="AG367" s="23"/>
      <c r="AH367" s="23"/>
      <c r="AI367" s="23">
        <v>0</v>
      </c>
      <c r="AJ367" s="23"/>
      <c r="AK367" s="23">
        <v>0</v>
      </c>
      <c r="AL367" s="23"/>
      <c r="AM367" s="33">
        <f t="shared" si="58"/>
        <v>0</v>
      </c>
      <c r="AN367" s="23"/>
      <c r="AO367" s="33">
        <f t="shared" si="61"/>
        <v>0</v>
      </c>
      <c r="AP367" s="33"/>
    </row>
    <row r="368" spans="1:42">
      <c r="A368" s="11" t="s">
        <v>356</v>
      </c>
      <c r="B368" s="11"/>
      <c r="C368" s="11" t="s">
        <v>37</v>
      </c>
      <c r="D368" s="23"/>
      <c r="E368" s="6">
        <v>2082751</v>
      </c>
      <c r="F368" s="23"/>
      <c r="G368" s="6">
        <v>1101713</v>
      </c>
      <c r="H368" s="23"/>
      <c r="I368" s="6">
        <f>2704184+553825</f>
        <v>3258009</v>
      </c>
      <c r="J368" s="23"/>
      <c r="K368" s="6">
        <v>648</v>
      </c>
      <c r="L368" s="23"/>
      <c r="M368" s="6">
        <f>361319+607+144201+37027</f>
        <v>543154</v>
      </c>
      <c r="N368" s="23"/>
      <c r="O368" s="6">
        <v>69919</v>
      </c>
      <c r="P368" s="23"/>
      <c r="Q368" s="6">
        <v>0</v>
      </c>
      <c r="R368" s="23"/>
      <c r="S368" s="6">
        <v>15483</v>
      </c>
      <c r="T368" s="23"/>
      <c r="U368" s="6">
        <v>25122</v>
      </c>
      <c r="V368" s="23"/>
      <c r="W368" s="33">
        <f t="shared" si="62"/>
        <v>7096799</v>
      </c>
      <c r="X368" s="23"/>
      <c r="Y368" s="23">
        <v>0</v>
      </c>
      <c r="Z368" s="23"/>
      <c r="AA368" s="23">
        <v>0</v>
      </c>
      <c r="AB368" s="23"/>
      <c r="AC368" s="23">
        <v>0</v>
      </c>
      <c r="AD368" s="23"/>
      <c r="AE368" s="23"/>
      <c r="AF368" s="23"/>
      <c r="AG368" s="23"/>
      <c r="AH368" s="23"/>
      <c r="AI368" s="23">
        <v>170000</v>
      </c>
      <c r="AJ368" s="23"/>
      <c r="AK368" s="23">
        <v>0</v>
      </c>
      <c r="AL368" s="23"/>
      <c r="AM368" s="33">
        <f t="shared" si="58"/>
        <v>170000</v>
      </c>
      <c r="AN368" s="23"/>
      <c r="AO368" s="33">
        <f t="shared" si="61"/>
        <v>7266799</v>
      </c>
      <c r="AP368" s="33"/>
    </row>
    <row r="369" spans="1:42" hidden="1">
      <c r="A369" s="11" t="s">
        <v>808</v>
      </c>
      <c r="B369" s="11"/>
      <c r="C369" s="11" t="s">
        <v>552</v>
      </c>
      <c r="D369" s="23"/>
      <c r="E369" s="6"/>
      <c r="F369" s="23"/>
      <c r="G369" s="6"/>
      <c r="H369" s="23"/>
      <c r="I369" s="6"/>
      <c r="J369" s="23"/>
      <c r="K369" s="6"/>
      <c r="L369" s="23"/>
      <c r="M369" s="6"/>
      <c r="N369" s="23"/>
      <c r="O369" s="6"/>
      <c r="P369" s="23"/>
      <c r="Q369" s="6"/>
      <c r="R369" s="23"/>
      <c r="S369" s="6"/>
      <c r="T369" s="23"/>
      <c r="U369" s="6"/>
      <c r="V369" s="23"/>
      <c r="W369" s="33">
        <f t="shared" si="62"/>
        <v>0</v>
      </c>
      <c r="X369" s="23"/>
      <c r="Y369" s="23"/>
      <c r="Z369" s="23"/>
      <c r="AA369" s="23">
        <v>0</v>
      </c>
      <c r="AB369" s="23"/>
      <c r="AC369" s="23"/>
      <c r="AD369" s="23"/>
      <c r="AE369" s="23"/>
      <c r="AF369" s="23"/>
      <c r="AG369" s="23"/>
      <c r="AH369" s="23"/>
      <c r="AI369" s="23"/>
      <c r="AJ369" s="23"/>
      <c r="AK369" s="23">
        <v>0</v>
      </c>
      <c r="AL369" s="23"/>
      <c r="AM369" s="33">
        <f t="shared" si="58"/>
        <v>0</v>
      </c>
      <c r="AN369" s="23"/>
      <c r="AO369" s="33">
        <f t="shared" si="61"/>
        <v>0</v>
      </c>
      <c r="AP369" s="33"/>
    </row>
    <row r="370" spans="1:42">
      <c r="A370" s="11" t="s">
        <v>439</v>
      </c>
      <c r="B370" s="11"/>
      <c r="C370" s="11" t="s">
        <v>440</v>
      </c>
      <c r="D370" s="23"/>
      <c r="E370" s="6">
        <v>4953673</v>
      </c>
      <c r="F370" s="23"/>
      <c r="G370" s="6">
        <v>0</v>
      </c>
      <c r="H370" s="23"/>
      <c r="I370" s="6">
        <v>18837026</v>
      </c>
      <c r="J370" s="23"/>
      <c r="K370" s="6">
        <v>127762</v>
      </c>
      <c r="L370" s="23"/>
      <c r="M370" s="6">
        <f>400301+2261+408002</f>
        <v>810564</v>
      </c>
      <c r="N370" s="23"/>
      <c r="O370" s="6">
        <v>67751</v>
      </c>
      <c r="P370" s="23"/>
      <c r="Q370" s="6">
        <v>0</v>
      </c>
      <c r="R370" s="23"/>
      <c r="S370" s="6">
        <v>32192</v>
      </c>
      <c r="T370" s="23"/>
      <c r="U370" s="6">
        <v>8435</v>
      </c>
      <c r="V370" s="23"/>
      <c r="W370" s="33">
        <f t="shared" si="62"/>
        <v>24837403</v>
      </c>
      <c r="X370" s="23"/>
      <c r="Y370" s="23">
        <v>0</v>
      </c>
      <c r="Z370" s="23"/>
      <c r="AA370" s="23">
        <v>0</v>
      </c>
      <c r="AB370" s="23"/>
      <c r="AC370" s="23">
        <v>0</v>
      </c>
      <c r="AD370" s="23"/>
      <c r="AE370" s="23"/>
      <c r="AF370" s="23"/>
      <c r="AG370" s="23"/>
      <c r="AH370" s="23"/>
      <c r="AI370" s="23">
        <v>1500</v>
      </c>
      <c r="AJ370" s="23"/>
      <c r="AK370" s="23">
        <v>0</v>
      </c>
      <c r="AL370" s="23"/>
      <c r="AM370" s="33">
        <f t="shared" si="58"/>
        <v>1500</v>
      </c>
      <c r="AN370" s="23"/>
      <c r="AO370" s="33">
        <f t="shared" si="61"/>
        <v>24838903</v>
      </c>
      <c r="AP370" s="33"/>
    </row>
    <row r="371" spans="1:42">
      <c r="A371" s="11" t="s">
        <v>771</v>
      </c>
      <c r="B371" s="11"/>
      <c r="C371" s="11" t="s">
        <v>78</v>
      </c>
      <c r="D371" s="23"/>
      <c r="E371" s="6">
        <v>4828035</v>
      </c>
      <c r="F371" s="23"/>
      <c r="G371" s="6">
        <v>0</v>
      </c>
      <c r="H371" s="23"/>
      <c r="I371" s="6">
        <v>7952468</v>
      </c>
      <c r="J371" s="23"/>
      <c r="K371" s="6">
        <v>19598</v>
      </c>
      <c r="L371" s="23"/>
      <c r="M371" s="6">
        <f>671577+275128</f>
        <v>946705</v>
      </c>
      <c r="N371" s="23"/>
      <c r="O371" s="6">
        <v>202311</v>
      </c>
      <c r="P371" s="23"/>
      <c r="Q371" s="6">
        <v>0</v>
      </c>
      <c r="R371" s="23"/>
      <c r="S371" s="6">
        <v>0</v>
      </c>
      <c r="T371" s="23"/>
      <c r="U371" s="6">
        <v>690583</v>
      </c>
      <c r="V371" s="23"/>
      <c r="W371" s="33">
        <f t="shared" si="62"/>
        <v>14639700</v>
      </c>
      <c r="X371" s="23"/>
      <c r="Y371" s="23">
        <v>11296</v>
      </c>
      <c r="Z371" s="23"/>
      <c r="AA371" s="23">
        <v>0</v>
      </c>
      <c r="AB371" s="23"/>
      <c r="AC371" s="23">
        <f>665000+44700</f>
        <v>709700</v>
      </c>
      <c r="AD371" s="23"/>
      <c r="AE371" s="23"/>
      <c r="AF371" s="23"/>
      <c r="AG371" s="23"/>
      <c r="AH371" s="23"/>
      <c r="AI371" s="23">
        <v>0</v>
      </c>
      <c r="AJ371" s="23"/>
      <c r="AK371" s="23">
        <v>0</v>
      </c>
      <c r="AL371" s="23"/>
      <c r="AM371" s="33">
        <f t="shared" si="58"/>
        <v>720996</v>
      </c>
      <c r="AN371" s="23"/>
      <c r="AO371" s="33">
        <f t="shared" si="61"/>
        <v>15360696</v>
      </c>
      <c r="AP371" s="33"/>
    </row>
    <row r="372" spans="1:42" hidden="1">
      <c r="A372" s="10" t="s">
        <v>880</v>
      </c>
      <c r="B372" s="11"/>
      <c r="C372" s="11" t="s">
        <v>40</v>
      </c>
      <c r="D372" s="23"/>
      <c r="E372" s="6">
        <v>0</v>
      </c>
      <c r="F372" s="23"/>
      <c r="G372" s="6">
        <v>0</v>
      </c>
      <c r="H372" s="23"/>
      <c r="I372" s="6">
        <v>0</v>
      </c>
      <c r="J372" s="23"/>
      <c r="K372" s="6">
        <v>0</v>
      </c>
      <c r="L372" s="23"/>
      <c r="M372" s="6">
        <v>0</v>
      </c>
      <c r="N372" s="23"/>
      <c r="O372" s="6">
        <v>0</v>
      </c>
      <c r="P372" s="23"/>
      <c r="Q372" s="6">
        <v>0</v>
      </c>
      <c r="R372" s="23"/>
      <c r="S372" s="6">
        <v>0</v>
      </c>
      <c r="T372" s="23"/>
      <c r="U372" s="6">
        <v>0</v>
      </c>
      <c r="V372" s="23"/>
      <c r="W372" s="33">
        <f t="shared" si="62"/>
        <v>0</v>
      </c>
      <c r="X372" s="23"/>
      <c r="Y372" s="23">
        <v>0</v>
      </c>
      <c r="Z372" s="23"/>
      <c r="AA372" s="23">
        <v>0</v>
      </c>
      <c r="AB372" s="23"/>
      <c r="AC372" s="23">
        <v>0</v>
      </c>
      <c r="AD372" s="23"/>
      <c r="AE372" s="23"/>
      <c r="AF372" s="23"/>
      <c r="AG372" s="23"/>
      <c r="AH372" s="23"/>
      <c r="AI372" s="23">
        <v>0</v>
      </c>
      <c r="AJ372" s="23"/>
      <c r="AK372" s="23">
        <v>0</v>
      </c>
      <c r="AL372" s="23"/>
      <c r="AM372" s="33">
        <f t="shared" si="58"/>
        <v>0</v>
      </c>
      <c r="AN372" s="23"/>
      <c r="AO372" s="33">
        <f t="shared" si="61"/>
        <v>0</v>
      </c>
      <c r="AP372" s="33"/>
    </row>
    <row r="373" spans="1:42">
      <c r="A373" s="11" t="s">
        <v>712</v>
      </c>
      <c r="B373" s="11"/>
      <c r="C373" s="11" t="s">
        <v>32</v>
      </c>
      <c r="D373" s="23"/>
      <c r="E373" s="6">
        <v>13244938</v>
      </c>
      <c r="F373" s="23"/>
      <c r="G373" s="6">
        <v>0</v>
      </c>
      <c r="H373" s="23"/>
      <c r="I373" s="6">
        <v>30467628</v>
      </c>
      <c r="J373" s="23"/>
      <c r="K373" s="6">
        <v>17658</v>
      </c>
      <c r="L373" s="23"/>
      <c r="M373" s="6">
        <f>842203+303879</f>
        <v>1146082</v>
      </c>
      <c r="N373" s="23"/>
      <c r="O373" s="6">
        <v>134185</v>
      </c>
      <c r="P373" s="23"/>
      <c r="Q373" s="6">
        <v>0</v>
      </c>
      <c r="R373" s="23"/>
      <c r="S373" s="6">
        <v>0</v>
      </c>
      <c r="T373" s="23"/>
      <c r="U373" s="6">
        <v>350036</v>
      </c>
      <c r="V373" s="23"/>
      <c r="W373" s="33">
        <f t="shared" si="62"/>
        <v>45360527</v>
      </c>
      <c r="X373" s="23"/>
      <c r="Y373" s="23">
        <v>159068</v>
      </c>
      <c r="Z373" s="23"/>
      <c r="AA373" s="23">
        <v>0</v>
      </c>
      <c r="AB373" s="23"/>
      <c r="AC373" s="23">
        <v>0</v>
      </c>
      <c r="AD373" s="23"/>
      <c r="AE373" s="23"/>
      <c r="AF373" s="23"/>
      <c r="AG373" s="23"/>
      <c r="AH373" s="23"/>
      <c r="AI373" s="23">
        <v>0</v>
      </c>
      <c r="AJ373" s="23"/>
      <c r="AK373" s="23">
        <v>0</v>
      </c>
      <c r="AL373" s="23"/>
      <c r="AM373" s="33">
        <f t="shared" si="58"/>
        <v>159068</v>
      </c>
      <c r="AN373" s="23"/>
      <c r="AO373" s="33">
        <f t="shared" si="61"/>
        <v>45519595</v>
      </c>
      <c r="AP373" s="33"/>
    </row>
    <row r="374" spans="1:42" s="28" customFormat="1">
      <c r="A374" s="27" t="s">
        <v>346</v>
      </c>
      <c r="B374" s="27"/>
      <c r="C374" s="27" t="s">
        <v>34</v>
      </c>
      <c r="D374" s="31"/>
      <c r="E374" s="28">
        <v>8959431</v>
      </c>
      <c r="F374" s="31"/>
      <c r="G374" s="28">
        <v>0</v>
      </c>
      <c r="H374" s="31"/>
      <c r="I374" s="28">
        <v>13265349</v>
      </c>
      <c r="J374" s="31"/>
      <c r="K374" s="28">
        <v>44436</v>
      </c>
      <c r="L374" s="31"/>
      <c r="M374" s="28">
        <f>876571+12500+428748</f>
        <v>1317819</v>
      </c>
      <c r="N374" s="31"/>
      <c r="O374" s="28">
        <v>285299</v>
      </c>
      <c r="P374" s="31"/>
      <c r="Q374" s="28">
        <v>227731</v>
      </c>
      <c r="R374" s="31"/>
      <c r="S374" s="28">
        <v>98226</v>
      </c>
      <c r="T374" s="31"/>
      <c r="U374" s="28">
        <v>92419</v>
      </c>
      <c r="V374" s="31"/>
      <c r="W374" s="41">
        <f t="shared" ref="W374:W401" si="63">SUM(E374:U374)</f>
        <v>24290710</v>
      </c>
      <c r="X374" s="31"/>
      <c r="Y374" s="31">
        <v>220338</v>
      </c>
      <c r="Z374" s="31"/>
      <c r="AA374" s="31">
        <v>0</v>
      </c>
      <c r="AB374" s="31"/>
      <c r="AC374" s="31">
        <v>0</v>
      </c>
      <c r="AD374" s="31"/>
      <c r="AE374" s="31"/>
      <c r="AF374" s="31"/>
      <c r="AG374" s="31"/>
      <c r="AH374" s="31"/>
      <c r="AI374" s="31">
        <v>30400</v>
      </c>
      <c r="AJ374" s="31"/>
      <c r="AK374" s="31">
        <v>0</v>
      </c>
      <c r="AL374" s="31"/>
      <c r="AM374" s="41">
        <f t="shared" si="58"/>
        <v>250738</v>
      </c>
      <c r="AN374" s="31"/>
      <c r="AO374" s="41">
        <f t="shared" si="61"/>
        <v>24541448</v>
      </c>
      <c r="AP374" s="41"/>
    </row>
    <row r="375" spans="1:42" hidden="1">
      <c r="A375" s="11" t="s">
        <v>765</v>
      </c>
      <c r="B375" s="11"/>
      <c r="C375" s="11" t="s">
        <v>57</v>
      </c>
      <c r="D375" s="23"/>
      <c r="E375" s="6"/>
      <c r="F375" s="23"/>
      <c r="G375" s="6"/>
      <c r="H375" s="23"/>
      <c r="I375" s="6"/>
      <c r="J375" s="23"/>
      <c r="K375" s="6"/>
      <c r="L375" s="23"/>
      <c r="M375" s="6"/>
      <c r="N375" s="23"/>
      <c r="O375" s="6"/>
      <c r="P375" s="23"/>
      <c r="Q375" s="6"/>
      <c r="R375" s="23"/>
      <c r="S375" s="6"/>
      <c r="T375" s="23"/>
      <c r="U375" s="6"/>
      <c r="V375" s="23"/>
      <c r="W375" s="33"/>
      <c r="X375" s="23"/>
      <c r="Y375" s="23"/>
      <c r="Z375" s="23"/>
      <c r="AA375" s="23">
        <v>0</v>
      </c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33"/>
      <c r="AN375" s="23"/>
      <c r="AO375" s="33"/>
      <c r="AP375" s="33"/>
    </row>
    <row r="376" spans="1:42">
      <c r="A376" s="11" t="s">
        <v>211</v>
      </c>
      <c r="B376" s="11"/>
      <c r="C376" s="11" t="s">
        <v>13</v>
      </c>
      <c r="D376" s="23"/>
      <c r="E376" s="6">
        <v>2383789</v>
      </c>
      <c r="F376" s="23"/>
      <c r="G376" s="6">
        <v>0</v>
      </c>
      <c r="H376" s="23"/>
      <c r="I376" s="6">
        <v>11580871</v>
      </c>
      <c r="J376" s="23"/>
      <c r="K376" s="6">
        <v>2848</v>
      </c>
      <c r="L376" s="23"/>
      <c r="M376" s="6">
        <f>748633+137327</f>
        <v>885960</v>
      </c>
      <c r="N376" s="23"/>
      <c r="O376" s="6">
        <v>59320</v>
      </c>
      <c r="P376" s="23"/>
      <c r="Q376" s="6">
        <v>0</v>
      </c>
      <c r="R376" s="23"/>
      <c r="S376" s="6">
        <v>200</v>
      </c>
      <c r="T376" s="23"/>
      <c r="U376" s="6">
        <v>110327</v>
      </c>
      <c r="V376" s="23"/>
      <c r="W376" s="33">
        <f t="shared" si="63"/>
        <v>15023315</v>
      </c>
      <c r="X376" s="23"/>
      <c r="Y376" s="23">
        <v>400282</v>
      </c>
      <c r="Z376" s="23"/>
      <c r="AA376" s="23">
        <v>0</v>
      </c>
      <c r="AB376" s="23"/>
      <c r="AC376" s="23">
        <v>0</v>
      </c>
      <c r="AD376" s="23"/>
      <c r="AE376" s="23"/>
      <c r="AF376" s="23"/>
      <c r="AG376" s="23"/>
      <c r="AH376" s="23"/>
      <c r="AI376" s="23">
        <v>0</v>
      </c>
      <c r="AJ376" s="23"/>
      <c r="AK376" s="23">
        <v>0</v>
      </c>
      <c r="AL376" s="23"/>
      <c r="AM376" s="33">
        <f t="shared" ref="AM376:AM414" si="64">AI376+AC376+Y376</f>
        <v>400282</v>
      </c>
      <c r="AN376" s="23"/>
      <c r="AO376" s="33">
        <f t="shared" ref="AO376:AO416" si="65">W376+AM376</f>
        <v>15423597</v>
      </c>
      <c r="AP376" s="33"/>
    </row>
    <row r="377" spans="1:42">
      <c r="A377" s="11" t="s">
        <v>608</v>
      </c>
      <c r="B377" s="11"/>
      <c r="C377" s="11" t="s">
        <v>27</v>
      </c>
      <c r="D377" s="23"/>
      <c r="E377" s="6">
        <v>41567231</v>
      </c>
      <c r="F377" s="23"/>
      <c r="G377" s="6">
        <v>0</v>
      </c>
      <c r="H377" s="23"/>
      <c r="I377" s="6">
        <f>7826890+1165784</f>
        <v>8992674</v>
      </c>
      <c r="J377" s="23"/>
      <c r="K377" s="6">
        <v>34453</v>
      </c>
      <c r="L377" s="23"/>
      <c r="M377" s="6">
        <f>356417+1560333</f>
        <v>1916750</v>
      </c>
      <c r="N377" s="23"/>
      <c r="O377" s="6">
        <v>719588</v>
      </c>
      <c r="P377" s="23"/>
      <c r="Q377" s="6">
        <v>6018145</v>
      </c>
      <c r="R377" s="23"/>
      <c r="S377" s="6">
        <v>0</v>
      </c>
      <c r="T377" s="23"/>
      <c r="U377" s="6">
        <v>425812</v>
      </c>
      <c r="V377" s="23"/>
      <c r="W377" s="33">
        <f t="shared" si="63"/>
        <v>59674653</v>
      </c>
      <c r="X377" s="23"/>
      <c r="Y377" s="23">
        <v>272987</v>
      </c>
      <c r="Z377" s="23"/>
      <c r="AA377" s="23">
        <v>0</v>
      </c>
      <c r="AB377" s="23"/>
      <c r="AC377" s="23">
        <f>32014040+6075348</f>
        <v>38089388</v>
      </c>
      <c r="AD377" s="23"/>
      <c r="AE377" s="23"/>
      <c r="AF377" s="23"/>
      <c r="AG377" s="23"/>
      <c r="AH377" s="23"/>
      <c r="AI377" s="23">
        <v>1154</v>
      </c>
      <c r="AJ377" s="23"/>
      <c r="AK377" s="23">
        <v>0</v>
      </c>
      <c r="AL377" s="23"/>
      <c r="AM377" s="33">
        <f t="shared" si="64"/>
        <v>38363529</v>
      </c>
      <c r="AN377" s="23"/>
      <c r="AO377" s="33">
        <f t="shared" si="65"/>
        <v>98038182</v>
      </c>
      <c r="AP377" s="33"/>
    </row>
    <row r="378" spans="1:42">
      <c r="A378" s="11" t="s">
        <v>483</v>
      </c>
      <c r="B378" s="11"/>
      <c r="C378" s="11" t="s">
        <v>59</v>
      </c>
      <c r="D378" s="23"/>
      <c r="E378" s="6">
        <v>939863</v>
      </c>
      <c r="F378" s="23"/>
      <c r="G378" s="6">
        <v>0</v>
      </c>
      <c r="H378" s="23"/>
      <c r="I378" s="6">
        <v>10794007</v>
      </c>
      <c r="J378" s="23"/>
      <c r="K378" s="6">
        <v>63907</v>
      </c>
      <c r="L378" s="23"/>
      <c r="M378" s="6">
        <f>1109912+36000+11461</f>
        <v>1157373</v>
      </c>
      <c r="N378" s="23"/>
      <c r="O378" s="6">
        <v>40587</v>
      </c>
      <c r="P378" s="23"/>
      <c r="Q378" s="6">
        <v>0</v>
      </c>
      <c r="R378" s="23"/>
      <c r="S378" s="6">
        <v>31386</v>
      </c>
      <c r="T378" s="23"/>
      <c r="U378" s="6">
        <v>153430</v>
      </c>
      <c r="V378" s="23"/>
      <c r="W378" s="33">
        <f t="shared" si="63"/>
        <v>13180553</v>
      </c>
      <c r="X378" s="23"/>
      <c r="Y378" s="23">
        <v>51</v>
      </c>
      <c r="Z378" s="23"/>
      <c r="AA378" s="23">
        <v>0</v>
      </c>
      <c r="AB378" s="23"/>
      <c r="AC378" s="23">
        <v>0</v>
      </c>
      <c r="AD378" s="23"/>
      <c r="AE378" s="23"/>
      <c r="AF378" s="23"/>
      <c r="AG378" s="23"/>
      <c r="AH378" s="23"/>
      <c r="AI378" s="23">
        <v>0</v>
      </c>
      <c r="AJ378" s="23"/>
      <c r="AK378" s="23">
        <v>0</v>
      </c>
      <c r="AL378" s="23"/>
      <c r="AM378" s="33">
        <f t="shared" si="64"/>
        <v>51</v>
      </c>
      <c r="AN378" s="23"/>
      <c r="AO378" s="33">
        <f t="shared" si="65"/>
        <v>13180604</v>
      </c>
      <c r="AP378" s="33"/>
    </row>
    <row r="379" spans="1:42">
      <c r="A379" s="11" t="s">
        <v>214</v>
      </c>
      <c r="B379" s="11"/>
      <c r="C379" s="11" t="s">
        <v>14</v>
      </c>
      <c r="D379" s="23"/>
      <c r="E379" s="6">
        <v>2783733</v>
      </c>
      <c r="F379" s="23"/>
      <c r="G379" s="6">
        <v>1655909</v>
      </c>
      <c r="H379" s="23"/>
      <c r="I379" s="6">
        <v>4947227</v>
      </c>
      <c r="J379" s="23"/>
      <c r="K379" s="6">
        <v>83522</v>
      </c>
      <c r="L379" s="23"/>
      <c r="M379" s="6">
        <f>338633+253828</f>
        <v>592461</v>
      </c>
      <c r="N379" s="23"/>
      <c r="O379" s="6">
        <v>154883</v>
      </c>
      <c r="P379" s="23"/>
      <c r="Q379" s="6">
        <v>30952</v>
      </c>
      <c r="R379" s="23"/>
      <c r="S379" s="6">
        <v>247637</v>
      </c>
      <c r="T379" s="23"/>
      <c r="U379" s="6">
        <v>43343</v>
      </c>
      <c r="V379" s="23"/>
      <c r="W379" s="33">
        <f t="shared" si="63"/>
        <v>10539667</v>
      </c>
      <c r="X379" s="23"/>
      <c r="Y379" s="23">
        <v>15000</v>
      </c>
      <c r="Z379" s="23"/>
      <c r="AA379" s="23">
        <v>0</v>
      </c>
      <c r="AB379" s="23"/>
      <c r="AC379" s="23">
        <v>0</v>
      </c>
      <c r="AD379" s="23"/>
      <c r="AE379" s="23"/>
      <c r="AF379" s="23"/>
      <c r="AG379" s="23"/>
      <c r="AH379" s="23"/>
      <c r="AI379" s="23">
        <v>0</v>
      </c>
      <c r="AJ379" s="23"/>
      <c r="AK379" s="23">
        <v>0</v>
      </c>
      <c r="AL379" s="23"/>
      <c r="AM379" s="33">
        <f t="shared" si="64"/>
        <v>15000</v>
      </c>
      <c r="AN379" s="23"/>
      <c r="AO379" s="33">
        <f t="shared" si="65"/>
        <v>10554667</v>
      </c>
      <c r="AP379" s="33"/>
    </row>
    <row r="380" spans="1:42" hidden="1">
      <c r="A380" s="11" t="s">
        <v>706</v>
      </c>
      <c r="B380" s="11"/>
      <c r="C380" s="11" t="s">
        <v>14</v>
      </c>
      <c r="D380" s="23"/>
      <c r="E380" s="6"/>
      <c r="F380" s="23"/>
      <c r="G380" s="6"/>
      <c r="H380" s="23"/>
      <c r="I380" s="6"/>
      <c r="J380" s="23"/>
      <c r="K380" s="6"/>
      <c r="L380" s="23"/>
      <c r="M380" s="6"/>
      <c r="N380" s="23"/>
      <c r="O380" s="6"/>
      <c r="P380" s="23"/>
      <c r="Q380" s="6"/>
      <c r="R380" s="23"/>
      <c r="S380" s="6"/>
      <c r="T380" s="23"/>
      <c r="U380" s="6"/>
      <c r="V380" s="23"/>
      <c r="W380" s="33">
        <f t="shared" si="63"/>
        <v>0</v>
      </c>
      <c r="X380" s="23"/>
      <c r="Y380" s="23"/>
      <c r="Z380" s="23"/>
      <c r="AA380" s="23">
        <v>0</v>
      </c>
      <c r="AB380" s="23"/>
      <c r="AC380" s="23"/>
      <c r="AD380" s="23"/>
      <c r="AE380" s="23"/>
      <c r="AF380" s="23"/>
      <c r="AG380" s="23"/>
      <c r="AH380" s="23"/>
      <c r="AI380" s="23"/>
      <c r="AJ380" s="23"/>
      <c r="AK380" s="23">
        <v>0</v>
      </c>
      <c r="AL380" s="23"/>
      <c r="AM380" s="33">
        <f t="shared" si="64"/>
        <v>0</v>
      </c>
      <c r="AN380" s="23"/>
      <c r="AO380" s="33">
        <f t="shared" si="65"/>
        <v>0</v>
      </c>
      <c r="AP380" s="33"/>
    </row>
    <row r="381" spans="1:42">
      <c r="A381" s="11" t="s">
        <v>433</v>
      </c>
      <c r="B381" s="11"/>
      <c r="C381" s="11" t="s">
        <v>50</v>
      </c>
      <c r="D381" s="23"/>
      <c r="E381" s="6">
        <v>4175452</v>
      </c>
      <c r="F381" s="23"/>
      <c r="G381" s="6">
        <v>0</v>
      </c>
      <c r="H381" s="23"/>
      <c r="I381" s="6">
        <v>7323216</v>
      </c>
      <c r="J381" s="23"/>
      <c r="K381" s="6">
        <v>10454</v>
      </c>
      <c r="L381" s="23"/>
      <c r="M381" s="6">
        <f>649809+207625</f>
        <v>857434</v>
      </c>
      <c r="N381" s="23"/>
      <c r="O381" s="6">
        <v>99396</v>
      </c>
      <c r="P381" s="23"/>
      <c r="Q381" s="6">
        <v>0</v>
      </c>
      <c r="R381" s="23"/>
      <c r="S381" s="6">
        <v>0</v>
      </c>
      <c r="T381" s="23"/>
      <c r="U381" s="6">
        <v>165024</v>
      </c>
      <c r="V381" s="23"/>
      <c r="W381" s="33">
        <f t="shared" si="63"/>
        <v>12630976</v>
      </c>
      <c r="X381" s="23"/>
      <c r="Y381" s="23">
        <v>257787</v>
      </c>
      <c r="Z381" s="23"/>
      <c r="AA381" s="23">
        <v>0</v>
      </c>
      <c r="AB381" s="23"/>
      <c r="AC381" s="23">
        <f>2078069+23670</f>
        <v>2101739</v>
      </c>
      <c r="AD381" s="23"/>
      <c r="AE381" s="23"/>
      <c r="AF381" s="23"/>
      <c r="AG381" s="23"/>
      <c r="AH381" s="23"/>
      <c r="AI381" s="23">
        <v>0</v>
      </c>
      <c r="AJ381" s="23"/>
      <c r="AK381" s="23">
        <v>0</v>
      </c>
      <c r="AL381" s="23"/>
      <c r="AM381" s="33">
        <f t="shared" si="64"/>
        <v>2359526</v>
      </c>
      <c r="AN381" s="23"/>
      <c r="AO381" s="33">
        <f t="shared" si="65"/>
        <v>14990502</v>
      </c>
      <c r="AP381" s="33"/>
    </row>
    <row r="382" spans="1:42" hidden="1">
      <c r="A382" s="11" t="s">
        <v>809</v>
      </c>
      <c r="B382" s="11"/>
      <c r="C382" s="11" t="s">
        <v>451</v>
      </c>
      <c r="D382" s="23"/>
      <c r="E382" s="6"/>
      <c r="F382" s="23"/>
      <c r="G382" s="6"/>
      <c r="H382" s="23"/>
      <c r="I382" s="6"/>
      <c r="J382" s="23"/>
      <c r="K382" s="6"/>
      <c r="L382" s="23"/>
      <c r="M382" s="6"/>
      <c r="N382" s="23"/>
      <c r="O382" s="6"/>
      <c r="P382" s="23"/>
      <c r="Q382" s="6"/>
      <c r="R382" s="23"/>
      <c r="S382" s="6"/>
      <c r="T382" s="23"/>
      <c r="U382" s="6"/>
      <c r="V382" s="23"/>
      <c r="W382" s="33">
        <f t="shared" si="63"/>
        <v>0</v>
      </c>
      <c r="X382" s="23"/>
      <c r="Y382" s="23"/>
      <c r="Z382" s="23"/>
      <c r="AA382" s="23">
        <v>0</v>
      </c>
      <c r="AB382" s="23"/>
      <c r="AC382" s="23"/>
      <c r="AD382" s="23"/>
      <c r="AE382" s="23"/>
      <c r="AF382" s="23"/>
      <c r="AG382" s="23"/>
      <c r="AH382" s="23"/>
      <c r="AI382" s="23"/>
      <c r="AJ382" s="23"/>
      <c r="AK382" s="23">
        <v>0</v>
      </c>
      <c r="AL382" s="23"/>
      <c r="AM382" s="33">
        <f t="shared" si="64"/>
        <v>0</v>
      </c>
      <c r="AN382" s="23"/>
      <c r="AO382" s="33">
        <f t="shared" si="65"/>
        <v>0</v>
      </c>
      <c r="AP382" s="33"/>
    </row>
    <row r="383" spans="1:42">
      <c r="A383" s="11" t="s">
        <v>357</v>
      </c>
      <c r="B383" s="11"/>
      <c r="C383" s="11" t="s">
        <v>37</v>
      </c>
      <c r="D383" s="23"/>
      <c r="E383" s="6">
        <v>3243272</v>
      </c>
      <c r="F383" s="23"/>
      <c r="G383" s="6">
        <v>0</v>
      </c>
      <c r="H383" s="23"/>
      <c r="I383" s="6">
        <v>6874245</v>
      </c>
      <c r="J383" s="23"/>
      <c r="K383" s="6">
        <v>10990</v>
      </c>
      <c r="L383" s="23"/>
      <c r="M383" s="6">
        <f>277245+274+30887+135892</f>
        <v>444298</v>
      </c>
      <c r="N383" s="23"/>
      <c r="O383" s="6">
        <v>233857</v>
      </c>
      <c r="P383" s="23"/>
      <c r="Q383" s="6">
        <v>0</v>
      </c>
      <c r="R383" s="23"/>
      <c r="S383" s="6">
        <v>39942</v>
      </c>
      <c r="T383" s="23"/>
      <c r="U383" s="6">
        <v>14274</v>
      </c>
      <c r="V383" s="23"/>
      <c r="W383" s="33">
        <f t="shared" si="63"/>
        <v>10860878</v>
      </c>
      <c r="X383" s="23"/>
      <c r="Y383" s="23">
        <v>0</v>
      </c>
      <c r="Z383" s="23"/>
      <c r="AA383" s="23">
        <v>0</v>
      </c>
      <c r="AB383" s="23"/>
      <c r="AC383" s="23">
        <v>0</v>
      </c>
      <c r="AD383" s="23"/>
      <c r="AE383" s="23"/>
      <c r="AF383" s="23"/>
      <c r="AG383" s="23"/>
      <c r="AH383" s="23"/>
      <c r="AI383" s="23">
        <v>0</v>
      </c>
      <c r="AJ383" s="23"/>
      <c r="AK383" s="23">
        <v>0</v>
      </c>
      <c r="AL383" s="23"/>
      <c r="AM383" s="33">
        <f t="shared" si="64"/>
        <v>0</v>
      </c>
      <c r="AN383" s="23"/>
      <c r="AO383" s="33">
        <f t="shared" si="65"/>
        <v>10860878</v>
      </c>
      <c r="AP383" s="33"/>
    </row>
    <row r="384" spans="1:42">
      <c r="A384" s="11" t="s">
        <v>226</v>
      </c>
      <c r="B384" s="11"/>
      <c r="C384" s="11" t="s">
        <v>221</v>
      </c>
      <c r="D384" s="23"/>
      <c r="E384" s="6">
        <v>1563492</v>
      </c>
      <c r="F384" s="23"/>
      <c r="G384" s="6">
        <v>0</v>
      </c>
      <c r="H384" s="23"/>
      <c r="I384" s="6">
        <v>5921906</v>
      </c>
      <c r="J384" s="23"/>
      <c r="K384" s="6">
        <v>3677</v>
      </c>
      <c r="L384" s="23"/>
      <c r="M384" s="6">
        <f>9275+68067</f>
        <v>77342</v>
      </c>
      <c r="N384" s="23"/>
      <c r="O384" s="6">
        <v>0</v>
      </c>
      <c r="P384" s="23"/>
      <c r="Q384" s="6">
        <v>0</v>
      </c>
      <c r="R384" s="23"/>
      <c r="S384" s="6">
        <v>0</v>
      </c>
      <c r="T384" s="23"/>
      <c r="U384" s="6">
        <v>208552</v>
      </c>
      <c r="V384" s="23"/>
      <c r="W384" s="33">
        <f t="shared" si="63"/>
        <v>7774969</v>
      </c>
      <c r="X384" s="23"/>
      <c r="Y384" s="23">
        <v>68233</v>
      </c>
      <c r="Z384" s="23"/>
      <c r="AA384" s="23">
        <v>0</v>
      </c>
      <c r="AB384" s="23"/>
      <c r="AC384" s="23">
        <v>0</v>
      </c>
      <c r="AD384" s="23"/>
      <c r="AE384" s="23"/>
      <c r="AF384" s="23"/>
      <c r="AG384" s="23"/>
      <c r="AH384" s="23"/>
      <c r="AI384" s="23">
        <v>0</v>
      </c>
      <c r="AJ384" s="23"/>
      <c r="AK384" s="23">
        <v>0</v>
      </c>
      <c r="AL384" s="23"/>
      <c r="AM384" s="33">
        <f t="shared" si="64"/>
        <v>68233</v>
      </c>
      <c r="AN384" s="23"/>
      <c r="AO384" s="33">
        <f t="shared" si="65"/>
        <v>7843202</v>
      </c>
      <c r="AP384" s="33"/>
    </row>
    <row r="385" spans="1:42">
      <c r="A385" s="11" t="s">
        <v>537</v>
      </c>
      <c r="B385" s="11"/>
      <c r="C385" s="11" t="s">
        <v>65</v>
      </c>
      <c r="D385" s="23"/>
      <c r="E385" s="6">
        <v>11937166</v>
      </c>
      <c r="F385" s="23"/>
      <c r="G385" s="6">
        <v>0</v>
      </c>
      <c r="H385" s="23"/>
      <c r="I385" s="6">
        <v>13108994</v>
      </c>
      <c r="J385" s="23"/>
      <c r="K385" s="6">
        <v>33597</v>
      </c>
      <c r="L385" s="23"/>
      <c r="M385" s="6">
        <f>414138+328778</f>
        <v>742916</v>
      </c>
      <c r="N385" s="23"/>
      <c r="O385" s="6">
        <v>786600</v>
      </c>
      <c r="P385" s="23"/>
      <c r="Q385" s="6">
        <v>0</v>
      </c>
      <c r="R385" s="23"/>
      <c r="S385" s="6">
        <v>71461</v>
      </c>
      <c r="T385" s="23"/>
      <c r="U385" s="6">
        <v>650671</v>
      </c>
      <c r="V385" s="23"/>
      <c r="W385" s="33">
        <f t="shared" si="63"/>
        <v>27331405</v>
      </c>
      <c r="X385" s="23"/>
      <c r="Y385" s="23">
        <v>245000</v>
      </c>
      <c r="Z385" s="23"/>
      <c r="AA385" s="23">
        <v>0</v>
      </c>
      <c r="AB385" s="23"/>
      <c r="AC385" s="23">
        <v>0</v>
      </c>
      <c r="AD385" s="23"/>
      <c r="AE385" s="23"/>
      <c r="AF385" s="23"/>
      <c r="AG385" s="23"/>
      <c r="AH385" s="23"/>
      <c r="AI385" s="23">
        <v>0</v>
      </c>
      <c r="AJ385" s="23"/>
      <c r="AK385" s="23">
        <v>0</v>
      </c>
      <c r="AL385" s="23"/>
      <c r="AM385" s="33">
        <f t="shared" si="64"/>
        <v>245000</v>
      </c>
      <c r="AN385" s="23"/>
      <c r="AO385" s="33">
        <f t="shared" si="65"/>
        <v>27576405</v>
      </c>
      <c r="AP385" s="33"/>
    </row>
    <row r="386" spans="1:42">
      <c r="A386" s="11" t="s">
        <v>772</v>
      </c>
      <c r="B386" s="11"/>
      <c r="C386" s="11" t="s">
        <v>113</v>
      </c>
      <c r="D386" s="23"/>
      <c r="E386" s="6">
        <v>11346715</v>
      </c>
      <c r="F386" s="23"/>
      <c r="G386" s="6">
        <v>0</v>
      </c>
      <c r="H386" s="23"/>
      <c r="I386" s="6">
        <v>13969300</v>
      </c>
      <c r="J386" s="23"/>
      <c r="K386" s="6">
        <v>123106</v>
      </c>
      <c r="L386" s="23"/>
      <c r="M386" s="6">
        <v>1266637</v>
      </c>
      <c r="N386" s="23"/>
      <c r="O386" s="6">
        <v>0</v>
      </c>
      <c r="P386" s="23"/>
      <c r="Q386" s="6">
        <v>0</v>
      </c>
      <c r="R386" s="23"/>
      <c r="S386" s="6">
        <v>0</v>
      </c>
      <c r="T386" s="23"/>
      <c r="U386" s="6">
        <v>287058</v>
      </c>
      <c r="V386" s="23"/>
      <c r="W386" s="33">
        <f t="shared" si="63"/>
        <v>26992816</v>
      </c>
      <c r="X386" s="23"/>
      <c r="Y386" s="23">
        <v>1013120</v>
      </c>
      <c r="Z386" s="23"/>
      <c r="AA386" s="23">
        <v>0</v>
      </c>
      <c r="AB386" s="23"/>
      <c r="AC386" s="23">
        <v>0</v>
      </c>
      <c r="AD386" s="23"/>
      <c r="AE386" s="23"/>
      <c r="AF386" s="23"/>
      <c r="AG386" s="23"/>
      <c r="AH386" s="23"/>
      <c r="AI386" s="23">
        <v>0</v>
      </c>
      <c r="AJ386" s="23"/>
      <c r="AK386" s="23">
        <v>0</v>
      </c>
      <c r="AL386" s="23"/>
      <c r="AM386" s="33">
        <f t="shared" si="64"/>
        <v>1013120</v>
      </c>
      <c r="AN386" s="23"/>
      <c r="AO386" s="33">
        <f t="shared" si="65"/>
        <v>28005936</v>
      </c>
      <c r="AP386" s="33"/>
    </row>
    <row r="387" spans="1:42" hidden="1">
      <c r="A387" s="11" t="s">
        <v>810</v>
      </c>
      <c r="B387" s="11"/>
      <c r="C387" s="11" t="s">
        <v>60</v>
      </c>
      <c r="D387" s="23"/>
      <c r="E387" s="6"/>
      <c r="F387" s="23"/>
      <c r="G387" s="6"/>
      <c r="H387" s="23"/>
      <c r="I387" s="6"/>
      <c r="J387" s="23"/>
      <c r="K387" s="6"/>
      <c r="L387" s="23"/>
      <c r="M387" s="6"/>
      <c r="N387" s="23"/>
      <c r="O387" s="6"/>
      <c r="P387" s="23"/>
      <c r="Q387" s="6"/>
      <c r="R387" s="23"/>
      <c r="S387" s="6"/>
      <c r="T387" s="23"/>
      <c r="U387" s="6"/>
      <c r="V387" s="23"/>
      <c r="W387" s="33">
        <f t="shared" si="63"/>
        <v>0</v>
      </c>
      <c r="X387" s="23"/>
      <c r="Y387" s="23"/>
      <c r="Z387" s="23"/>
      <c r="AA387" s="23">
        <v>0</v>
      </c>
      <c r="AB387" s="23"/>
      <c r="AC387" s="23"/>
      <c r="AD387" s="23"/>
      <c r="AE387" s="23"/>
      <c r="AF387" s="23"/>
      <c r="AG387" s="23"/>
      <c r="AH387" s="23"/>
      <c r="AI387" s="23"/>
      <c r="AJ387" s="23"/>
      <c r="AK387" s="23">
        <v>0</v>
      </c>
      <c r="AL387" s="23"/>
      <c r="AM387" s="33">
        <f t="shared" si="64"/>
        <v>0</v>
      </c>
      <c r="AN387" s="23"/>
      <c r="AO387" s="33">
        <f t="shared" si="65"/>
        <v>0</v>
      </c>
      <c r="AP387" s="33"/>
    </row>
    <row r="388" spans="1:42">
      <c r="A388" s="11" t="s">
        <v>376</v>
      </c>
      <c r="B388" s="11"/>
      <c r="C388" s="11" t="s">
        <v>42</v>
      </c>
      <c r="D388" s="23"/>
      <c r="E388" s="6">
        <v>23756739</v>
      </c>
      <c r="F388" s="23"/>
      <c r="G388" s="6">
        <v>7780806</v>
      </c>
      <c r="H388" s="23"/>
      <c r="I388" s="6">
        <f>42244746+8289390</f>
        <v>50534136</v>
      </c>
      <c r="J388" s="23"/>
      <c r="K388" s="6">
        <v>66212</v>
      </c>
      <c r="L388" s="23"/>
      <c r="M388" s="6">
        <f>647337+108658+538131+138162+631+23023</f>
        <v>1455942</v>
      </c>
      <c r="N388" s="23"/>
      <c r="O388" s="6">
        <v>292542</v>
      </c>
      <c r="P388" s="23"/>
      <c r="Q388" s="6">
        <v>8109</v>
      </c>
      <c r="R388" s="23"/>
      <c r="S388" s="6">
        <v>160496</v>
      </c>
      <c r="T388" s="23"/>
      <c r="U388" s="6">
        <v>722927</v>
      </c>
      <c r="V388" s="23"/>
      <c r="W388" s="33">
        <f t="shared" si="63"/>
        <v>84777909</v>
      </c>
      <c r="X388" s="23"/>
      <c r="Y388" s="23">
        <v>151606</v>
      </c>
      <c r="Z388" s="23"/>
      <c r="AA388" s="23">
        <v>0</v>
      </c>
      <c r="AB388" s="23"/>
      <c r="AC388" s="23">
        <f>1452977+8545000+812035</f>
        <v>10810012</v>
      </c>
      <c r="AD388" s="23"/>
      <c r="AE388" s="23"/>
      <c r="AF388" s="23"/>
      <c r="AG388" s="23"/>
      <c r="AH388" s="23"/>
      <c r="AI388" s="23">
        <v>185867</v>
      </c>
      <c r="AJ388" s="23"/>
      <c r="AK388" s="23">
        <v>0</v>
      </c>
      <c r="AL388" s="23"/>
      <c r="AM388" s="33">
        <f t="shared" si="64"/>
        <v>11147485</v>
      </c>
      <c r="AN388" s="23"/>
      <c r="AO388" s="33">
        <f t="shared" si="65"/>
        <v>95925394</v>
      </c>
      <c r="AP388" s="33"/>
    </row>
    <row r="389" spans="1:42" hidden="1">
      <c r="A389" s="10" t="s">
        <v>881</v>
      </c>
      <c r="B389" s="11"/>
      <c r="C389" s="11" t="s">
        <v>30</v>
      </c>
      <c r="D389" s="23"/>
      <c r="E389" s="6">
        <v>0</v>
      </c>
      <c r="F389" s="23"/>
      <c r="G389" s="6">
        <v>0</v>
      </c>
      <c r="H389" s="23"/>
      <c r="I389" s="6">
        <v>0</v>
      </c>
      <c r="J389" s="23"/>
      <c r="K389" s="6">
        <v>0</v>
      </c>
      <c r="L389" s="23"/>
      <c r="M389" s="6">
        <v>0</v>
      </c>
      <c r="N389" s="23"/>
      <c r="O389" s="6">
        <v>0</v>
      </c>
      <c r="P389" s="23"/>
      <c r="Q389" s="6">
        <v>0</v>
      </c>
      <c r="R389" s="23"/>
      <c r="S389" s="6">
        <v>0</v>
      </c>
      <c r="T389" s="23"/>
      <c r="U389" s="6">
        <v>0</v>
      </c>
      <c r="V389" s="23"/>
      <c r="W389" s="33">
        <f t="shared" si="63"/>
        <v>0</v>
      </c>
      <c r="X389" s="23"/>
      <c r="Y389" s="23">
        <v>0</v>
      </c>
      <c r="Z389" s="23"/>
      <c r="AA389" s="23">
        <v>0</v>
      </c>
      <c r="AB389" s="23"/>
      <c r="AC389" s="23">
        <v>0</v>
      </c>
      <c r="AD389" s="23"/>
      <c r="AE389" s="23"/>
      <c r="AF389" s="23"/>
      <c r="AG389" s="23"/>
      <c r="AH389" s="23"/>
      <c r="AI389" s="23">
        <v>0</v>
      </c>
      <c r="AJ389" s="23"/>
      <c r="AK389" s="23">
        <v>0</v>
      </c>
      <c r="AL389" s="23"/>
      <c r="AM389" s="33">
        <f t="shared" si="64"/>
        <v>0</v>
      </c>
      <c r="AN389" s="23"/>
      <c r="AO389" s="33">
        <f t="shared" si="65"/>
        <v>0</v>
      </c>
      <c r="AP389" s="33"/>
    </row>
    <row r="390" spans="1:42">
      <c r="A390" s="11" t="s">
        <v>773</v>
      </c>
      <c r="B390" s="11"/>
      <c r="C390" s="11" t="s">
        <v>65</v>
      </c>
      <c r="D390" s="23"/>
      <c r="E390" s="6">
        <v>2963117</v>
      </c>
      <c r="F390" s="23"/>
      <c r="G390" s="6">
        <v>0</v>
      </c>
      <c r="H390" s="23"/>
      <c r="I390" s="6">
        <f>6428441+1423929</f>
        <v>7852370</v>
      </c>
      <c r="J390" s="23"/>
      <c r="K390" s="6">
        <v>28</v>
      </c>
      <c r="L390" s="23"/>
      <c r="M390" s="6">
        <f>793904+102872+16826+775</f>
        <v>914377</v>
      </c>
      <c r="N390" s="23"/>
      <c r="O390" s="6">
        <v>147075</v>
      </c>
      <c r="P390" s="23"/>
      <c r="Q390" s="6">
        <v>0</v>
      </c>
      <c r="R390" s="23"/>
      <c r="S390" s="6">
        <v>133454</v>
      </c>
      <c r="T390" s="23"/>
      <c r="U390" s="6">
        <v>135615</v>
      </c>
      <c r="V390" s="23"/>
      <c r="W390" s="33">
        <f t="shared" si="63"/>
        <v>12146036</v>
      </c>
      <c r="X390" s="23"/>
      <c r="Y390" s="23">
        <v>0</v>
      </c>
      <c r="Z390" s="23"/>
      <c r="AA390" s="23">
        <v>0</v>
      </c>
      <c r="AB390" s="23"/>
      <c r="AC390" s="23">
        <v>0</v>
      </c>
      <c r="AD390" s="23"/>
      <c r="AE390" s="23"/>
      <c r="AF390" s="23"/>
      <c r="AG390" s="23"/>
      <c r="AH390" s="23"/>
      <c r="AI390" s="23">
        <v>0</v>
      </c>
      <c r="AJ390" s="23"/>
      <c r="AK390" s="23">
        <v>0</v>
      </c>
      <c r="AL390" s="23"/>
      <c r="AM390" s="33">
        <f t="shared" si="64"/>
        <v>0</v>
      </c>
      <c r="AN390" s="23"/>
      <c r="AO390" s="33">
        <f t="shared" si="65"/>
        <v>12146036</v>
      </c>
      <c r="AP390" s="33"/>
    </row>
    <row r="391" spans="1:42">
      <c r="A391" s="11" t="s">
        <v>774</v>
      </c>
      <c r="B391" s="11"/>
      <c r="C391" s="11" t="s">
        <v>64</v>
      </c>
      <c r="D391" s="23"/>
      <c r="E391" s="6">
        <v>2901394</v>
      </c>
      <c r="F391" s="23"/>
      <c r="G391" s="6">
        <v>0</v>
      </c>
      <c r="H391" s="23"/>
      <c r="I391" s="6">
        <v>9269328</v>
      </c>
      <c r="J391" s="23"/>
      <c r="K391" s="6">
        <v>9422</v>
      </c>
      <c r="L391" s="23"/>
      <c r="M391" s="6">
        <f>332991+169352+1842</f>
        <v>504185</v>
      </c>
      <c r="N391" s="23"/>
      <c r="O391" s="6">
        <v>130548</v>
      </c>
      <c r="P391" s="23"/>
      <c r="Q391" s="6">
        <v>0</v>
      </c>
      <c r="R391" s="23"/>
      <c r="S391" s="6">
        <v>1000</v>
      </c>
      <c r="T391" s="23"/>
      <c r="U391" s="6">
        <v>52793</v>
      </c>
      <c r="V391" s="23"/>
      <c r="W391" s="33">
        <f t="shared" si="63"/>
        <v>12868670</v>
      </c>
      <c r="X391" s="23"/>
      <c r="Y391" s="23">
        <v>92916</v>
      </c>
      <c r="Z391" s="23"/>
      <c r="AA391" s="23">
        <v>0</v>
      </c>
      <c r="AB391" s="23"/>
      <c r="AC391" s="23">
        <f>2825000+148153</f>
        <v>2973153</v>
      </c>
      <c r="AD391" s="23"/>
      <c r="AE391" s="23"/>
      <c r="AF391" s="23"/>
      <c r="AG391" s="23"/>
      <c r="AH391" s="23"/>
      <c r="AI391" s="23">
        <v>0</v>
      </c>
      <c r="AJ391" s="23"/>
      <c r="AK391" s="23">
        <v>0</v>
      </c>
      <c r="AL391" s="23"/>
      <c r="AM391" s="33">
        <f t="shared" si="64"/>
        <v>3066069</v>
      </c>
      <c r="AN391" s="23"/>
      <c r="AO391" s="33">
        <f t="shared" si="65"/>
        <v>15934739</v>
      </c>
      <c r="AP391" s="33"/>
    </row>
    <row r="392" spans="1:42" hidden="1">
      <c r="A392" s="11" t="s">
        <v>811</v>
      </c>
      <c r="B392" s="11"/>
      <c r="C392" s="11" t="s">
        <v>48</v>
      </c>
      <c r="D392" s="23"/>
      <c r="E392" s="6"/>
      <c r="F392" s="23"/>
      <c r="G392" s="6"/>
      <c r="H392" s="23"/>
      <c r="I392" s="6"/>
      <c r="J392" s="23"/>
      <c r="K392" s="6"/>
      <c r="L392" s="23"/>
      <c r="M392" s="6"/>
      <c r="N392" s="23"/>
      <c r="O392" s="6"/>
      <c r="P392" s="23"/>
      <c r="Q392" s="6"/>
      <c r="R392" s="23"/>
      <c r="S392" s="6"/>
      <c r="T392" s="23"/>
      <c r="U392" s="6"/>
      <c r="V392" s="23"/>
      <c r="W392" s="33">
        <f t="shared" si="63"/>
        <v>0</v>
      </c>
      <c r="X392" s="23"/>
      <c r="Y392" s="23"/>
      <c r="Z392" s="23"/>
      <c r="AA392" s="23">
        <v>0</v>
      </c>
      <c r="AB392" s="23"/>
      <c r="AC392" s="23"/>
      <c r="AD392" s="23"/>
      <c r="AE392" s="23"/>
      <c r="AF392" s="23"/>
      <c r="AG392" s="23"/>
      <c r="AH392" s="23"/>
      <c r="AI392" s="23"/>
      <c r="AJ392" s="23"/>
      <c r="AK392" s="23">
        <v>0</v>
      </c>
      <c r="AL392" s="23"/>
      <c r="AM392" s="33">
        <f t="shared" si="64"/>
        <v>0</v>
      </c>
      <c r="AN392" s="23"/>
      <c r="AO392" s="33">
        <f t="shared" si="65"/>
        <v>0</v>
      </c>
      <c r="AP392" s="33"/>
    </row>
    <row r="393" spans="1:42">
      <c r="A393" s="11" t="s">
        <v>606</v>
      </c>
      <c r="B393" s="11"/>
      <c r="C393" s="11" t="s">
        <v>64</v>
      </c>
      <c r="D393" s="23"/>
      <c r="E393" s="6">
        <v>8373156</v>
      </c>
      <c r="F393" s="23"/>
      <c r="G393" s="6">
        <v>0</v>
      </c>
      <c r="H393" s="23"/>
      <c r="I393" s="6">
        <v>39448503</v>
      </c>
      <c r="J393" s="23"/>
      <c r="K393" s="6">
        <v>121874</v>
      </c>
      <c r="L393" s="23"/>
      <c r="M393" s="6">
        <f>805507+281966+28528+81016</f>
        <v>1197017</v>
      </c>
      <c r="N393" s="23"/>
      <c r="O393" s="6">
        <v>161362</v>
      </c>
      <c r="P393" s="23"/>
      <c r="Q393" s="6">
        <v>0</v>
      </c>
      <c r="R393" s="23"/>
      <c r="S393" s="6">
        <v>15946</v>
      </c>
      <c r="T393" s="23"/>
      <c r="U393" s="6">
        <v>128674</v>
      </c>
      <c r="V393" s="23"/>
      <c r="W393" s="33">
        <f t="shared" si="63"/>
        <v>49446532</v>
      </c>
      <c r="X393" s="23"/>
      <c r="Y393" s="23">
        <v>0</v>
      </c>
      <c r="Z393" s="23"/>
      <c r="AA393" s="23">
        <v>0</v>
      </c>
      <c r="AB393" s="23"/>
      <c r="AC393" s="23">
        <v>0</v>
      </c>
      <c r="AD393" s="23"/>
      <c r="AE393" s="23"/>
      <c r="AF393" s="23"/>
      <c r="AG393" s="23"/>
      <c r="AH393" s="23"/>
      <c r="AI393" s="23">
        <v>112500</v>
      </c>
      <c r="AJ393" s="23"/>
      <c r="AK393" s="23">
        <v>0</v>
      </c>
      <c r="AL393" s="23"/>
      <c r="AM393" s="33">
        <f t="shared" si="64"/>
        <v>112500</v>
      </c>
      <c r="AN393" s="23"/>
      <c r="AO393" s="33">
        <f t="shared" si="65"/>
        <v>49559032</v>
      </c>
      <c r="AP393" s="33"/>
    </row>
    <row r="394" spans="1:42">
      <c r="A394" s="11" t="s">
        <v>449</v>
      </c>
      <c r="B394" s="11"/>
      <c r="C394" s="11" t="s">
        <v>52</v>
      </c>
      <c r="D394" s="23"/>
      <c r="E394" s="6">
        <v>4216297</v>
      </c>
      <c r="F394" s="23"/>
      <c r="G394" s="6">
        <v>0</v>
      </c>
      <c r="H394" s="23"/>
      <c r="I394" s="6">
        <v>7171567</v>
      </c>
      <c r="J394" s="23"/>
      <c r="K394" s="6">
        <v>18756</v>
      </c>
      <c r="L394" s="23"/>
      <c r="M394" s="6">
        <f>752490+234285+190929</f>
        <v>1177704</v>
      </c>
      <c r="N394" s="23"/>
      <c r="O394" s="6">
        <v>93698</v>
      </c>
      <c r="P394" s="23"/>
      <c r="Q394" s="6">
        <v>0</v>
      </c>
      <c r="R394" s="23"/>
      <c r="S394" s="6">
        <v>4105</v>
      </c>
      <c r="T394" s="23"/>
      <c r="U394" s="6">
        <v>38144</v>
      </c>
      <c r="V394" s="23"/>
      <c r="W394" s="33">
        <f t="shared" si="63"/>
        <v>12720271</v>
      </c>
      <c r="X394" s="23"/>
      <c r="Y394" s="23">
        <v>428329</v>
      </c>
      <c r="Z394" s="23"/>
      <c r="AA394" s="23">
        <v>0</v>
      </c>
      <c r="AB394" s="23"/>
      <c r="AC394" s="23">
        <v>0</v>
      </c>
      <c r="AD394" s="23"/>
      <c r="AE394" s="23"/>
      <c r="AF394" s="23"/>
      <c r="AG394" s="23"/>
      <c r="AH394" s="23"/>
      <c r="AI394" s="23">
        <v>0</v>
      </c>
      <c r="AJ394" s="23"/>
      <c r="AK394" s="23">
        <v>0</v>
      </c>
      <c r="AL394" s="23"/>
      <c r="AM394" s="33">
        <f t="shared" si="64"/>
        <v>428329</v>
      </c>
      <c r="AN394" s="23"/>
      <c r="AO394" s="33">
        <f t="shared" si="65"/>
        <v>13148600</v>
      </c>
      <c r="AP394" s="33"/>
    </row>
    <row r="395" spans="1:42">
      <c r="A395" s="11" t="s">
        <v>511</v>
      </c>
      <c r="B395" s="11"/>
      <c r="C395" s="11" t="s">
        <v>63</v>
      </c>
      <c r="D395" s="23"/>
      <c r="E395" s="6">
        <v>30004522</v>
      </c>
      <c r="F395" s="23"/>
      <c r="G395" s="6">
        <v>0</v>
      </c>
      <c r="H395" s="23"/>
      <c r="I395" s="6">
        <v>14278190</v>
      </c>
      <c r="J395" s="23"/>
      <c r="K395" s="6">
        <v>11240</v>
      </c>
      <c r="L395" s="23"/>
      <c r="M395" s="6">
        <f>652259+982010+95333</f>
        <v>1729602</v>
      </c>
      <c r="N395" s="23"/>
      <c r="O395" s="6">
        <v>737382</v>
      </c>
      <c r="P395" s="23"/>
      <c r="Q395" s="6">
        <v>0</v>
      </c>
      <c r="R395" s="23"/>
      <c r="S395" s="6">
        <v>16349</v>
      </c>
      <c r="T395" s="23"/>
      <c r="U395" s="6">
        <v>137165</v>
      </c>
      <c r="V395" s="23"/>
      <c r="W395" s="33">
        <f t="shared" si="63"/>
        <v>46914450</v>
      </c>
      <c r="X395" s="23"/>
      <c r="Y395" s="23">
        <v>78089</v>
      </c>
      <c r="Z395" s="23"/>
      <c r="AA395" s="23">
        <v>0</v>
      </c>
      <c r="AB395" s="23"/>
      <c r="AC395" s="23">
        <v>0</v>
      </c>
      <c r="AD395" s="23"/>
      <c r="AE395" s="23"/>
      <c r="AF395" s="23"/>
      <c r="AG395" s="23"/>
      <c r="AH395" s="23"/>
      <c r="AI395" s="23">
        <v>0</v>
      </c>
      <c r="AJ395" s="23"/>
      <c r="AK395" s="23">
        <v>0</v>
      </c>
      <c r="AL395" s="23"/>
      <c r="AM395" s="33">
        <f t="shared" si="64"/>
        <v>78089</v>
      </c>
      <c r="AN395" s="23"/>
      <c r="AO395" s="33">
        <f t="shared" si="65"/>
        <v>46992539</v>
      </c>
      <c r="AP395" s="33"/>
    </row>
    <row r="396" spans="1:42">
      <c r="A396" s="11" t="s">
        <v>556</v>
      </c>
      <c r="B396" s="11"/>
      <c r="C396" s="11" t="s">
        <v>72</v>
      </c>
      <c r="D396" s="23"/>
      <c r="E396" s="6">
        <v>3486717</v>
      </c>
      <c r="F396" s="23"/>
      <c r="G396" s="6">
        <v>0</v>
      </c>
      <c r="H396" s="23"/>
      <c r="I396" s="6">
        <v>6394410</v>
      </c>
      <c r="J396" s="23"/>
      <c r="K396" s="6">
        <v>42324</v>
      </c>
      <c r="L396" s="23"/>
      <c r="M396" s="6">
        <f>270351+129896</f>
        <v>400247</v>
      </c>
      <c r="N396" s="23"/>
      <c r="O396" s="6">
        <v>52612</v>
      </c>
      <c r="P396" s="23"/>
      <c r="Q396" s="6">
        <v>291240</v>
      </c>
      <c r="R396" s="23"/>
      <c r="S396" s="6">
        <v>113532</v>
      </c>
      <c r="T396" s="23"/>
      <c r="U396" s="6">
        <f>131399+382816</f>
        <v>514215</v>
      </c>
      <c r="V396" s="23"/>
      <c r="W396" s="33">
        <f t="shared" si="63"/>
        <v>11295297</v>
      </c>
      <c r="X396" s="23"/>
      <c r="Y396" s="23">
        <v>268418</v>
      </c>
      <c r="Z396" s="23"/>
      <c r="AA396" s="23">
        <v>0</v>
      </c>
      <c r="AB396" s="23"/>
      <c r="AC396" s="23">
        <v>0</v>
      </c>
      <c r="AD396" s="23"/>
      <c r="AE396" s="23"/>
      <c r="AF396" s="23"/>
      <c r="AG396" s="23"/>
      <c r="AH396" s="23"/>
      <c r="AI396" s="23">
        <v>0</v>
      </c>
      <c r="AJ396" s="23"/>
      <c r="AK396" s="23">
        <v>0</v>
      </c>
      <c r="AL396" s="23"/>
      <c r="AM396" s="33">
        <f t="shared" si="64"/>
        <v>268418</v>
      </c>
      <c r="AN396" s="23"/>
      <c r="AO396" s="33">
        <f t="shared" si="65"/>
        <v>11563715</v>
      </c>
      <c r="AP396" s="33"/>
    </row>
    <row r="397" spans="1:42" hidden="1">
      <c r="A397" s="11" t="s">
        <v>813</v>
      </c>
      <c r="B397" s="11"/>
      <c r="C397" s="11" t="s">
        <v>53</v>
      </c>
      <c r="D397" s="23"/>
      <c r="E397" s="6"/>
      <c r="F397" s="23"/>
      <c r="G397" s="6"/>
      <c r="H397" s="23"/>
      <c r="I397" s="6"/>
      <c r="J397" s="23"/>
      <c r="K397" s="6"/>
      <c r="L397" s="23"/>
      <c r="M397" s="6"/>
      <c r="N397" s="23"/>
      <c r="O397" s="6"/>
      <c r="P397" s="23"/>
      <c r="Q397" s="6"/>
      <c r="R397" s="23"/>
      <c r="S397" s="6"/>
      <c r="T397" s="23"/>
      <c r="U397" s="6"/>
      <c r="V397" s="23"/>
      <c r="W397" s="33">
        <f t="shared" si="63"/>
        <v>0</v>
      </c>
      <c r="X397" s="23"/>
      <c r="Y397" s="23"/>
      <c r="Z397" s="23"/>
      <c r="AA397" s="23">
        <v>0</v>
      </c>
      <c r="AB397" s="23"/>
      <c r="AC397" s="23"/>
      <c r="AD397" s="23"/>
      <c r="AE397" s="23"/>
      <c r="AF397" s="23"/>
      <c r="AG397" s="23"/>
      <c r="AH397" s="23"/>
      <c r="AI397" s="23"/>
      <c r="AJ397" s="23"/>
      <c r="AK397" s="23">
        <v>0</v>
      </c>
      <c r="AL397" s="23"/>
      <c r="AM397" s="33">
        <f t="shared" si="64"/>
        <v>0</v>
      </c>
      <c r="AN397" s="23"/>
      <c r="AO397" s="33">
        <f t="shared" si="65"/>
        <v>0</v>
      </c>
      <c r="AP397" s="33"/>
    </row>
    <row r="398" spans="1:42">
      <c r="A398" s="11" t="s">
        <v>503</v>
      </c>
      <c r="B398" s="11"/>
      <c r="C398" s="11" t="s">
        <v>62</v>
      </c>
      <c r="D398" s="23"/>
      <c r="E398" s="6">
        <v>22171587</v>
      </c>
      <c r="F398" s="23"/>
      <c r="G398" s="6">
        <v>0</v>
      </c>
      <c r="H398" s="23"/>
      <c r="I398" s="6">
        <f>52837+17704770+2187769</f>
        <v>19945376</v>
      </c>
      <c r="J398" s="23"/>
      <c r="K398" s="6">
        <v>17955</v>
      </c>
      <c r="L398" s="23"/>
      <c r="M398" s="6">
        <f>494656+1241866+519512+56011+29966</f>
        <v>2342011</v>
      </c>
      <c r="N398" s="23"/>
      <c r="O398" s="6">
        <v>489294</v>
      </c>
      <c r="P398" s="23"/>
      <c r="Q398" s="6">
        <v>0</v>
      </c>
      <c r="R398" s="23"/>
      <c r="S398" s="6">
        <v>64746</v>
      </c>
      <c r="T398" s="23"/>
      <c r="U398" s="6">
        <v>315231</v>
      </c>
      <c r="V398" s="23"/>
      <c r="W398" s="33">
        <f t="shared" si="63"/>
        <v>45346200</v>
      </c>
      <c r="X398" s="23"/>
      <c r="Y398" s="23">
        <v>158882</v>
      </c>
      <c r="Z398" s="23"/>
      <c r="AA398" s="23">
        <v>0</v>
      </c>
      <c r="AB398" s="23"/>
      <c r="AC398" s="23">
        <v>768121</v>
      </c>
      <c r="AD398" s="23"/>
      <c r="AE398" s="23"/>
      <c r="AF398" s="23"/>
      <c r="AG398" s="23"/>
      <c r="AH398" s="23"/>
      <c r="AI398" s="23">
        <v>0</v>
      </c>
      <c r="AJ398" s="23"/>
      <c r="AK398" s="23">
        <v>0</v>
      </c>
      <c r="AL398" s="23"/>
      <c r="AM398" s="33">
        <f t="shared" si="64"/>
        <v>927003</v>
      </c>
      <c r="AN398" s="23"/>
      <c r="AO398" s="33">
        <f t="shared" si="65"/>
        <v>46273203</v>
      </c>
      <c r="AP398" s="33"/>
    </row>
    <row r="399" spans="1:42" hidden="1">
      <c r="A399" s="11" t="s">
        <v>814</v>
      </c>
      <c r="B399" s="11"/>
      <c r="C399" s="11" t="s">
        <v>552</v>
      </c>
      <c r="D399" s="23"/>
      <c r="E399" s="6"/>
      <c r="F399" s="23"/>
      <c r="G399" s="6"/>
      <c r="H399" s="23"/>
      <c r="I399" s="6"/>
      <c r="J399" s="23"/>
      <c r="K399" s="6"/>
      <c r="L399" s="23"/>
      <c r="M399" s="6"/>
      <c r="N399" s="23"/>
      <c r="O399" s="6"/>
      <c r="P399" s="23"/>
      <c r="Q399" s="6"/>
      <c r="R399" s="23"/>
      <c r="S399" s="6"/>
      <c r="T399" s="23"/>
      <c r="U399" s="6"/>
      <c r="V399" s="23"/>
      <c r="W399" s="33">
        <f t="shared" si="63"/>
        <v>0</v>
      </c>
      <c r="X399" s="23"/>
      <c r="Y399" s="23"/>
      <c r="Z399" s="23"/>
      <c r="AA399" s="23">
        <v>0</v>
      </c>
      <c r="AB399" s="23"/>
      <c r="AC399" s="23"/>
      <c r="AD399" s="23"/>
      <c r="AE399" s="23"/>
      <c r="AF399" s="23"/>
      <c r="AG399" s="23"/>
      <c r="AH399" s="23"/>
      <c r="AI399" s="23"/>
      <c r="AJ399" s="23"/>
      <c r="AK399" s="23">
        <v>0</v>
      </c>
      <c r="AL399" s="23"/>
      <c r="AM399" s="33">
        <f t="shared" si="64"/>
        <v>0</v>
      </c>
      <c r="AN399" s="23"/>
      <c r="AO399" s="33">
        <f t="shared" si="65"/>
        <v>0</v>
      </c>
      <c r="AP399" s="33"/>
    </row>
    <row r="400" spans="1:42">
      <c r="A400" s="11" t="s">
        <v>709</v>
      </c>
      <c r="B400" s="11"/>
      <c r="C400" s="11" t="s">
        <v>32</v>
      </c>
      <c r="D400" s="23"/>
      <c r="E400" s="6">
        <v>4478647</v>
      </c>
      <c r="F400" s="23"/>
      <c r="G400" s="6">
        <v>0</v>
      </c>
      <c r="H400" s="23"/>
      <c r="I400" s="6">
        <v>10873404</v>
      </c>
      <c r="J400" s="23"/>
      <c r="K400" s="6">
        <v>1282</v>
      </c>
      <c r="L400" s="23"/>
      <c r="M400" s="6">
        <f>231331+102145</f>
        <v>333476</v>
      </c>
      <c r="N400" s="23"/>
      <c r="O400" s="6">
        <v>50605</v>
      </c>
      <c r="P400" s="23"/>
      <c r="Q400" s="6">
        <v>0</v>
      </c>
      <c r="R400" s="23"/>
      <c r="S400" s="6">
        <v>0</v>
      </c>
      <c r="T400" s="23"/>
      <c r="U400" s="6">
        <v>364272</v>
      </c>
      <c r="V400" s="23"/>
      <c r="W400" s="33">
        <f t="shared" si="63"/>
        <v>16101686</v>
      </c>
      <c r="X400" s="23"/>
      <c r="Y400" s="23">
        <v>701455</v>
      </c>
      <c r="Z400" s="23"/>
      <c r="AA400" s="23">
        <v>0</v>
      </c>
      <c r="AB400" s="23"/>
      <c r="AC400" s="23">
        <v>0</v>
      </c>
      <c r="AD400" s="23"/>
      <c r="AE400" s="23"/>
      <c r="AF400" s="23"/>
      <c r="AG400" s="23"/>
      <c r="AH400" s="23"/>
      <c r="AI400" s="23">
        <v>0</v>
      </c>
      <c r="AJ400" s="23"/>
      <c r="AK400" s="23">
        <v>0</v>
      </c>
      <c r="AL400" s="23"/>
      <c r="AM400" s="33">
        <f t="shared" si="64"/>
        <v>701455</v>
      </c>
      <c r="AN400" s="23"/>
      <c r="AO400" s="33">
        <f t="shared" si="65"/>
        <v>16803141</v>
      </c>
      <c r="AP400" s="33"/>
    </row>
    <row r="401" spans="1:42">
      <c r="A401" s="11" t="s">
        <v>377</v>
      </c>
      <c r="B401" s="11"/>
      <c r="C401" s="11" t="s">
        <v>42</v>
      </c>
      <c r="D401" s="23"/>
      <c r="E401" s="6">
        <v>6822382</v>
      </c>
      <c r="F401" s="23"/>
      <c r="G401" s="6">
        <v>0</v>
      </c>
      <c r="H401" s="23"/>
      <c r="I401" s="6">
        <f>1499+8914360+983182</f>
        <v>9899041</v>
      </c>
      <c r="J401" s="23"/>
      <c r="K401" s="6">
        <v>23736</v>
      </c>
      <c r="L401" s="23"/>
      <c r="M401" s="6">
        <f>693383+162062+56159+16040</f>
        <v>927644</v>
      </c>
      <c r="N401" s="23"/>
      <c r="O401" s="6">
        <v>258288</v>
      </c>
      <c r="P401" s="23"/>
      <c r="Q401" s="6">
        <v>0</v>
      </c>
      <c r="R401" s="23"/>
      <c r="S401" s="6">
        <v>142180</v>
      </c>
      <c r="T401" s="23"/>
      <c r="U401" s="6">
        <v>201019</v>
      </c>
      <c r="V401" s="23"/>
      <c r="W401" s="33">
        <f t="shared" si="63"/>
        <v>18274290</v>
      </c>
      <c r="X401" s="23"/>
      <c r="Y401" s="23">
        <v>242577</v>
      </c>
      <c r="Z401" s="23"/>
      <c r="AA401" s="23">
        <v>0</v>
      </c>
      <c r="AB401" s="23"/>
      <c r="AC401" s="23">
        <v>0</v>
      </c>
      <c r="AD401" s="23"/>
      <c r="AE401" s="23"/>
      <c r="AF401" s="23"/>
      <c r="AG401" s="23"/>
      <c r="AH401" s="23"/>
      <c r="AI401" s="23">
        <v>0</v>
      </c>
      <c r="AJ401" s="23"/>
      <c r="AK401" s="23">
        <v>0</v>
      </c>
      <c r="AL401" s="23"/>
      <c r="AM401" s="33">
        <f t="shared" si="64"/>
        <v>242577</v>
      </c>
      <c r="AN401" s="23"/>
      <c r="AO401" s="33">
        <f t="shared" si="65"/>
        <v>18516867</v>
      </c>
      <c r="AP401" s="33"/>
    </row>
    <row r="402" spans="1:42">
      <c r="A402" s="11" t="s">
        <v>271</v>
      </c>
      <c r="B402" s="11"/>
      <c r="C402" s="11" t="s">
        <v>20</v>
      </c>
      <c r="D402" s="23"/>
      <c r="E402" s="6">
        <v>38371093</v>
      </c>
      <c r="F402" s="23"/>
      <c r="G402" s="6">
        <v>0</v>
      </c>
      <c r="H402" s="23"/>
      <c r="I402" s="6">
        <v>17420229</v>
      </c>
      <c r="J402" s="23"/>
      <c r="K402" s="6">
        <v>11605</v>
      </c>
      <c r="L402" s="23"/>
      <c r="M402" s="6">
        <f>762957+632549</f>
        <v>1395506</v>
      </c>
      <c r="N402" s="23"/>
      <c r="O402" s="6">
        <v>355735</v>
      </c>
      <c r="P402" s="23"/>
      <c r="Q402" s="6">
        <v>0</v>
      </c>
      <c r="R402" s="23"/>
      <c r="S402" s="6">
        <v>0</v>
      </c>
      <c r="T402" s="23"/>
      <c r="U402" s="6">
        <v>602474</v>
      </c>
      <c r="V402" s="23"/>
      <c r="W402" s="33">
        <f t="shared" ref="W402:W406" si="66">SUM(E402:U402)</f>
        <v>58156642</v>
      </c>
      <c r="X402" s="23"/>
      <c r="Y402" s="23">
        <v>140208</v>
      </c>
      <c r="Z402" s="23"/>
      <c r="AA402" s="23">
        <v>0</v>
      </c>
      <c r="AB402" s="23"/>
      <c r="AC402" s="23">
        <v>0</v>
      </c>
      <c r="AD402" s="23"/>
      <c r="AE402" s="23"/>
      <c r="AF402" s="23"/>
      <c r="AG402" s="23"/>
      <c r="AH402" s="23"/>
      <c r="AI402" s="23">
        <v>0</v>
      </c>
      <c r="AJ402" s="23"/>
      <c r="AK402" s="23">
        <v>0</v>
      </c>
      <c r="AL402" s="23"/>
      <c r="AM402" s="33">
        <f t="shared" si="64"/>
        <v>140208</v>
      </c>
      <c r="AN402" s="23"/>
      <c r="AO402" s="33">
        <f t="shared" si="65"/>
        <v>58296850</v>
      </c>
      <c r="AP402" s="33"/>
    </row>
    <row r="403" spans="1:42">
      <c r="A403" s="11" t="s">
        <v>388</v>
      </c>
      <c r="B403" s="11"/>
      <c r="C403" s="11" t="s">
        <v>44</v>
      </c>
      <c r="D403" s="23"/>
      <c r="E403" s="6">
        <v>20533507</v>
      </c>
      <c r="F403" s="23"/>
      <c r="G403" s="6">
        <v>0</v>
      </c>
      <c r="H403" s="23"/>
      <c r="I403" s="6">
        <v>13908885</v>
      </c>
      <c r="J403" s="23"/>
      <c r="K403" s="6">
        <v>7181</v>
      </c>
      <c r="L403" s="23"/>
      <c r="M403" s="6">
        <f>422468+719149</f>
        <v>1141617</v>
      </c>
      <c r="N403" s="23"/>
      <c r="O403" s="6">
        <v>301688</v>
      </c>
      <c r="P403" s="23"/>
      <c r="Q403" s="6">
        <v>0</v>
      </c>
      <c r="R403" s="23"/>
      <c r="S403" s="6">
        <v>0</v>
      </c>
      <c r="T403" s="23"/>
      <c r="U403" s="6">
        <v>496271</v>
      </c>
      <c r="V403" s="23"/>
      <c r="W403" s="33">
        <f t="shared" si="66"/>
        <v>36389149</v>
      </c>
      <c r="X403" s="23"/>
      <c r="Y403" s="23">
        <v>68983</v>
      </c>
      <c r="Z403" s="23"/>
      <c r="AA403" s="23">
        <v>0</v>
      </c>
      <c r="AB403" s="23"/>
      <c r="AC403" s="23">
        <v>0</v>
      </c>
      <c r="AD403" s="23"/>
      <c r="AE403" s="23"/>
      <c r="AF403" s="23"/>
      <c r="AG403" s="23"/>
      <c r="AH403" s="23"/>
      <c r="AI403" s="23">
        <v>0</v>
      </c>
      <c r="AJ403" s="23"/>
      <c r="AK403" s="23">
        <v>0</v>
      </c>
      <c r="AL403" s="23"/>
      <c r="AM403" s="33">
        <f t="shared" si="64"/>
        <v>68983</v>
      </c>
      <c r="AN403" s="23"/>
      <c r="AO403" s="33">
        <f t="shared" si="65"/>
        <v>36458132</v>
      </c>
      <c r="AP403" s="33"/>
    </row>
    <row r="404" spans="1:42">
      <c r="A404" s="11" t="s">
        <v>272</v>
      </c>
      <c r="B404" s="11"/>
      <c r="C404" s="11" t="s">
        <v>20</v>
      </c>
      <c r="D404" s="23"/>
      <c r="E404" s="6">
        <v>37940035</v>
      </c>
      <c r="F404" s="23"/>
      <c r="G404" s="6">
        <v>0</v>
      </c>
      <c r="H404" s="23"/>
      <c r="I404" s="6">
        <v>13314136</v>
      </c>
      <c r="J404" s="23"/>
      <c r="K404" s="6">
        <v>62955</v>
      </c>
      <c r="L404" s="23"/>
      <c r="M404" s="6">
        <f>438848+1016198+92960</f>
        <v>1548006</v>
      </c>
      <c r="N404" s="23"/>
      <c r="O404" s="6">
        <v>515033</v>
      </c>
      <c r="P404" s="23"/>
      <c r="Q404" s="6">
        <v>0</v>
      </c>
      <c r="R404" s="23"/>
      <c r="S404" s="6">
        <v>331729</v>
      </c>
      <c r="T404" s="23"/>
      <c r="U404" s="6">
        <v>177206</v>
      </c>
      <c r="V404" s="23"/>
      <c r="W404" s="33">
        <f t="shared" si="66"/>
        <v>53889100</v>
      </c>
      <c r="X404" s="23"/>
      <c r="Y404" s="23">
        <v>118000</v>
      </c>
      <c r="Z404" s="23"/>
      <c r="AA404" s="23">
        <v>0</v>
      </c>
      <c r="AB404" s="23"/>
      <c r="AC404" s="23">
        <v>0</v>
      </c>
      <c r="AD404" s="23"/>
      <c r="AE404" s="23"/>
      <c r="AF404" s="23"/>
      <c r="AG404" s="23"/>
      <c r="AH404" s="23"/>
      <c r="AI404" s="23">
        <v>0</v>
      </c>
      <c r="AJ404" s="23"/>
      <c r="AK404" s="23">
        <v>0</v>
      </c>
      <c r="AL404" s="23"/>
      <c r="AM404" s="33">
        <f t="shared" si="64"/>
        <v>118000</v>
      </c>
      <c r="AN404" s="23"/>
      <c r="AO404" s="33">
        <f t="shared" si="65"/>
        <v>54007100</v>
      </c>
      <c r="AP404" s="33"/>
    </row>
    <row r="405" spans="1:42">
      <c r="A405" s="11" t="s">
        <v>540</v>
      </c>
      <c r="B405" s="11"/>
      <c r="C405" s="11" t="s">
        <v>66</v>
      </c>
      <c r="D405" s="23"/>
      <c r="E405" s="6">
        <v>4787468</v>
      </c>
      <c r="F405" s="23"/>
      <c r="G405" s="6">
        <v>1646282</v>
      </c>
      <c r="H405" s="23"/>
      <c r="I405" s="6">
        <v>9273286</v>
      </c>
      <c r="J405" s="23"/>
      <c r="K405" s="6">
        <v>127511</v>
      </c>
      <c r="L405" s="23"/>
      <c r="M405" s="6">
        <f>764794+360986</f>
        <v>1125780</v>
      </c>
      <c r="N405" s="23"/>
      <c r="O405" s="6">
        <v>127735</v>
      </c>
      <c r="P405" s="23"/>
      <c r="Q405" s="6">
        <v>0</v>
      </c>
      <c r="R405" s="23"/>
      <c r="S405" s="6">
        <v>16511</v>
      </c>
      <c r="T405" s="23"/>
      <c r="U405" s="6">
        <v>146610</v>
      </c>
      <c r="V405" s="23"/>
      <c r="W405" s="33">
        <f t="shared" si="66"/>
        <v>17251183</v>
      </c>
      <c r="X405" s="23"/>
      <c r="Y405" s="23">
        <v>0</v>
      </c>
      <c r="Z405" s="23"/>
      <c r="AA405" s="23">
        <v>0</v>
      </c>
      <c r="AB405" s="23"/>
      <c r="AC405" s="23">
        <f>8595000+304816</f>
        <v>8899816</v>
      </c>
      <c r="AD405" s="23"/>
      <c r="AE405" s="23"/>
      <c r="AF405" s="23"/>
      <c r="AG405" s="23"/>
      <c r="AH405" s="23"/>
      <c r="AI405" s="23">
        <v>2500</v>
      </c>
      <c r="AJ405" s="23"/>
      <c r="AK405" s="23">
        <v>0</v>
      </c>
      <c r="AL405" s="23"/>
      <c r="AM405" s="33">
        <f t="shared" si="64"/>
        <v>8902316</v>
      </c>
      <c r="AN405" s="23"/>
      <c r="AO405" s="33">
        <f t="shared" si="65"/>
        <v>26153499</v>
      </c>
      <c r="AP405" s="33"/>
    </row>
    <row r="406" spans="1:42">
      <c r="A406" s="11" t="s">
        <v>233</v>
      </c>
      <c r="B406" s="11"/>
      <c r="C406" s="11" t="s">
        <v>17</v>
      </c>
      <c r="D406" s="23"/>
      <c r="E406" s="6">
        <v>10821581</v>
      </c>
      <c r="F406" s="23"/>
      <c r="G406" s="6">
        <v>0</v>
      </c>
      <c r="H406" s="23"/>
      <c r="I406" s="6">
        <v>17076948</v>
      </c>
      <c r="J406" s="23"/>
      <c r="K406" s="6">
        <v>27287</v>
      </c>
      <c r="L406" s="23"/>
      <c r="M406" s="6">
        <v>2890176</v>
      </c>
      <c r="N406" s="23"/>
      <c r="O406" s="6">
        <v>206973</v>
      </c>
      <c r="P406" s="23"/>
      <c r="Q406" s="6">
        <v>0</v>
      </c>
      <c r="R406" s="23"/>
      <c r="S406" s="6">
        <v>98373</v>
      </c>
      <c r="T406" s="23"/>
      <c r="U406" s="6">
        <v>56818</v>
      </c>
      <c r="V406" s="23"/>
      <c r="W406" s="33">
        <f t="shared" si="66"/>
        <v>31178156</v>
      </c>
      <c r="X406" s="23"/>
      <c r="Y406" s="23">
        <v>8225</v>
      </c>
      <c r="Z406" s="23"/>
      <c r="AA406" s="23">
        <v>0</v>
      </c>
      <c r="AB406" s="23"/>
      <c r="AC406" s="23">
        <v>0</v>
      </c>
      <c r="AD406" s="23"/>
      <c r="AE406" s="23"/>
      <c r="AF406" s="23"/>
      <c r="AG406" s="23"/>
      <c r="AH406" s="23"/>
      <c r="AI406" s="23">
        <v>0</v>
      </c>
      <c r="AJ406" s="23"/>
      <c r="AK406" s="23">
        <v>0</v>
      </c>
      <c r="AL406" s="23"/>
      <c r="AM406" s="33">
        <f t="shared" si="64"/>
        <v>8225</v>
      </c>
      <c r="AN406" s="23"/>
      <c r="AO406" s="33">
        <f t="shared" si="65"/>
        <v>31186381</v>
      </c>
      <c r="AP406" s="33"/>
    </row>
    <row r="407" spans="1:42" hidden="1">
      <c r="A407" s="11" t="s">
        <v>815</v>
      </c>
      <c r="B407" s="11"/>
      <c r="C407" s="11" t="s">
        <v>22</v>
      </c>
      <c r="D407" s="23"/>
      <c r="E407" s="6"/>
      <c r="F407" s="23"/>
      <c r="G407" s="6"/>
      <c r="H407" s="23"/>
      <c r="I407" s="6"/>
      <c r="J407" s="23"/>
      <c r="K407" s="6"/>
      <c r="L407" s="23"/>
      <c r="M407" s="6"/>
      <c r="N407" s="23"/>
      <c r="O407" s="6"/>
      <c r="P407" s="23"/>
      <c r="Q407" s="6"/>
      <c r="R407" s="23"/>
      <c r="S407" s="6"/>
      <c r="T407" s="23"/>
      <c r="U407" s="6"/>
      <c r="V407" s="23"/>
      <c r="W407" s="33">
        <f t="shared" si="62"/>
        <v>0</v>
      </c>
      <c r="X407" s="23"/>
      <c r="Y407" s="23"/>
      <c r="Z407" s="23"/>
      <c r="AA407" s="23">
        <v>0</v>
      </c>
      <c r="AB407" s="23"/>
      <c r="AC407" s="23"/>
      <c r="AD407" s="23"/>
      <c r="AE407" s="23"/>
      <c r="AF407" s="23"/>
      <c r="AG407" s="23"/>
      <c r="AH407" s="23"/>
      <c r="AI407" s="23"/>
      <c r="AJ407" s="23"/>
      <c r="AK407" s="23">
        <v>0</v>
      </c>
      <c r="AL407" s="23"/>
      <c r="AM407" s="33">
        <f t="shared" si="64"/>
        <v>0</v>
      </c>
      <c r="AN407" s="23"/>
      <c r="AO407" s="33">
        <f t="shared" si="65"/>
        <v>0</v>
      </c>
      <c r="AP407" s="33"/>
    </row>
    <row r="408" spans="1:42" hidden="1">
      <c r="A408" s="11" t="s">
        <v>816</v>
      </c>
      <c r="B408" s="11"/>
      <c r="C408" s="11" t="s">
        <v>451</v>
      </c>
      <c r="D408" s="23"/>
      <c r="E408" s="6"/>
      <c r="F408" s="23"/>
      <c r="G408" s="6"/>
      <c r="H408" s="23"/>
      <c r="I408" s="6"/>
      <c r="J408" s="23"/>
      <c r="K408" s="6"/>
      <c r="L408" s="23"/>
      <c r="M408" s="6"/>
      <c r="N408" s="23"/>
      <c r="O408" s="6"/>
      <c r="P408" s="23"/>
      <c r="Q408" s="6"/>
      <c r="R408" s="23"/>
      <c r="S408" s="6"/>
      <c r="T408" s="23"/>
      <c r="U408" s="6"/>
      <c r="V408" s="23"/>
      <c r="W408" s="33">
        <f t="shared" si="62"/>
        <v>0</v>
      </c>
      <c r="X408" s="23"/>
      <c r="Y408" s="23"/>
      <c r="Z408" s="23"/>
      <c r="AA408" s="23">
        <v>0</v>
      </c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33">
        <f t="shared" si="64"/>
        <v>0</v>
      </c>
      <c r="AN408" s="23"/>
      <c r="AO408" s="33">
        <f t="shared" ref="AO408" si="67">W408+AM408</f>
        <v>0</v>
      </c>
      <c r="AP408" s="33"/>
    </row>
    <row r="409" spans="1:42">
      <c r="A409" s="11" t="s">
        <v>434</v>
      </c>
      <c r="B409" s="11"/>
      <c r="C409" s="11" t="s">
        <v>50</v>
      </c>
      <c r="D409" s="23"/>
      <c r="E409" s="6">
        <v>26593618</v>
      </c>
      <c r="F409" s="23"/>
      <c r="G409" s="6">
        <v>0</v>
      </c>
      <c r="H409" s="23"/>
      <c r="I409" s="6">
        <v>28394357</v>
      </c>
      <c r="J409" s="23"/>
      <c r="K409" s="6">
        <v>11419</v>
      </c>
      <c r="L409" s="23"/>
      <c r="M409" s="6">
        <f>650245+2387946</f>
        <v>3038191</v>
      </c>
      <c r="N409" s="23"/>
      <c r="O409" s="6">
        <v>491186</v>
      </c>
      <c r="P409" s="23"/>
      <c r="Q409" s="6">
        <v>300500</v>
      </c>
      <c r="R409" s="23"/>
      <c r="S409" s="6">
        <v>0</v>
      </c>
      <c r="T409" s="23"/>
      <c r="U409" s="6">
        <v>215661</v>
      </c>
      <c r="V409" s="23"/>
      <c r="W409" s="33">
        <f t="shared" si="62"/>
        <v>59044932</v>
      </c>
      <c r="X409" s="23"/>
      <c r="Y409" s="23">
        <v>28500</v>
      </c>
      <c r="Z409" s="23"/>
      <c r="AA409" s="23">
        <v>0</v>
      </c>
      <c r="AB409" s="23"/>
      <c r="AC409" s="23">
        <f>54971703+804359</f>
        <v>55776062</v>
      </c>
      <c r="AD409" s="23"/>
      <c r="AE409" s="23"/>
      <c r="AF409" s="23"/>
      <c r="AG409" s="23"/>
      <c r="AH409" s="23"/>
      <c r="AI409" s="23">
        <v>0</v>
      </c>
      <c r="AJ409" s="23"/>
      <c r="AK409" s="23">
        <v>0</v>
      </c>
      <c r="AL409" s="23"/>
      <c r="AM409" s="33">
        <f t="shared" si="64"/>
        <v>55804562</v>
      </c>
      <c r="AN409" s="23"/>
      <c r="AO409" s="33">
        <f t="shared" si="65"/>
        <v>114849494</v>
      </c>
      <c r="AP409" s="33"/>
    </row>
    <row r="410" spans="1:42">
      <c r="A410" s="11" t="s">
        <v>442</v>
      </c>
      <c r="B410" s="11"/>
      <c r="C410" s="11" t="s">
        <v>78</v>
      </c>
      <c r="D410" s="23"/>
      <c r="E410" s="6">
        <v>4003849</v>
      </c>
      <c r="F410" s="23"/>
      <c r="G410" s="6">
        <v>1429180</v>
      </c>
      <c r="H410" s="23"/>
      <c r="I410" s="6">
        <f>5592235+1151587</f>
        <v>6743822</v>
      </c>
      <c r="J410" s="23"/>
      <c r="K410" s="6">
        <v>5934</v>
      </c>
      <c r="L410" s="23"/>
      <c r="M410" s="6">
        <f>712724+203707+22564</f>
        <v>938995</v>
      </c>
      <c r="N410" s="23"/>
      <c r="O410" s="6">
        <v>93065</v>
      </c>
      <c r="P410" s="23"/>
      <c r="Q410" s="6">
        <v>0</v>
      </c>
      <c r="R410" s="23"/>
      <c r="S410" s="6">
        <v>0</v>
      </c>
      <c r="T410" s="23"/>
      <c r="U410" s="6">
        <v>6836</v>
      </c>
      <c r="V410" s="23"/>
      <c r="W410" s="33">
        <f t="shared" si="62"/>
        <v>13221681</v>
      </c>
      <c r="X410" s="23"/>
      <c r="Y410" s="23">
        <v>0</v>
      </c>
      <c r="Z410" s="23"/>
      <c r="AA410" s="23">
        <v>0</v>
      </c>
      <c r="AB410" s="23"/>
      <c r="AC410" s="23">
        <v>0</v>
      </c>
      <c r="AD410" s="23"/>
      <c r="AE410" s="23"/>
      <c r="AF410" s="23"/>
      <c r="AG410" s="23"/>
      <c r="AH410" s="23"/>
      <c r="AI410" s="23">
        <v>123179</v>
      </c>
      <c r="AJ410" s="23"/>
      <c r="AK410" s="23">
        <v>0</v>
      </c>
      <c r="AL410" s="23"/>
      <c r="AM410" s="33">
        <f t="shared" si="64"/>
        <v>123179</v>
      </c>
      <c r="AN410" s="23"/>
      <c r="AO410" s="33">
        <f t="shared" si="65"/>
        <v>13344860</v>
      </c>
      <c r="AP410" s="33"/>
    </row>
    <row r="411" spans="1:42">
      <c r="A411" s="11" t="s">
        <v>378</v>
      </c>
      <c r="B411" s="11"/>
      <c r="C411" s="11" t="s">
        <v>42</v>
      </c>
      <c r="D411" s="23"/>
      <c r="E411" s="6">
        <v>6784408</v>
      </c>
      <c r="F411" s="23"/>
      <c r="G411" s="6">
        <v>215299</v>
      </c>
      <c r="H411" s="23"/>
      <c r="I411" s="6">
        <v>6062841</v>
      </c>
      <c r="J411" s="23"/>
      <c r="K411" s="6">
        <v>8623</v>
      </c>
      <c r="L411" s="23"/>
      <c r="M411" s="6">
        <f>593527+62687+241371</f>
        <v>897585</v>
      </c>
      <c r="N411" s="23"/>
      <c r="O411" s="6">
        <v>252184</v>
      </c>
      <c r="P411" s="23"/>
      <c r="Q411" s="6">
        <v>0</v>
      </c>
      <c r="R411" s="23"/>
      <c r="S411" s="6">
        <v>2725</v>
      </c>
      <c r="T411" s="23"/>
      <c r="U411" s="6">
        <v>6351</v>
      </c>
      <c r="V411" s="23"/>
      <c r="W411" s="33">
        <f t="shared" si="62"/>
        <v>14230016</v>
      </c>
      <c r="X411" s="23"/>
      <c r="Y411" s="23">
        <v>644</v>
      </c>
      <c r="Z411" s="23"/>
      <c r="AA411" s="23">
        <v>0</v>
      </c>
      <c r="AB411" s="23"/>
      <c r="AC411" s="23">
        <v>0</v>
      </c>
      <c r="AD411" s="23"/>
      <c r="AE411" s="23"/>
      <c r="AF411" s="23"/>
      <c r="AG411" s="23"/>
      <c r="AH411" s="23"/>
      <c r="AI411" s="23">
        <v>0</v>
      </c>
      <c r="AJ411" s="23"/>
      <c r="AK411" s="23">
        <v>0</v>
      </c>
      <c r="AL411" s="23"/>
      <c r="AM411" s="33">
        <f t="shared" si="64"/>
        <v>644</v>
      </c>
      <c r="AN411" s="23"/>
      <c r="AO411" s="33">
        <f t="shared" si="65"/>
        <v>14230660</v>
      </c>
      <c r="AP411" s="33"/>
    </row>
    <row r="412" spans="1:42">
      <c r="A412" s="11" t="s">
        <v>378</v>
      </c>
      <c r="B412" s="11"/>
      <c r="C412" s="11" t="s">
        <v>50</v>
      </c>
      <c r="D412" s="23"/>
      <c r="E412" s="6">
        <v>6957944</v>
      </c>
      <c r="F412" s="23"/>
      <c r="G412" s="6">
        <v>0</v>
      </c>
      <c r="H412" s="23"/>
      <c r="I412" s="6">
        <v>14254727</v>
      </c>
      <c r="J412" s="23"/>
      <c r="K412" s="6">
        <v>86294</v>
      </c>
      <c r="L412" s="23"/>
      <c r="M412" s="6">
        <f>1679292+173762+83274</f>
        <v>1936328</v>
      </c>
      <c r="N412" s="23"/>
      <c r="O412" s="6">
        <v>120426</v>
      </c>
      <c r="P412" s="23"/>
      <c r="Q412" s="6">
        <v>0</v>
      </c>
      <c r="R412" s="23"/>
      <c r="S412" s="6">
        <v>13364</v>
      </c>
      <c r="T412" s="23"/>
      <c r="U412" s="6">
        <v>99886</v>
      </c>
      <c r="V412" s="23"/>
      <c r="W412" s="33">
        <f t="shared" si="62"/>
        <v>23468969</v>
      </c>
      <c r="X412" s="23"/>
      <c r="Y412" s="23">
        <v>0</v>
      </c>
      <c r="Z412" s="23"/>
      <c r="AA412" s="23">
        <v>0</v>
      </c>
      <c r="AB412" s="23"/>
      <c r="AC412" s="23">
        <f>5145000+508044</f>
        <v>5653044</v>
      </c>
      <c r="AD412" s="23"/>
      <c r="AE412" s="23"/>
      <c r="AF412" s="23"/>
      <c r="AG412" s="23"/>
      <c r="AH412" s="23"/>
      <c r="AI412" s="23">
        <v>0</v>
      </c>
      <c r="AJ412" s="23"/>
      <c r="AK412" s="23">
        <v>0</v>
      </c>
      <c r="AL412" s="23"/>
      <c r="AM412" s="33">
        <f t="shared" si="64"/>
        <v>5653044</v>
      </c>
      <c r="AN412" s="23"/>
      <c r="AO412" s="33">
        <f t="shared" si="65"/>
        <v>29122013</v>
      </c>
      <c r="AP412" s="33"/>
    </row>
    <row r="413" spans="1:42">
      <c r="A413" s="11" t="s">
        <v>327</v>
      </c>
      <c r="B413" s="11"/>
      <c r="C413" s="11" t="s">
        <v>32</v>
      </c>
      <c r="D413" s="23"/>
      <c r="E413" s="6">
        <v>40713901</v>
      </c>
      <c r="F413" s="23"/>
      <c r="G413" s="6">
        <v>0</v>
      </c>
      <c r="H413" s="23"/>
      <c r="I413" s="6">
        <v>45192632</v>
      </c>
      <c r="J413" s="23"/>
      <c r="K413" s="6">
        <v>157882</v>
      </c>
      <c r="L413" s="23"/>
      <c r="M413" s="6">
        <f>1764717+1924423+645926</f>
        <v>4335066</v>
      </c>
      <c r="N413" s="23"/>
      <c r="O413" s="6">
        <v>580446</v>
      </c>
      <c r="P413" s="23"/>
      <c r="Q413" s="6">
        <v>3769607</v>
      </c>
      <c r="R413" s="23"/>
      <c r="S413" s="6">
        <v>147731</v>
      </c>
      <c r="T413" s="23"/>
      <c r="U413" s="6">
        <v>781681</v>
      </c>
      <c r="V413" s="23"/>
      <c r="W413" s="33">
        <f t="shared" si="62"/>
        <v>95678946</v>
      </c>
      <c r="X413" s="23"/>
      <c r="Y413" s="23">
        <v>0</v>
      </c>
      <c r="Z413" s="23"/>
      <c r="AA413" s="23">
        <v>0</v>
      </c>
      <c r="AB413" s="23"/>
      <c r="AC413" s="23">
        <v>0</v>
      </c>
      <c r="AD413" s="23"/>
      <c r="AE413" s="23"/>
      <c r="AF413" s="23"/>
      <c r="AG413" s="23"/>
      <c r="AH413" s="23"/>
      <c r="AI413" s="23">
        <v>0</v>
      </c>
      <c r="AJ413" s="23"/>
      <c r="AK413" s="23">
        <v>0</v>
      </c>
      <c r="AL413" s="23"/>
      <c r="AM413" s="33">
        <f t="shared" si="64"/>
        <v>0</v>
      </c>
      <c r="AN413" s="23"/>
      <c r="AO413" s="33">
        <f t="shared" si="65"/>
        <v>95678946</v>
      </c>
      <c r="AP413" s="33"/>
    </row>
    <row r="414" spans="1:42">
      <c r="A414" s="11" t="s">
        <v>597</v>
      </c>
      <c r="B414" s="11"/>
      <c r="C414" s="11" t="s">
        <v>59</v>
      </c>
      <c r="D414" s="23"/>
      <c r="E414" s="6">
        <v>1866350</v>
      </c>
      <c r="F414" s="23"/>
      <c r="G414" s="6">
        <v>0</v>
      </c>
      <c r="H414" s="23"/>
      <c r="I414" s="6">
        <v>16052223</v>
      </c>
      <c r="J414" s="23"/>
      <c r="K414" s="6">
        <v>1898</v>
      </c>
      <c r="L414" s="23"/>
      <c r="M414" s="6">
        <f>21332+91809+173978</f>
        <v>287119</v>
      </c>
      <c r="N414" s="23"/>
      <c r="O414" s="6">
        <v>209672</v>
      </c>
      <c r="P414" s="23"/>
      <c r="Q414" s="6">
        <v>0</v>
      </c>
      <c r="R414" s="23"/>
      <c r="S414" s="6">
        <v>2054</v>
      </c>
      <c r="T414" s="23"/>
      <c r="U414" s="6">
        <v>3016</v>
      </c>
      <c r="V414" s="23"/>
      <c r="W414" s="33">
        <f t="shared" si="62"/>
        <v>18422332</v>
      </c>
      <c r="X414" s="23"/>
      <c r="Y414" s="23">
        <v>89500</v>
      </c>
      <c r="Z414" s="23"/>
      <c r="AA414" s="23">
        <v>0</v>
      </c>
      <c r="AB414" s="23"/>
      <c r="AC414" s="23">
        <v>0</v>
      </c>
      <c r="AD414" s="23"/>
      <c r="AE414" s="23"/>
      <c r="AF414" s="23"/>
      <c r="AG414" s="23"/>
      <c r="AH414" s="23"/>
      <c r="AI414" s="23">
        <v>51019</v>
      </c>
      <c r="AJ414" s="23"/>
      <c r="AK414" s="23">
        <v>0</v>
      </c>
      <c r="AL414" s="23"/>
      <c r="AM414" s="33">
        <f t="shared" si="64"/>
        <v>140519</v>
      </c>
      <c r="AN414" s="23"/>
      <c r="AO414" s="33">
        <f t="shared" si="65"/>
        <v>18562851</v>
      </c>
      <c r="AP414" s="33"/>
    </row>
    <row r="415" spans="1:42">
      <c r="A415" s="11" t="s">
        <v>327</v>
      </c>
      <c r="B415" s="11"/>
      <c r="C415" s="11" t="s">
        <v>62</v>
      </c>
      <c r="D415" s="23"/>
      <c r="E415" s="6">
        <v>9628039</v>
      </c>
      <c r="F415" s="23"/>
      <c r="G415" s="6">
        <v>0</v>
      </c>
      <c r="H415" s="23"/>
      <c r="I415" s="6">
        <f>14899+19240486+1182707</f>
        <v>20438092</v>
      </c>
      <c r="J415" s="23"/>
      <c r="K415" s="6">
        <v>15537</v>
      </c>
      <c r="L415" s="23"/>
      <c r="M415" s="6">
        <f>80124+393297+144077</f>
        <v>617498</v>
      </c>
      <c r="N415" s="23"/>
      <c r="O415" s="6">
        <v>179118</v>
      </c>
      <c r="P415" s="23"/>
      <c r="Q415" s="6">
        <v>0</v>
      </c>
      <c r="R415" s="23"/>
      <c r="S415" s="6">
        <v>0</v>
      </c>
      <c r="T415" s="23"/>
      <c r="U415" s="6">
        <v>75118</v>
      </c>
      <c r="V415" s="23"/>
      <c r="W415" s="33">
        <f t="shared" si="62"/>
        <v>30953402</v>
      </c>
      <c r="X415" s="23"/>
      <c r="Y415" s="23">
        <v>470000</v>
      </c>
      <c r="Z415" s="23"/>
      <c r="AA415" s="23">
        <v>0</v>
      </c>
      <c r="AB415" s="23"/>
      <c r="AC415" s="23">
        <f>1070402+14620942</f>
        <v>15691344</v>
      </c>
      <c r="AD415" s="23"/>
      <c r="AE415" s="23"/>
      <c r="AF415" s="23"/>
      <c r="AG415" s="23"/>
      <c r="AH415" s="23"/>
      <c r="AI415" s="23">
        <v>22392</v>
      </c>
      <c r="AJ415" s="23"/>
      <c r="AK415" s="23">
        <v>0</v>
      </c>
      <c r="AL415" s="23"/>
      <c r="AM415" s="33">
        <f t="shared" ref="AM415:AM416" si="68">AI415+AC415+Y415</f>
        <v>16183736</v>
      </c>
      <c r="AN415" s="23"/>
      <c r="AO415" s="33">
        <f t="shared" si="65"/>
        <v>47137138</v>
      </c>
      <c r="AP415" s="33"/>
    </row>
    <row r="416" spans="1:42">
      <c r="A416" s="11" t="s">
        <v>234</v>
      </c>
      <c r="B416" s="11"/>
      <c r="C416" s="11" t="s">
        <v>17</v>
      </c>
      <c r="D416" s="23"/>
      <c r="E416" s="6">
        <v>6564635</v>
      </c>
      <c r="F416" s="23"/>
      <c r="G416" s="6">
        <v>1858640</v>
      </c>
      <c r="H416" s="23"/>
      <c r="I416" s="6">
        <v>22769648</v>
      </c>
      <c r="J416" s="23"/>
      <c r="K416" s="6">
        <v>114472</v>
      </c>
      <c r="L416" s="23"/>
      <c r="M416" s="6">
        <f>1503300+1819+375990</f>
        <v>1881109</v>
      </c>
      <c r="N416" s="23"/>
      <c r="O416" s="6">
        <v>297564</v>
      </c>
      <c r="P416" s="23"/>
      <c r="Q416" s="6">
        <v>0</v>
      </c>
      <c r="R416" s="23"/>
      <c r="S416" s="6">
        <v>0</v>
      </c>
      <c r="T416" s="23"/>
      <c r="U416" s="6">
        <v>101056</v>
      </c>
      <c r="V416" s="23"/>
      <c r="W416" s="33">
        <f t="shared" si="62"/>
        <v>33587124</v>
      </c>
      <c r="X416" s="23"/>
      <c r="Y416" s="23">
        <v>1110721</v>
      </c>
      <c r="Z416" s="23"/>
      <c r="AA416" s="23">
        <v>0</v>
      </c>
      <c r="AB416" s="23"/>
      <c r="AC416" s="23">
        <v>0</v>
      </c>
      <c r="AD416" s="23"/>
      <c r="AE416" s="23"/>
      <c r="AF416" s="23"/>
      <c r="AG416" s="23"/>
      <c r="AH416" s="23"/>
      <c r="AI416" s="23">
        <v>1275</v>
      </c>
      <c r="AJ416" s="23"/>
      <c r="AK416" s="23">
        <v>0</v>
      </c>
      <c r="AL416" s="23"/>
      <c r="AM416" s="33">
        <f t="shared" si="68"/>
        <v>1111996</v>
      </c>
      <c r="AN416" s="23"/>
      <c r="AO416" s="33">
        <f t="shared" si="65"/>
        <v>34699120</v>
      </c>
      <c r="AP416" s="33"/>
    </row>
    <row r="417" spans="1:42" hidden="1">
      <c r="A417" s="11" t="s">
        <v>739</v>
      </c>
      <c r="B417" s="11"/>
      <c r="C417" s="11" t="s">
        <v>71</v>
      </c>
      <c r="D417" s="23"/>
      <c r="E417" s="6"/>
      <c r="F417" s="23"/>
      <c r="G417" s="6"/>
      <c r="H417" s="23"/>
      <c r="I417" s="6"/>
      <c r="J417" s="23"/>
      <c r="K417" s="6"/>
      <c r="L417" s="23"/>
      <c r="M417" s="6"/>
      <c r="N417" s="23"/>
      <c r="O417" s="6"/>
      <c r="P417" s="23"/>
      <c r="Q417" s="6"/>
      <c r="R417" s="23"/>
      <c r="S417" s="6"/>
      <c r="T417" s="23"/>
      <c r="U417" s="6"/>
      <c r="V417" s="23"/>
      <c r="W417" s="33"/>
      <c r="X417" s="23"/>
      <c r="Y417" s="23"/>
      <c r="Z417" s="23"/>
      <c r="AA417" s="23">
        <v>0</v>
      </c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33"/>
      <c r="AN417" s="23"/>
      <c r="AO417" s="33"/>
      <c r="AP417" s="33"/>
    </row>
    <row r="418" spans="1:42" hidden="1">
      <c r="A418" s="10" t="s">
        <v>882</v>
      </c>
      <c r="B418" s="11"/>
      <c r="C418" s="11" t="s">
        <v>72</v>
      </c>
      <c r="D418" s="23"/>
      <c r="E418" s="6">
        <v>0</v>
      </c>
      <c r="F418" s="23"/>
      <c r="G418" s="6">
        <v>0</v>
      </c>
      <c r="H418" s="23"/>
      <c r="I418" s="6">
        <v>0</v>
      </c>
      <c r="J418" s="23"/>
      <c r="K418" s="6">
        <v>0</v>
      </c>
      <c r="L418" s="23"/>
      <c r="M418" s="6">
        <v>0</v>
      </c>
      <c r="N418" s="23"/>
      <c r="O418" s="6">
        <v>0</v>
      </c>
      <c r="P418" s="23"/>
      <c r="Q418" s="6">
        <v>0</v>
      </c>
      <c r="R418" s="23"/>
      <c r="S418" s="6">
        <v>0</v>
      </c>
      <c r="T418" s="23"/>
      <c r="U418" s="6">
        <v>0</v>
      </c>
      <c r="V418" s="23"/>
      <c r="W418" s="33">
        <f t="shared" si="62"/>
        <v>0</v>
      </c>
      <c r="X418" s="23"/>
      <c r="Y418" s="23">
        <v>0</v>
      </c>
      <c r="Z418" s="23"/>
      <c r="AA418" s="23">
        <v>0</v>
      </c>
      <c r="AB418" s="23"/>
      <c r="AC418" s="23">
        <v>0</v>
      </c>
      <c r="AD418" s="23"/>
      <c r="AE418" s="23"/>
      <c r="AF418" s="23"/>
      <c r="AG418" s="23"/>
      <c r="AH418" s="23"/>
      <c r="AI418" s="23">
        <v>0</v>
      </c>
      <c r="AJ418" s="23"/>
      <c r="AK418" s="23">
        <v>0</v>
      </c>
      <c r="AL418" s="23"/>
      <c r="AM418" s="33">
        <f>AI418+AC418+Y418</f>
        <v>0</v>
      </c>
      <c r="AN418" s="23"/>
      <c r="AO418" s="33">
        <f>W418+AM418</f>
        <v>0</v>
      </c>
      <c r="AP418" s="33"/>
    </row>
    <row r="419" spans="1:42">
      <c r="A419" s="11" t="s">
        <v>512</v>
      </c>
      <c r="B419" s="11"/>
      <c r="C419" s="11" t="s">
        <v>63</v>
      </c>
      <c r="D419" s="23"/>
      <c r="E419" s="6">
        <v>8058443</v>
      </c>
      <c r="F419" s="23"/>
      <c r="G419" s="6">
        <v>0</v>
      </c>
      <c r="H419" s="23"/>
      <c r="I419" s="6">
        <v>10464316</v>
      </c>
      <c r="J419" s="23"/>
      <c r="K419" s="6">
        <v>12325</v>
      </c>
      <c r="L419" s="23"/>
      <c r="M419" s="6">
        <f>3680351+670916+3680</f>
        <v>4354947</v>
      </c>
      <c r="N419" s="23"/>
      <c r="O419" s="6">
        <v>189124</v>
      </c>
      <c r="P419" s="23"/>
      <c r="Q419" s="6">
        <v>0</v>
      </c>
      <c r="R419" s="23"/>
      <c r="S419" s="6">
        <v>14908</v>
      </c>
      <c r="T419" s="23"/>
      <c r="U419" s="6">
        <v>103387</v>
      </c>
      <c r="V419" s="23"/>
      <c r="W419" s="33">
        <f t="shared" si="62"/>
        <v>23197450</v>
      </c>
      <c r="X419" s="23"/>
      <c r="Y419" s="23">
        <v>0</v>
      </c>
      <c r="Z419" s="23"/>
      <c r="AA419" s="23">
        <v>0</v>
      </c>
      <c r="AB419" s="23"/>
      <c r="AC419" s="23">
        <v>0</v>
      </c>
      <c r="AD419" s="23"/>
      <c r="AE419" s="23"/>
      <c r="AF419" s="23"/>
      <c r="AG419" s="23"/>
      <c r="AH419" s="23"/>
      <c r="AI419" s="23">
        <v>0</v>
      </c>
      <c r="AJ419" s="23"/>
      <c r="AK419" s="23">
        <v>0</v>
      </c>
      <c r="AL419" s="23"/>
      <c r="AM419" s="33">
        <f>AI419+AC419+Y419</f>
        <v>0</v>
      </c>
      <c r="AN419" s="23"/>
      <c r="AO419" s="33">
        <f>W419+AM419</f>
        <v>23197450</v>
      </c>
      <c r="AP419" s="33"/>
    </row>
    <row r="420" spans="1:42">
      <c r="A420" s="11" t="s">
        <v>358</v>
      </c>
      <c r="B420" s="11"/>
      <c r="C420" s="11" t="s">
        <v>37</v>
      </c>
      <c r="D420" s="23"/>
      <c r="E420" s="6">
        <v>7253728</v>
      </c>
      <c r="F420" s="23"/>
      <c r="G420" s="6">
        <v>1778897</v>
      </c>
      <c r="H420" s="23"/>
      <c r="I420" s="6">
        <v>16507426</v>
      </c>
      <c r="J420" s="23"/>
      <c r="K420" s="6">
        <v>65798</v>
      </c>
      <c r="L420" s="23"/>
      <c r="M420" s="6">
        <f>1082411+47056+340424</f>
        <v>1469891</v>
      </c>
      <c r="N420" s="23"/>
      <c r="O420" s="6">
        <v>218528</v>
      </c>
      <c r="P420" s="23"/>
      <c r="Q420" s="6">
        <v>0</v>
      </c>
      <c r="R420" s="23"/>
      <c r="S420" s="6">
        <v>139694</v>
      </c>
      <c r="T420" s="23"/>
      <c r="U420" s="6">
        <v>103622</v>
      </c>
      <c r="V420" s="23"/>
      <c r="W420" s="33">
        <f t="shared" si="62"/>
        <v>27537584</v>
      </c>
      <c r="X420" s="23"/>
      <c r="Y420" s="23">
        <v>85000</v>
      </c>
      <c r="Z420" s="23"/>
      <c r="AA420" s="23">
        <v>0</v>
      </c>
      <c r="AB420" s="23"/>
      <c r="AC420" s="23">
        <v>0</v>
      </c>
      <c r="AD420" s="23"/>
      <c r="AE420" s="23"/>
      <c r="AF420" s="23"/>
      <c r="AG420" s="23"/>
      <c r="AH420" s="23"/>
      <c r="AI420" s="23">
        <v>0</v>
      </c>
      <c r="AJ420" s="23"/>
      <c r="AK420" s="23">
        <v>0</v>
      </c>
      <c r="AL420" s="23"/>
      <c r="AM420" s="33">
        <f>AI420+AC420+Y420</f>
        <v>85000</v>
      </c>
      <c r="AN420" s="23"/>
      <c r="AO420" s="33">
        <f>W420+AM420</f>
        <v>27622584</v>
      </c>
      <c r="AP420" s="33"/>
    </row>
    <row r="421" spans="1:42" hidden="1">
      <c r="A421" s="11" t="s">
        <v>817</v>
      </c>
      <c r="B421" s="11"/>
      <c r="C421" s="11" t="s">
        <v>71</v>
      </c>
      <c r="D421" s="23"/>
      <c r="E421" s="6"/>
      <c r="F421" s="23"/>
      <c r="G421" s="6"/>
      <c r="H421" s="23"/>
      <c r="I421" s="6"/>
      <c r="J421" s="23"/>
      <c r="K421" s="6"/>
      <c r="L421" s="23"/>
      <c r="M421" s="6"/>
      <c r="N421" s="23"/>
      <c r="O421" s="6"/>
      <c r="P421" s="23"/>
      <c r="Q421" s="6"/>
      <c r="R421" s="23"/>
      <c r="S421" s="6"/>
      <c r="T421" s="23"/>
      <c r="U421" s="6"/>
      <c r="V421" s="23"/>
      <c r="W421" s="33">
        <f t="shared" ref="W421" si="69">SUM(E421:U421)</f>
        <v>0</v>
      </c>
      <c r="X421" s="23"/>
      <c r="Y421" s="23"/>
      <c r="Z421" s="23"/>
      <c r="AA421" s="23">
        <v>0</v>
      </c>
      <c r="AB421" s="23"/>
      <c r="AC421" s="23"/>
      <c r="AD421" s="23"/>
      <c r="AE421" s="23"/>
      <c r="AF421" s="23"/>
      <c r="AG421" s="23"/>
      <c r="AH421" s="23"/>
      <c r="AI421" s="23"/>
      <c r="AJ421" s="23"/>
      <c r="AK421" s="23">
        <v>0</v>
      </c>
      <c r="AL421" s="23"/>
      <c r="AM421" s="33">
        <f>AI421+AC421+Y421</f>
        <v>0</v>
      </c>
      <c r="AN421" s="23"/>
      <c r="AO421" s="33">
        <f>W421+AM421</f>
        <v>0</v>
      </c>
      <c r="AP421" s="33"/>
    </row>
    <row r="422" spans="1:42">
      <c r="A422" s="11" t="s">
        <v>631</v>
      </c>
      <c r="B422" s="11"/>
      <c r="C422" s="11" t="s">
        <v>32</v>
      </c>
      <c r="D422" s="23"/>
      <c r="E422" s="6">
        <v>13838096</v>
      </c>
      <c r="F422" s="23"/>
      <c r="G422" s="6">
        <v>0</v>
      </c>
      <c r="H422" s="23"/>
      <c r="I422" s="6">
        <v>13791116</v>
      </c>
      <c r="J422" s="23"/>
      <c r="K422" s="6">
        <v>3671</v>
      </c>
      <c r="L422" s="23"/>
      <c r="M422" s="6">
        <f>186207+217944</f>
        <v>404151</v>
      </c>
      <c r="N422" s="23"/>
      <c r="O422" s="6">
        <v>215201</v>
      </c>
      <c r="P422" s="23"/>
      <c r="Q422" s="6">
        <v>382953</v>
      </c>
      <c r="R422" s="23"/>
      <c r="S422" s="6">
        <v>100000</v>
      </c>
      <c r="T422" s="23"/>
      <c r="U422" s="6">
        <v>382441</v>
      </c>
      <c r="V422" s="23"/>
      <c r="W422" s="33">
        <f t="shared" si="62"/>
        <v>29117629</v>
      </c>
      <c r="X422" s="23"/>
      <c r="Y422" s="23">
        <v>1016333</v>
      </c>
      <c r="Z422" s="23"/>
      <c r="AA422" s="23">
        <v>0</v>
      </c>
      <c r="AB422" s="23"/>
      <c r="AC422" s="23">
        <v>0</v>
      </c>
      <c r="AD422" s="23"/>
      <c r="AE422" s="23"/>
      <c r="AF422" s="23"/>
      <c r="AG422" s="23"/>
      <c r="AH422" s="23"/>
      <c r="AI422" s="23">
        <v>0</v>
      </c>
      <c r="AJ422" s="23"/>
      <c r="AK422" s="23">
        <v>0</v>
      </c>
      <c r="AL422" s="23"/>
      <c r="AM422" s="33">
        <f>AI422+AC422+Y422</f>
        <v>1016333</v>
      </c>
      <c r="AN422" s="23"/>
      <c r="AO422" s="33">
        <f>W422+AM422</f>
        <v>30133962</v>
      </c>
      <c r="AP422" s="33"/>
    </row>
    <row r="423" spans="1:42" hidden="1">
      <c r="A423" s="11" t="s">
        <v>738</v>
      </c>
      <c r="B423" s="11"/>
      <c r="C423" s="11" t="s">
        <v>38</v>
      </c>
      <c r="D423" s="23"/>
      <c r="E423" s="6"/>
      <c r="F423" s="23"/>
      <c r="G423" s="6"/>
      <c r="H423" s="23"/>
      <c r="I423" s="6"/>
      <c r="J423" s="23"/>
      <c r="K423" s="6"/>
      <c r="L423" s="23"/>
      <c r="M423" s="6"/>
      <c r="N423" s="23"/>
      <c r="O423" s="6"/>
      <c r="P423" s="23"/>
      <c r="Q423" s="6"/>
      <c r="R423" s="23"/>
      <c r="S423" s="6"/>
      <c r="T423" s="23"/>
      <c r="U423" s="6"/>
      <c r="V423" s="23"/>
      <c r="W423" s="33"/>
      <c r="X423" s="23"/>
      <c r="Y423" s="23"/>
      <c r="Z423" s="23"/>
      <c r="AA423" s="23">
        <v>0</v>
      </c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33"/>
      <c r="AN423" s="23"/>
      <c r="AO423" s="33"/>
      <c r="AP423" s="33"/>
    </row>
    <row r="424" spans="1:42">
      <c r="A424" s="11" t="s">
        <v>328</v>
      </c>
      <c r="B424" s="11"/>
      <c r="C424" s="11" t="s">
        <v>32</v>
      </c>
      <c r="D424" s="23"/>
      <c r="E424" s="6">
        <v>28235311</v>
      </c>
      <c r="F424" s="23"/>
      <c r="G424" s="6">
        <v>0</v>
      </c>
      <c r="H424" s="23"/>
      <c r="I424" s="6">
        <v>34562003</v>
      </c>
      <c r="J424" s="23"/>
      <c r="K424" s="6">
        <v>51480</v>
      </c>
      <c r="L424" s="23"/>
      <c r="M424" s="6">
        <f>1241469+2019973</f>
        <v>3261442</v>
      </c>
      <c r="N424" s="23"/>
      <c r="O424" s="6">
        <v>1527380</v>
      </c>
      <c r="P424" s="23"/>
      <c r="Q424" s="6">
        <v>9619710</v>
      </c>
      <c r="R424" s="23"/>
      <c r="S424" s="6">
        <v>0</v>
      </c>
      <c r="T424" s="23"/>
      <c r="U424" s="6">
        <v>484497</v>
      </c>
      <c r="V424" s="23"/>
      <c r="W424" s="33">
        <f t="shared" si="62"/>
        <v>77741823</v>
      </c>
      <c r="X424" s="23"/>
      <c r="Y424" s="23">
        <v>371484</v>
      </c>
      <c r="Z424" s="23"/>
      <c r="AA424" s="23">
        <v>0</v>
      </c>
      <c r="AB424" s="23"/>
      <c r="AC424" s="23">
        <v>0</v>
      </c>
      <c r="AD424" s="23"/>
      <c r="AE424" s="23"/>
      <c r="AF424" s="23"/>
      <c r="AG424" s="23"/>
      <c r="AH424" s="23"/>
      <c r="AI424" s="23">
        <v>0</v>
      </c>
      <c r="AJ424" s="23"/>
      <c r="AK424" s="23">
        <v>0</v>
      </c>
      <c r="AL424" s="23"/>
      <c r="AM424" s="33">
        <f t="shared" ref="AM424:AM447" si="70">AI424+AC424+Y424</f>
        <v>371484</v>
      </c>
      <c r="AN424" s="23"/>
      <c r="AO424" s="33">
        <f t="shared" ref="AO424:AO487" si="71">W424+AM424</f>
        <v>78113307</v>
      </c>
      <c r="AP424" s="33"/>
    </row>
    <row r="425" spans="1:42">
      <c r="A425" s="11" t="s">
        <v>435</v>
      </c>
      <c r="B425" s="11"/>
      <c r="C425" s="11" t="s">
        <v>50</v>
      </c>
      <c r="D425" s="23"/>
      <c r="E425" s="6">
        <v>16704835</v>
      </c>
      <c r="F425" s="23"/>
      <c r="G425" s="6">
        <v>0</v>
      </c>
      <c r="H425" s="23"/>
      <c r="I425" s="6">
        <v>8533814</v>
      </c>
      <c r="J425" s="23"/>
      <c r="K425" s="6">
        <v>22849</v>
      </c>
      <c r="L425" s="23"/>
      <c r="M425" s="6">
        <f>243207+400+522871</f>
        <v>766478</v>
      </c>
      <c r="N425" s="23"/>
      <c r="O425" s="6">
        <v>305816</v>
      </c>
      <c r="P425" s="23"/>
      <c r="Q425" s="6">
        <v>0</v>
      </c>
      <c r="R425" s="23"/>
      <c r="S425" s="6">
        <v>266322</v>
      </c>
      <c r="T425" s="23"/>
      <c r="U425" s="6">
        <v>106827</v>
      </c>
      <c r="V425" s="23"/>
      <c r="W425" s="33">
        <f t="shared" si="62"/>
        <v>26706941</v>
      </c>
      <c r="X425" s="23"/>
      <c r="Y425" s="23">
        <v>350572</v>
      </c>
      <c r="Z425" s="23"/>
      <c r="AA425" s="23">
        <v>0</v>
      </c>
      <c r="AB425" s="23"/>
      <c r="AC425" s="23">
        <v>358333</v>
      </c>
      <c r="AD425" s="23"/>
      <c r="AE425" s="23"/>
      <c r="AF425" s="23"/>
      <c r="AG425" s="23"/>
      <c r="AH425" s="23"/>
      <c r="AI425" s="23">
        <v>0</v>
      </c>
      <c r="AJ425" s="23"/>
      <c r="AK425" s="23">
        <v>0</v>
      </c>
      <c r="AL425" s="23"/>
      <c r="AM425" s="33">
        <f t="shared" si="70"/>
        <v>708905</v>
      </c>
      <c r="AN425" s="23"/>
      <c r="AO425" s="33">
        <f t="shared" si="71"/>
        <v>27415846</v>
      </c>
      <c r="AP425" s="33"/>
    </row>
    <row r="426" spans="1:42">
      <c r="A426" s="11" t="s">
        <v>389</v>
      </c>
      <c r="B426" s="11"/>
      <c r="C426" s="11" t="s">
        <v>44</v>
      </c>
      <c r="D426" s="23"/>
      <c r="E426" s="6">
        <v>8576651</v>
      </c>
      <c r="F426" s="23"/>
      <c r="G426" s="6">
        <v>0</v>
      </c>
      <c r="H426" s="23"/>
      <c r="I426" s="6">
        <v>6015367</v>
      </c>
      <c r="J426" s="23"/>
      <c r="K426" s="6">
        <v>718</v>
      </c>
      <c r="L426" s="23"/>
      <c r="M426" s="6">
        <f>391182+43775+16218+109800</f>
        <v>560975</v>
      </c>
      <c r="N426" s="23"/>
      <c r="O426" s="6">
        <v>37775</v>
      </c>
      <c r="P426" s="23"/>
      <c r="Q426" s="6">
        <v>0</v>
      </c>
      <c r="R426" s="23"/>
      <c r="S426" s="6">
        <v>138264</v>
      </c>
      <c r="T426" s="23"/>
      <c r="U426" s="6">
        <v>129915</v>
      </c>
      <c r="V426" s="23"/>
      <c r="W426" s="33">
        <f t="shared" si="62"/>
        <v>15459665</v>
      </c>
      <c r="X426" s="23"/>
      <c r="Y426" s="23">
        <v>55978</v>
      </c>
      <c r="Z426" s="23"/>
      <c r="AA426" s="23">
        <v>0</v>
      </c>
      <c r="AB426" s="23"/>
      <c r="AC426" s="23">
        <v>165025</v>
      </c>
      <c r="AD426" s="23"/>
      <c r="AE426" s="23"/>
      <c r="AF426" s="23"/>
      <c r="AG426" s="23"/>
      <c r="AH426" s="23"/>
      <c r="AI426" s="23">
        <v>0</v>
      </c>
      <c r="AJ426" s="23"/>
      <c r="AK426" s="23">
        <v>0</v>
      </c>
      <c r="AL426" s="23"/>
      <c r="AM426" s="33">
        <f t="shared" si="70"/>
        <v>221003</v>
      </c>
      <c r="AN426" s="23"/>
      <c r="AO426" s="33">
        <f t="shared" si="71"/>
        <v>15680668</v>
      </c>
      <c r="AP426" s="33"/>
    </row>
    <row r="427" spans="1:42" hidden="1">
      <c r="A427" s="11" t="s">
        <v>614</v>
      </c>
      <c r="B427" s="11"/>
      <c r="C427" s="11" t="s">
        <v>60</v>
      </c>
      <c r="D427" s="23"/>
      <c r="E427" s="6"/>
      <c r="F427" s="23"/>
      <c r="G427" s="6"/>
      <c r="H427" s="23"/>
      <c r="I427" s="6"/>
      <c r="J427" s="23"/>
      <c r="K427" s="6"/>
      <c r="L427" s="23"/>
      <c r="M427" s="6"/>
      <c r="N427" s="23"/>
      <c r="O427" s="6"/>
      <c r="P427" s="23"/>
      <c r="Q427" s="6"/>
      <c r="R427" s="23"/>
      <c r="S427" s="6"/>
      <c r="T427" s="23"/>
      <c r="U427" s="6"/>
      <c r="V427" s="23"/>
      <c r="W427" s="33">
        <f t="shared" si="62"/>
        <v>0</v>
      </c>
      <c r="X427" s="23"/>
      <c r="Y427" s="23"/>
      <c r="Z427" s="23"/>
      <c r="AA427" s="23">
        <v>0</v>
      </c>
      <c r="AB427" s="23"/>
      <c r="AC427" s="23"/>
      <c r="AD427" s="23"/>
      <c r="AE427" s="23"/>
      <c r="AF427" s="23"/>
      <c r="AG427" s="23"/>
      <c r="AH427" s="23"/>
      <c r="AI427" s="23"/>
      <c r="AJ427" s="23"/>
      <c r="AK427" s="23">
        <v>0</v>
      </c>
      <c r="AL427" s="23"/>
      <c r="AM427" s="33">
        <f t="shared" si="70"/>
        <v>0</v>
      </c>
      <c r="AN427" s="23"/>
      <c r="AO427" s="33">
        <f t="shared" si="71"/>
        <v>0</v>
      </c>
      <c r="AP427" s="33"/>
    </row>
    <row r="428" spans="1:42">
      <c r="A428" s="11" t="s">
        <v>284</v>
      </c>
      <c r="B428" s="11"/>
      <c r="C428" s="11" t="s">
        <v>23</v>
      </c>
      <c r="D428" s="23"/>
      <c r="E428" s="6">
        <v>145041957</v>
      </c>
      <c r="F428" s="23"/>
      <c r="G428" s="6">
        <v>0</v>
      </c>
      <c r="H428" s="23"/>
      <c r="I428" s="6">
        <f>5102951+26208232+363521</f>
        <v>31674704</v>
      </c>
      <c r="J428" s="23"/>
      <c r="K428" s="6">
        <v>353754</v>
      </c>
      <c r="L428" s="23"/>
      <c r="M428" s="6">
        <f>6317209+1718769</f>
        <v>8035978</v>
      </c>
      <c r="N428" s="23"/>
      <c r="O428" s="6">
        <v>568545</v>
      </c>
      <c r="P428" s="23"/>
      <c r="Q428" s="6">
        <v>11507041</v>
      </c>
      <c r="R428" s="23"/>
      <c r="S428" s="6">
        <v>0</v>
      </c>
      <c r="T428" s="23"/>
      <c r="U428" s="6">
        <v>2094213</v>
      </c>
      <c r="V428" s="23"/>
      <c r="W428" s="33">
        <f t="shared" si="62"/>
        <v>199276192</v>
      </c>
      <c r="X428" s="23"/>
      <c r="Y428" s="23">
        <v>0</v>
      </c>
      <c r="Z428" s="23"/>
      <c r="AA428" s="23">
        <v>0</v>
      </c>
      <c r="AB428" s="23"/>
      <c r="AC428" s="23">
        <f>2100000+440134+9570000+340845</f>
        <v>12450979</v>
      </c>
      <c r="AD428" s="23"/>
      <c r="AE428" s="23"/>
      <c r="AF428" s="23"/>
      <c r="AG428" s="23"/>
      <c r="AH428" s="23"/>
      <c r="AI428" s="23">
        <v>0</v>
      </c>
      <c r="AJ428" s="23"/>
      <c r="AK428" s="23">
        <v>0</v>
      </c>
      <c r="AL428" s="23"/>
      <c r="AM428" s="33">
        <f t="shared" si="70"/>
        <v>12450979</v>
      </c>
      <c r="AN428" s="23"/>
      <c r="AO428" s="33">
        <f t="shared" si="71"/>
        <v>211727171</v>
      </c>
      <c r="AP428" s="33"/>
    </row>
    <row r="429" spans="1:42">
      <c r="A429" s="11" t="s">
        <v>273</v>
      </c>
      <c r="B429" s="11"/>
      <c r="C429" s="11" t="s">
        <v>20</v>
      </c>
      <c r="D429" s="23"/>
      <c r="E429" s="6">
        <v>24576477</v>
      </c>
      <c r="F429" s="23"/>
      <c r="G429" s="6">
        <v>0</v>
      </c>
      <c r="H429" s="23"/>
      <c r="I429" s="6">
        <v>16734255</v>
      </c>
      <c r="J429" s="23"/>
      <c r="K429" s="6">
        <v>34159</v>
      </c>
      <c r="L429" s="23"/>
      <c r="M429" s="6">
        <f>396831+1027770+42072</f>
        <v>1466673</v>
      </c>
      <c r="N429" s="23"/>
      <c r="O429" s="6">
        <v>424578</v>
      </c>
      <c r="P429" s="23"/>
      <c r="Q429" s="6">
        <v>0</v>
      </c>
      <c r="R429" s="23"/>
      <c r="S429" s="6">
        <v>90126</v>
      </c>
      <c r="T429" s="23"/>
      <c r="U429" s="6">
        <v>290706</v>
      </c>
      <c r="V429" s="23"/>
      <c r="W429" s="33">
        <f t="shared" si="62"/>
        <v>43616974</v>
      </c>
      <c r="X429" s="23"/>
      <c r="Y429" s="23">
        <v>700000</v>
      </c>
      <c r="Z429" s="23"/>
      <c r="AA429" s="23">
        <v>0</v>
      </c>
      <c r="AB429" s="23"/>
      <c r="AC429" s="23">
        <v>700000</v>
      </c>
      <c r="AD429" s="23"/>
      <c r="AE429" s="23"/>
      <c r="AF429" s="23"/>
      <c r="AG429" s="23"/>
      <c r="AH429" s="23"/>
      <c r="AI429" s="23">
        <v>0</v>
      </c>
      <c r="AJ429" s="23"/>
      <c r="AK429" s="23">
        <v>0</v>
      </c>
      <c r="AL429" s="23"/>
      <c r="AM429" s="33">
        <f t="shared" si="70"/>
        <v>1400000</v>
      </c>
      <c r="AN429" s="23"/>
      <c r="AO429" s="33">
        <f t="shared" si="71"/>
        <v>45016974</v>
      </c>
      <c r="AP429" s="33"/>
    </row>
    <row r="430" spans="1:42">
      <c r="A430" s="11" t="s">
        <v>470</v>
      </c>
      <c r="B430" s="11"/>
      <c r="C430" s="11" t="s">
        <v>110</v>
      </c>
      <c r="D430" s="23"/>
      <c r="E430" s="6">
        <v>9649127</v>
      </c>
      <c r="F430" s="23"/>
      <c r="G430" s="6">
        <v>0</v>
      </c>
      <c r="H430" s="23"/>
      <c r="I430" s="6">
        <f>4795+5577564+918761</f>
        <v>6501120</v>
      </c>
      <c r="J430" s="23"/>
      <c r="K430" s="6">
        <v>45261</v>
      </c>
      <c r="L430" s="23"/>
      <c r="M430" s="6">
        <f>883975+442432+287994+18793</f>
        <v>1633194</v>
      </c>
      <c r="N430" s="23"/>
      <c r="O430" s="6">
        <v>264888</v>
      </c>
      <c r="P430" s="23"/>
      <c r="Q430" s="6">
        <v>34696</v>
      </c>
      <c r="R430" s="23"/>
      <c r="S430" s="6">
        <v>46053</v>
      </c>
      <c r="T430" s="23"/>
      <c r="U430" s="6">
        <v>13031</v>
      </c>
      <c r="V430" s="23"/>
      <c r="W430" s="33">
        <f t="shared" si="62"/>
        <v>18187370</v>
      </c>
      <c r="X430" s="23"/>
      <c r="Y430" s="23">
        <v>0</v>
      </c>
      <c r="Z430" s="23"/>
      <c r="AA430" s="23">
        <v>0</v>
      </c>
      <c r="AB430" s="23"/>
      <c r="AC430" s="23">
        <v>1252387</v>
      </c>
      <c r="AD430" s="23"/>
      <c r="AE430" s="23"/>
      <c r="AF430" s="23"/>
      <c r="AG430" s="23"/>
      <c r="AH430" s="23"/>
      <c r="AI430" s="23">
        <v>0</v>
      </c>
      <c r="AJ430" s="23"/>
      <c r="AK430" s="23">
        <v>0</v>
      </c>
      <c r="AL430" s="23"/>
      <c r="AM430" s="33">
        <f t="shared" si="70"/>
        <v>1252387</v>
      </c>
      <c r="AN430" s="23"/>
      <c r="AO430" s="33">
        <f t="shared" si="71"/>
        <v>19439757</v>
      </c>
      <c r="AP430" s="33"/>
    </row>
    <row r="431" spans="1:42">
      <c r="A431" s="11" t="s">
        <v>274</v>
      </c>
      <c r="B431" s="11"/>
      <c r="C431" s="11" t="s">
        <v>20</v>
      </c>
      <c r="D431" s="23"/>
      <c r="E431" s="6">
        <v>40698349</v>
      </c>
      <c r="F431" s="23"/>
      <c r="G431" s="6">
        <v>0</v>
      </c>
      <c r="H431" s="23"/>
      <c r="I431" s="6">
        <f>42230+8975160+1063749</f>
        <v>10081139</v>
      </c>
      <c r="J431" s="23"/>
      <c r="K431" s="6">
        <v>343606</v>
      </c>
      <c r="L431" s="23"/>
      <c r="M431" s="6">
        <f>3716625+546196+60919+5540+40815</f>
        <v>4370095</v>
      </c>
      <c r="N431" s="23"/>
      <c r="O431" s="6">
        <v>221695</v>
      </c>
      <c r="P431" s="23"/>
      <c r="Q431" s="6">
        <v>0</v>
      </c>
      <c r="R431" s="23"/>
      <c r="S431" s="6">
        <v>18886</v>
      </c>
      <c r="T431" s="23"/>
      <c r="U431" s="6">
        <v>33558</v>
      </c>
      <c r="V431" s="23"/>
      <c r="W431" s="33">
        <f t="shared" ref="W431:W432" si="72">SUM(E431:U431)</f>
        <v>55767328</v>
      </c>
      <c r="X431" s="23"/>
      <c r="Y431" s="23">
        <v>110000</v>
      </c>
      <c r="Z431" s="23"/>
      <c r="AA431" s="23">
        <v>0</v>
      </c>
      <c r="AB431" s="23"/>
      <c r="AC431" s="23">
        <v>0</v>
      </c>
      <c r="AD431" s="23"/>
      <c r="AE431" s="23"/>
      <c r="AF431" s="23"/>
      <c r="AG431" s="23"/>
      <c r="AH431" s="23"/>
      <c r="AI431" s="23">
        <v>0</v>
      </c>
      <c r="AJ431" s="23"/>
      <c r="AK431" s="23">
        <v>0</v>
      </c>
      <c r="AL431" s="23"/>
      <c r="AM431" s="33">
        <f t="shared" si="70"/>
        <v>110000</v>
      </c>
      <c r="AN431" s="23"/>
      <c r="AO431" s="33">
        <f t="shared" si="71"/>
        <v>55877328</v>
      </c>
      <c r="AP431" s="33"/>
    </row>
    <row r="432" spans="1:42">
      <c r="A432" s="11" t="s">
        <v>391</v>
      </c>
      <c r="B432" s="11"/>
      <c r="C432" s="11" t="s">
        <v>115</v>
      </c>
      <c r="D432" s="23"/>
      <c r="E432" s="6">
        <v>22578035</v>
      </c>
      <c r="F432" s="23"/>
      <c r="G432" s="6">
        <v>0</v>
      </c>
      <c r="H432" s="23"/>
      <c r="I432" s="6">
        <f>18066548+3343327</f>
        <v>21409875</v>
      </c>
      <c r="J432" s="23"/>
      <c r="K432" s="6">
        <v>55372</v>
      </c>
      <c r="L432" s="23"/>
      <c r="M432" s="6">
        <f>1473052+148044+756807</f>
        <v>2377903</v>
      </c>
      <c r="N432" s="23"/>
      <c r="O432" s="6">
        <v>310811</v>
      </c>
      <c r="P432" s="23"/>
      <c r="Q432" s="6">
        <v>187454</v>
      </c>
      <c r="R432" s="23"/>
      <c r="S432" s="6">
        <v>0</v>
      </c>
      <c r="T432" s="23"/>
      <c r="U432" s="6">
        <v>170352</v>
      </c>
      <c r="V432" s="23"/>
      <c r="W432" s="33">
        <f t="shared" si="72"/>
        <v>47089802</v>
      </c>
      <c r="X432" s="23"/>
      <c r="Y432" s="23">
        <v>105864</v>
      </c>
      <c r="Z432" s="23"/>
      <c r="AA432" s="23">
        <v>0</v>
      </c>
      <c r="AB432" s="23"/>
      <c r="AC432" s="23">
        <f>79260+2500341</f>
        <v>2579601</v>
      </c>
      <c r="AD432" s="23"/>
      <c r="AE432" s="23"/>
      <c r="AF432" s="23"/>
      <c r="AG432" s="23"/>
      <c r="AH432" s="23"/>
      <c r="AI432" s="23">
        <v>15023</v>
      </c>
      <c r="AJ432" s="23"/>
      <c r="AK432" s="23">
        <v>0</v>
      </c>
      <c r="AL432" s="23"/>
      <c r="AM432" s="33">
        <f t="shared" si="70"/>
        <v>2700488</v>
      </c>
      <c r="AN432" s="23"/>
      <c r="AO432" s="33">
        <f t="shared" si="71"/>
        <v>49790290</v>
      </c>
      <c r="AP432" s="33"/>
    </row>
    <row r="433" spans="1:42" hidden="1">
      <c r="A433" s="11" t="s">
        <v>818</v>
      </c>
      <c r="B433" s="11"/>
      <c r="C433" s="11" t="s">
        <v>71</v>
      </c>
      <c r="D433" s="23"/>
      <c r="E433" s="6"/>
      <c r="F433" s="23"/>
      <c r="G433" s="6"/>
      <c r="H433" s="23"/>
      <c r="I433" s="6"/>
      <c r="J433" s="23"/>
      <c r="K433" s="6"/>
      <c r="L433" s="23"/>
      <c r="M433" s="6"/>
      <c r="N433" s="23"/>
      <c r="O433" s="6"/>
      <c r="P433" s="23"/>
      <c r="Q433" s="6"/>
      <c r="R433" s="23"/>
      <c r="S433" s="6"/>
      <c r="T433" s="23"/>
      <c r="U433" s="6"/>
      <c r="V433" s="23"/>
      <c r="W433" s="33">
        <f t="shared" ref="W433:W436" si="73">SUM(E433:U433)</f>
        <v>0</v>
      </c>
      <c r="X433" s="23"/>
      <c r="Y433" s="23"/>
      <c r="Z433" s="23"/>
      <c r="AA433" s="23">
        <v>0</v>
      </c>
      <c r="AB433" s="23"/>
      <c r="AC433" s="23"/>
      <c r="AD433" s="23"/>
      <c r="AE433" s="23"/>
      <c r="AF433" s="23"/>
      <c r="AG433" s="23"/>
      <c r="AH433" s="23"/>
      <c r="AI433" s="23"/>
      <c r="AJ433" s="23"/>
      <c r="AK433" s="23">
        <v>0</v>
      </c>
      <c r="AL433" s="23"/>
      <c r="AM433" s="33">
        <f t="shared" si="70"/>
        <v>0</v>
      </c>
      <c r="AN433" s="23"/>
      <c r="AO433" s="33">
        <f t="shared" si="71"/>
        <v>0</v>
      </c>
      <c r="AP433" s="33"/>
    </row>
    <row r="434" spans="1:42" hidden="1">
      <c r="A434" s="10" t="s">
        <v>883</v>
      </c>
      <c r="B434" s="11"/>
      <c r="C434" s="11" t="s">
        <v>62</v>
      </c>
      <c r="D434" s="23"/>
      <c r="E434" s="6">
        <v>0</v>
      </c>
      <c r="F434" s="23"/>
      <c r="G434" s="6">
        <v>0</v>
      </c>
      <c r="H434" s="23"/>
      <c r="I434" s="6">
        <v>0</v>
      </c>
      <c r="J434" s="23"/>
      <c r="K434" s="6">
        <v>0</v>
      </c>
      <c r="L434" s="23"/>
      <c r="M434" s="6">
        <v>0</v>
      </c>
      <c r="N434" s="23"/>
      <c r="O434" s="6">
        <v>0</v>
      </c>
      <c r="P434" s="23"/>
      <c r="Q434" s="6">
        <v>0</v>
      </c>
      <c r="R434" s="23"/>
      <c r="S434" s="6">
        <v>0</v>
      </c>
      <c r="T434" s="23"/>
      <c r="U434" s="6">
        <v>0</v>
      </c>
      <c r="V434" s="23"/>
      <c r="W434" s="33">
        <f t="shared" si="73"/>
        <v>0</v>
      </c>
      <c r="X434" s="23"/>
      <c r="Y434" s="23">
        <v>0</v>
      </c>
      <c r="Z434" s="23"/>
      <c r="AA434" s="23">
        <v>0</v>
      </c>
      <c r="AB434" s="23"/>
      <c r="AC434" s="23">
        <v>0</v>
      </c>
      <c r="AD434" s="23"/>
      <c r="AE434" s="23"/>
      <c r="AF434" s="23"/>
      <c r="AG434" s="23"/>
      <c r="AH434" s="23"/>
      <c r="AI434" s="23">
        <v>0</v>
      </c>
      <c r="AJ434" s="23"/>
      <c r="AK434" s="23">
        <v>0</v>
      </c>
      <c r="AL434" s="23"/>
      <c r="AM434" s="33">
        <f t="shared" si="70"/>
        <v>0</v>
      </c>
      <c r="AN434" s="23"/>
      <c r="AO434" s="33">
        <f t="shared" si="71"/>
        <v>0</v>
      </c>
      <c r="AP434" s="33"/>
    </row>
    <row r="435" spans="1:42">
      <c r="A435" s="11" t="s">
        <v>557</v>
      </c>
      <c r="B435" s="11"/>
      <c r="C435" s="11" t="s">
        <v>72</v>
      </c>
      <c r="D435" s="23"/>
      <c r="E435" s="6">
        <v>4648878</v>
      </c>
      <c r="F435" s="23"/>
      <c r="G435" s="6">
        <v>2383490</v>
      </c>
      <c r="H435" s="23"/>
      <c r="I435" s="6">
        <v>19114543</v>
      </c>
      <c r="J435" s="23"/>
      <c r="K435" s="6">
        <v>10034</v>
      </c>
      <c r="L435" s="23"/>
      <c r="M435" s="6">
        <f>564669+355603</f>
        <v>920272</v>
      </c>
      <c r="N435" s="23"/>
      <c r="O435" s="6">
        <v>124252</v>
      </c>
      <c r="P435" s="23"/>
      <c r="Q435" s="6">
        <v>0</v>
      </c>
      <c r="R435" s="23"/>
      <c r="S435" s="6">
        <v>15812</v>
      </c>
      <c r="T435" s="23"/>
      <c r="U435" s="6">
        <v>133195</v>
      </c>
      <c r="V435" s="23"/>
      <c r="W435" s="33">
        <f t="shared" si="73"/>
        <v>27350476</v>
      </c>
      <c r="X435" s="23"/>
      <c r="Y435" s="23">
        <v>108997</v>
      </c>
      <c r="Z435" s="23"/>
      <c r="AA435" s="23">
        <v>0</v>
      </c>
      <c r="AB435" s="23"/>
      <c r="AC435" s="23">
        <v>0</v>
      </c>
      <c r="AD435" s="23"/>
      <c r="AE435" s="23"/>
      <c r="AF435" s="23"/>
      <c r="AG435" s="23"/>
      <c r="AH435" s="23"/>
      <c r="AI435" s="23">
        <v>0</v>
      </c>
      <c r="AJ435" s="23"/>
      <c r="AK435" s="23">
        <v>0</v>
      </c>
      <c r="AL435" s="23"/>
      <c r="AM435" s="33">
        <f t="shared" si="70"/>
        <v>108997</v>
      </c>
      <c r="AN435" s="23"/>
      <c r="AO435" s="33">
        <f t="shared" si="71"/>
        <v>27459473</v>
      </c>
      <c r="AP435" s="33"/>
    </row>
    <row r="436" spans="1:42">
      <c r="A436" s="11" t="s">
        <v>392</v>
      </c>
      <c r="B436" s="11"/>
      <c r="C436" s="11" t="s">
        <v>115</v>
      </c>
      <c r="D436" s="23"/>
      <c r="E436" s="6">
        <v>10649901</v>
      </c>
      <c r="F436" s="23"/>
      <c r="G436" s="6">
        <v>0</v>
      </c>
      <c r="H436" s="23"/>
      <c r="I436" s="6">
        <f>3603526+250309</f>
        <v>3853835</v>
      </c>
      <c r="J436" s="23"/>
      <c r="K436" s="6">
        <v>5489</v>
      </c>
      <c r="L436" s="23"/>
      <c r="M436" s="6">
        <f>58335+1577+73373</f>
        <v>133285</v>
      </c>
      <c r="N436" s="23"/>
      <c r="O436" s="6">
        <v>206186</v>
      </c>
      <c r="P436" s="23"/>
      <c r="Q436" s="6">
        <v>0</v>
      </c>
      <c r="R436" s="23"/>
      <c r="S436" s="6">
        <v>0</v>
      </c>
      <c r="T436" s="23"/>
      <c r="U436" s="6">
        <v>120981</v>
      </c>
      <c r="V436" s="23"/>
      <c r="W436" s="33">
        <f t="shared" si="73"/>
        <v>14969677</v>
      </c>
      <c r="X436" s="23"/>
      <c r="Y436" s="23">
        <v>126430</v>
      </c>
      <c r="Z436" s="23"/>
      <c r="AA436" s="23">
        <v>0</v>
      </c>
      <c r="AB436" s="23"/>
      <c r="AC436" s="23">
        <v>0</v>
      </c>
      <c r="AD436" s="23"/>
      <c r="AE436" s="23"/>
      <c r="AF436" s="23"/>
      <c r="AG436" s="23"/>
      <c r="AH436" s="23"/>
      <c r="AI436" s="23">
        <v>8514</v>
      </c>
      <c r="AJ436" s="23"/>
      <c r="AK436" s="23">
        <v>0</v>
      </c>
      <c r="AL436" s="23"/>
      <c r="AM436" s="33">
        <f t="shared" si="70"/>
        <v>134944</v>
      </c>
      <c r="AN436" s="23"/>
      <c r="AO436" s="33">
        <f t="shared" si="71"/>
        <v>15104621</v>
      </c>
      <c r="AP436" s="33"/>
    </row>
    <row r="437" spans="1:42" hidden="1">
      <c r="A437" s="11" t="s">
        <v>710</v>
      </c>
      <c r="B437" s="11"/>
      <c r="C437" s="11" t="s">
        <v>467</v>
      </c>
      <c r="D437" s="23"/>
      <c r="E437" s="6"/>
      <c r="F437" s="23"/>
      <c r="G437" s="6"/>
      <c r="H437" s="23"/>
      <c r="I437" s="6"/>
      <c r="J437" s="23"/>
      <c r="K437" s="6"/>
      <c r="L437" s="23"/>
      <c r="M437" s="6"/>
      <c r="N437" s="23"/>
      <c r="O437" s="6"/>
      <c r="P437" s="23"/>
      <c r="Q437" s="6"/>
      <c r="R437" s="23"/>
      <c r="S437" s="6"/>
      <c r="T437" s="23"/>
      <c r="U437" s="6"/>
      <c r="V437" s="23"/>
      <c r="W437" s="33">
        <f t="shared" ref="W437:W487" si="74">SUM(E437:U437)</f>
        <v>0</v>
      </c>
      <c r="X437" s="23"/>
      <c r="Y437" s="23"/>
      <c r="Z437" s="23"/>
      <c r="AA437" s="23">
        <v>0</v>
      </c>
      <c r="AB437" s="23"/>
      <c r="AC437" s="23"/>
      <c r="AD437" s="23"/>
      <c r="AE437" s="23"/>
      <c r="AF437" s="23"/>
      <c r="AG437" s="23"/>
      <c r="AH437" s="23"/>
      <c r="AI437" s="23"/>
      <c r="AJ437" s="23"/>
      <c r="AK437" s="23">
        <v>0</v>
      </c>
      <c r="AL437" s="23"/>
      <c r="AM437" s="33">
        <f t="shared" si="70"/>
        <v>0</v>
      </c>
      <c r="AN437" s="23"/>
      <c r="AO437" s="33">
        <f t="shared" si="71"/>
        <v>0</v>
      </c>
      <c r="AP437" s="33"/>
    </row>
    <row r="438" spans="1:42" hidden="1">
      <c r="A438" s="11" t="s">
        <v>819</v>
      </c>
      <c r="B438" s="11"/>
      <c r="C438" s="11" t="s">
        <v>467</v>
      </c>
      <c r="D438" s="23"/>
      <c r="E438" s="6"/>
      <c r="F438" s="23"/>
      <c r="G438" s="6"/>
      <c r="H438" s="23"/>
      <c r="I438" s="6"/>
      <c r="J438" s="23"/>
      <c r="K438" s="6"/>
      <c r="L438" s="23"/>
      <c r="M438" s="6"/>
      <c r="N438" s="23"/>
      <c r="O438" s="6"/>
      <c r="P438" s="23"/>
      <c r="Q438" s="6"/>
      <c r="R438" s="23"/>
      <c r="S438" s="6"/>
      <c r="T438" s="23"/>
      <c r="U438" s="6"/>
      <c r="V438" s="23"/>
      <c r="W438" s="33">
        <f t="shared" si="74"/>
        <v>0</v>
      </c>
      <c r="X438" s="23"/>
      <c r="Y438" s="23"/>
      <c r="Z438" s="23"/>
      <c r="AA438" s="23">
        <v>0</v>
      </c>
      <c r="AB438" s="23"/>
      <c r="AC438" s="23"/>
      <c r="AD438" s="23"/>
      <c r="AE438" s="23"/>
      <c r="AF438" s="23"/>
      <c r="AG438" s="23"/>
      <c r="AH438" s="23"/>
      <c r="AI438" s="23"/>
      <c r="AJ438" s="23"/>
      <c r="AK438" s="23">
        <v>0</v>
      </c>
      <c r="AL438" s="23"/>
      <c r="AM438" s="33">
        <f t="shared" si="70"/>
        <v>0</v>
      </c>
      <c r="AN438" s="23"/>
      <c r="AO438" s="33">
        <f t="shared" si="71"/>
        <v>0</v>
      </c>
      <c r="AP438" s="33"/>
    </row>
    <row r="439" spans="1:42" hidden="1">
      <c r="A439" s="11" t="s">
        <v>820</v>
      </c>
      <c r="B439" s="11"/>
      <c r="C439" s="11" t="s">
        <v>41</v>
      </c>
      <c r="D439" s="23"/>
      <c r="E439" s="6"/>
      <c r="F439" s="23"/>
      <c r="G439" s="6"/>
      <c r="H439" s="23"/>
      <c r="I439" s="6"/>
      <c r="J439" s="23"/>
      <c r="K439" s="6"/>
      <c r="L439" s="23"/>
      <c r="M439" s="6"/>
      <c r="N439" s="23"/>
      <c r="O439" s="6"/>
      <c r="P439" s="23"/>
      <c r="Q439" s="6"/>
      <c r="R439" s="23"/>
      <c r="S439" s="6"/>
      <c r="T439" s="23"/>
      <c r="U439" s="6"/>
      <c r="V439" s="23"/>
      <c r="W439" s="33">
        <f t="shared" si="74"/>
        <v>0</v>
      </c>
      <c r="X439" s="23"/>
      <c r="Y439" s="23"/>
      <c r="Z439" s="23"/>
      <c r="AA439" s="23">
        <v>0</v>
      </c>
      <c r="AB439" s="23"/>
      <c r="AC439" s="23"/>
      <c r="AD439" s="23"/>
      <c r="AE439" s="23"/>
      <c r="AF439" s="23"/>
      <c r="AG439" s="23"/>
      <c r="AH439" s="23"/>
      <c r="AI439" s="23"/>
      <c r="AJ439" s="23"/>
      <c r="AK439" s="23">
        <v>0</v>
      </c>
      <c r="AL439" s="23"/>
      <c r="AM439" s="33">
        <f t="shared" si="70"/>
        <v>0</v>
      </c>
      <c r="AN439" s="23"/>
      <c r="AO439" s="33">
        <f t="shared" si="71"/>
        <v>0</v>
      </c>
      <c r="AP439" s="33"/>
    </row>
    <row r="440" spans="1:42" hidden="1">
      <c r="A440" s="11" t="s">
        <v>784</v>
      </c>
      <c r="B440" s="11"/>
      <c r="C440" s="11" t="s">
        <v>41</v>
      </c>
      <c r="D440" s="23"/>
      <c r="E440" s="6"/>
      <c r="F440" s="23"/>
      <c r="G440" s="6"/>
      <c r="H440" s="23"/>
      <c r="I440" s="6"/>
      <c r="J440" s="23"/>
      <c r="K440" s="6"/>
      <c r="L440" s="23"/>
      <c r="M440" s="6"/>
      <c r="N440" s="23"/>
      <c r="O440" s="6"/>
      <c r="P440" s="23"/>
      <c r="Q440" s="6"/>
      <c r="R440" s="23"/>
      <c r="S440" s="6"/>
      <c r="T440" s="23"/>
      <c r="U440" s="6"/>
      <c r="V440" s="23"/>
      <c r="W440" s="33">
        <f t="shared" si="74"/>
        <v>0</v>
      </c>
      <c r="X440" s="23"/>
      <c r="Y440" s="23"/>
      <c r="Z440" s="23"/>
      <c r="AA440" s="23">
        <v>0</v>
      </c>
      <c r="AB440" s="23"/>
      <c r="AC440" s="23"/>
      <c r="AD440" s="23"/>
      <c r="AE440" s="23"/>
      <c r="AF440" s="23"/>
      <c r="AG440" s="23"/>
      <c r="AH440" s="23"/>
      <c r="AI440" s="23"/>
      <c r="AJ440" s="23"/>
      <c r="AK440" s="23">
        <v>0</v>
      </c>
      <c r="AL440" s="23"/>
      <c r="AM440" s="33">
        <f t="shared" si="70"/>
        <v>0</v>
      </c>
      <c r="AN440" s="23"/>
      <c r="AO440" s="33">
        <f t="shared" si="71"/>
        <v>0</v>
      </c>
      <c r="AP440" s="33"/>
    </row>
    <row r="441" spans="1:42">
      <c r="A441" s="11" t="s">
        <v>475</v>
      </c>
      <c r="B441" s="11"/>
      <c r="C441" s="11" t="s">
        <v>58</v>
      </c>
      <c r="D441" s="23"/>
      <c r="E441" s="6">
        <v>1576947</v>
      </c>
      <c r="F441" s="23"/>
      <c r="G441" s="6">
        <v>0</v>
      </c>
      <c r="H441" s="23"/>
      <c r="I441" s="6">
        <v>8622842</v>
      </c>
      <c r="J441" s="23"/>
      <c r="K441" s="6">
        <v>3981</v>
      </c>
      <c r="L441" s="23"/>
      <c r="M441" s="6">
        <f>690338+250+84319</f>
        <v>774907</v>
      </c>
      <c r="N441" s="23"/>
      <c r="O441" s="6">
        <v>137145</v>
      </c>
      <c r="P441" s="23"/>
      <c r="Q441" s="6">
        <v>0</v>
      </c>
      <c r="R441" s="23"/>
      <c r="S441" s="6">
        <v>2285</v>
      </c>
      <c r="T441" s="23"/>
      <c r="U441" s="6">
        <v>65983</v>
      </c>
      <c r="V441" s="23"/>
      <c r="W441" s="33">
        <f t="shared" si="74"/>
        <v>11184090</v>
      </c>
      <c r="X441" s="23"/>
      <c r="Y441" s="23">
        <v>877</v>
      </c>
      <c r="Z441" s="23"/>
      <c r="AA441" s="23">
        <v>0</v>
      </c>
      <c r="AB441" s="23"/>
      <c r="AC441" s="23">
        <v>0</v>
      </c>
      <c r="AD441" s="23"/>
      <c r="AE441" s="23"/>
      <c r="AF441" s="23"/>
      <c r="AG441" s="23"/>
      <c r="AH441" s="23"/>
      <c r="AI441" s="23">
        <v>7500</v>
      </c>
      <c r="AJ441" s="23"/>
      <c r="AK441" s="23">
        <v>0</v>
      </c>
      <c r="AL441" s="23"/>
      <c r="AM441" s="33">
        <f t="shared" si="70"/>
        <v>8377</v>
      </c>
      <c r="AN441" s="23"/>
      <c r="AO441" s="33">
        <f t="shared" si="71"/>
        <v>11192467</v>
      </c>
      <c r="AP441" s="33"/>
    </row>
    <row r="442" spans="1:42" hidden="1">
      <c r="A442" s="11" t="s">
        <v>686</v>
      </c>
      <c r="B442" s="11"/>
      <c r="C442" s="11" t="s">
        <v>467</v>
      </c>
      <c r="D442" s="23"/>
      <c r="E442" s="6"/>
      <c r="F442" s="23"/>
      <c r="G442" s="6"/>
      <c r="H442" s="23"/>
      <c r="I442" s="6"/>
      <c r="J442" s="23"/>
      <c r="K442" s="6"/>
      <c r="L442" s="23"/>
      <c r="M442" s="6"/>
      <c r="N442" s="23"/>
      <c r="O442" s="6"/>
      <c r="P442" s="23"/>
      <c r="Q442" s="6"/>
      <c r="R442" s="23"/>
      <c r="S442" s="6"/>
      <c r="T442" s="23"/>
      <c r="U442" s="6"/>
      <c r="V442" s="23"/>
      <c r="W442" s="33">
        <f t="shared" si="74"/>
        <v>0</v>
      </c>
      <c r="X442" s="23"/>
      <c r="Y442" s="23"/>
      <c r="Z442" s="23"/>
      <c r="AA442" s="23">
        <v>0</v>
      </c>
      <c r="AB442" s="23"/>
      <c r="AC442" s="23"/>
      <c r="AD442" s="23"/>
      <c r="AE442" s="23"/>
      <c r="AF442" s="23"/>
      <c r="AG442" s="23"/>
      <c r="AH442" s="23"/>
      <c r="AI442" s="23"/>
      <c r="AJ442" s="23"/>
      <c r="AK442" s="23">
        <v>0</v>
      </c>
      <c r="AL442" s="23"/>
      <c r="AM442" s="33">
        <f t="shared" si="70"/>
        <v>0</v>
      </c>
      <c r="AN442" s="23"/>
      <c r="AO442" s="33">
        <f t="shared" si="71"/>
        <v>0</v>
      </c>
      <c r="AP442" s="33"/>
    </row>
    <row r="443" spans="1:42" hidden="1">
      <c r="A443" s="11" t="s">
        <v>687</v>
      </c>
      <c r="B443" s="11"/>
      <c r="C443" s="11" t="s">
        <v>422</v>
      </c>
      <c r="D443" s="23"/>
      <c r="E443" s="6"/>
      <c r="F443" s="23"/>
      <c r="G443" s="6"/>
      <c r="H443" s="23"/>
      <c r="I443" s="6"/>
      <c r="J443" s="23"/>
      <c r="K443" s="6"/>
      <c r="L443" s="23"/>
      <c r="M443" s="6"/>
      <c r="N443" s="23"/>
      <c r="O443" s="6"/>
      <c r="P443" s="23"/>
      <c r="Q443" s="6"/>
      <c r="R443" s="23"/>
      <c r="S443" s="6"/>
      <c r="T443" s="23"/>
      <c r="U443" s="6"/>
      <c r="V443" s="23"/>
      <c r="W443" s="33">
        <f t="shared" si="74"/>
        <v>0</v>
      </c>
      <c r="X443" s="23"/>
      <c r="Y443" s="23"/>
      <c r="Z443" s="23"/>
      <c r="AA443" s="23">
        <v>0</v>
      </c>
      <c r="AB443" s="23"/>
      <c r="AC443" s="23"/>
      <c r="AD443" s="23"/>
      <c r="AE443" s="23"/>
      <c r="AF443" s="23"/>
      <c r="AG443" s="23"/>
      <c r="AH443" s="23"/>
      <c r="AI443" s="23"/>
      <c r="AJ443" s="23"/>
      <c r="AK443" s="23">
        <v>0</v>
      </c>
      <c r="AL443" s="23"/>
      <c r="AM443" s="33">
        <f t="shared" si="70"/>
        <v>0</v>
      </c>
      <c r="AN443" s="23"/>
      <c r="AO443" s="33">
        <f t="shared" si="71"/>
        <v>0</v>
      </c>
      <c r="AP443" s="33"/>
    </row>
    <row r="444" spans="1:42">
      <c r="A444" s="11" t="s">
        <v>275</v>
      </c>
      <c r="B444" s="11"/>
      <c r="C444" s="11" t="s">
        <v>20</v>
      </c>
      <c r="D444" s="23"/>
      <c r="E444" s="6">
        <v>92182355</v>
      </c>
      <c r="F444" s="23"/>
      <c r="G444" s="6">
        <v>0</v>
      </c>
      <c r="H444" s="23"/>
      <c r="I444" s="6">
        <v>55652798</v>
      </c>
      <c r="J444" s="23"/>
      <c r="K444" s="6">
        <v>36282</v>
      </c>
      <c r="L444" s="23"/>
      <c r="M444" s="6">
        <f>3231772+228655+1274074</f>
        <v>4734501</v>
      </c>
      <c r="N444" s="23"/>
      <c r="O444" s="6">
        <v>1080759</v>
      </c>
      <c r="P444" s="23"/>
      <c r="Q444" s="6">
        <v>260403</v>
      </c>
      <c r="R444" s="23"/>
      <c r="S444" s="6">
        <v>44773</v>
      </c>
      <c r="T444" s="23"/>
      <c r="U444" s="6">
        <v>890506</v>
      </c>
      <c r="V444" s="23"/>
      <c r="W444" s="33">
        <f t="shared" si="74"/>
        <v>154882377</v>
      </c>
      <c r="X444" s="23"/>
      <c r="Y444" s="23">
        <v>1399958</v>
      </c>
      <c r="Z444" s="23"/>
      <c r="AA444" s="23">
        <v>0</v>
      </c>
      <c r="AB444" s="23"/>
      <c r="AC444" s="23">
        <v>0</v>
      </c>
      <c r="AD444" s="23"/>
      <c r="AE444" s="23"/>
      <c r="AF444" s="23"/>
      <c r="AG444" s="23"/>
      <c r="AH444" s="23"/>
      <c r="AI444" s="23">
        <v>0</v>
      </c>
      <c r="AJ444" s="23"/>
      <c r="AK444" s="23">
        <v>2399130</v>
      </c>
      <c r="AL444" s="23"/>
      <c r="AM444" s="33">
        <f>AI444+AC444+Y444+AK444</f>
        <v>3799088</v>
      </c>
      <c r="AN444" s="23"/>
      <c r="AO444" s="33">
        <f t="shared" si="71"/>
        <v>158681465</v>
      </c>
      <c r="AP444" s="33"/>
    </row>
    <row r="445" spans="1:42">
      <c r="A445" s="11" t="s">
        <v>347</v>
      </c>
      <c r="B445" s="11"/>
      <c r="C445" s="11" t="s">
        <v>34</v>
      </c>
      <c r="D445" s="23"/>
      <c r="E445" s="6">
        <v>3183645</v>
      </c>
      <c r="F445" s="23"/>
      <c r="G445" s="6">
        <v>1808296</v>
      </c>
      <c r="H445" s="23"/>
      <c r="I445" s="6">
        <v>6033242</v>
      </c>
      <c r="J445" s="23"/>
      <c r="K445" s="6">
        <v>7569</v>
      </c>
      <c r="L445" s="23"/>
      <c r="M445" s="6">
        <f>511515+35+229899</f>
        <v>741449</v>
      </c>
      <c r="N445" s="23"/>
      <c r="O445" s="6">
        <v>176846</v>
      </c>
      <c r="P445" s="23"/>
      <c r="Q445" s="6">
        <v>0</v>
      </c>
      <c r="R445" s="23"/>
      <c r="S445" s="6">
        <v>250</v>
      </c>
      <c r="T445" s="23"/>
      <c r="U445" s="6">
        <v>101904</v>
      </c>
      <c r="V445" s="23"/>
      <c r="W445" s="33">
        <f t="shared" si="74"/>
        <v>12053201</v>
      </c>
      <c r="X445" s="23"/>
      <c r="Y445" s="23">
        <v>67335</v>
      </c>
      <c r="Z445" s="23"/>
      <c r="AA445" s="23">
        <v>0</v>
      </c>
      <c r="AB445" s="23"/>
      <c r="AC445" s="23">
        <v>0</v>
      </c>
      <c r="AD445" s="23"/>
      <c r="AE445" s="23"/>
      <c r="AF445" s="23"/>
      <c r="AG445" s="23"/>
      <c r="AH445" s="23"/>
      <c r="AI445" s="23">
        <f>1386+79127</f>
        <v>80513</v>
      </c>
      <c r="AJ445" s="23"/>
      <c r="AK445" s="23">
        <v>0</v>
      </c>
      <c r="AL445" s="23"/>
      <c r="AM445" s="33">
        <f t="shared" si="70"/>
        <v>147848</v>
      </c>
      <c r="AN445" s="23"/>
      <c r="AO445" s="33">
        <f t="shared" si="71"/>
        <v>12201049</v>
      </c>
      <c r="AP445" s="33"/>
    </row>
    <row r="446" spans="1:42" hidden="1">
      <c r="A446" s="11" t="s">
        <v>775</v>
      </c>
      <c r="B446" s="11"/>
      <c r="C446" s="11" t="s">
        <v>450</v>
      </c>
      <c r="D446" s="23"/>
      <c r="E446" s="6"/>
      <c r="F446" s="23"/>
      <c r="G446" s="6"/>
      <c r="H446" s="23"/>
      <c r="I446" s="6"/>
      <c r="J446" s="23"/>
      <c r="K446" s="6"/>
      <c r="L446" s="23"/>
      <c r="M446" s="6"/>
      <c r="N446" s="23"/>
      <c r="O446" s="6"/>
      <c r="P446" s="23"/>
      <c r="Q446" s="6"/>
      <c r="R446" s="23"/>
      <c r="S446" s="6"/>
      <c r="T446" s="23"/>
      <c r="U446" s="6"/>
      <c r="V446" s="23"/>
      <c r="W446" s="33">
        <f t="shared" si="74"/>
        <v>0</v>
      </c>
      <c r="X446" s="23"/>
      <c r="Y446" s="23"/>
      <c r="Z446" s="23"/>
      <c r="AA446" s="23">
        <v>0</v>
      </c>
      <c r="AB446" s="23"/>
      <c r="AC446" s="23"/>
      <c r="AD446" s="23"/>
      <c r="AE446" s="23"/>
      <c r="AF446" s="23"/>
      <c r="AG446" s="23"/>
      <c r="AH446" s="23"/>
      <c r="AI446" s="23"/>
      <c r="AJ446" s="23"/>
      <c r="AK446" s="23">
        <v>0</v>
      </c>
      <c r="AL446" s="23"/>
      <c r="AM446" s="33">
        <f t="shared" si="70"/>
        <v>0</v>
      </c>
      <c r="AN446" s="23"/>
      <c r="AO446" s="33">
        <f t="shared" si="71"/>
        <v>0</v>
      </c>
      <c r="AP446" s="33"/>
    </row>
    <row r="447" spans="1:42">
      <c r="A447" s="11" t="s">
        <v>289</v>
      </c>
      <c r="B447" s="11"/>
      <c r="C447" s="11" t="s">
        <v>24</v>
      </c>
      <c r="D447" s="23"/>
      <c r="E447" s="6">
        <v>12065628</v>
      </c>
      <c r="F447" s="23"/>
      <c r="G447" s="6">
        <v>0</v>
      </c>
      <c r="H447" s="23"/>
      <c r="I447" s="6">
        <f>7408515+1436163</f>
        <v>8844678</v>
      </c>
      <c r="J447" s="23"/>
      <c r="K447" s="6">
        <v>12140</v>
      </c>
      <c r="L447" s="23"/>
      <c r="M447" s="6">
        <f>3205104+32664+578015+140693+19831+2877</f>
        <v>3979184</v>
      </c>
      <c r="N447" s="23"/>
      <c r="O447" s="6">
        <v>235436</v>
      </c>
      <c r="P447" s="23"/>
      <c r="Q447" s="6">
        <v>167329</v>
      </c>
      <c r="R447" s="23"/>
      <c r="S447" s="6">
        <v>841402</v>
      </c>
      <c r="T447" s="23"/>
      <c r="U447" s="6">
        <v>90229</v>
      </c>
      <c r="V447" s="23"/>
      <c r="W447" s="33">
        <f t="shared" si="74"/>
        <v>26236026</v>
      </c>
      <c r="X447" s="23"/>
      <c r="Y447" s="23">
        <v>1429322</v>
      </c>
      <c r="Z447" s="23"/>
      <c r="AA447" s="23">
        <v>0</v>
      </c>
      <c r="AB447" s="23"/>
      <c r="AC447" s="23">
        <v>1479280</v>
      </c>
      <c r="AD447" s="23"/>
      <c r="AE447" s="23"/>
      <c r="AF447" s="23"/>
      <c r="AG447" s="23"/>
      <c r="AH447" s="23"/>
      <c r="AI447" s="23">
        <v>405753</v>
      </c>
      <c r="AJ447" s="23"/>
      <c r="AK447" s="23">
        <v>0</v>
      </c>
      <c r="AL447" s="23"/>
      <c r="AM447" s="33">
        <f t="shared" si="70"/>
        <v>3314355</v>
      </c>
      <c r="AN447" s="23"/>
      <c r="AO447" s="33">
        <f t="shared" si="71"/>
        <v>29550381</v>
      </c>
      <c r="AP447" s="33"/>
    </row>
    <row r="448" spans="1:42" hidden="1">
      <c r="A448" s="11" t="s">
        <v>688</v>
      </c>
      <c r="B448" s="11"/>
      <c r="C448" s="11" t="s">
        <v>10</v>
      </c>
      <c r="D448" s="23"/>
      <c r="E448" s="6"/>
      <c r="F448" s="23"/>
      <c r="G448" s="6"/>
      <c r="H448" s="23"/>
      <c r="I448" s="6"/>
      <c r="J448" s="23"/>
      <c r="K448" s="6"/>
      <c r="L448" s="23"/>
      <c r="M448" s="6"/>
      <c r="N448" s="23"/>
      <c r="O448" s="6"/>
      <c r="P448" s="23"/>
      <c r="Q448" s="6"/>
      <c r="R448" s="23"/>
      <c r="S448" s="6"/>
      <c r="T448" s="23"/>
      <c r="U448" s="6"/>
      <c r="V448" s="23"/>
      <c r="W448" s="33">
        <f t="shared" si="74"/>
        <v>0</v>
      </c>
      <c r="X448" s="23"/>
      <c r="Y448" s="23"/>
      <c r="Z448" s="23"/>
      <c r="AA448" s="23">
        <v>0</v>
      </c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33"/>
      <c r="AN448" s="23"/>
      <c r="AO448" s="33">
        <f t="shared" si="71"/>
        <v>0</v>
      </c>
      <c r="AP448" s="33"/>
    </row>
    <row r="449" spans="1:42">
      <c r="A449" s="11" t="s">
        <v>202</v>
      </c>
      <c r="B449" s="11"/>
      <c r="C449" s="11" t="s">
        <v>41</v>
      </c>
      <c r="D449" s="23"/>
      <c r="E449" s="6">
        <v>14988857</v>
      </c>
      <c r="F449" s="23"/>
      <c r="G449" s="6">
        <v>0</v>
      </c>
      <c r="H449" s="23"/>
      <c r="I449" s="6">
        <v>11478954</v>
      </c>
      <c r="J449" s="23"/>
      <c r="K449" s="6">
        <v>157977</v>
      </c>
      <c r="L449" s="23"/>
      <c r="M449" s="6">
        <f>58423+123493+17031+26154+567894</f>
        <v>792995</v>
      </c>
      <c r="N449" s="23"/>
      <c r="O449" s="6">
        <v>279033</v>
      </c>
      <c r="P449" s="23"/>
      <c r="Q449" s="6">
        <v>0</v>
      </c>
      <c r="R449" s="23"/>
      <c r="S449" s="6">
        <v>31548</v>
      </c>
      <c r="T449" s="23"/>
      <c r="U449" s="6">
        <v>338628</v>
      </c>
      <c r="V449" s="23"/>
      <c r="W449" s="33">
        <f t="shared" si="74"/>
        <v>28067992</v>
      </c>
      <c r="X449" s="23"/>
      <c r="Y449" s="23">
        <v>2123000</v>
      </c>
      <c r="Z449" s="23"/>
      <c r="AA449" s="23">
        <v>0</v>
      </c>
      <c r="AB449" s="23"/>
      <c r="AC449" s="23">
        <v>0</v>
      </c>
      <c r="AD449" s="23"/>
      <c r="AE449" s="23"/>
      <c r="AF449" s="23"/>
      <c r="AG449" s="23"/>
      <c r="AH449" s="23"/>
      <c r="AI449" s="23">
        <v>0</v>
      </c>
      <c r="AJ449" s="23"/>
      <c r="AK449" s="23">
        <v>0</v>
      </c>
      <c r="AL449" s="23"/>
      <c r="AM449" s="33">
        <f t="shared" ref="AM449:AM495" si="75">AI449+AC449+Y449</f>
        <v>2123000</v>
      </c>
      <c r="AN449" s="23"/>
      <c r="AO449" s="33">
        <f t="shared" si="71"/>
        <v>30190992</v>
      </c>
      <c r="AP449" s="33"/>
    </row>
    <row r="450" spans="1:42">
      <c r="A450" s="11" t="s">
        <v>202</v>
      </c>
      <c r="B450" s="11"/>
      <c r="C450" s="11" t="s">
        <v>62</v>
      </c>
      <c r="D450" s="23"/>
      <c r="E450" s="6">
        <v>17030115</v>
      </c>
      <c r="F450" s="23"/>
      <c r="G450" s="6">
        <v>0</v>
      </c>
      <c r="H450" s="23"/>
      <c r="I450" s="6">
        <v>22636025</v>
      </c>
      <c r="J450" s="23"/>
      <c r="K450" s="6">
        <v>254326</v>
      </c>
      <c r="L450" s="23"/>
      <c r="M450" s="6">
        <f>2178806+899049</f>
        <v>3077855</v>
      </c>
      <c r="N450" s="23"/>
      <c r="O450" s="6">
        <v>506644</v>
      </c>
      <c r="P450" s="23"/>
      <c r="Q450" s="6">
        <v>0</v>
      </c>
      <c r="R450" s="23"/>
      <c r="S450" s="6">
        <v>0</v>
      </c>
      <c r="T450" s="23"/>
      <c r="U450" s="6">
        <v>543030</v>
      </c>
      <c r="V450" s="23"/>
      <c r="W450" s="33">
        <f t="shared" si="74"/>
        <v>44047995</v>
      </c>
      <c r="X450" s="23"/>
      <c r="Y450" s="23">
        <v>0</v>
      </c>
      <c r="Z450" s="23"/>
      <c r="AA450" s="23">
        <v>0</v>
      </c>
      <c r="AB450" s="23"/>
      <c r="AC450" s="23">
        <v>0</v>
      </c>
      <c r="AD450" s="23"/>
      <c r="AE450" s="23"/>
      <c r="AF450" s="23"/>
      <c r="AG450" s="23"/>
      <c r="AH450" s="23"/>
      <c r="AI450" s="23">
        <v>0</v>
      </c>
      <c r="AJ450" s="23"/>
      <c r="AK450" s="23">
        <v>0</v>
      </c>
      <c r="AL450" s="23"/>
      <c r="AM450" s="33">
        <f t="shared" si="75"/>
        <v>0</v>
      </c>
      <c r="AN450" s="23"/>
      <c r="AO450" s="33">
        <f t="shared" si="71"/>
        <v>44047995</v>
      </c>
      <c r="AP450" s="33"/>
    </row>
    <row r="451" spans="1:42">
      <c r="A451" s="11" t="s">
        <v>776</v>
      </c>
      <c r="B451" s="11"/>
      <c r="C451" s="11" t="s">
        <v>72</v>
      </c>
      <c r="D451" s="23"/>
      <c r="E451" s="6">
        <v>21426848</v>
      </c>
      <c r="F451" s="23"/>
      <c r="G451" s="6">
        <v>5445958</v>
      </c>
      <c r="H451" s="23"/>
      <c r="I451" s="6">
        <f>10698+12950290+2037666</f>
        <v>14998654</v>
      </c>
      <c r="J451" s="23"/>
      <c r="K451" s="6">
        <v>10071</v>
      </c>
      <c r="L451" s="23"/>
      <c r="M451" s="6">
        <f>458246+1424345+203265</f>
        <v>2085856</v>
      </c>
      <c r="N451" s="23"/>
      <c r="O451" s="6">
        <v>788226</v>
      </c>
      <c r="P451" s="23"/>
      <c r="Q451" s="6">
        <v>503565</v>
      </c>
      <c r="R451" s="23"/>
      <c r="S451" s="6">
        <v>0</v>
      </c>
      <c r="T451" s="23"/>
      <c r="U451" s="6">
        <v>504974</v>
      </c>
      <c r="V451" s="23"/>
      <c r="W451" s="33">
        <f t="shared" si="74"/>
        <v>45764152</v>
      </c>
      <c r="X451" s="23"/>
      <c r="Y451" s="23">
        <v>0</v>
      </c>
      <c r="Z451" s="23"/>
      <c r="AA451" s="23">
        <v>0</v>
      </c>
      <c r="AB451" s="23"/>
      <c r="AC451" s="23">
        <v>0</v>
      </c>
      <c r="AD451" s="23"/>
      <c r="AE451" s="23"/>
      <c r="AF451" s="23"/>
      <c r="AG451" s="23"/>
      <c r="AH451" s="23"/>
      <c r="AI451" s="23">
        <v>21725</v>
      </c>
      <c r="AJ451" s="23"/>
      <c r="AK451" s="23">
        <v>0</v>
      </c>
      <c r="AL451" s="23"/>
      <c r="AM451" s="33">
        <f t="shared" si="75"/>
        <v>21725</v>
      </c>
      <c r="AN451" s="23"/>
      <c r="AO451" s="33">
        <f t="shared" si="71"/>
        <v>45785877</v>
      </c>
      <c r="AP451" s="33"/>
    </row>
    <row r="452" spans="1:42" hidden="1">
      <c r="A452" s="11" t="s">
        <v>896</v>
      </c>
      <c r="B452" s="11"/>
      <c r="C452" s="11" t="s">
        <v>28</v>
      </c>
      <c r="D452" s="23"/>
      <c r="E452" s="6"/>
      <c r="F452" s="23"/>
      <c r="G452" s="6"/>
      <c r="H452" s="23"/>
      <c r="I452" s="6"/>
      <c r="J452" s="23"/>
      <c r="K452" s="6"/>
      <c r="L452" s="23"/>
      <c r="M452" s="6"/>
      <c r="N452" s="23"/>
      <c r="O452" s="6"/>
      <c r="P452" s="23"/>
      <c r="Q452" s="6"/>
      <c r="R452" s="23"/>
      <c r="S452" s="6"/>
      <c r="T452" s="23"/>
      <c r="U452" s="6"/>
      <c r="V452" s="23"/>
      <c r="W452" s="33">
        <f t="shared" si="74"/>
        <v>0</v>
      </c>
      <c r="X452" s="23"/>
      <c r="Y452" s="23"/>
      <c r="Z452" s="23"/>
      <c r="AA452" s="23">
        <v>0</v>
      </c>
      <c r="AB452" s="23"/>
      <c r="AC452" s="23"/>
      <c r="AD452" s="23"/>
      <c r="AE452" s="23"/>
      <c r="AF452" s="23"/>
      <c r="AG452" s="23"/>
      <c r="AH452" s="23"/>
      <c r="AI452" s="23"/>
      <c r="AJ452" s="23"/>
      <c r="AK452" s="23">
        <v>0</v>
      </c>
      <c r="AL452" s="23"/>
      <c r="AM452" s="33">
        <f t="shared" si="75"/>
        <v>0</v>
      </c>
      <c r="AN452" s="23"/>
      <c r="AO452" s="33">
        <f t="shared" si="71"/>
        <v>0</v>
      </c>
      <c r="AP452" s="33"/>
    </row>
    <row r="453" spans="1:42">
      <c r="A453" s="11" t="s">
        <v>296</v>
      </c>
      <c r="B453" s="11"/>
      <c r="C453" s="11" t="s">
        <v>25</v>
      </c>
      <c r="D453" s="23"/>
      <c r="E453" s="6">
        <v>42782880</v>
      </c>
      <c r="F453" s="23"/>
      <c r="G453" s="6">
        <v>14139974</v>
      </c>
      <c r="H453" s="23"/>
      <c r="I453" s="6">
        <f>66401300+6491029</f>
        <v>72892329</v>
      </c>
      <c r="J453" s="23"/>
      <c r="K453" s="6">
        <v>121009</v>
      </c>
      <c r="L453" s="23"/>
      <c r="M453" s="6">
        <f>511088+2602529+472927+238207+394464</f>
        <v>4219215</v>
      </c>
      <c r="N453" s="23"/>
      <c r="O453" s="6">
        <v>1319523</v>
      </c>
      <c r="P453" s="23"/>
      <c r="Q453" s="6">
        <v>152625</v>
      </c>
      <c r="R453" s="23"/>
      <c r="S453" s="6">
        <v>74891</v>
      </c>
      <c r="T453" s="23"/>
      <c r="U453" s="6">
        <v>277265</v>
      </c>
      <c r="V453" s="23"/>
      <c r="W453" s="33">
        <f t="shared" si="74"/>
        <v>135979711</v>
      </c>
      <c r="X453" s="23"/>
      <c r="Y453" s="23">
        <v>1100000</v>
      </c>
      <c r="Z453" s="23"/>
      <c r="AA453" s="23">
        <v>0</v>
      </c>
      <c r="AB453" s="23"/>
      <c r="AC453" s="23">
        <v>0</v>
      </c>
      <c r="AD453" s="23"/>
      <c r="AE453" s="23"/>
      <c r="AF453" s="23"/>
      <c r="AG453" s="23"/>
      <c r="AH453" s="23"/>
      <c r="AI453" s="23">
        <v>0</v>
      </c>
      <c r="AJ453" s="23"/>
      <c r="AK453" s="23">
        <v>0</v>
      </c>
      <c r="AL453" s="23"/>
      <c r="AM453" s="33">
        <f t="shared" si="75"/>
        <v>1100000</v>
      </c>
      <c r="AN453" s="23"/>
      <c r="AO453" s="33">
        <f t="shared" si="71"/>
        <v>137079711</v>
      </c>
      <c r="AP453" s="33"/>
    </row>
    <row r="454" spans="1:42" hidden="1">
      <c r="A454" s="11" t="s">
        <v>821</v>
      </c>
      <c r="B454" s="11"/>
      <c r="C454" s="11" t="s">
        <v>28</v>
      </c>
      <c r="D454" s="23"/>
      <c r="E454" s="6"/>
      <c r="F454" s="23"/>
      <c r="G454" s="6"/>
      <c r="H454" s="23"/>
      <c r="I454" s="6"/>
      <c r="J454" s="23"/>
      <c r="K454" s="6"/>
      <c r="L454" s="23"/>
      <c r="M454" s="6"/>
      <c r="N454" s="23"/>
      <c r="O454" s="6"/>
      <c r="P454" s="23"/>
      <c r="Q454" s="6"/>
      <c r="R454" s="23"/>
      <c r="S454" s="6"/>
      <c r="T454" s="23"/>
      <c r="U454" s="6"/>
      <c r="V454" s="23"/>
      <c r="W454" s="33">
        <f t="shared" si="74"/>
        <v>0</v>
      </c>
      <c r="X454" s="23"/>
      <c r="Y454" s="23"/>
      <c r="Z454" s="23"/>
      <c r="AA454" s="23">
        <v>0</v>
      </c>
      <c r="AB454" s="23"/>
      <c r="AC454" s="23"/>
      <c r="AD454" s="23"/>
      <c r="AE454" s="23"/>
      <c r="AF454" s="23"/>
      <c r="AG454" s="23"/>
      <c r="AH454" s="23"/>
      <c r="AI454" s="23"/>
      <c r="AJ454" s="23"/>
      <c r="AK454" s="23">
        <v>0</v>
      </c>
      <c r="AL454" s="23"/>
      <c r="AM454" s="33">
        <f t="shared" si="75"/>
        <v>0</v>
      </c>
      <c r="AN454" s="23"/>
      <c r="AO454" s="33">
        <f t="shared" si="71"/>
        <v>0</v>
      </c>
      <c r="AP454" s="33"/>
    </row>
    <row r="455" spans="1:42">
      <c r="A455" s="11" t="s">
        <v>425</v>
      </c>
      <c r="B455" s="11"/>
      <c r="C455" s="11" t="s">
        <v>48</v>
      </c>
      <c r="D455" s="23"/>
      <c r="E455" s="6">
        <v>17066075</v>
      </c>
      <c r="F455" s="23"/>
      <c r="G455" s="6">
        <v>0</v>
      </c>
      <c r="H455" s="23"/>
      <c r="I455" s="6">
        <f>15414557+3270878</f>
        <v>18685435</v>
      </c>
      <c r="J455" s="23"/>
      <c r="K455" s="6">
        <v>70250</v>
      </c>
      <c r="L455" s="23"/>
      <c r="M455" s="6">
        <f>2980+51565+117947</f>
        <v>172492</v>
      </c>
      <c r="N455" s="23"/>
      <c r="O455" s="6">
        <v>516971</v>
      </c>
      <c r="P455" s="23"/>
      <c r="Q455" s="6">
        <v>0</v>
      </c>
      <c r="R455" s="23"/>
      <c r="S455" s="6">
        <v>0</v>
      </c>
      <c r="T455" s="23"/>
      <c r="U455" s="6">
        <f>18594+436494</f>
        <v>455088</v>
      </c>
      <c r="V455" s="23"/>
      <c r="W455" s="33">
        <f t="shared" si="74"/>
        <v>36966311</v>
      </c>
      <c r="X455" s="23"/>
      <c r="Y455" s="23">
        <v>300079</v>
      </c>
      <c r="Z455" s="23"/>
      <c r="AA455" s="23">
        <v>0</v>
      </c>
      <c r="AB455" s="23"/>
      <c r="AC455" s="23">
        <f>29030000+361265+29086000</f>
        <v>58477265</v>
      </c>
      <c r="AD455" s="23"/>
      <c r="AE455" s="23"/>
      <c r="AF455" s="23"/>
      <c r="AG455" s="23"/>
      <c r="AH455" s="23"/>
      <c r="AI455" s="23">
        <v>0</v>
      </c>
      <c r="AJ455" s="23"/>
      <c r="AK455" s="23">
        <v>0</v>
      </c>
      <c r="AL455" s="23"/>
      <c r="AM455" s="33">
        <f t="shared" si="75"/>
        <v>58777344</v>
      </c>
      <c r="AN455" s="23"/>
      <c r="AO455" s="33">
        <f t="shared" si="71"/>
        <v>95743655</v>
      </c>
      <c r="AP455" s="33"/>
    </row>
    <row r="456" spans="1:42">
      <c r="A456" s="11" t="s">
        <v>306</v>
      </c>
      <c r="B456" s="11"/>
      <c r="C456" s="11" t="s">
        <v>62</v>
      </c>
      <c r="D456" s="23"/>
      <c r="E456" s="6">
        <v>28721786</v>
      </c>
      <c r="F456" s="23"/>
      <c r="G456" s="6">
        <v>0</v>
      </c>
      <c r="H456" s="23"/>
      <c r="I456" s="6">
        <f>20903898+4908897</f>
        <v>25812795</v>
      </c>
      <c r="J456" s="23"/>
      <c r="K456" s="6">
        <v>31538</v>
      </c>
      <c r="L456" s="23"/>
      <c r="M456" s="6">
        <f>959750+122908+1160662+200254</f>
        <v>2443574</v>
      </c>
      <c r="N456" s="23"/>
      <c r="O456" s="6">
        <v>774782</v>
      </c>
      <c r="P456" s="23"/>
      <c r="Q456" s="6">
        <v>0</v>
      </c>
      <c r="R456" s="23"/>
      <c r="S456" s="6">
        <v>166152</v>
      </c>
      <c r="T456" s="23"/>
      <c r="U456" s="6">
        <f>298385+29393</f>
        <v>327778</v>
      </c>
      <c r="V456" s="23"/>
      <c r="W456" s="33">
        <f t="shared" si="74"/>
        <v>58278405</v>
      </c>
      <c r="X456" s="23"/>
      <c r="Y456" s="23">
        <v>0</v>
      </c>
      <c r="Z456" s="23"/>
      <c r="AA456" s="23">
        <v>0</v>
      </c>
      <c r="AB456" s="23"/>
      <c r="AC456" s="23">
        <f>2261221+50635000</f>
        <v>52896221</v>
      </c>
      <c r="AD456" s="23"/>
      <c r="AE456" s="23"/>
      <c r="AF456" s="23"/>
      <c r="AG456" s="23"/>
      <c r="AH456" s="23"/>
      <c r="AI456" s="23">
        <v>6543</v>
      </c>
      <c r="AJ456" s="23"/>
      <c r="AK456" s="23">
        <v>0</v>
      </c>
      <c r="AL456" s="23"/>
      <c r="AM456" s="33">
        <f t="shared" si="75"/>
        <v>52902764</v>
      </c>
      <c r="AN456" s="23"/>
      <c r="AO456" s="33">
        <f t="shared" si="71"/>
        <v>111181169</v>
      </c>
      <c r="AP456" s="33"/>
    </row>
    <row r="457" spans="1:42">
      <c r="A457" s="11" t="s">
        <v>411</v>
      </c>
      <c r="B457" s="11"/>
      <c r="C457" s="11" t="s">
        <v>46</v>
      </c>
      <c r="D457" s="23"/>
      <c r="E457" s="6">
        <v>4252737</v>
      </c>
      <c r="F457" s="23"/>
      <c r="G457" s="6">
        <v>0</v>
      </c>
      <c r="H457" s="23"/>
      <c r="I457" s="6">
        <v>5437466</v>
      </c>
      <c r="J457" s="23"/>
      <c r="K457" s="6">
        <v>20209</v>
      </c>
      <c r="L457" s="23"/>
      <c r="M457" s="6">
        <f>2030149+367618</f>
        <v>2397767</v>
      </c>
      <c r="N457" s="23"/>
      <c r="O457" s="6">
        <v>280351</v>
      </c>
      <c r="P457" s="23"/>
      <c r="Q457" s="6">
        <v>0</v>
      </c>
      <c r="R457" s="23"/>
      <c r="S457" s="6">
        <v>44053</v>
      </c>
      <c r="T457" s="23"/>
      <c r="U457" s="6">
        <v>91222</v>
      </c>
      <c r="V457" s="23"/>
      <c r="W457" s="33">
        <f t="shared" si="74"/>
        <v>12523805</v>
      </c>
      <c r="X457" s="23"/>
      <c r="Y457" s="23">
        <v>13704</v>
      </c>
      <c r="Z457" s="23"/>
      <c r="AA457" s="23">
        <v>0</v>
      </c>
      <c r="AB457" s="23"/>
      <c r="AC457" s="23">
        <f>250000+1550</f>
        <v>251550</v>
      </c>
      <c r="AD457" s="23"/>
      <c r="AE457" s="23"/>
      <c r="AF457" s="23"/>
      <c r="AG457" s="23"/>
      <c r="AH457" s="23"/>
      <c r="AI457" s="23">
        <v>0</v>
      </c>
      <c r="AJ457" s="23"/>
      <c r="AK457" s="23">
        <v>0</v>
      </c>
      <c r="AL457" s="23"/>
      <c r="AM457" s="33">
        <f t="shared" si="75"/>
        <v>265254</v>
      </c>
      <c r="AN457" s="23"/>
      <c r="AO457" s="33">
        <f t="shared" si="71"/>
        <v>12789059</v>
      </c>
      <c r="AP457" s="33"/>
    </row>
    <row r="458" spans="1:42">
      <c r="A458" s="11" t="s">
        <v>471</v>
      </c>
      <c r="B458" s="11"/>
      <c r="C458" s="11" t="s">
        <v>110</v>
      </c>
      <c r="D458" s="23"/>
      <c r="E458" s="6">
        <v>1593942</v>
      </c>
      <c r="F458" s="23"/>
      <c r="G458" s="6">
        <v>810114</v>
      </c>
      <c r="H458" s="23"/>
      <c r="I458" s="6">
        <f>5394622+1091591</f>
        <v>6486213</v>
      </c>
      <c r="J458" s="23"/>
      <c r="K458" s="6">
        <v>2802</v>
      </c>
      <c r="L458" s="23"/>
      <c r="M458" s="6">
        <f>317543+174740+24275+663</f>
        <v>517221</v>
      </c>
      <c r="N458" s="23"/>
      <c r="O458" s="6">
        <v>108670</v>
      </c>
      <c r="P458" s="23"/>
      <c r="Q458" s="6">
        <v>0</v>
      </c>
      <c r="R458" s="23"/>
      <c r="S458" s="6">
        <v>16801</v>
      </c>
      <c r="T458" s="23"/>
      <c r="U458" s="6">
        <v>68168</v>
      </c>
      <c r="V458" s="23"/>
      <c r="W458" s="33">
        <f t="shared" si="74"/>
        <v>9603931</v>
      </c>
      <c r="X458" s="23"/>
      <c r="Y458" s="23">
        <v>16000</v>
      </c>
      <c r="Z458" s="23"/>
      <c r="AA458" s="23">
        <v>0</v>
      </c>
      <c r="AB458" s="23"/>
      <c r="AC458" s="23">
        <v>0</v>
      </c>
      <c r="AD458" s="23"/>
      <c r="AE458" s="23"/>
      <c r="AF458" s="23"/>
      <c r="AG458" s="23"/>
      <c r="AH458" s="23"/>
      <c r="AI458" s="23">
        <v>0</v>
      </c>
      <c r="AJ458" s="23"/>
      <c r="AK458" s="23">
        <v>0</v>
      </c>
      <c r="AL458" s="23"/>
      <c r="AM458" s="33">
        <f t="shared" si="75"/>
        <v>16000</v>
      </c>
      <c r="AN458" s="23"/>
      <c r="AO458" s="33">
        <f t="shared" si="71"/>
        <v>9619931</v>
      </c>
      <c r="AP458" s="33"/>
    </row>
    <row r="459" spans="1:42">
      <c r="A459" s="11" t="s">
        <v>724</v>
      </c>
      <c r="B459" s="11"/>
      <c r="C459" s="11" t="s">
        <v>45</v>
      </c>
      <c r="D459" s="23"/>
      <c r="E459" s="6">
        <v>11702773</v>
      </c>
      <c r="F459" s="23"/>
      <c r="G459" s="6">
        <v>0</v>
      </c>
      <c r="H459" s="23"/>
      <c r="I459" s="6">
        <v>8790941</v>
      </c>
      <c r="J459" s="23"/>
      <c r="K459" s="6">
        <v>4282</v>
      </c>
      <c r="L459" s="23"/>
      <c r="M459" s="6">
        <f>250462+599079+17319</f>
        <v>866860</v>
      </c>
      <c r="N459" s="23"/>
      <c r="O459" s="6">
        <v>316383</v>
      </c>
      <c r="P459" s="23"/>
      <c r="Q459" s="6">
        <v>0</v>
      </c>
      <c r="R459" s="23"/>
      <c r="S459" s="6">
        <v>23976</v>
      </c>
      <c r="T459" s="23"/>
      <c r="U459" s="6">
        <v>15497</v>
      </c>
      <c r="V459" s="23"/>
      <c r="W459" s="33">
        <f t="shared" si="74"/>
        <v>21720712</v>
      </c>
      <c r="X459" s="23"/>
      <c r="Y459" s="23">
        <v>4500</v>
      </c>
      <c r="Z459" s="23"/>
      <c r="AA459" s="23">
        <v>0</v>
      </c>
      <c r="AB459" s="23"/>
      <c r="AC459" s="23">
        <v>247515</v>
      </c>
      <c r="AD459" s="23"/>
      <c r="AE459" s="23"/>
      <c r="AF459" s="23"/>
      <c r="AG459" s="23"/>
      <c r="AH459" s="23"/>
      <c r="AI459" s="23">
        <v>3000</v>
      </c>
      <c r="AJ459" s="23"/>
      <c r="AK459" s="23">
        <v>0</v>
      </c>
      <c r="AL459" s="23"/>
      <c r="AM459" s="33">
        <f t="shared" si="75"/>
        <v>255015</v>
      </c>
      <c r="AN459" s="23"/>
      <c r="AO459" s="33">
        <f t="shared" si="71"/>
        <v>21975727</v>
      </c>
      <c r="AP459" s="33"/>
    </row>
    <row r="460" spans="1:42" hidden="1">
      <c r="A460" s="11" t="s">
        <v>822</v>
      </c>
      <c r="B460" s="11"/>
      <c r="C460" s="11" t="s">
        <v>53</v>
      </c>
      <c r="D460" s="23"/>
      <c r="E460" s="6"/>
      <c r="F460" s="23"/>
      <c r="G460" s="6"/>
      <c r="H460" s="23"/>
      <c r="I460" s="6"/>
      <c r="J460" s="23"/>
      <c r="K460" s="6"/>
      <c r="L460" s="23"/>
      <c r="M460" s="6"/>
      <c r="N460" s="23"/>
      <c r="O460" s="6"/>
      <c r="P460" s="23"/>
      <c r="Q460" s="6"/>
      <c r="R460" s="23"/>
      <c r="S460" s="6"/>
      <c r="T460" s="23"/>
      <c r="U460" s="6"/>
      <c r="V460" s="23"/>
      <c r="W460" s="33">
        <f t="shared" si="74"/>
        <v>0</v>
      </c>
      <c r="X460" s="23"/>
      <c r="Y460" s="23"/>
      <c r="Z460" s="23"/>
      <c r="AA460" s="23">
        <v>0</v>
      </c>
      <c r="AB460" s="23"/>
      <c r="AC460" s="23"/>
      <c r="AD460" s="23"/>
      <c r="AE460" s="23"/>
      <c r="AF460" s="23"/>
      <c r="AG460" s="23"/>
      <c r="AH460" s="23"/>
      <c r="AI460" s="23"/>
      <c r="AJ460" s="23"/>
      <c r="AK460" s="23">
        <v>0</v>
      </c>
      <c r="AL460" s="23"/>
      <c r="AM460" s="33">
        <f t="shared" si="75"/>
        <v>0</v>
      </c>
      <c r="AN460" s="23"/>
      <c r="AO460" s="33">
        <f t="shared" si="71"/>
        <v>0</v>
      </c>
      <c r="AP460" s="33"/>
    </row>
    <row r="461" spans="1:42">
      <c r="A461" s="11" t="s">
        <v>484</v>
      </c>
      <c r="B461" s="11"/>
      <c r="C461" s="11" t="s">
        <v>59</v>
      </c>
      <c r="D461" s="23"/>
      <c r="E461" s="6">
        <v>5406665</v>
      </c>
      <c r="F461" s="23"/>
      <c r="G461" s="6">
        <v>0</v>
      </c>
      <c r="H461" s="23"/>
      <c r="I461" s="6">
        <v>24084849</v>
      </c>
      <c r="J461" s="23"/>
      <c r="K461" s="6">
        <v>15670</v>
      </c>
      <c r="L461" s="23"/>
      <c r="M461" s="6">
        <f>1006073+25027+315645</f>
        <v>1346745</v>
      </c>
      <c r="N461" s="23"/>
      <c r="O461" s="6">
        <v>171640</v>
      </c>
      <c r="P461" s="23"/>
      <c r="Q461" s="6">
        <v>0</v>
      </c>
      <c r="R461" s="23"/>
      <c r="S461" s="6">
        <v>18420</v>
      </c>
      <c r="T461" s="23"/>
      <c r="U461" s="6">
        <v>78584</v>
      </c>
      <c r="V461" s="23"/>
      <c r="W461" s="33">
        <f t="shared" si="74"/>
        <v>31122573</v>
      </c>
      <c r="X461" s="23"/>
      <c r="Y461" s="23">
        <v>3420</v>
      </c>
      <c r="Z461" s="23"/>
      <c r="AA461" s="23">
        <v>0</v>
      </c>
      <c r="AB461" s="23"/>
      <c r="AC461" s="23">
        <f>2864457+190695</f>
        <v>3055152</v>
      </c>
      <c r="AD461" s="23"/>
      <c r="AE461" s="23"/>
      <c r="AF461" s="23"/>
      <c r="AG461" s="23"/>
      <c r="AH461" s="23"/>
      <c r="AI461" s="23">
        <v>7410</v>
      </c>
      <c r="AJ461" s="23"/>
      <c r="AK461" s="23">
        <v>0</v>
      </c>
      <c r="AL461" s="23"/>
      <c r="AM461" s="33">
        <f t="shared" si="75"/>
        <v>3065982</v>
      </c>
      <c r="AN461" s="23"/>
      <c r="AO461" s="33">
        <f t="shared" si="71"/>
        <v>34188555</v>
      </c>
      <c r="AP461" s="33"/>
    </row>
    <row r="462" spans="1:42" hidden="1">
      <c r="A462" s="11" t="s">
        <v>689</v>
      </c>
      <c r="B462" s="11"/>
      <c r="C462" s="11" t="s">
        <v>57</v>
      </c>
      <c r="D462" s="23"/>
      <c r="E462" s="6"/>
      <c r="F462" s="23"/>
      <c r="G462" s="6"/>
      <c r="H462" s="23"/>
      <c r="I462" s="6"/>
      <c r="J462" s="23"/>
      <c r="K462" s="6"/>
      <c r="L462" s="23"/>
      <c r="M462" s="6"/>
      <c r="N462" s="23"/>
      <c r="O462" s="6"/>
      <c r="P462" s="23"/>
      <c r="Q462" s="6"/>
      <c r="R462" s="23"/>
      <c r="S462" s="6"/>
      <c r="T462" s="23"/>
      <c r="U462" s="6"/>
      <c r="V462" s="23"/>
      <c r="W462" s="33">
        <f t="shared" si="74"/>
        <v>0</v>
      </c>
      <c r="X462" s="23"/>
      <c r="Y462" s="23"/>
      <c r="Z462" s="23"/>
      <c r="AA462" s="23">
        <v>0</v>
      </c>
      <c r="AB462" s="23"/>
      <c r="AC462" s="23"/>
      <c r="AD462" s="23"/>
      <c r="AE462" s="23"/>
      <c r="AF462" s="23"/>
      <c r="AG462" s="23"/>
      <c r="AH462" s="23"/>
      <c r="AI462" s="23"/>
      <c r="AJ462" s="23"/>
      <c r="AK462" s="23">
        <v>0</v>
      </c>
      <c r="AL462" s="23"/>
      <c r="AM462" s="33">
        <f t="shared" si="75"/>
        <v>0</v>
      </c>
      <c r="AN462" s="23"/>
      <c r="AO462" s="33">
        <f t="shared" si="71"/>
        <v>0</v>
      </c>
      <c r="AP462" s="33"/>
    </row>
    <row r="463" spans="1:42">
      <c r="A463" s="11" t="s">
        <v>329</v>
      </c>
      <c r="B463" s="11"/>
      <c r="C463" s="11" t="s">
        <v>32</v>
      </c>
      <c r="D463" s="23"/>
      <c r="E463" s="6">
        <v>45001017</v>
      </c>
      <c r="F463" s="23"/>
      <c r="G463" s="6">
        <v>0</v>
      </c>
      <c r="H463" s="23"/>
      <c r="I463" s="6">
        <v>36018462</v>
      </c>
      <c r="J463" s="23"/>
      <c r="K463" s="6">
        <v>647201</v>
      </c>
      <c r="L463" s="23"/>
      <c r="M463" s="6">
        <f>5447149+596983</f>
        <v>6044132</v>
      </c>
      <c r="N463" s="23"/>
      <c r="O463" s="6">
        <v>124859</v>
      </c>
      <c r="P463" s="23"/>
      <c r="Q463" s="6">
        <v>204696</v>
      </c>
      <c r="R463" s="23"/>
      <c r="S463" s="6">
        <v>0</v>
      </c>
      <c r="T463" s="23"/>
      <c r="U463" s="6">
        <v>643797</v>
      </c>
      <c r="V463" s="23"/>
      <c r="W463" s="33">
        <f t="shared" si="74"/>
        <v>88684164</v>
      </c>
      <c r="X463" s="23"/>
      <c r="Y463" s="23">
        <v>1141801</v>
      </c>
      <c r="Z463" s="23"/>
      <c r="AA463" s="23">
        <v>0</v>
      </c>
      <c r="AB463" s="23"/>
      <c r="AC463" s="23">
        <f>15225000+145998</f>
        <v>15370998</v>
      </c>
      <c r="AD463" s="23"/>
      <c r="AE463" s="23"/>
      <c r="AF463" s="23"/>
      <c r="AG463" s="23"/>
      <c r="AH463" s="23"/>
      <c r="AI463" s="23">
        <v>48348</v>
      </c>
      <c r="AJ463" s="23"/>
      <c r="AK463" s="23">
        <v>0</v>
      </c>
      <c r="AL463" s="23"/>
      <c r="AM463" s="33">
        <f t="shared" si="75"/>
        <v>16561147</v>
      </c>
      <c r="AN463" s="23"/>
      <c r="AO463" s="33">
        <f t="shared" si="71"/>
        <v>105245311</v>
      </c>
      <c r="AP463" s="33"/>
    </row>
    <row r="464" spans="1:42" hidden="1">
      <c r="A464" s="11" t="s">
        <v>823</v>
      </c>
      <c r="B464" s="11"/>
      <c r="C464" s="11" t="s">
        <v>53</v>
      </c>
      <c r="D464" s="23"/>
      <c r="E464" s="6"/>
      <c r="F464" s="23"/>
      <c r="G464" s="6"/>
      <c r="H464" s="23"/>
      <c r="I464" s="6"/>
      <c r="J464" s="23"/>
      <c r="K464" s="6"/>
      <c r="L464" s="23"/>
      <c r="M464" s="6"/>
      <c r="N464" s="23"/>
      <c r="O464" s="6"/>
      <c r="P464" s="23"/>
      <c r="Q464" s="6"/>
      <c r="R464" s="23"/>
      <c r="S464" s="6"/>
      <c r="T464" s="23"/>
      <c r="U464" s="6"/>
      <c r="V464" s="23"/>
      <c r="W464" s="33">
        <f t="shared" ref="W464" si="76">SUM(E464:U464)</f>
        <v>0</v>
      </c>
      <c r="X464" s="23"/>
      <c r="Y464" s="23"/>
      <c r="Z464" s="23"/>
      <c r="AA464" s="23">
        <v>0</v>
      </c>
      <c r="AB464" s="23"/>
      <c r="AC464" s="23"/>
      <c r="AD464" s="23"/>
      <c r="AE464" s="23"/>
      <c r="AF464" s="23"/>
      <c r="AG464" s="23"/>
      <c r="AH464" s="23"/>
      <c r="AI464" s="23"/>
      <c r="AJ464" s="23"/>
      <c r="AK464" s="23">
        <v>0</v>
      </c>
      <c r="AL464" s="23"/>
      <c r="AM464" s="33">
        <f t="shared" ref="AM464" si="77">AI464+AC464+Y464</f>
        <v>0</v>
      </c>
      <c r="AN464" s="23"/>
      <c r="AO464" s="33">
        <f t="shared" ref="AO464" si="78">W464+AM464</f>
        <v>0</v>
      </c>
      <c r="AP464" s="33"/>
    </row>
    <row r="465" spans="1:42" hidden="1">
      <c r="A465" s="11" t="s">
        <v>824</v>
      </c>
      <c r="B465" s="11"/>
      <c r="C465" s="11" t="s">
        <v>12</v>
      </c>
      <c r="D465" s="23"/>
      <c r="E465" s="6"/>
      <c r="F465" s="23"/>
      <c r="G465" s="6"/>
      <c r="H465" s="23"/>
      <c r="I465" s="6"/>
      <c r="J465" s="23"/>
      <c r="K465" s="6"/>
      <c r="L465" s="23"/>
      <c r="M465" s="6"/>
      <c r="N465" s="23"/>
      <c r="O465" s="6"/>
      <c r="P465" s="23"/>
      <c r="Q465" s="6"/>
      <c r="R465" s="23"/>
      <c r="S465" s="6"/>
      <c r="T465" s="23"/>
      <c r="U465" s="6"/>
      <c r="V465" s="23"/>
      <c r="W465" s="33">
        <f t="shared" si="74"/>
        <v>0</v>
      </c>
      <c r="X465" s="23"/>
      <c r="Y465" s="23"/>
      <c r="Z465" s="23"/>
      <c r="AA465" s="23">
        <v>0</v>
      </c>
      <c r="AB465" s="23"/>
      <c r="AC465" s="23"/>
      <c r="AD465" s="23"/>
      <c r="AE465" s="23"/>
      <c r="AF465" s="23"/>
      <c r="AG465" s="23"/>
      <c r="AH465" s="23"/>
      <c r="AI465" s="23"/>
      <c r="AJ465" s="23"/>
      <c r="AK465" s="23">
        <v>0</v>
      </c>
      <c r="AL465" s="23"/>
      <c r="AM465" s="33">
        <f t="shared" si="75"/>
        <v>0</v>
      </c>
      <c r="AN465" s="23"/>
      <c r="AO465" s="33">
        <f t="shared" si="71"/>
        <v>0</v>
      </c>
      <c r="AP465" s="33"/>
    </row>
    <row r="466" spans="1:42">
      <c r="A466" s="11" t="s">
        <v>632</v>
      </c>
      <c r="B466" s="11"/>
      <c r="C466" s="11" t="s">
        <v>56</v>
      </c>
      <c r="D466" s="23"/>
      <c r="E466" s="6">
        <v>11067388</v>
      </c>
      <c r="F466" s="23"/>
      <c r="G466" s="6">
        <v>0</v>
      </c>
      <c r="H466" s="23"/>
      <c r="I466" s="6">
        <f>17950+16103810+2786505</f>
        <v>18908265</v>
      </c>
      <c r="J466" s="23"/>
      <c r="K466" s="6">
        <v>15591</v>
      </c>
      <c r="L466" s="23"/>
      <c r="M466" s="6">
        <f>738211+47098+411262+300+10286+5920</f>
        <v>1213077</v>
      </c>
      <c r="N466" s="23"/>
      <c r="O466" s="6">
        <v>207106</v>
      </c>
      <c r="P466" s="23"/>
      <c r="Q466" s="6">
        <v>96043</v>
      </c>
      <c r="R466" s="23"/>
      <c r="S466" s="6">
        <v>12115</v>
      </c>
      <c r="T466" s="23"/>
      <c r="U466" s="6">
        <v>67410</v>
      </c>
      <c r="V466" s="23"/>
      <c r="W466" s="33">
        <f t="shared" si="74"/>
        <v>31586995</v>
      </c>
      <c r="X466" s="23"/>
      <c r="Y466" s="23">
        <v>246539</v>
      </c>
      <c r="Z466" s="23"/>
      <c r="AA466" s="23">
        <v>0</v>
      </c>
      <c r="AB466" s="23"/>
      <c r="AC466" s="23">
        <v>1585000</v>
      </c>
      <c r="AD466" s="23"/>
      <c r="AE466" s="23"/>
      <c r="AF466" s="23"/>
      <c r="AG466" s="23"/>
      <c r="AH466" s="23"/>
      <c r="AI466" s="23">
        <v>7400</v>
      </c>
      <c r="AJ466" s="23"/>
      <c r="AK466" s="23">
        <v>0</v>
      </c>
      <c r="AL466" s="23"/>
      <c r="AM466" s="33">
        <f t="shared" si="75"/>
        <v>1838939</v>
      </c>
      <c r="AN466" s="23"/>
      <c r="AO466" s="33">
        <f t="shared" si="71"/>
        <v>33425934</v>
      </c>
      <c r="AP466" s="33"/>
    </row>
    <row r="467" spans="1:42">
      <c r="A467" s="11" t="s">
        <v>330</v>
      </c>
      <c r="B467" s="11"/>
      <c r="C467" s="11" t="s">
        <v>32</v>
      </c>
      <c r="D467" s="23"/>
      <c r="E467" s="6">
        <v>7658111</v>
      </c>
      <c r="F467" s="23"/>
      <c r="G467" s="6">
        <v>0</v>
      </c>
      <c r="H467" s="23"/>
      <c r="I467" s="6">
        <v>7630057</v>
      </c>
      <c r="J467" s="23"/>
      <c r="K467" s="6">
        <v>11156</v>
      </c>
      <c r="L467" s="23"/>
      <c r="M467" s="6">
        <f>1650354+1768+260502</f>
        <v>1912624</v>
      </c>
      <c r="N467" s="23"/>
      <c r="O467" s="6">
        <v>162357</v>
      </c>
      <c r="P467" s="23"/>
      <c r="Q467" s="6">
        <v>0</v>
      </c>
      <c r="R467" s="23"/>
      <c r="S467" s="6">
        <v>30979</v>
      </c>
      <c r="T467" s="23"/>
      <c r="U467" s="6">
        <v>46147</v>
      </c>
      <c r="V467" s="23"/>
      <c r="W467" s="33">
        <f t="shared" si="74"/>
        <v>17451431</v>
      </c>
      <c r="X467" s="23"/>
      <c r="Y467" s="23">
        <v>59300</v>
      </c>
      <c r="Z467" s="23"/>
      <c r="AA467" s="23">
        <v>0</v>
      </c>
      <c r="AB467" s="23"/>
      <c r="AC467" s="23">
        <v>0</v>
      </c>
      <c r="AD467" s="23"/>
      <c r="AE467" s="23"/>
      <c r="AF467" s="23"/>
      <c r="AG467" s="23"/>
      <c r="AH467" s="23"/>
      <c r="AI467" s="23">
        <v>3500</v>
      </c>
      <c r="AJ467" s="23"/>
      <c r="AK467" s="23">
        <v>0</v>
      </c>
      <c r="AL467" s="23"/>
      <c r="AM467" s="33">
        <f t="shared" si="75"/>
        <v>62800</v>
      </c>
      <c r="AN467" s="23"/>
      <c r="AO467" s="33">
        <f t="shared" si="71"/>
        <v>17514231</v>
      </c>
      <c r="AP467" s="33"/>
    </row>
    <row r="468" spans="1:42">
      <c r="A468" s="11" t="s">
        <v>513</v>
      </c>
      <c r="B468" s="11"/>
      <c r="C468" s="11" t="s">
        <v>63</v>
      </c>
      <c r="D468" s="23"/>
      <c r="E468" s="6">
        <v>26966263</v>
      </c>
      <c r="F468" s="23"/>
      <c r="G468" s="6">
        <v>0</v>
      </c>
      <c r="H468" s="23"/>
      <c r="I468" s="6">
        <v>8254738</v>
      </c>
      <c r="J468" s="23"/>
      <c r="K468" s="6">
        <v>69286</v>
      </c>
      <c r="L468" s="23"/>
      <c r="M468" s="6">
        <f>428627+116544+698553</f>
        <v>1243724</v>
      </c>
      <c r="N468" s="23"/>
      <c r="O468" s="6">
        <v>445446</v>
      </c>
      <c r="P468" s="23"/>
      <c r="Q468" s="6">
        <v>0</v>
      </c>
      <c r="R468" s="23"/>
      <c r="S468" s="6">
        <v>178478</v>
      </c>
      <c r="T468" s="23"/>
      <c r="U468" s="6">
        <v>7683</v>
      </c>
      <c r="V468" s="23"/>
      <c r="W468" s="33">
        <f t="shared" si="74"/>
        <v>37165618</v>
      </c>
      <c r="X468" s="23"/>
      <c r="Y468" s="23">
        <v>80000</v>
      </c>
      <c r="Z468" s="23"/>
      <c r="AA468" s="23">
        <v>0</v>
      </c>
      <c r="AB468" s="23"/>
      <c r="AC468" s="23">
        <v>3225768</v>
      </c>
      <c r="AD468" s="23"/>
      <c r="AE468" s="23"/>
      <c r="AF468" s="23"/>
      <c r="AG468" s="23"/>
      <c r="AH468" s="23"/>
      <c r="AI468" s="23">
        <v>92338</v>
      </c>
      <c r="AJ468" s="23"/>
      <c r="AK468" s="23">
        <v>0</v>
      </c>
      <c r="AL468" s="23"/>
      <c r="AM468" s="33">
        <f t="shared" si="75"/>
        <v>3398106</v>
      </c>
      <c r="AN468" s="23"/>
      <c r="AO468" s="33">
        <f t="shared" si="71"/>
        <v>40563724</v>
      </c>
      <c r="AP468" s="33"/>
    </row>
    <row r="469" spans="1:42" hidden="1">
      <c r="A469" s="11" t="s">
        <v>825</v>
      </c>
      <c r="B469" s="11"/>
      <c r="C469" s="11" t="s">
        <v>27</v>
      </c>
      <c r="D469" s="23"/>
      <c r="E469" s="6"/>
      <c r="F469" s="23"/>
      <c r="G469" s="6"/>
      <c r="H469" s="23"/>
      <c r="I469" s="6"/>
      <c r="J469" s="23"/>
      <c r="K469" s="6"/>
      <c r="L469" s="23"/>
      <c r="M469" s="6"/>
      <c r="N469" s="23"/>
      <c r="O469" s="6"/>
      <c r="P469" s="23"/>
      <c r="Q469" s="6"/>
      <c r="R469" s="23"/>
      <c r="S469" s="6"/>
      <c r="T469" s="23"/>
      <c r="U469" s="6"/>
      <c r="V469" s="23"/>
      <c r="W469" s="33">
        <f t="shared" si="74"/>
        <v>0</v>
      </c>
      <c r="X469" s="23"/>
      <c r="Y469" s="23"/>
      <c r="Z469" s="23"/>
      <c r="AA469" s="23">
        <v>0</v>
      </c>
      <c r="AB469" s="23"/>
      <c r="AC469" s="23"/>
      <c r="AD469" s="23"/>
      <c r="AE469" s="23"/>
      <c r="AF469" s="23"/>
      <c r="AG469" s="23"/>
      <c r="AH469" s="23"/>
      <c r="AI469" s="23"/>
      <c r="AJ469" s="23"/>
      <c r="AK469" s="23">
        <v>0</v>
      </c>
      <c r="AL469" s="23"/>
      <c r="AM469" s="33">
        <f t="shared" si="75"/>
        <v>0</v>
      </c>
      <c r="AN469" s="23"/>
      <c r="AO469" s="33">
        <f t="shared" si="71"/>
        <v>0</v>
      </c>
      <c r="AP469" s="33"/>
    </row>
    <row r="470" spans="1:42">
      <c r="A470" s="11" t="s">
        <v>276</v>
      </c>
      <c r="B470" s="11"/>
      <c r="C470" s="11" t="s">
        <v>20</v>
      </c>
      <c r="D470" s="23"/>
      <c r="E470" s="6">
        <v>7481099</v>
      </c>
      <c r="F470" s="23"/>
      <c r="G470" s="6">
        <v>0</v>
      </c>
      <c r="H470" s="23"/>
      <c r="I470" s="6">
        <v>3635719</v>
      </c>
      <c r="J470" s="23"/>
      <c r="K470" s="6">
        <v>1996</v>
      </c>
      <c r="L470" s="23"/>
      <c r="M470" s="6">
        <f>239968+14325</f>
        <v>254293</v>
      </c>
      <c r="N470" s="23"/>
      <c r="O470" s="6">
        <v>63327</v>
      </c>
      <c r="P470" s="23"/>
      <c r="Q470" s="6">
        <v>0</v>
      </c>
      <c r="R470" s="23"/>
      <c r="S470" s="6">
        <v>8118</v>
      </c>
      <c r="T470" s="23"/>
      <c r="U470" s="6">
        <v>8471</v>
      </c>
      <c r="V470" s="23"/>
      <c r="W470" s="33">
        <f t="shared" si="74"/>
        <v>11453023</v>
      </c>
      <c r="X470" s="23"/>
      <c r="Y470" s="23">
        <v>139430</v>
      </c>
      <c r="Z470" s="23"/>
      <c r="AA470" s="23">
        <v>0</v>
      </c>
      <c r="AB470" s="23"/>
      <c r="AC470" s="23">
        <v>0</v>
      </c>
      <c r="AD470" s="23"/>
      <c r="AE470" s="23"/>
      <c r="AF470" s="23"/>
      <c r="AG470" s="23"/>
      <c r="AH470" s="23"/>
      <c r="AI470" s="23">
        <v>0</v>
      </c>
      <c r="AJ470" s="23"/>
      <c r="AK470" s="23">
        <v>0</v>
      </c>
      <c r="AL470" s="23"/>
      <c r="AM470" s="33">
        <f t="shared" si="75"/>
        <v>139430</v>
      </c>
      <c r="AN470" s="23"/>
      <c r="AO470" s="33">
        <f t="shared" si="71"/>
        <v>11592453</v>
      </c>
      <c r="AP470" s="33"/>
    </row>
    <row r="471" spans="1:42">
      <c r="A471" s="11" t="s">
        <v>412</v>
      </c>
      <c r="B471" s="11"/>
      <c r="C471" s="11" t="s">
        <v>46</v>
      </c>
      <c r="D471" s="23"/>
      <c r="E471" s="6">
        <v>2769132</v>
      </c>
      <c r="F471" s="23"/>
      <c r="G471" s="6">
        <v>0</v>
      </c>
      <c r="H471" s="23"/>
      <c r="I471" s="6">
        <v>4315965</v>
      </c>
      <c r="J471" s="23"/>
      <c r="K471" s="6">
        <v>9368</v>
      </c>
      <c r="L471" s="23"/>
      <c r="M471" s="6">
        <f>1291235+261607</f>
        <v>1552842</v>
      </c>
      <c r="N471" s="23"/>
      <c r="O471" s="6">
        <v>113304</v>
      </c>
      <c r="P471" s="23"/>
      <c r="Q471" s="6">
        <v>98288</v>
      </c>
      <c r="R471" s="23"/>
      <c r="S471" s="6">
        <v>28218</v>
      </c>
      <c r="T471" s="23"/>
      <c r="U471" s="6">
        <v>33182</v>
      </c>
      <c r="V471" s="23"/>
      <c r="W471" s="33">
        <f t="shared" si="74"/>
        <v>8920299</v>
      </c>
      <c r="X471" s="23"/>
      <c r="Y471" s="23">
        <v>0</v>
      </c>
      <c r="Z471" s="23"/>
      <c r="AA471" s="23">
        <v>0</v>
      </c>
      <c r="AB471" s="23"/>
      <c r="AC471" s="23">
        <v>46175</v>
      </c>
      <c r="AD471" s="23"/>
      <c r="AE471" s="23"/>
      <c r="AF471" s="23"/>
      <c r="AG471" s="23"/>
      <c r="AH471" s="23"/>
      <c r="AI471" s="23">
        <f>1500+6109</f>
        <v>7609</v>
      </c>
      <c r="AJ471" s="23"/>
      <c r="AK471" s="23">
        <v>0</v>
      </c>
      <c r="AL471" s="23"/>
      <c r="AM471" s="33">
        <f t="shared" si="75"/>
        <v>53784</v>
      </c>
      <c r="AN471" s="23"/>
      <c r="AO471" s="33">
        <f t="shared" si="71"/>
        <v>8974083</v>
      </c>
      <c r="AP471" s="33"/>
    </row>
    <row r="472" spans="1:42" hidden="1">
      <c r="A472" s="11" t="s">
        <v>897</v>
      </c>
      <c r="B472" s="11"/>
      <c r="C472" s="11" t="s">
        <v>339</v>
      </c>
      <c r="D472" s="23"/>
      <c r="E472" s="6">
        <v>0</v>
      </c>
      <c r="F472" s="23"/>
      <c r="G472" s="6">
        <v>0</v>
      </c>
      <c r="H472" s="23"/>
      <c r="I472" s="6">
        <v>0</v>
      </c>
      <c r="J472" s="23"/>
      <c r="K472" s="6">
        <v>0</v>
      </c>
      <c r="L472" s="23"/>
      <c r="M472" s="6">
        <v>0</v>
      </c>
      <c r="N472" s="23"/>
      <c r="O472" s="6">
        <v>0</v>
      </c>
      <c r="P472" s="23"/>
      <c r="Q472" s="6">
        <v>0</v>
      </c>
      <c r="R472" s="23"/>
      <c r="S472" s="6">
        <v>0</v>
      </c>
      <c r="T472" s="23"/>
      <c r="U472" s="6">
        <v>0</v>
      </c>
      <c r="V472" s="23"/>
      <c r="W472" s="33">
        <f t="shared" si="74"/>
        <v>0</v>
      </c>
      <c r="X472" s="23"/>
      <c r="Y472" s="23">
        <v>0</v>
      </c>
      <c r="Z472" s="23"/>
      <c r="AA472" s="23">
        <v>0</v>
      </c>
      <c r="AB472" s="23"/>
      <c r="AC472" s="23">
        <v>0</v>
      </c>
      <c r="AD472" s="23"/>
      <c r="AE472" s="23"/>
      <c r="AF472" s="23"/>
      <c r="AG472" s="23"/>
      <c r="AH472" s="23"/>
      <c r="AI472" s="23">
        <v>0</v>
      </c>
      <c r="AJ472" s="23"/>
      <c r="AK472" s="23">
        <v>0</v>
      </c>
      <c r="AL472" s="23"/>
      <c r="AM472" s="33">
        <f t="shared" si="75"/>
        <v>0</v>
      </c>
      <c r="AN472" s="23"/>
      <c r="AO472" s="33">
        <f t="shared" si="71"/>
        <v>0</v>
      </c>
      <c r="AP472" s="33"/>
    </row>
    <row r="473" spans="1:42">
      <c r="A473" s="11" t="s">
        <v>254</v>
      </c>
      <c r="B473" s="11"/>
      <c r="C473" s="11" t="s">
        <v>19</v>
      </c>
      <c r="D473" s="23"/>
      <c r="E473" s="6">
        <v>3128236</v>
      </c>
      <c r="F473" s="23"/>
      <c r="G473" s="6">
        <v>0</v>
      </c>
      <c r="H473" s="23"/>
      <c r="I473" s="6">
        <f>7604446+1560870</f>
        <v>9165316</v>
      </c>
      <c r="J473" s="23"/>
      <c r="K473" s="6">
        <v>10095</v>
      </c>
      <c r="L473" s="23"/>
      <c r="M473" s="6">
        <f>367331+228515+29372</f>
        <v>625218</v>
      </c>
      <c r="N473" s="23"/>
      <c r="O473" s="6">
        <v>182089</v>
      </c>
      <c r="P473" s="23"/>
      <c r="Q473" s="6">
        <v>0</v>
      </c>
      <c r="R473" s="23"/>
      <c r="S473" s="6">
        <v>0</v>
      </c>
      <c r="T473" s="23"/>
      <c r="U473" s="6">
        <v>36943</v>
      </c>
      <c r="V473" s="23"/>
      <c r="W473" s="33">
        <f t="shared" si="74"/>
        <v>13147897</v>
      </c>
      <c r="X473" s="23"/>
      <c r="Y473" s="23">
        <v>0</v>
      </c>
      <c r="Z473" s="23"/>
      <c r="AA473" s="23">
        <v>0</v>
      </c>
      <c r="AB473" s="23"/>
      <c r="AC473" s="23">
        <v>58640</v>
      </c>
      <c r="AD473" s="23"/>
      <c r="AE473" s="23"/>
      <c r="AF473" s="23"/>
      <c r="AG473" s="23"/>
      <c r="AH473" s="23"/>
      <c r="AI473" s="23">
        <v>0</v>
      </c>
      <c r="AJ473" s="23"/>
      <c r="AK473" s="23">
        <v>0</v>
      </c>
      <c r="AL473" s="23"/>
      <c r="AM473" s="33">
        <f t="shared" si="75"/>
        <v>58640</v>
      </c>
      <c r="AN473" s="23"/>
      <c r="AO473" s="33">
        <f t="shared" si="71"/>
        <v>13206537</v>
      </c>
      <c r="AP473" s="33"/>
    </row>
    <row r="474" spans="1:42" hidden="1">
      <c r="A474" s="11" t="s">
        <v>826</v>
      </c>
      <c r="B474" s="11"/>
      <c r="C474" s="11" t="s">
        <v>77</v>
      </c>
      <c r="D474" s="23"/>
      <c r="E474" s="6"/>
      <c r="F474" s="23"/>
      <c r="G474" s="6"/>
      <c r="H474" s="23"/>
      <c r="I474" s="6"/>
      <c r="J474" s="23"/>
      <c r="K474" s="6"/>
      <c r="L474" s="23"/>
      <c r="M474" s="6"/>
      <c r="N474" s="23"/>
      <c r="O474" s="6"/>
      <c r="P474" s="23"/>
      <c r="Q474" s="6"/>
      <c r="R474" s="23"/>
      <c r="S474" s="6"/>
      <c r="T474" s="23"/>
      <c r="U474" s="6"/>
      <c r="V474" s="23"/>
      <c r="W474" s="33">
        <f t="shared" si="74"/>
        <v>0</v>
      </c>
      <c r="X474" s="23"/>
      <c r="Y474" s="23"/>
      <c r="Z474" s="23"/>
      <c r="AA474" s="23">
        <v>0</v>
      </c>
      <c r="AB474" s="23"/>
      <c r="AC474" s="23"/>
      <c r="AD474" s="23"/>
      <c r="AE474" s="23"/>
      <c r="AF474" s="23"/>
      <c r="AG474" s="23"/>
      <c r="AH474" s="23"/>
      <c r="AI474" s="23"/>
      <c r="AJ474" s="23"/>
      <c r="AK474" s="23">
        <v>0</v>
      </c>
      <c r="AL474" s="23"/>
      <c r="AM474" s="33">
        <f t="shared" si="75"/>
        <v>0</v>
      </c>
      <c r="AN474" s="23"/>
      <c r="AO474" s="33">
        <f t="shared" si="71"/>
        <v>0</v>
      </c>
      <c r="AP474" s="33"/>
    </row>
    <row r="475" spans="1:42" hidden="1">
      <c r="A475" s="11" t="s">
        <v>827</v>
      </c>
      <c r="B475" s="11"/>
      <c r="C475" s="11" t="s">
        <v>71</v>
      </c>
      <c r="D475" s="23"/>
      <c r="E475" s="6"/>
      <c r="F475" s="23"/>
      <c r="G475" s="6"/>
      <c r="H475" s="23"/>
      <c r="I475" s="6"/>
      <c r="J475" s="23"/>
      <c r="K475" s="6"/>
      <c r="L475" s="23"/>
      <c r="M475" s="6"/>
      <c r="N475" s="23"/>
      <c r="O475" s="6"/>
      <c r="P475" s="23"/>
      <c r="Q475" s="6"/>
      <c r="R475" s="23"/>
      <c r="S475" s="6"/>
      <c r="T475" s="23"/>
      <c r="U475" s="6"/>
      <c r="V475" s="23"/>
      <c r="W475" s="33">
        <f t="shared" si="74"/>
        <v>0</v>
      </c>
      <c r="X475" s="23"/>
      <c r="Y475" s="23"/>
      <c r="Z475" s="23"/>
      <c r="AA475" s="23">
        <v>0</v>
      </c>
      <c r="AB475" s="23"/>
      <c r="AC475" s="23"/>
      <c r="AD475" s="23"/>
      <c r="AE475" s="23"/>
      <c r="AF475" s="23"/>
      <c r="AG475" s="23"/>
      <c r="AH475" s="23"/>
      <c r="AI475" s="23"/>
      <c r="AJ475" s="23"/>
      <c r="AK475" s="23">
        <v>0</v>
      </c>
      <c r="AL475" s="23"/>
      <c r="AM475" s="33">
        <f t="shared" si="75"/>
        <v>0</v>
      </c>
      <c r="AN475" s="23"/>
      <c r="AO475" s="33">
        <f t="shared" si="71"/>
        <v>0</v>
      </c>
      <c r="AP475" s="33"/>
    </row>
    <row r="476" spans="1:42">
      <c r="A476" s="11" t="s">
        <v>413</v>
      </c>
      <c r="B476" s="11"/>
      <c r="C476" s="11" t="s">
        <v>46</v>
      </c>
      <c r="D476" s="23"/>
      <c r="E476" s="6">
        <v>6602806</v>
      </c>
      <c r="F476" s="23"/>
      <c r="G476" s="6">
        <v>0</v>
      </c>
      <c r="H476" s="23"/>
      <c r="I476" s="6">
        <v>8255447</v>
      </c>
      <c r="J476" s="23"/>
      <c r="K476" s="6">
        <v>3254</v>
      </c>
      <c r="L476" s="23"/>
      <c r="M476" s="6">
        <f>3137092+438366</f>
        <v>3575458</v>
      </c>
      <c r="N476" s="23"/>
      <c r="O476" s="6">
        <v>334749</v>
      </c>
      <c r="P476" s="23"/>
      <c r="Q476" s="6">
        <v>232376</v>
      </c>
      <c r="R476" s="23"/>
      <c r="S476" s="6">
        <v>11556</v>
      </c>
      <c r="T476" s="23"/>
      <c r="U476" s="6">
        <v>215045</v>
      </c>
      <c r="V476" s="23"/>
      <c r="W476" s="33">
        <f t="shared" si="74"/>
        <v>19230691</v>
      </c>
      <c r="X476" s="23"/>
      <c r="Y476" s="23">
        <v>45000</v>
      </c>
      <c r="Z476" s="23"/>
      <c r="AA476" s="23">
        <v>0</v>
      </c>
      <c r="AB476" s="23"/>
      <c r="AC476" s="23">
        <v>388775</v>
      </c>
      <c r="AD476" s="23"/>
      <c r="AE476" s="23"/>
      <c r="AF476" s="23"/>
      <c r="AG476" s="23"/>
      <c r="AH476" s="23"/>
      <c r="AI476" s="23">
        <v>0</v>
      </c>
      <c r="AJ476" s="23"/>
      <c r="AK476" s="23">
        <v>0</v>
      </c>
      <c r="AL476" s="23"/>
      <c r="AM476" s="33">
        <f t="shared" si="75"/>
        <v>433775</v>
      </c>
      <c r="AN476" s="23"/>
      <c r="AO476" s="33">
        <f t="shared" si="71"/>
        <v>19664466</v>
      </c>
      <c r="AP476" s="33"/>
    </row>
    <row r="477" spans="1:42">
      <c r="A477" s="11" t="s">
        <v>255</v>
      </c>
      <c r="B477" s="11"/>
      <c r="C477" s="11" t="s">
        <v>19</v>
      </c>
      <c r="D477" s="23"/>
      <c r="E477" s="6">
        <v>9439633</v>
      </c>
      <c r="F477" s="23"/>
      <c r="G477" s="6">
        <v>0</v>
      </c>
      <c r="H477" s="23"/>
      <c r="I477" s="6">
        <v>12927255</v>
      </c>
      <c r="J477" s="23"/>
      <c r="K477" s="6">
        <v>35537</v>
      </c>
      <c r="L477" s="23"/>
      <c r="M477" s="6">
        <f>928890+1232+415537</f>
        <v>1345659</v>
      </c>
      <c r="N477" s="23"/>
      <c r="O477" s="6">
        <v>157645</v>
      </c>
      <c r="P477" s="23"/>
      <c r="Q477" s="6">
        <v>0</v>
      </c>
      <c r="R477" s="23"/>
      <c r="S477" s="6">
        <v>28164</v>
      </c>
      <c r="T477" s="23"/>
      <c r="U477" s="6">
        <v>123041</v>
      </c>
      <c r="V477" s="23"/>
      <c r="W477" s="33">
        <f t="shared" si="74"/>
        <v>24056934</v>
      </c>
      <c r="X477" s="23"/>
      <c r="Y477" s="23">
        <v>0</v>
      </c>
      <c r="Z477" s="23"/>
      <c r="AA477" s="23">
        <v>0</v>
      </c>
      <c r="AB477" s="23"/>
      <c r="AC477" s="23">
        <v>0</v>
      </c>
      <c r="AD477" s="23"/>
      <c r="AE477" s="23"/>
      <c r="AF477" s="23"/>
      <c r="AG477" s="23"/>
      <c r="AH477" s="23"/>
      <c r="AI477" s="23">
        <v>0</v>
      </c>
      <c r="AJ477" s="23"/>
      <c r="AK477" s="23">
        <v>0</v>
      </c>
      <c r="AL477" s="23"/>
      <c r="AM477" s="33">
        <f t="shared" si="75"/>
        <v>0</v>
      </c>
      <c r="AN477" s="23"/>
      <c r="AO477" s="33">
        <f t="shared" si="71"/>
        <v>24056934</v>
      </c>
      <c r="AP477" s="33"/>
    </row>
    <row r="478" spans="1:42" hidden="1">
      <c r="A478" s="11" t="s">
        <v>828</v>
      </c>
      <c r="B478" s="11"/>
      <c r="C478" s="11" t="s">
        <v>339</v>
      </c>
      <c r="D478" s="23"/>
      <c r="E478" s="6"/>
      <c r="F478" s="23"/>
      <c r="G478" s="6"/>
      <c r="H478" s="23"/>
      <c r="I478" s="6"/>
      <c r="J478" s="23"/>
      <c r="K478" s="6"/>
      <c r="L478" s="23"/>
      <c r="M478" s="6"/>
      <c r="N478" s="23"/>
      <c r="O478" s="6"/>
      <c r="P478" s="23"/>
      <c r="Q478" s="6"/>
      <c r="R478" s="23"/>
      <c r="S478" s="6"/>
      <c r="T478" s="23"/>
      <c r="U478" s="6"/>
      <c r="V478" s="23"/>
      <c r="W478" s="33">
        <f t="shared" si="74"/>
        <v>0</v>
      </c>
      <c r="X478" s="23"/>
      <c r="Y478" s="23"/>
      <c r="Z478" s="23"/>
      <c r="AA478" s="23">
        <v>0</v>
      </c>
      <c r="AB478" s="23"/>
      <c r="AC478" s="23"/>
      <c r="AD478" s="23"/>
      <c r="AE478" s="23"/>
      <c r="AF478" s="23"/>
      <c r="AG478" s="23"/>
      <c r="AH478" s="23"/>
      <c r="AI478" s="23"/>
      <c r="AJ478" s="23"/>
      <c r="AK478" s="23">
        <v>0</v>
      </c>
      <c r="AL478" s="23"/>
      <c r="AM478" s="33">
        <f t="shared" si="75"/>
        <v>0</v>
      </c>
      <c r="AN478" s="23"/>
      <c r="AO478" s="33">
        <f t="shared" si="71"/>
        <v>0</v>
      </c>
      <c r="AP478" s="33"/>
    </row>
    <row r="479" spans="1:42" s="28" customFormat="1">
      <c r="A479" s="27" t="s">
        <v>379</v>
      </c>
      <c r="B479" s="27"/>
      <c r="C479" s="27" t="s">
        <v>41</v>
      </c>
      <c r="D479" s="31"/>
      <c r="E479" s="28">
        <v>26509235</v>
      </c>
      <c r="F479" s="31"/>
      <c r="G479" s="28">
        <v>0</v>
      </c>
      <c r="H479" s="31"/>
      <c r="I479" s="28">
        <v>14781818</v>
      </c>
      <c r="J479" s="31"/>
      <c r="K479" s="28">
        <v>8650</v>
      </c>
      <c r="L479" s="31"/>
      <c r="M479" s="28">
        <f>449135+127557+539633</f>
        <v>1116325</v>
      </c>
      <c r="N479" s="31"/>
      <c r="O479" s="28">
        <v>556450</v>
      </c>
      <c r="P479" s="31"/>
      <c r="Q479" s="28">
        <v>0</v>
      </c>
      <c r="R479" s="31"/>
      <c r="S479" s="28">
        <v>0</v>
      </c>
      <c r="T479" s="31"/>
      <c r="U479" s="28">
        <v>788165</v>
      </c>
      <c r="V479" s="31"/>
      <c r="W479" s="41">
        <f t="shared" si="74"/>
        <v>43760643</v>
      </c>
      <c r="X479" s="31"/>
      <c r="Y479" s="31">
        <v>82555</v>
      </c>
      <c r="Z479" s="31"/>
      <c r="AA479" s="31">
        <v>0</v>
      </c>
      <c r="AB479" s="31"/>
      <c r="AC479" s="31">
        <v>2500000</v>
      </c>
      <c r="AD479" s="31"/>
      <c r="AE479" s="31"/>
      <c r="AF479" s="31"/>
      <c r="AG479" s="31"/>
      <c r="AH479" s="31"/>
      <c r="AI479" s="31">
        <v>210104</v>
      </c>
      <c r="AJ479" s="31"/>
      <c r="AK479" s="31">
        <v>0</v>
      </c>
      <c r="AL479" s="31"/>
      <c r="AM479" s="41">
        <f t="shared" si="75"/>
        <v>2792659</v>
      </c>
      <c r="AN479" s="31"/>
      <c r="AO479" s="41">
        <f t="shared" si="71"/>
        <v>46553302</v>
      </c>
      <c r="AP479" s="41"/>
    </row>
    <row r="480" spans="1:42">
      <c r="A480" s="11" t="s">
        <v>379</v>
      </c>
      <c r="B480" s="11"/>
      <c r="C480" s="11" t="s">
        <v>43</v>
      </c>
      <c r="D480" s="23"/>
      <c r="E480" s="6">
        <v>1101513</v>
      </c>
      <c r="F480" s="23"/>
      <c r="G480" s="6">
        <v>1303473</v>
      </c>
      <c r="H480" s="23"/>
      <c r="I480" s="6">
        <f>2360+4203801+689541</f>
        <v>4895702</v>
      </c>
      <c r="J480" s="23"/>
      <c r="K480" s="6">
        <v>9026</v>
      </c>
      <c r="L480" s="23"/>
      <c r="M480" s="6">
        <f>410505+2505+169051+24454+100</f>
        <v>606615</v>
      </c>
      <c r="N480" s="23"/>
      <c r="O480" s="6">
        <v>87963</v>
      </c>
      <c r="P480" s="23"/>
      <c r="Q480" s="6">
        <v>0</v>
      </c>
      <c r="R480" s="23"/>
      <c r="S480" s="6">
        <v>4474</v>
      </c>
      <c r="T480" s="23"/>
      <c r="U480" s="6">
        <v>49120</v>
      </c>
      <c r="V480" s="23"/>
      <c r="W480" s="33">
        <f t="shared" si="74"/>
        <v>8057886</v>
      </c>
      <c r="X480" s="23"/>
      <c r="Y480" s="23">
        <v>0</v>
      </c>
      <c r="Z480" s="23"/>
      <c r="AA480" s="23">
        <v>0</v>
      </c>
      <c r="AB480" s="23"/>
      <c r="AC480" s="23">
        <v>0</v>
      </c>
      <c r="AD480" s="23"/>
      <c r="AE480" s="23"/>
      <c r="AF480" s="23"/>
      <c r="AG480" s="23"/>
      <c r="AH480" s="23"/>
      <c r="AI480" s="23">
        <v>0</v>
      </c>
      <c r="AJ480" s="23"/>
      <c r="AK480" s="23">
        <v>0</v>
      </c>
      <c r="AL480" s="23"/>
      <c r="AM480" s="33">
        <f t="shared" si="75"/>
        <v>0</v>
      </c>
      <c r="AN480" s="23"/>
      <c r="AO480" s="33">
        <f t="shared" si="71"/>
        <v>8057886</v>
      </c>
      <c r="AP480" s="33"/>
    </row>
    <row r="481" spans="1:42">
      <c r="A481" s="11" t="s">
        <v>370</v>
      </c>
      <c r="B481" s="11"/>
      <c r="C481" s="11" t="s">
        <v>366</v>
      </c>
      <c r="D481" s="23"/>
      <c r="E481" s="6">
        <v>2367059</v>
      </c>
      <c r="F481" s="23"/>
      <c r="G481" s="6">
        <v>0</v>
      </c>
      <c r="H481" s="23"/>
      <c r="I481" s="6">
        <v>16392607</v>
      </c>
      <c r="J481" s="23"/>
      <c r="K481" s="6">
        <v>16910</v>
      </c>
      <c r="L481" s="23"/>
      <c r="M481" s="6">
        <f>682172+240951</f>
        <v>923123</v>
      </c>
      <c r="N481" s="23"/>
      <c r="O481" s="6">
        <v>90151</v>
      </c>
      <c r="P481" s="23"/>
      <c r="Q481" s="6">
        <v>573500</v>
      </c>
      <c r="R481" s="23"/>
      <c r="S481" s="6">
        <v>2</v>
      </c>
      <c r="T481" s="23"/>
      <c r="U481" s="6">
        <v>66016</v>
      </c>
      <c r="V481" s="23"/>
      <c r="W481" s="33">
        <f>SUM(E481:U481)</f>
        <v>20429368</v>
      </c>
      <c r="X481" s="23"/>
      <c r="Y481" s="23">
        <v>640000</v>
      </c>
      <c r="Z481" s="23"/>
      <c r="AA481" s="23">
        <v>0</v>
      </c>
      <c r="AB481" s="23"/>
      <c r="AC481" s="23">
        <f>1225000+1670000</f>
        <v>2895000</v>
      </c>
      <c r="AD481" s="23"/>
      <c r="AE481" s="23"/>
      <c r="AF481" s="23"/>
      <c r="AG481" s="23"/>
      <c r="AH481" s="23"/>
      <c r="AI481" s="23">
        <v>0</v>
      </c>
      <c r="AJ481" s="23"/>
      <c r="AK481" s="23">
        <v>0</v>
      </c>
      <c r="AL481" s="23"/>
      <c r="AM481" s="33">
        <f t="shared" si="75"/>
        <v>3535000</v>
      </c>
      <c r="AN481" s="23"/>
      <c r="AO481" s="33">
        <f t="shared" si="71"/>
        <v>23964368</v>
      </c>
      <c r="AP481" s="33"/>
    </row>
    <row r="482" spans="1:42">
      <c r="A482" s="11" t="s">
        <v>713</v>
      </c>
      <c r="B482" s="11"/>
      <c r="C482" s="11" t="s">
        <v>20</v>
      </c>
      <c r="D482" s="23"/>
      <c r="E482" s="6">
        <v>28831318</v>
      </c>
      <c r="F482" s="23"/>
      <c r="G482" s="6">
        <v>0</v>
      </c>
      <c r="H482" s="23"/>
      <c r="I482" s="6">
        <f>38866+7071095+2404810</f>
        <v>9514771</v>
      </c>
      <c r="J482" s="23"/>
      <c r="K482" s="6">
        <v>169143</v>
      </c>
      <c r="L482" s="23"/>
      <c r="M482" s="6">
        <f>88948+9088+300500+247676+239878+105055</f>
        <v>991145</v>
      </c>
      <c r="N482" s="23"/>
      <c r="O482" s="6">
        <v>199979</v>
      </c>
      <c r="P482" s="23"/>
      <c r="Q482" s="6">
        <v>0</v>
      </c>
      <c r="R482" s="23"/>
      <c r="S482" s="6">
        <v>70922</v>
      </c>
      <c r="T482" s="23"/>
      <c r="U482" s="6">
        <v>312798</v>
      </c>
      <c r="V482" s="23"/>
      <c r="W482" s="33">
        <f t="shared" si="74"/>
        <v>40090076</v>
      </c>
      <c r="X482" s="23"/>
      <c r="Y482" s="23">
        <v>50000</v>
      </c>
      <c r="Z482" s="23"/>
      <c r="AA482" s="23">
        <v>0</v>
      </c>
      <c r="AB482" s="23"/>
      <c r="AC482" s="23">
        <v>0</v>
      </c>
      <c r="AD482" s="23"/>
      <c r="AE482" s="23"/>
      <c r="AF482" s="23"/>
      <c r="AG482" s="23"/>
      <c r="AH482" s="23"/>
      <c r="AI482" s="23">
        <v>10391</v>
      </c>
      <c r="AJ482" s="23"/>
      <c r="AK482" s="23">
        <v>0</v>
      </c>
      <c r="AL482" s="23"/>
      <c r="AM482" s="33">
        <f t="shared" si="75"/>
        <v>60391</v>
      </c>
      <c r="AN482" s="23"/>
      <c r="AO482" s="33">
        <f t="shared" si="71"/>
        <v>40150467</v>
      </c>
      <c r="AP482" s="33"/>
    </row>
    <row r="483" spans="1:42">
      <c r="A483" s="11" t="s">
        <v>321</v>
      </c>
      <c r="B483" s="11"/>
      <c r="C483" s="11" t="s">
        <v>31</v>
      </c>
      <c r="D483" s="23"/>
      <c r="E483" s="6">
        <v>5538915</v>
      </c>
      <c r="F483" s="23"/>
      <c r="G483" s="6">
        <v>0</v>
      </c>
      <c r="H483" s="23"/>
      <c r="I483" s="6">
        <v>13444010</v>
      </c>
      <c r="J483" s="23"/>
      <c r="K483" s="6">
        <v>7464</v>
      </c>
      <c r="L483" s="23"/>
      <c r="M483" s="6">
        <f>640815+36921+250048</f>
        <v>927784</v>
      </c>
      <c r="N483" s="23"/>
      <c r="O483" s="6">
        <v>176253</v>
      </c>
      <c r="P483" s="23"/>
      <c r="Q483" s="6">
        <v>0</v>
      </c>
      <c r="R483" s="23"/>
      <c r="S483" s="6">
        <v>200657</v>
      </c>
      <c r="T483" s="23"/>
      <c r="U483" s="6">
        <v>26743</v>
      </c>
      <c r="V483" s="23"/>
      <c r="W483" s="33">
        <f t="shared" si="74"/>
        <v>20321826</v>
      </c>
      <c r="X483" s="23"/>
      <c r="Y483" s="23">
        <v>85792</v>
      </c>
      <c r="Z483" s="23"/>
      <c r="AA483" s="23">
        <v>0</v>
      </c>
      <c r="AB483" s="23"/>
      <c r="AC483" s="23">
        <v>0</v>
      </c>
      <c r="AD483" s="23"/>
      <c r="AE483" s="23"/>
      <c r="AF483" s="23"/>
      <c r="AG483" s="23"/>
      <c r="AH483" s="23"/>
      <c r="AI483" s="23">
        <v>0</v>
      </c>
      <c r="AJ483" s="23"/>
      <c r="AK483" s="23">
        <v>0</v>
      </c>
      <c r="AL483" s="23"/>
      <c r="AM483" s="33">
        <f t="shared" si="75"/>
        <v>85792</v>
      </c>
      <c r="AN483" s="23"/>
      <c r="AO483" s="33">
        <f t="shared" si="71"/>
        <v>20407618</v>
      </c>
      <c r="AP483" s="33"/>
    </row>
    <row r="484" spans="1:42">
      <c r="A484" s="11" t="s">
        <v>462</v>
      </c>
      <c r="B484" s="11"/>
      <c r="C484" s="11" t="s">
        <v>56</v>
      </c>
      <c r="D484" s="23"/>
      <c r="E484" s="6">
        <v>5357020</v>
      </c>
      <c r="F484" s="23"/>
      <c r="G484" s="6">
        <v>0</v>
      </c>
      <c r="H484" s="23"/>
      <c r="I484" s="6">
        <v>5857550</v>
      </c>
      <c r="J484" s="23"/>
      <c r="K484" s="6">
        <v>3187</v>
      </c>
      <c r="L484" s="23"/>
      <c r="M484" s="6">
        <f>366509+4631+245211</f>
        <v>616351</v>
      </c>
      <c r="N484" s="23"/>
      <c r="O484" s="6">
        <v>79886</v>
      </c>
      <c r="P484" s="23"/>
      <c r="Q484" s="6">
        <v>0</v>
      </c>
      <c r="R484" s="23"/>
      <c r="S484" s="6">
        <v>27001</v>
      </c>
      <c r="T484" s="23"/>
      <c r="U484" s="6">
        <v>52911</v>
      </c>
      <c r="V484" s="23"/>
      <c r="W484" s="33">
        <f t="shared" si="74"/>
        <v>11993906</v>
      </c>
      <c r="X484" s="23"/>
      <c r="Y484" s="23">
        <v>0</v>
      </c>
      <c r="Z484" s="23"/>
      <c r="AA484" s="23">
        <v>0</v>
      </c>
      <c r="AB484" s="23"/>
      <c r="AC484" s="23">
        <v>250000</v>
      </c>
      <c r="AD484" s="23"/>
      <c r="AE484" s="23"/>
      <c r="AF484" s="23"/>
      <c r="AG484" s="23"/>
      <c r="AH484" s="23"/>
      <c r="AI484" s="23">
        <v>0</v>
      </c>
      <c r="AJ484" s="23"/>
      <c r="AK484" s="23">
        <v>0</v>
      </c>
      <c r="AL484" s="23"/>
      <c r="AM484" s="33">
        <f t="shared" si="75"/>
        <v>250000</v>
      </c>
      <c r="AN484" s="23"/>
      <c r="AO484" s="33">
        <f t="shared" si="71"/>
        <v>12243906</v>
      </c>
      <c r="AP484" s="33"/>
    </row>
    <row r="485" spans="1:42">
      <c r="A485" s="11" t="s">
        <v>714</v>
      </c>
      <c r="B485" s="11"/>
      <c r="C485" s="11" t="s">
        <v>221</v>
      </c>
      <c r="D485" s="23"/>
      <c r="E485" s="6">
        <v>9638126</v>
      </c>
      <c r="F485" s="23"/>
      <c r="G485" s="6">
        <v>2659996</v>
      </c>
      <c r="H485" s="23"/>
      <c r="I485" s="6">
        <v>14378205</v>
      </c>
      <c r="J485" s="23"/>
      <c r="K485" s="6">
        <v>25120</v>
      </c>
      <c r="L485" s="23"/>
      <c r="M485" s="6">
        <f>152511+819749</f>
        <v>972260</v>
      </c>
      <c r="N485" s="23"/>
      <c r="O485" s="6">
        <v>651252</v>
      </c>
      <c r="P485" s="23"/>
      <c r="Q485" s="6">
        <v>0</v>
      </c>
      <c r="R485" s="23"/>
      <c r="S485" s="6">
        <v>0</v>
      </c>
      <c r="T485" s="23"/>
      <c r="U485" s="6">
        <v>289961</v>
      </c>
      <c r="V485" s="23"/>
      <c r="W485" s="33">
        <f>SUM(E485:U485)</f>
        <v>28614920</v>
      </c>
      <c r="X485" s="23"/>
      <c r="Y485" s="23">
        <v>0</v>
      </c>
      <c r="Z485" s="23"/>
      <c r="AA485" s="23">
        <v>0</v>
      </c>
      <c r="AB485" s="23"/>
      <c r="AC485" s="23">
        <f>6690000+427034</f>
        <v>7117034</v>
      </c>
      <c r="AD485" s="23"/>
      <c r="AE485" s="23"/>
      <c r="AF485" s="23"/>
      <c r="AG485" s="23"/>
      <c r="AH485" s="23"/>
      <c r="AI485" s="23">
        <v>0</v>
      </c>
      <c r="AJ485" s="23"/>
      <c r="AK485" s="23">
        <v>0</v>
      </c>
      <c r="AL485" s="23"/>
      <c r="AM485" s="33">
        <f t="shared" si="75"/>
        <v>7117034</v>
      </c>
      <c r="AN485" s="23"/>
      <c r="AO485" s="33">
        <f t="shared" si="71"/>
        <v>35731954</v>
      </c>
      <c r="AP485" s="33"/>
    </row>
    <row r="486" spans="1:42">
      <c r="A486" s="11" t="s">
        <v>777</v>
      </c>
      <c r="B486" s="11"/>
      <c r="C486" s="11" t="s">
        <v>72</v>
      </c>
      <c r="D486" s="23"/>
      <c r="E486" s="6">
        <v>10472082</v>
      </c>
      <c r="F486" s="23"/>
      <c r="G486" s="6">
        <v>0</v>
      </c>
      <c r="H486" s="23"/>
      <c r="I486" s="6">
        <v>9539286</v>
      </c>
      <c r="J486" s="23"/>
      <c r="K486" s="6">
        <v>49107</v>
      </c>
      <c r="L486" s="23"/>
      <c r="M486" s="6">
        <f>403736+293316</f>
        <v>697052</v>
      </c>
      <c r="N486" s="23"/>
      <c r="O486" s="6">
        <v>218631</v>
      </c>
      <c r="P486" s="23"/>
      <c r="Q486" s="6">
        <v>735841</v>
      </c>
      <c r="R486" s="23"/>
      <c r="S486" s="6">
        <v>1503964</v>
      </c>
      <c r="T486" s="23"/>
      <c r="U486" s="6">
        <v>198538</v>
      </c>
      <c r="V486" s="23"/>
      <c r="W486" s="33">
        <f t="shared" si="74"/>
        <v>23414501</v>
      </c>
      <c r="X486" s="23"/>
      <c r="Y486" s="23">
        <v>72500</v>
      </c>
      <c r="Z486" s="23"/>
      <c r="AA486" s="23">
        <v>0</v>
      </c>
      <c r="AB486" s="23"/>
      <c r="AC486" s="23">
        <v>0</v>
      </c>
      <c r="AD486" s="23"/>
      <c r="AE486" s="23"/>
      <c r="AF486" s="23"/>
      <c r="AG486" s="23"/>
      <c r="AH486" s="23"/>
      <c r="AI486" s="23">
        <v>0</v>
      </c>
      <c r="AJ486" s="23"/>
      <c r="AK486" s="23">
        <v>0</v>
      </c>
      <c r="AL486" s="23"/>
      <c r="AM486" s="33">
        <f t="shared" si="75"/>
        <v>72500</v>
      </c>
      <c r="AN486" s="23"/>
      <c r="AO486" s="33">
        <f t="shared" si="71"/>
        <v>23487001</v>
      </c>
      <c r="AP486" s="33"/>
    </row>
    <row r="487" spans="1:42">
      <c r="A487" s="11" t="s">
        <v>492</v>
      </c>
      <c r="B487" s="11"/>
      <c r="C487" s="11" t="s">
        <v>61</v>
      </c>
      <c r="D487" s="23"/>
      <c r="E487" s="6">
        <v>1424780</v>
      </c>
      <c r="F487" s="23"/>
      <c r="G487" s="6">
        <v>336504</v>
      </c>
      <c r="H487" s="23"/>
      <c r="I487" s="6">
        <v>2806250</v>
      </c>
      <c r="J487" s="23"/>
      <c r="K487" s="6">
        <v>4920</v>
      </c>
      <c r="L487" s="23"/>
      <c r="M487" s="6">
        <f>331938+125951</f>
        <v>457889</v>
      </c>
      <c r="N487" s="23"/>
      <c r="O487" s="6">
        <v>55696</v>
      </c>
      <c r="P487" s="23"/>
      <c r="Q487" s="6">
        <v>0</v>
      </c>
      <c r="R487" s="23"/>
      <c r="S487" s="6">
        <v>14862</v>
      </c>
      <c r="T487" s="23"/>
      <c r="U487" s="6">
        <v>142431</v>
      </c>
      <c r="V487" s="23"/>
      <c r="W487" s="33">
        <f t="shared" si="74"/>
        <v>5243332</v>
      </c>
      <c r="X487" s="23"/>
      <c r="Y487" s="23">
        <v>0</v>
      </c>
      <c r="Z487" s="23"/>
      <c r="AA487" s="23">
        <v>0</v>
      </c>
      <c r="AB487" s="23"/>
      <c r="AC487" s="23">
        <v>0</v>
      </c>
      <c r="AD487" s="23"/>
      <c r="AE487" s="23"/>
      <c r="AF487" s="23"/>
      <c r="AG487" s="23"/>
      <c r="AH487" s="23"/>
      <c r="AI487" s="23">
        <v>4834</v>
      </c>
      <c r="AJ487" s="23"/>
      <c r="AK487" s="23">
        <v>0</v>
      </c>
      <c r="AL487" s="23"/>
      <c r="AM487" s="33">
        <f t="shared" si="75"/>
        <v>4834</v>
      </c>
      <c r="AN487" s="23"/>
      <c r="AO487" s="33">
        <f t="shared" si="71"/>
        <v>5248166</v>
      </c>
      <c r="AP487" s="33"/>
    </row>
    <row r="488" spans="1:42">
      <c r="A488" s="11" t="s">
        <v>607</v>
      </c>
      <c r="B488" s="11"/>
      <c r="C488" s="11" t="s">
        <v>112</v>
      </c>
      <c r="D488" s="23"/>
      <c r="E488" s="6">
        <v>8912814</v>
      </c>
      <c r="F488" s="23"/>
      <c r="G488" s="6">
        <v>4331</v>
      </c>
      <c r="H488" s="23"/>
      <c r="I488" s="6">
        <f>9648591+2195909</f>
        <v>11844500</v>
      </c>
      <c r="J488" s="23"/>
      <c r="K488" s="6">
        <v>10550</v>
      </c>
      <c r="L488" s="23"/>
      <c r="M488" s="6">
        <f>896823+161483+165725+3930</f>
        <v>1227961</v>
      </c>
      <c r="N488" s="23"/>
      <c r="O488" s="6">
        <v>274725</v>
      </c>
      <c r="P488" s="23"/>
      <c r="Q488" s="6">
        <v>0</v>
      </c>
      <c r="R488" s="23"/>
      <c r="S488" s="6">
        <v>53981</v>
      </c>
      <c r="T488" s="23"/>
      <c r="U488" s="6">
        <v>291816</v>
      </c>
      <c r="V488" s="23"/>
      <c r="W488" s="33">
        <f t="shared" ref="W488:W537" si="79">SUM(E488:U488)</f>
        <v>22620678</v>
      </c>
      <c r="X488" s="23"/>
      <c r="Y488" s="23">
        <v>2482</v>
      </c>
      <c r="Z488" s="23"/>
      <c r="AA488" s="23">
        <v>0</v>
      </c>
      <c r="AB488" s="23"/>
      <c r="AC488" s="23">
        <f>356000+191286</f>
        <v>547286</v>
      </c>
      <c r="AD488" s="23"/>
      <c r="AE488" s="23">
        <v>0</v>
      </c>
      <c r="AF488" s="23"/>
      <c r="AG488" s="23">
        <v>0</v>
      </c>
      <c r="AH488" s="23"/>
      <c r="AI488" s="23">
        <v>0</v>
      </c>
      <c r="AJ488" s="23"/>
      <c r="AK488" s="23">
        <v>0</v>
      </c>
      <c r="AL488" s="23"/>
      <c r="AM488" s="33">
        <f>AI488+AC488+Y488</f>
        <v>549768</v>
      </c>
      <c r="AN488" s="23"/>
      <c r="AO488" s="33">
        <f t="shared" ref="AO488:AO551" si="80">W488+AM488</f>
        <v>23170446</v>
      </c>
      <c r="AP488" s="33"/>
    </row>
    <row r="489" spans="1:42">
      <c r="A489" s="11" t="s">
        <v>290</v>
      </c>
      <c r="B489" s="11"/>
      <c r="C489" s="11" t="s">
        <v>24</v>
      </c>
      <c r="D489" s="23"/>
      <c r="E489" s="6">
        <v>17743250</v>
      </c>
      <c r="F489" s="23"/>
      <c r="G489" s="6">
        <v>0</v>
      </c>
      <c r="H489" s="23"/>
      <c r="I489" s="6">
        <v>28730119</v>
      </c>
      <c r="J489" s="23"/>
      <c r="K489" s="6">
        <v>38593</v>
      </c>
      <c r="L489" s="23"/>
      <c r="M489" s="6">
        <f>1091477+326882</f>
        <v>1418359</v>
      </c>
      <c r="N489" s="23"/>
      <c r="O489" s="6">
        <v>253148</v>
      </c>
      <c r="P489" s="23"/>
      <c r="Q489" s="6">
        <v>96880</v>
      </c>
      <c r="R489" s="23"/>
      <c r="S489" s="6">
        <v>0</v>
      </c>
      <c r="T489" s="23"/>
      <c r="U489" s="6">
        <v>483921</v>
      </c>
      <c r="V489" s="23"/>
      <c r="W489" s="33">
        <f t="shared" si="79"/>
        <v>48764270</v>
      </c>
      <c r="X489" s="23"/>
      <c r="Y489" s="23">
        <v>75000</v>
      </c>
      <c r="Z489" s="23"/>
      <c r="AA489" s="23">
        <v>0</v>
      </c>
      <c r="AB489" s="23"/>
      <c r="AC489" s="23">
        <v>674475</v>
      </c>
      <c r="AD489" s="23"/>
      <c r="AE489" s="23"/>
      <c r="AF489" s="23"/>
      <c r="AG489" s="23">
        <v>0</v>
      </c>
      <c r="AH489" s="23"/>
      <c r="AI489" s="23">
        <v>1630</v>
      </c>
      <c r="AJ489" s="23"/>
      <c r="AK489" s="23">
        <v>0</v>
      </c>
      <c r="AL489" s="23"/>
      <c r="AM489" s="33">
        <f t="shared" ref="AM489:AM490" si="81">AI489+AC489+Y489</f>
        <v>751105</v>
      </c>
      <c r="AN489" s="23"/>
      <c r="AO489" s="33">
        <f t="shared" si="80"/>
        <v>49515375</v>
      </c>
      <c r="AP489" s="33"/>
    </row>
    <row r="490" spans="1:42">
      <c r="A490" s="11" t="s">
        <v>504</v>
      </c>
      <c r="B490" s="11"/>
      <c r="C490" s="11" t="s">
        <v>62</v>
      </c>
      <c r="D490" s="23"/>
      <c r="E490" s="6">
        <v>3835772</v>
      </c>
      <c r="F490" s="23"/>
      <c r="G490" s="6">
        <v>0</v>
      </c>
      <c r="H490" s="23"/>
      <c r="I490" s="6">
        <f>11787+8765871+1577259</f>
        <v>10354917</v>
      </c>
      <c r="J490" s="23"/>
      <c r="K490" s="6">
        <v>9699</v>
      </c>
      <c r="L490" s="23"/>
      <c r="M490" s="6">
        <f>622603+12228+241896+27760</f>
        <v>904487</v>
      </c>
      <c r="N490" s="23"/>
      <c r="O490" s="6">
        <v>242348</v>
      </c>
      <c r="P490" s="23"/>
      <c r="Q490" s="6">
        <v>0</v>
      </c>
      <c r="R490" s="23"/>
      <c r="S490" s="6">
        <v>0</v>
      </c>
      <c r="T490" s="23"/>
      <c r="U490" s="6">
        <v>299319</v>
      </c>
      <c r="V490" s="23"/>
      <c r="W490" s="33">
        <f t="shared" si="79"/>
        <v>15646542</v>
      </c>
      <c r="X490" s="23"/>
      <c r="Y490" s="23">
        <v>10532</v>
      </c>
      <c r="Z490" s="23"/>
      <c r="AA490" s="23">
        <v>0</v>
      </c>
      <c r="AB490" s="23"/>
      <c r="AC490" s="23">
        <v>371000</v>
      </c>
      <c r="AD490" s="23"/>
      <c r="AE490" s="23"/>
      <c r="AF490" s="23"/>
      <c r="AG490" s="23">
        <v>0</v>
      </c>
      <c r="AH490" s="23"/>
      <c r="AI490" s="23">
        <v>13400</v>
      </c>
      <c r="AJ490" s="23"/>
      <c r="AK490" s="23">
        <v>0</v>
      </c>
      <c r="AL490" s="23"/>
      <c r="AM490" s="33">
        <f t="shared" si="81"/>
        <v>394932</v>
      </c>
      <c r="AN490" s="23"/>
      <c r="AO490" s="33">
        <f t="shared" si="80"/>
        <v>16041474</v>
      </c>
      <c r="AP490" s="33"/>
    </row>
    <row r="491" spans="1:42">
      <c r="A491" s="11" t="s">
        <v>456</v>
      </c>
      <c r="B491" s="11"/>
      <c r="C491" s="11" t="s">
        <v>55</v>
      </c>
      <c r="D491" s="23"/>
      <c r="E491" s="6">
        <v>2107419</v>
      </c>
      <c r="F491" s="23"/>
      <c r="G491" s="6">
        <v>0</v>
      </c>
      <c r="H491" s="23"/>
      <c r="I491" s="6">
        <v>13356856</v>
      </c>
      <c r="J491" s="23"/>
      <c r="K491" s="6">
        <v>16637</v>
      </c>
      <c r="L491" s="23"/>
      <c r="M491" s="6">
        <f>1643+651898+162910</f>
        <v>816451</v>
      </c>
      <c r="N491" s="23"/>
      <c r="O491" s="6">
        <v>104205</v>
      </c>
      <c r="P491" s="23"/>
      <c r="Q491" s="6">
        <v>0</v>
      </c>
      <c r="R491" s="23"/>
      <c r="S491" s="6">
        <v>7131</v>
      </c>
      <c r="T491" s="23"/>
      <c r="U491" s="6">
        <v>101626</v>
      </c>
      <c r="V491" s="23"/>
      <c r="W491" s="33">
        <f t="shared" si="79"/>
        <v>16510325</v>
      </c>
      <c r="X491" s="23"/>
      <c r="Y491" s="23">
        <v>130761</v>
      </c>
      <c r="Z491" s="23"/>
      <c r="AA491" s="23">
        <v>0</v>
      </c>
      <c r="AB491" s="23"/>
      <c r="AC491" s="23">
        <v>0</v>
      </c>
      <c r="AD491" s="23"/>
      <c r="AE491" s="23"/>
      <c r="AF491" s="23"/>
      <c r="AG491" s="23">
        <v>0</v>
      </c>
      <c r="AH491" s="23"/>
      <c r="AI491" s="23">
        <v>0</v>
      </c>
      <c r="AJ491" s="23"/>
      <c r="AK491" s="23">
        <v>0</v>
      </c>
      <c r="AL491" s="23"/>
      <c r="AM491" s="33">
        <f t="shared" si="75"/>
        <v>130761</v>
      </c>
      <c r="AN491" s="23"/>
      <c r="AO491" s="33">
        <f t="shared" si="80"/>
        <v>16641086</v>
      </c>
      <c r="AP491" s="33"/>
    </row>
    <row r="492" spans="1:42">
      <c r="A492" s="11" t="s">
        <v>405</v>
      </c>
      <c r="B492" s="11"/>
      <c r="C492" s="11" t="s">
        <v>45</v>
      </c>
      <c r="D492" s="23"/>
      <c r="E492" s="6">
        <v>1237328</v>
      </c>
      <c r="F492" s="23"/>
      <c r="G492" s="6">
        <v>453755</v>
      </c>
      <c r="H492" s="23"/>
      <c r="I492" s="6">
        <v>5201507</v>
      </c>
      <c r="J492" s="23"/>
      <c r="K492" s="6">
        <v>915</v>
      </c>
      <c r="L492" s="23"/>
      <c r="M492" s="6">
        <f>319750+94919</f>
        <v>414669</v>
      </c>
      <c r="N492" s="23"/>
      <c r="O492" s="6">
        <v>68050</v>
      </c>
      <c r="P492" s="23"/>
      <c r="Q492" s="6">
        <v>0</v>
      </c>
      <c r="R492" s="23"/>
      <c r="S492" s="6">
        <v>1956</v>
      </c>
      <c r="T492" s="23"/>
      <c r="U492" s="6">
        <v>49448</v>
      </c>
      <c r="V492" s="23"/>
      <c r="W492" s="33">
        <f t="shared" si="79"/>
        <v>7427628</v>
      </c>
      <c r="X492" s="23"/>
      <c r="Y492" s="23">
        <v>25000</v>
      </c>
      <c r="Z492" s="23"/>
      <c r="AA492" s="23">
        <v>0</v>
      </c>
      <c r="AB492" s="23"/>
      <c r="AC492" s="23">
        <v>0</v>
      </c>
      <c r="AD492" s="23"/>
      <c r="AE492" s="23">
        <v>0</v>
      </c>
      <c r="AF492" s="23"/>
      <c r="AG492" s="23">
        <v>0</v>
      </c>
      <c r="AH492" s="23"/>
      <c r="AI492" s="23">
        <v>0</v>
      </c>
      <c r="AJ492" s="23"/>
      <c r="AK492" s="23">
        <v>0</v>
      </c>
      <c r="AL492" s="23"/>
      <c r="AM492" s="33">
        <f t="shared" si="75"/>
        <v>25000</v>
      </c>
      <c r="AN492" s="23"/>
      <c r="AO492" s="33">
        <f t="shared" si="80"/>
        <v>7452628</v>
      </c>
      <c r="AP492" s="33"/>
    </row>
    <row r="493" spans="1:42">
      <c r="A493" s="11" t="s">
        <v>487</v>
      </c>
      <c r="B493" s="11"/>
      <c r="C493" s="11" t="s">
        <v>60</v>
      </c>
      <c r="D493" s="23"/>
      <c r="E493" s="6">
        <v>2063362</v>
      </c>
      <c r="F493" s="23"/>
      <c r="G493" s="6">
        <v>1017418</v>
      </c>
      <c r="H493" s="23"/>
      <c r="I493" s="6">
        <f>4281041+543809</f>
        <v>4824850</v>
      </c>
      <c r="J493" s="23"/>
      <c r="K493" s="6">
        <v>7038</v>
      </c>
      <c r="L493" s="23"/>
      <c r="M493" s="6">
        <f>734930+240250+37366+9672+29815</f>
        <v>1052033</v>
      </c>
      <c r="N493" s="23"/>
      <c r="O493" s="6">
        <v>149169</v>
      </c>
      <c r="P493" s="23"/>
      <c r="Q493" s="6">
        <v>0</v>
      </c>
      <c r="R493" s="23"/>
      <c r="S493" s="6">
        <v>21108</v>
      </c>
      <c r="T493" s="23"/>
      <c r="U493" s="6">
        <v>12463</v>
      </c>
      <c r="V493" s="23"/>
      <c r="W493" s="33">
        <f t="shared" si="79"/>
        <v>9147441</v>
      </c>
      <c r="X493" s="23"/>
      <c r="Y493" s="23">
        <v>316250</v>
      </c>
      <c r="Z493" s="23"/>
      <c r="AA493" s="23">
        <v>0</v>
      </c>
      <c r="AB493" s="23"/>
      <c r="AC493" s="23">
        <v>0</v>
      </c>
      <c r="AD493" s="23"/>
      <c r="AE493" s="23">
        <v>0</v>
      </c>
      <c r="AF493" s="23"/>
      <c r="AG493" s="23">
        <v>0</v>
      </c>
      <c r="AH493" s="23"/>
      <c r="AI493" s="23">
        <v>0</v>
      </c>
      <c r="AJ493" s="23"/>
      <c r="AK493" s="23">
        <v>0</v>
      </c>
      <c r="AL493" s="23"/>
      <c r="AM493" s="33">
        <f t="shared" si="75"/>
        <v>316250</v>
      </c>
      <c r="AN493" s="23"/>
      <c r="AO493" s="33">
        <f t="shared" si="80"/>
        <v>9463691</v>
      </c>
      <c r="AP493" s="33"/>
    </row>
    <row r="494" spans="1:42">
      <c r="A494" s="11" t="s">
        <v>217</v>
      </c>
      <c r="B494" s="11"/>
      <c r="C494" s="11" t="s">
        <v>15</v>
      </c>
      <c r="D494" s="23"/>
      <c r="E494" s="6">
        <v>2033950</v>
      </c>
      <c r="F494" s="23"/>
      <c r="G494" s="6">
        <v>0</v>
      </c>
      <c r="H494" s="23"/>
      <c r="I494" s="6">
        <v>3520081</v>
      </c>
      <c r="J494" s="23"/>
      <c r="K494" s="6">
        <v>3205</v>
      </c>
      <c r="L494" s="23"/>
      <c r="M494" s="6">
        <f>1096368+50+65973</f>
        <v>1162391</v>
      </c>
      <c r="N494" s="23"/>
      <c r="O494" s="6">
        <v>181614</v>
      </c>
      <c r="P494" s="23"/>
      <c r="Q494" s="6">
        <v>556374</v>
      </c>
      <c r="R494" s="23"/>
      <c r="S494" s="6">
        <v>15751</v>
      </c>
      <c r="T494" s="23"/>
      <c r="U494" s="6">
        <v>32670</v>
      </c>
      <c r="V494" s="23"/>
      <c r="W494" s="33">
        <f t="shared" si="79"/>
        <v>7506036</v>
      </c>
      <c r="X494" s="23"/>
      <c r="Y494" s="23">
        <v>13432</v>
      </c>
      <c r="Z494" s="23"/>
      <c r="AA494" s="23">
        <v>0</v>
      </c>
      <c r="AB494" s="23"/>
      <c r="AC494" s="23">
        <v>62441</v>
      </c>
      <c r="AD494" s="23"/>
      <c r="AE494" s="23">
        <v>0</v>
      </c>
      <c r="AF494" s="23"/>
      <c r="AG494" s="23">
        <v>0</v>
      </c>
      <c r="AH494" s="23"/>
      <c r="AI494" s="23">
        <v>0</v>
      </c>
      <c r="AJ494" s="23"/>
      <c r="AK494" s="23">
        <v>0</v>
      </c>
      <c r="AL494" s="23"/>
      <c r="AM494" s="33">
        <f t="shared" si="75"/>
        <v>75873</v>
      </c>
      <c r="AN494" s="23"/>
      <c r="AO494" s="33">
        <f t="shared" si="80"/>
        <v>7581909</v>
      </c>
      <c r="AP494" s="33"/>
    </row>
    <row r="495" spans="1:42">
      <c r="A495" s="11" t="s">
        <v>715</v>
      </c>
      <c r="B495" s="11"/>
      <c r="C495" s="11" t="s">
        <v>20</v>
      </c>
      <c r="D495" s="23"/>
      <c r="E495" s="6">
        <v>65451694</v>
      </c>
      <c r="F495" s="23"/>
      <c r="G495" s="6">
        <v>0</v>
      </c>
      <c r="H495" s="23"/>
      <c r="I495" s="6">
        <v>30069477</v>
      </c>
      <c r="J495" s="23"/>
      <c r="K495" s="6">
        <v>201222</v>
      </c>
      <c r="L495" s="23"/>
      <c r="M495" s="6">
        <f>1463358+44805+954513</f>
        <v>2462676</v>
      </c>
      <c r="N495" s="23"/>
      <c r="O495" s="6">
        <v>208345</v>
      </c>
      <c r="P495" s="23"/>
      <c r="Q495" s="6">
        <v>0</v>
      </c>
      <c r="R495" s="23"/>
      <c r="S495" s="6">
        <v>149103</v>
      </c>
      <c r="T495" s="23"/>
      <c r="U495" s="6">
        <v>424503</v>
      </c>
      <c r="V495" s="23"/>
      <c r="W495" s="33">
        <f t="shared" si="79"/>
        <v>98967020</v>
      </c>
      <c r="X495" s="23"/>
      <c r="Y495" s="23">
        <v>380000</v>
      </c>
      <c r="Z495" s="23"/>
      <c r="AA495" s="23">
        <v>0</v>
      </c>
      <c r="AB495" s="23"/>
      <c r="AC495" s="23">
        <v>0</v>
      </c>
      <c r="AD495" s="23"/>
      <c r="AE495" s="23">
        <v>0</v>
      </c>
      <c r="AF495" s="23"/>
      <c r="AG495" s="23">
        <v>0</v>
      </c>
      <c r="AH495" s="23"/>
      <c r="AI495" s="23">
        <v>89697</v>
      </c>
      <c r="AJ495" s="23"/>
      <c r="AK495" s="23">
        <v>0</v>
      </c>
      <c r="AL495" s="23"/>
      <c r="AM495" s="33">
        <f t="shared" si="75"/>
        <v>469697</v>
      </c>
      <c r="AN495" s="23"/>
      <c r="AO495" s="33">
        <f t="shared" si="80"/>
        <v>99436717</v>
      </c>
      <c r="AP495" s="33"/>
    </row>
    <row r="496" spans="1:42" hidden="1">
      <c r="A496" s="11" t="s">
        <v>700</v>
      </c>
      <c r="B496" s="11"/>
      <c r="C496" s="11" t="s">
        <v>10</v>
      </c>
      <c r="D496" s="23"/>
      <c r="E496" s="6"/>
      <c r="F496" s="23"/>
      <c r="G496" s="6"/>
      <c r="H496" s="23"/>
      <c r="I496" s="6"/>
      <c r="J496" s="23"/>
      <c r="K496" s="6"/>
      <c r="L496" s="23"/>
      <c r="M496" s="6"/>
      <c r="N496" s="23"/>
      <c r="O496" s="6"/>
      <c r="P496" s="23"/>
      <c r="Q496" s="6"/>
      <c r="R496" s="23"/>
      <c r="S496" s="6"/>
      <c r="T496" s="23"/>
      <c r="U496" s="6"/>
      <c r="V496" s="23"/>
      <c r="W496" s="33">
        <f t="shared" si="79"/>
        <v>0</v>
      </c>
      <c r="X496" s="23"/>
      <c r="Y496" s="23"/>
      <c r="Z496" s="23"/>
      <c r="AA496" s="23">
        <v>0</v>
      </c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33"/>
      <c r="AN496" s="23"/>
      <c r="AO496" s="33">
        <f t="shared" si="80"/>
        <v>0</v>
      </c>
      <c r="AP496" s="33"/>
    </row>
    <row r="497" spans="1:44">
      <c r="A497" s="11" t="s">
        <v>789</v>
      </c>
      <c r="B497" s="11"/>
      <c r="C497" s="11" t="s">
        <v>44</v>
      </c>
      <c r="D497" s="23"/>
      <c r="E497" s="6">
        <v>11366915</v>
      </c>
      <c r="F497" s="23"/>
      <c r="G497" s="6">
        <v>0</v>
      </c>
      <c r="H497" s="23"/>
      <c r="I497" s="6">
        <v>8458838</v>
      </c>
      <c r="J497" s="23"/>
      <c r="K497" s="6">
        <v>21099</v>
      </c>
      <c r="L497" s="23"/>
      <c r="M497" s="6">
        <f>1150781+200964</f>
        <v>1351745</v>
      </c>
      <c r="N497" s="23"/>
      <c r="O497" s="6">
        <v>155551</v>
      </c>
      <c r="P497" s="23"/>
      <c r="Q497" s="6">
        <v>0</v>
      </c>
      <c r="R497" s="23"/>
      <c r="S497" s="6">
        <v>0</v>
      </c>
      <c r="T497" s="23"/>
      <c r="U497" s="6">
        <v>282252</v>
      </c>
      <c r="V497" s="23"/>
      <c r="W497" s="33">
        <f t="shared" si="79"/>
        <v>21636400</v>
      </c>
      <c r="X497" s="23"/>
      <c r="Y497" s="62">
        <v>100000</v>
      </c>
      <c r="Z497" s="23"/>
      <c r="AA497" s="23">
        <v>0</v>
      </c>
      <c r="AB497" s="23"/>
      <c r="AC497" s="23">
        <f>30999919+387254</f>
        <v>31387173</v>
      </c>
      <c r="AD497" s="23"/>
      <c r="AE497" s="23">
        <v>0</v>
      </c>
      <c r="AF497" s="23"/>
      <c r="AG497" s="23">
        <v>0</v>
      </c>
      <c r="AH497" s="23"/>
      <c r="AI497" s="23">
        <v>0</v>
      </c>
      <c r="AJ497" s="23"/>
      <c r="AK497" s="23">
        <v>0</v>
      </c>
      <c r="AL497" s="23"/>
      <c r="AM497" s="33">
        <f t="shared" ref="AM497:AM528" si="82">AI497+AC497+Y497</f>
        <v>31487173</v>
      </c>
      <c r="AN497" s="23"/>
      <c r="AO497" s="33">
        <f t="shared" si="80"/>
        <v>53123573</v>
      </c>
      <c r="AP497" s="33"/>
    </row>
    <row r="498" spans="1:44">
      <c r="A498" s="11" t="s">
        <v>472</v>
      </c>
      <c r="B498" s="11"/>
      <c r="C498" s="11" t="s">
        <v>110</v>
      </c>
      <c r="D498" s="23"/>
      <c r="E498" s="6">
        <v>5496117</v>
      </c>
      <c r="F498" s="23"/>
      <c r="G498" s="6">
        <v>2488163</v>
      </c>
      <c r="H498" s="23"/>
      <c r="I498" s="6">
        <f>15766292+2380217</f>
        <v>18146509</v>
      </c>
      <c r="J498" s="23"/>
      <c r="K498" s="6">
        <v>20589</v>
      </c>
      <c r="L498" s="23"/>
      <c r="M498" s="6">
        <f>345149+471951+70786+47520+31846</f>
        <v>967252</v>
      </c>
      <c r="N498" s="23"/>
      <c r="O498" s="6">
        <v>232264</v>
      </c>
      <c r="P498" s="23"/>
      <c r="Q498" s="6">
        <v>0</v>
      </c>
      <c r="R498" s="23"/>
      <c r="S498" s="6">
        <v>142984</v>
      </c>
      <c r="T498" s="23"/>
      <c r="U498" s="6">
        <v>114099</v>
      </c>
      <c r="V498" s="23"/>
      <c r="W498" s="33">
        <f t="shared" si="79"/>
        <v>27607977</v>
      </c>
      <c r="X498" s="23"/>
      <c r="Y498" s="23">
        <v>0</v>
      </c>
      <c r="Z498" s="23"/>
      <c r="AA498" s="23">
        <v>0</v>
      </c>
      <c r="AB498" s="23"/>
      <c r="AC498" s="23">
        <v>0</v>
      </c>
      <c r="AD498" s="23"/>
      <c r="AE498" s="23">
        <v>0</v>
      </c>
      <c r="AF498" s="23"/>
      <c r="AG498" s="23">
        <v>0</v>
      </c>
      <c r="AH498" s="23"/>
      <c r="AI498" s="23">
        <v>0</v>
      </c>
      <c r="AJ498" s="23"/>
      <c r="AK498" s="23">
        <v>0</v>
      </c>
      <c r="AL498" s="23"/>
      <c r="AM498" s="33">
        <f t="shared" si="82"/>
        <v>0</v>
      </c>
      <c r="AN498" s="23"/>
      <c r="AO498" s="33">
        <f t="shared" si="80"/>
        <v>27607977</v>
      </c>
      <c r="AP498" s="33"/>
    </row>
    <row r="499" spans="1:44" hidden="1">
      <c r="A499" s="11" t="s">
        <v>833</v>
      </c>
      <c r="B499" s="11"/>
      <c r="C499" s="11" t="s">
        <v>61</v>
      </c>
      <c r="D499" s="23"/>
      <c r="E499" s="6"/>
      <c r="F499" s="23"/>
      <c r="G499" s="6"/>
      <c r="H499" s="23"/>
      <c r="I499" s="6"/>
      <c r="J499" s="23"/>
      <c r="K499" s="6"/>
      <c r="L499" s="23"/>
      <c r="M499" s="6"/>
      <c r="N499" s="23"/>
      <c r="O499" s="6"/>
      <c r="P499" s="23"/>
      <c r="Q499" s="6"/>
      <c r="R499" s="23"/>
      <c r="S499" s="6"/>
      <c r="T499" s="23"/>
      <c r="U499" s="6"/>
      <c r="V499" s="23"/>
      <c r="W499" s="33">
        <f t="shared" si="79"/>
        <v>0</v>
      </c>
      <c r="X499" s="23"/>
      <c r="Y499" s="23"/>
      <c r="Z499" s="23"/>
      <c r="AA499" s="23">
        <v>0</v>
      </c>
      <c r="AB499" s="23"/>
      <c r="AC499" s="23"/>
      <c r="AD499" s="23"/>
      <c r="AE499" s="23"/>
      <c r="AF499" s="23"/>
      <c r="AG499" s="23"/>
      <c r="AH499" s="23"/>
      <c r="AI499" s="23"/>
      <c r="AJ499" s="23"/>
      <c r="AK499" s="23">
        <v>0</v>
      </c>
      <c r="AL499" s="23"/>
      <c r="AM499" s="33">
        <f t="shared" si="82"/>
        <v>0</v>
      </c>
      <c r="AN499" s="23"/>
      <c r="AO499" s="33">
        <f t="shared" si="80"/>
        <v>0</v>
      </c>
      <c r="AP499" s="33"/>
    </row>
    <row r="500" spans="1:44">
      <c r="A500" s="11" t="s">
        <v>277</v>
      </c>
      <c r="B500" s="11"/>
      <c r="C500" s="11" t="s">
        <v>20</v>
      </c>
      <c r="D500" s="23"/>
      <c r="E500" s="6">
        <v>54940784</v>
      </c>
      <c r="F500" s="23"/>
      <c r="G500" s="6">
        <v>0</v>
      </c>
      <c r="H500" s="23"/>
      <c r="I500" s="6">
        <f>18368988+2096581</f>
        <v>20465569</v>
      </c>
      <c r="J500" s="23"/>
      <c r="K500" s="6">
        <v>89797</v>
      </c>
      <c r="L500" s="23"/>
      <c r="M500" s="6">
        <f>889334+1496366+163962+191946</f>
        <v>2741608</v>
      </c>
      <c r="N500" s="23"/>
      <c r="O500" s="6">
        <v>246124</v>
      </c>
      <c r="P500" s="23"/>
      <c r="Q500" s="6">
        <v>1161127</v>
      </c>
      <c r="R500" s="23"/>
      <c r="S500" s="6">
        <v>168077</v>
      </c>
      <c r="T500" s="23"/>
      <c r="U500" s="6">
        <v>758383</v>
      </c>
      <c r="V500" s="23"/>
      <c r="W500" s="33">
        <f t="shared" si="79"/>
        <v>80571469</v>
      </c>
      <c r="X500" s="23"/>
      <c r="Y500" s="23">
        <v>40000</v>
      </c>
      <c r="Z500" s="23"/>
      <c r="AA500" s="23">
        <v>0</v>
      </c>
      <c r="AB500" s="23"/>
      <c r="AC500" s="23">
        <v>0</v>
      </c>
      <c r="AD500" s="23"/>
      <c r="AE500" s="23">
        <v>0</v>
      </c>
      <c r="AF500" s="23"/>
      <c r="AG500" s="23">
        <v>0</v>
      </c>
      <c r="AH500" s="23"/>
      <c r="AI500" s="23">
        <v>0</v>
      </c>
      <c r="AJ500" s="23"/>
      <c r="AK500" s="23">
        <v>0</v>
      </c>
      <c r="AL500" s="23"/>
      <c r="AM500" s="33">
        <f t="shared" si="82"/>
        <v>40000</v>
      </c>
      <c r="AN500" s="23"/>
      <c r="AO500" s="33">
        <f t="shared" si="80"/>
        <v>80611469</v>
      </c>
      <c r="AP500" s="33"/>
    </row>
    <row r="501" spans="1:44">
      <c r="A501" s="11" t="s">
        <v>633</v>
      </c>
      <c r="B501" s="11"/>
      <c r="C501" s="11" t="s">
        <v>37</v>
      </c>
      <c r="D501" s="23"/>
      <c r="E501" s="6">
        <v>1457581</v>
      </c>
      <c r="F501" s="23"/>
      <c r="G501" s="6">
        <v>927639</v>
      </c>
      <c r="H501" s="23"/>
      <c r="I501" s="6">
        <f>4994509+1012367</f>
        <v>6006876</v>
      </c>
      <c r="J501" s="23"/>
      <c r="K501" s="6">
        <v>5259</v>
      </c>
      <c r="L501" s="23"/>
      <c r="M501" s="6">
        <f>293803+129546+16002</f>
        <v>439351</v>
      </c>
      <c r="N501" s="23"/>
      <c r="O501" s="6">
        <v>133262</v>
      </c>
      <c r="P501" s="23"/>
      <c r="Q501" s="6">
        <v>0</v>
      </c>
      <c r="R501" s="23"/>
      <c r="S501" s="6">
        <v>26821</v>
      </c>
      <c r="T501" s="23"/>
      <c r="U501" s="6">
        <v>5763</v>
      </c>
      <c r="V501" s="23"/>
      <c r="W501" s="33">
        <f t="shared" si="79"/>
        <v>9002552</v>
      </c>
      <c r="X501" s="23"/>
      <c r="Y501" s="23">
        <v>0</v>
      </c>
      <c r="Z501" s="23"/>
      <c r="AA501" s="23">
        <v>0</v>
      </c>
      <c r="AB501" s="23"/>
      <c r="AC501" s="23">
        <v>0</v>
      </c>
      <c r="AD501" s="23"/>
      <c r="AE501" s="23"/>
      <c r="AF501" s="23"/>
      <c r="AG501" s="23"/>
      <c r="AH501" s="23"/>
      <c r="AI501" s="23">
        <v>0</v>
      </c>
      <c r="AJ501" s="23"/>
      <c r="AK501" s="23">
        <v>0</v>
      </c>
      <c r="AL501" s="23"/>
      <c r="AM501" s="33">
        <f t="shared" si="82"/>
        <v>0</v>
      </c>
      <c r="AN501" s="23"/>
      <c r="AO501" s="33">
        <f t="shared" si="80"/>
        <v>9002552</v>
      </c>
      <c r="AP501" s="33"/>
    </row>
    <row r="502" spans="1:44">
      <c r="A502" s="11" t="s">
        <v>278</v>
      </c>
      <c r="B502" s="11"/>
      <c r="C502" s="11" t="s">
        <v>20</v>
      </c>
      <c r="D502" s="23"/>
      <c r="E502" s="6">
        <v>41563304</v>
      </c>
      <c r="F502" s="23"/>
      <c r="G502" s="6">
        <v>0</v>
      </c>
      <c r="H502" s="23"/>
      <c r="I502" s="6">
        <v>18684345</v>
      </c>
      <c r="J502" s="23"/>
      <c r="K502" s="6">
        <v>35651</v>
      </c>
      <c r="L502" s="23"/>
      <c r="M502" s="6">
        <f>1823184+633084+77015</f>
        <v>2533283</v>
      </c>
      <c r="N502" s="23"/>
      <c r="O502" s="6">
        <v>233882</v>
      </c>
      <c r="P502" s="23"/>
      <c r="Q502" s="6">
        <v>562500</v>
      </c>
      <c r="R502" s="23"/>
      <c r="S502" s="6">
        <v>201567</v>
      </c>
      <c r="T502" s="23"/>
      <c r="U502" s="6">
        <v>893391</v>
      </c>
      <c r="V502" s="23"/>
      <c r="W502" s="33">
        <f t="shared" si="79"/>
        <v>64707923</v>
      </c>
      <c r="X502" s="23"/>
      <c r="Y502" s="23">
        <v>448159</v>
      </c>
      <c r="Z502" s="23"/>
      <c r="AA502" s="23">
        <v>0</v>
      </c>
      <c r="AB502" s="23"/>
      <c r="AC502" s="23">
        <v>0</v>
      </c>
      <c r="AD502" s="23"/>
      <c r="AE502" s="23"/>
      <c r="AF502" s="23"/>
      <c r="AG502" s="23">
        <v>0</v>
      </c>
      <c r="AH502" s="23"/>
      <c r="AI502" s="23">
        <v>0</v>
      </c>
      <c r="AJ502" s="23"/>
      <c r="AK502" s="23">
        <v>0</v>
      </c>
      <c r="AL502" s="23"/>
      <c r="AM502" s="33">
        <f t="shared" si="82"/>
        <v>448159</v>
      </c>
      <c r="AN502" s="23"/>
      <c r="AO502" s="33">
        <f t="shared" si="80"/>
        <v>65156082</v>
      </c>
      <c r="AP502" s="33"/>
    </row>
    <row r="503" spans="1:44">
      <c r="A503" s="11" t="s">
        <v>371</v>
      </c>
      <c r="B503" s="11"/>
      <c r="C503" s="11" t="s">
        <v>366</v>
      </c>
      <c r="D503" s="23"/>
      <c r="E503" s="6">
        <v>4223919</v>
      </c>
      <c r="F503" s="23"/>
      <c r="G503" s="6">
        <v>0</v>
      </c>
      <c r="H503" s="23"/>
      <c r="I503" s="6">
        <v>14924068</v>
      </c>
      <c r="J503" s="23"/>
      <c r="K503" s="6">
        <v>2293</v>
      </c>
      <c r="L503" s="23"/>
      <c r="M503" s="6">
        <f>126463+3920+143174</f>
        <v>273557</v>
      </c>
      <c r="N503" s="23"/>
      <c r="O503" s="6">
        <v>100023</v>
      </c>
      <c r="P503" s="23"/>
      <c r="Q503" s="6">
        <v>0</v>
      </c>
      <c r="R503" s="23"/>
      <c r="S503" s="6">
        <v>22905</v>
      </c>
      <c r="T503" s="23"/>
      <c r="U503" s="6">
        <v>76291</v>
      </c>
      <c r="V503" s="23"/>
      <c r="W503" s="33">
        <f t="shared" si="79"/>
        <v>19623056</v>
      </c>
      <c r="X503" s="23"/>
      <c r="Y503" s="23">
        <v>33500</v>
      </c>
      <c r="Z503" s="23"/>
      <c r="AA503" s="23">
        <v>0</v>
      </c>
      <c r="AB503" s="23"/>
      <c r="AC503" s="23">
        <v>358000</v>
      </c>
      <c r="AD503" s="23"/>
      <c r="AE503" s="23"/>
      <c r="AF503" s="23"/>
      <c r="AG503" s="23"/>
      <c r="AH503" s="23"/>
      <c r="AI503" s="23">
        <v>0</v>
      </c>
      <c r="AJ503" s="23"/>
      <c r="AK503" s="23">
        <v>0</v>
      </c>
      <c r="AL503" s="23"/>
      <c r="AM503" s="33">
        <f t="shared" si="82"/>
        <v>391500</v>
      </c>
      <c r="AN503" s="23"/>
      <c r="AO503" s="33">
        <f t="shared" si="80"/>
        <v>20014556</v>
      </c>
      <c r="AP503" s="33"/>
    </row>
    <row r="504" spans="1:44">
      <c r="A504" s="11" t="s">
        <v>406</v>
      </c>
      <c r="B504" s="11"/>
      <c r="C504" s="11" t="s">
        <v>45</v>
      </c>
      <c r="D504" s="23"/>
      <c r="E504" s="6">
        <v>5940945</v>
      </c>
      <c r="F504" s="23"/>
      <c r="G504" s="6">
        <v>0</v>
      </c>
      <c r="H504" s="23"/>
      <c r="I504" s="6">
        <f>5653669+504765</f>
        <v>6158434</v>
      </c>
      <c r="J504" s="23"/>
      <c r="K504" s="6">
        <v>6127</v>
      </c>
      <c r="L504" s="23"/>
      <c r="M504" s="6">
        <f>19393+238833+25447+849</f>
        <v>284522</v>
      </c>
      <c r="N504" s="23"/>
      <c r="O504" s="6">
        <v>228435</v>
      </c>
      <c r="P504" s="23"/>
      <c r="Q504" s="6">
        <v>0</v>
      </c>
      <c r="R504" s="23"/>
      <c r="S504" s="6">
        <v>89897</v>
      </c>
      <c r="T504" s="23"/>
      <c r="U504" s="6">
        <v>95518</v>
      </c>
      <c r="V504" s="23"/>
      <c r="W504" s="33">
        <f t="shared" si="79"/>
        <v>12803878</v>
      </c>
      <c r="X504" s="23"/>
      <c r="Y504" s="23">
        <v>1291203</v>
      </c>
      <c r="Z504" s="23"/>
      <c r="AA504" s="23">
        <v>0</v>
      </c>
      <c r="AB504" s="23"/>
      <c r="AC504" s="23">
        <v>0</v>
      </c>
      <c r="AD504" s="23"/>
      <c r="AE504" s="23"/>
      <c r="AF504" s="23"/>
      <c r="AG504" s="23"/>
      <c r="AH504" s="23"/>
      <c r="AI504" s="23">
        <v>0</v>
      </c>
      <c r="AJ504" s="23"/>
      <c r="AK504" s="23">
        <v>0</v>
      </c>
      <c r="AL504" s="23"/>
      <c r="AM504" s="33">
        <f t="shared" si="82"/>
        <v>1291203</v>
      </c>
      <c r="AN504" s="23"/>
      <c r="AO504" s="33">
        <f t="shared" si="80"/>
        <v>14095081</v>
      </c>
      <c r="AP504" s="33"/>
    </row>
    <row r="505" spans="1:44">
      <c r="A505" s="11" t="s">
        <v>463</v>
      </c>
      <c r="B505" s="11"/>
      <c r="C505" s="11" t="s">
        <v>56</v>
      </c>
      <c r="D505" s="23"/>
      <c r="E505" s="6">
        <v>6282367</v>
      </c>
      <c r="F505" s="23"/>
      <c r="G505" s="6">
        <v>0</v>
      </c>
      <c r="H505" s="23"/>
      <c r="I505" s="6">
        <v>18428076</v>
      </c>
      <c r="J505" s="23"/>
      <c r="K505" s="6">
        <v>19757</v>
      </c>
      <c r="L505" s="23"/>
      <c r="M505" s="6">
        <f>588683+1849+328847</f>
        <v>919379</v>
      </c>
      <c r="N505" s="23"/>
      <c r="O505" s="6">
        <v>205764</v>
      </c>
      <c r="P505" s="23"/>
      <c r="Q505" s="6">
        <v>0</v>
      </c>
      <c r="R505" s="23"/>
      <c r="S505" s="6">
        <v>0</v>
      </c>
      <c r="T505" s="23"/>
      <c r="U505" s="6">
        <v>55280</v>
      </c>
      <c r="V505" s="23"/>
      <c r="W505" s="33">
        <f t="shared" si="79"/>
        <v>25910623</v>
      </c>
      <c r="X505" s="23"/>
      <c r="Y505" s="23">
        <v>0</v>
      </c>
      <c r="Z505" s="23"/>
      <c r="AA505" s="23">
        <v>0</v>
      </c>
      <c r="AB505" s="23"/>
      <c r="AC505" s="23">
        <v>0</v>
      </c>
      <c r="AD505" s="23"/>
      <c r="AE505" s="23">
        <v>0</v>
      </c>
      <c r="AF505" s="23"/>
      <c r="AG505" s="23"/>
      <c r="AH505" s="23"/>
      <c r="AI505" s="23">
        <v>1342</v>
      </c>
      <c r="AJ505" s="23"/>
      <c r="AK505" s="23">
        <v>0</v>
      </c>
      <c r="AL505" s="23"/>
      <c r="AM505" s="33">
        <f t="shared" si="82"/>
        <v>1342</v>
      </c>
      <c r="AN505" s="23"/>
      <c r="AO505" s="33">
        <f t="shared" si="80"/>
        <v>25911965</v>
      </c>
      <c r="AP505" s="33"/>
    </row>
    <row r="506" spans="1:44">
      <c r="A506" s="11" t="s">
        <v>463</v>
      </c>
      <c r="B506" s="11"/>
      <c r="C506" s="11" t="s">
        <v>71</v>
      </c>
      <c r="D506" s="23"/>
      <c r="E506" s="6">
        <v>8557650</v>
      </c>
      <c r="F506" s="23"/>
      <c r="G506" s="6">
        <v>0</v>
      </c>
      <c r="H506" s="23"/>
      <c r="I506" s="6">
        <v>8760918</v>
      </c>
      <c r="J506" s="23"/>
      <c r="K506" s="6">
        <v>1056</v>
      </c>
      <c r="L506" s="23"/>
      <c r="M506" s="6">
        <f>839105+562337+3755</f>
        <v>1405197</v>
      </c>
      <c r="N506" s="23"/>
      <c r="O506" s="6">
        <v>169411</v>
      </c>
      <c r="P506" s="23"/>
      <c r="Q506" s="6">
        <v>0</v>
      </c>
      <c r="R506" s="23"/>
      <c r="S506" s="6">
        <v>19493</v>
      </c>
      <c r="T506" s="23"/>
      <c r="U506" s="6">
        <v>135124</v>
      </c>
      <c r="V506" s="23"/>
      <c r="W506" s="33">
        <f t="shared" si="79"/>
        <v>19048849</v>
      </c>
      <c r="X506" s="23"/>
      <c r="Y506" s="23">
        <v>11212</v>
      </c>
      <c r="Z506" s="23"/>
      <c r="AA506" s="23">
        <v>0</v>
      </c>
      <c r="AB506" s="23"/>
      <c r="AC506" s="23">
        <v>0</v>
      </c>
      <c r="AD506" s="23"/>
      <c r="AE506" s="23"/>
      <c r="AF506" s="23"/>
      <c r="AG506" s="23"/>
      <c r="AH506" s="23"/>
      <c r="AI506" s="23">
        <v>10400</v>
      </c>
      <c r="AJ506" s="23"/>
      <c r="AK506" s="23">
        <v>0</v>
      </c>
      <c r="AL506" s="23"/>
      <c r="AM506" s="33">
        <f t="shared" si="82"/>
        <v>21612</v>
      </c>
      <c r="AN506" s="23"/>
      <c r="AO506" s="33">
        <f t="shared" si="80"/>
        <v>19070461</v>
      </c>
      <c r="AP506" s="33"/>
    </row>
    <row r="507" spans="1:44" s="23" customFormat="1">
      <c r="A507" s="11" t="s">
        <v>235</v>
      </c>
      <c r="B507" s="11"/>
      <c r="C507" s="11" t="s">
        <v>17</v>
      </c>
      <c r="E507" s="6">
        <v>2119089</v>
      </c>
      <c r="G507" s="6">
        <v>981708</v>
      </c>
      <c r="I507" s="6">
        <v>4418061</v>
      </c>
      <c r="K507" s="6">
        <v>19741</v>
      </c>
      <c r="M507" s="6">
        <f>88946+513384</f>
        <v>602330</v>
      </c>
      <c r="O507" s="6">
        <v>110279</v>
      </c>
      <c r="Q507" s="6">
        <v>0</v>
      </c>
      <c r="S507" s="6">
        <v>28253</v>
      </c>
      <c r="U507" s="6">
        <v>3704</v>
      </c>
      <c r="W507" s="33">
        <f t="shared" si="79"/>
        <v>8283165</v>
      </c>
      <c r="Y507" s="23">
        <v>0</v>
      </c>
      <c r="AA507" s="23">
        <v>0</v>
      </c>
      <c r="AC507" s="23">
        <f>162236+269897+37192-269897+274</f>
        <v>199702</v>
      </c>
      <c r="AI507" s="23">
        <v>0</v>
      </c>
      <c r="AK507" s="23">
        <v>0</v>
      </c>
      <c r="AM507" s="33">
        <f t="shared" si="82"/>
        <v>199702</v>
      </c>
      <c r="AO507" s="33">
        <f t="shared" si="80"/>
        <v>8482867</v>
      </c>
      <c r="AP507" s="33"/>
    </row>
    <row r="508" spans="1:44">
      <c r="A508" s="11" t="s">
        <v>235</v>
      </c>
      <c r="B508" s="11"/>
      <c r="C508" s="11" t="s">
        <v>58</v>
      </c>
      <c r="D508" s="23"/>
      <c r="E508" s="6">
        <v>1740765</v>
      </c>
      <c r="F508" s="23"/>
      <c r="G508" s="6">
        <v>14958</v>
      </c>
      <c r="H508" s="23"/>
      <c r="I508" s="6">
        <v>8949142</v>
      </c>
      <c r="J508" s="23"/>
      <c r="K508" s="6">
        <v>17967</v>
      </c>
      <c r="L508" s="23"/>
      <c r="M508" s="6">
        <f>804598+36802+220379</f>
        <v>1061779</v>
      </c>
      <c r="N508" s="23"/>
      <c r="O508" s="6">
        <v>69645</v>
      </c>
      <c r="P508" s="23"/>
      <c r="Q508" s="6">
        <v>0</v>
      </c>
      <c r="R508" s="23"/>
      <c r="S508" s="6">
        <v>0</v>
      </c>
      <c r="T508" s="23"/>
      <c r="U508" s="6">
        <v>207597</v>
      </c>
      <c r="V508" s="23"/>
      <c r="W508" s="33">
        <f t="shared" si="79"/>
        <v>12061853</v>
      </c>
      <c r="X508" s="23"/>
      <c r="Y508" s="23">
        <v>0</v>
      </c>
      <c r="Z508" s="23"/>
      <c r="AA508" s="23">
        <v>0</v>
      </c>
      <c r="AB508" s="23"/>
      <c r="AC508" s="23">
        <v>0</v>
      </c>
      <c r="AD508" s="23"/>
      <c r="AE508" s="23"/>
      <c r="AF508" s="23"/>
      <c r="AG508" s="23"/>
      <c r="AH508" s="23"/>
      <c r="AI508" s="23">
        <v>22827</v>
      </c>
      <c r="AJ508" s="23"/>
      <c r="AK508" s="23">
        <v>0</v>
      </c>
      <c r="AL508" s="23"/>
      <c r="AM508" s="33">
        <f t="shared" si="82"/>
        <v>22827</v>
      </c>
      <c r="AN508" s="23"/>
      <c r="AO508" s="33">
        <f t="shared" si="80"/>
        <v>12084680</v>
      </c>
      <c r="AP508" s="33"/>
      <c r="AQ508" s="23"/>
      <c r="AR508" s="23"/>
    </row>
    <row r="509" spans="1:44">
      <c r="A509" s="11" t="s">
        <v>645</v>
      </c>
      <c r="B509" s="11"/>
      <c r="C509" s="11" t="s">
        <v>112</v>
      </c>
      <c r="D509" s="23"/>
      <c r="E509" s="6">
        <v>1832825</v>
      </c>
      <c r="F509" s="23"/>
      <c r="G509" s="6">
        <v>0</v>
      </c>
      <c r="H509" s="23"/>
      <c r="I509" s="6">
        <f>6626845+2446824</f>
        <v>9073669</v>
      </c>
      <c r="J509" s="23"/>
      <c r="K509" s="6">
        <v>1266</v>
      </c>
      <c r="L509" s="23"/>
      <c r="M509" s="6">
        <f>410236+121965</f>
        <v>532201</v>
      </c>
      <c r="N509" s="23"/>
      <c r="O509" s="6">
        <v>91180</v>
      </c>
      <c r="P509" s="23"/>
      <c r="Q509" s="6">
        <v>0</v>
      </c>
      <c r="R509" s="23"/>
      <c r="S509" s="6">
        <v>0</v>
      </c>
      <c r="T509" s="23"/>
      <c r="U509" s="6">
        <f>85805+194109</f>
        <v>279914</v>
      </c>
      <c r="V509" s="23"/>
      <c r="W509" s="33">
        <f>SUM(E509:U509)</f>
        <v>11811055</v>
      </c>
      <c r="X509" s="23"/>
      <c r="Y509" s="23">
        <v>165000</v>
      </c>
      <c r="Z509" s="23"/>
      <c r="AA509" s="23">
        <v>0</v>
      </c>
      <c r="AB509" s="23"/>
      <c r="AC509" s="23">
        <v>0</v>
      </c>
      <c r="AD509" s="23"/>
      <c r="AE509" s="23">
        <v>0</v>
      </c>
      <c r="AF509" s="23"/>
      <c r="AG509" s="23">
        <v>0</v>
      </c>
      <c r="AH509" s="23"/>
      <c r="AI509" s="23">
        <v>0</v>
      </c>
      <c r="AJ509" s="23"/>
      <c r="AK509" s="23">
        <v>0</v>
      </c>
      <c r="AL509" s="23"/>
      <c r="AM509" s="33">
        <f t="shared" si="82"/>
        <v>165000</v>
      </c>
      <c r="AN509" s="23"/>
      <c r="AO509" s="33">
        <f t="shared" si="80"/>
        <v>11976055</v>
      </c>
      <c r="AP509" s="33"/>
    </row>
    <row r="510" spans="1:44">
      <c r="A510" s="11" t="s">
        <v>250</v>
      </c>
      <c r="B510" s="11"/>
      <c r="C510" s="11" t="s">
        <v>420</v>
      </c>
      <c r="D510" s="23"/>
      <c r="E510" s="6">
        <v>2591725</v>
      </c>
      <c r="F510" s="23"/>
      <c r="G510" s="6">
        <v>0</v>
      </c>
      <c r="H510" s="23"/>
      <c r="I510" s="6">
        <v>12506849</v>
      </c>
      <c r="J510" s="23"/>
      <c r="K510" s="6">
        <v>48762</v>
      </c>
      <c r="L510" s="23"/>
      <c r="M510" s="6">
        <f>326069+1800+89681</f>
        <v>417550</v>
      </c>
      <c r="N510" s="23"/>
      <c r="O510" s="6">
        <v>58788</v>
      </c>
      <c r="P510" s="23"/>
      <c r="Q510" s="6">
        <v>0</v>
      </c>
      <c r="R510" s="23"/>
      <c r="S510" s="6">
        <v>12003</v>
      </c>
      <c r="T510" s="23"/>
      <c r="U510" s="6">
        <v>110754</v>
      </c>
      <c r="V510" s="23"/>
      <c r="W510" s="33">
        <f t="shared" si="79"/>
        <v>15746431</v>
      </c>
      <c r="X510" s="23"/>
      <c r="Y510" s="23">
        <v>1119143</v>
      </c>
      <c r="Z510" s="23"/>
      <c r="AA510" s="23">
        <v>0</v>
      </c>
      <c r="AB510" s="23"/>
      <c r="AC510" s="23">
        <v>0</v>
      </c>
      <c r="AD510" s="23"/>
      <c r="AE510" s="23"/>
      <c r="AF510" s="23"/>
      <c r="AG510" s="23"/>
      <c r="AH510" s="23"/>
      <c r="AI510" s="23">
        <v>0</v>
      </c>
      <c r="AJ510" s="23"/>
      <c r="AK510" s="23">
        <v>0</v>
      </c>
      <c r="AL510" s="23"/>
      <c r="AM510" s="33">
        <f t="shared" si="82"/>
        <v>1119143</v>
      </c>
      <c r="AN510" s="23"/>
      <c r="AO510" s="33">
        <f t="shared" si="80"/>
        <v>16865574</v>
      </c>
      <c r="AP510" s="33"/>
    </row>
    <row r="511" spans="1:44" hidden="1">
      <c r="A511" s="11" t="s">
        <v>701</v>
      </c>
      <c r="B511" s="11"/>
      <c r="C511" s="11" t="s">
        <v>451</v>
      </c>
      <c r="D511" s="23"/>
      <c r="E511" s="6"/>
      <c r="F511" s="23"/>
      <c r="G511" s="6"/>
      <c r="H511" s="23"/>
      <c r="I511" s="6"/>
      <c r="J511" s="23"/>
      <c r="K511" s="6"/>
      <c r="L511" s="23"/>
      <c r="M511" s="6"/>
      <c r="N511" s="23"/>
      <c r="O511" s="6"/>
      <c r="P511" s="23"/>
      <c r="Q511" s="6"/>
      <c r="R511" s="23"/>
      <c r="S511" s="6"/>
      <c r="T511" s="23"/>
      <c r="U511" s="6"/>
      <c r="V511" s="23"/>
      <c r="W511" s="33">
        <f t="shared" si="79"/>
        <v>0</v>
      </c>
      <c r="X511" s="23"/>
      <c r="Y511" s="23"/>
      <c r="Z511" s="23"/>
      <c r="AA511" s="23">
        <v>0</v>
      </c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33">
        <f t="shared" si="82"/>
        <v>0</v>
      </c>
      <c r="AN511" s="23"/>
      <c r="AO511" s="33">
        <f t="shared" si="80"/>
        <v>0</v>
      </c>
      <c r="AP511" s="33"/>
    </row>
    <row r="512" spans="1:44">
      <c r="A512" s="11" t="s">
        <v>530</v>
      </c>
      <c r="B512" s="11"/>
      <c r="C512" s="11" t="s">
        <v>64</v>
      </c>
      <c r="D512" s="23"/>
      <c r="E512" s="6">
        <v>1881915</v>
      </c>
      <c r="F512" s="23"/>
      <c r="G512" s="6">
        <v>0</v>
      </c>
      <c r="H512" s="23"/>
      <c r="I512" s="6">
        <v>3760111</v>
      </c>
      <c r="J512" s="23"/>
      <c r="K512" s="6">
        <v>15509</v>
      </c>
      <c r="L512" s="23"/>
      <c r="M512" s="6">
        <f>319190+163054</f>
        <v>482244</v>
      </c>
      <c r="N512" s="23"/>
      <c r="O512" s="6">
        <v>111509</v>
      </c>
      <c r="P512" s="23"/>
      <c r="Q512" s="6">
        <v>0</v>
      </c>
      <c r="R512" s="23"/>
      <c r="S512" s="6">
        <v>4604</v>
      </c>
      <c r="T512" s="23"/>
      <c r="U512" s="6">
        <v>39074</v>
      </c>
      <c r="V512" s="23"/>
      <c r="W512" s="33">
        <f t="shared" si="79"/>
        <v>6294966</v>
      </c>
      <c r="X512" s="23"/>
      <c r="Y512" s="23">
        <v>56921</v>
      </c>
      <c r="Z512" s="23"/>
      <c r="AA512" s="23">
        <v>0</v>
      </c>
      <c r="AB512" s="23"/>
      <c r="AC512" s="23">
        <v>0</v>
      </c>
      <c r="AD512" s="23"/>
      <c r="AE512" s="23">
        <v>0</v>
      </c>
      <c r="AF512" s="23"/>
      <c r="AG512" s="23">
        <v>0</v>
      </c>
      <c r="AH512" s="23"/>
      <c r="AI512" s="23">
        <v>23358</v>
      </c>
      <c r="AJ512" s="23"/>
      <c r="AK512" s="23">
        <v>0</v>
      </c>
      <c r="AL512" s="23"/>
      <c r="AM512" s="33">
        <f t="shared" si="82"/>
        <v>80279</v>
      </c>
      <c r="AN512" s="23"/>
      <c r="AO512" s="33">
        <f t="shared" si="80"/>
        <v>6375245</v>
      </c>
      <c r="AP512" s="33"/>
    </row>
    <row r="513" spans="1:42" hidden="1">
      <c r="A513" s="11" t="s">
        <v>829</v>
      </c>
      <c r="B513" s="11"/>
      <c r="C513" s="11" t="s">
        <v>42</v>
      </c>
      <c r="D513" s="23"/>
      <c r="E513" s="6"/>
      <c r="F513" s="23"/>
      <c r="G513" s="6"/>
      <c r="H513" s="23"/>
      <c r="I513" s="6"/>
      <c r="J513" s="23"/>
      <c r="K513" s="6"/>
      <c r="L513" s="23"/>
      <c r="M513" s="6"/>
      <c r="N513" s="23"/>
      <c r="O513" s="6"/>
      <c r="P513" s="23"/>
      <c r="Q513" s="6"/>
      <c r="R513" s="23"/>
      <c r="S513" s="6"/>
      <c r="T513" s="23"/>
      <c r="U513" s="6"/>
      <c r="V513" s="23"/>
      <c r="W513" s="33">
        <f t="shared" si="79"/>
        <v>0</v>
      </c>
      <c r="X513" s="23"/>
      <c r="Y513" s="23"/>
      <c r="Z513" s="23"/>
      <c r="AA513" s="23">
        <v>0</v>
      </c>
      <c r="AB513" s="23"/>
      <c r="AC513" s="23"/>
      <c r="AD513" s="23"/>
      <c r="AE513" s="23"/>
      <c r="AF513" s="23"/>
      <c r="AG513" s="23"/>
      <c r="AH513" s="23"/>
      <c r="AI513" s="23"/>
      <c r="AJ513" s="23"/>
      <c r="AK513" s="23">
        <v>0</v>
      </c>
      <c r="AL513" s="23"/>
      <c r="AM513" s="33">
        <f t="shared" si="82"/>
        <v>0</v>
      </c>
      <c r="AN513" s="23"/>
      <c r="AO513" s="33">
        <f t="shared" si="80"/>
        <v>0</v>
      </c>
      <c r="AP513" s="33"/>
    </row>
    <row r="514" spans="1:42">
      <c r="A514" s="11" t="s">
        <v>331</v>
      </c>
      <c r="B514" s="11"/>
      <c r="C514" s="11" t="s">
        <v>32</v>
      </c>
      <c r="D514" s="23"/>
      <c r="E514" s="6">
        <v>15461570</v>
      </c>
      <c r="F514" s="23"/>
      <c r="G514" s="6">
        <v>0</v>
      </c>
      <c r="H514" s="23"/>
      <c r="I514" s="6">
        <v>18913918</v>
      </c>
      <c r="J514" s="23"/>
      <c r="K514" s="6">
        <v>16745</v>
      </c>
      <c r="L514" s="23"/>
      <c r="M514" s="6">
        <f>289359+1064059</f>
        <v>1353418</v>
      </c>
      <c r="N514" s="23"/>
      <c r="O514" s="6">
        <v>300330</v>
      </c>
      <c r="P514" s="23"/>
      <c r="Q514" s="6">
        <v>285340</v>
      </c>
      <c r="R514" s="23"/>
      <c r="S514" s="6">
        <v>0</v>
      </c>
      <c r="T514" s="23"/>
      <c r="U514" s="6">
        <v>353172</v>
      </c>
      <c r="V514" s="23"/>
      <c r="W514" s="33">
        <f t="shared" si="79"/>
        <v>36684493</v>
      </c>
      <c r="X514" s="23"/>
      <c r="Y514" s="23">
        <v>196608</v>
      </c>
      <c r="Z514" s="23"/>
      <c r="AA514" s="23">
        <v>0</v>
      </c>
      <c r="AB514" s="23"/>
      <c r="AC514" s="23">
        <f>2645000-2667355+80425</f>
        <v>58070</v>
      </c>
      <c r="AD514" s="23"/>
      <c r="AE514" s="23">
        <v>0</v>
      </c>
      <c r="AF514" s="23"/>
      <c r="AG514" s="23">
        <v>0</v>
      </c>
      <c r="AH514" s="23"/>
      <c r="AI514" s="23">
        <v>8561</v>
      </c>
      <c r="AJ514" s="23"/>
      <c r="AK514" s="23">
        <v>0</v>
      </c>
      <c r="AL514" s="23"/>
      <c r="AM514" s="33">
        <f t="shared" si="82"/>
        <v>263239</v>
      </c>
      <c r="AN514" s="23"/>
      <c r="AO514" s="33">
        <f t="shared" si="80"/>
        <v>36947732</v>
      </c>
      <c r="AP514" s="33"/>
    </row>
    <row r="515" spans="1:42">
      <c r="A515" s="11" t="s">
        <v>307</v>
      </c>
      <c r="B515" s="11"/>
      <c r="C515" s="11" t="s">
        <v>27</v>
      </c>
      <c r="D515" s="23"/>
      <c r="E515" s="6">
        <v>111448896</v>
      </c>
      <c r="F515" s="23"/>
      <c r="G515" s="6">
        <v>0</v>
      </c>
      <c r="H515" s="23"/>
      <c r="I515" s="6">
        <f>116429306+26234348</f>
        <v>142663654</v>
      </c>
      <c r="J515" s="23"/>
      <c r="K515" s="6">
        <v>289075</v>
      </c>
      <c r="L515" s="23"/>
      <c r="M515" s="6">
        <v>1193855</v>
      </c>
      <c r="N515" s="23"/>
      <c r="O515" s="6">
        <v>0</v>
      </c>
      <c r="P515" s="23"/>
      <c r="Q515" s="6">
        <v>2631269</v>
      </c>
      <c r="R515" s="23"/>
      <c r="S515" s="6">
        <v>0</v>
      </c>
      <c r="T515" s="23"/>
      <c r="U515" s="6">
        <v>7546155</v>
      </c>
      <c r="V515" s="23"/>
      <c r="W515" s="33">
        <f t="shared" si="79"/>
        <v>265772904</v>
      </c>
      <c r="X515" s="23"/>
      <c r="Y515" s="23">
        <v>1462976</v>
      </c>
      <c r="Z515" s="23"/>
      <c r="AA515" s="23">
        <v>0</v>
      </c>
      <c r="AB515" s="23"/>
      <c r="AC515" s="23">
        <v>0</v>
      </c>
      <c r="AD515" s="23"/>
      <c r="AE515" s="23">
        <v>0</v>
      </c>
      <c r="AF515" s="23"/>
      <c r="AG515" s="23">
        <v>0</v>
      </c>
      <c r="AH515" s="23"/>
      <c r="AI515" s="23">
        <v>0</v>
      </c>
      <c r="AJ515" s="23"/>
      <c r="AK515" s="23">
        <v>0</v>
      </c>
      <c r="AL515" s="23"/>
      <c r="AM515" s="33">
        <f t="shared" si="82"/>
        <v>1462976</v>
      </c>
      <c r="AN515" s="23"/>
      <c r="AO515" s="33">
        <f t="shared" si="80"/>
        <v>267235880</v>
      </c>
      <c r="AP515" s="33"/>
    </row>
    <row r="516" spans="1:42" hidden="1">
      <c r="A516" s="11" t="s">
        <v>702</v>
      </c>
      <c r="B516" s="11"/>
      <c r="C516" s="11" t="s">
        <v>10</v>
      </c>
      <c r="D516" s="26"/>
      <c r="E516" s="6"/>
      <c r="F516" s="23"/>
      <c r="G516" s="6"/>
      <c r="H516" s="23"/>
      <c r="I516" s="6"/>
      <c r="J516" s="23"/>
      <c r="K516" s="6"/>
      <c r="L516" s="23"/>
      <c r="M516" s="6"/>
      <c r="N516" s="23"/>
      <c r="O516" s="6"/>
      <c r="P516" s="23"/>
      <c r="Q516" s="6"/>
      <c r="R516" s="23"/>
      <c r="S516" s="6"/>
      <c r="T516" s="23"/>
      <c r="U516" s="6"/>
      <c r="V516" s="23"/>
      <c r="W516" s="33">
        <f t="shared" si="79"/>
        <v>0</v>
      </c>
      <c r="X516" s="23"/>
      <c r="Y516" s="23"/>
      <c r="Z516" s="23"/>
      <c r="AA516" s="23">
        <v>0</v>
      </c>
      <c r="AB516" s="23"/>
      <c r="AC516" s="23"/>
      <c r="AD516" s="23"/>
      <c r="AE516" s="23"/>
      <c r="AF516" s="23"/>
      <c r="AG516" s="23"/>
      <c r="AH516" s="23"/>
      <c r="AI516" s="23"/>
      <c r="AJ516" s="23"/>
      <c r="AK516" s="23">
        <v>0</v>
      </c>
      <c r="AL516" s="23"/>
      <c r="AM516" s="33">
        <f t="shared" si="82"/>
        <v>0</v>
      </c>
      <c r="AN516" s="23"/>
      <c r="AO516" s="33">
        <f t="shared" si="80"/>
        <v>0</v>
      </c>
      <c r="AP516" s="33"/>
    </row>
    <row r="517" spans="1:42">
      <c r="A517" s="10" t="s">
        <v>847</v>
      </c>
      <c r="B517" s="11"/>
      <c r="C517" s="11" t="s">
        <v>69</v>
      </c>
      <c r="D517" s="23"/>
      <c r="E517" s="6">
        <v>32185771</v>
      </c>
      <c r="F517" s="23"/>
      <c r="G517" s="6">
        <v>0</v>
      </c>
      <c r="H517" s="23"/>
      <c r="I517" s="6">
        <v>16540313</v>
      </c>
      <c r="J517" s="23"/>
      <c r="K517" s="6">
        <v>36449</v>
      </c>
      <c r="L517" s="23"/>
      <c r="M517" s="6">
        <f>1157268+572340+956776</f>
        <v>2686384</v>
      </c>
      <c r="N517" s="23"/>
      <c r="O517" s="6">
        <v>903023</v>
      </c>
      <c r="P517" s="23"/>
      <c r="Q517" s="6">
        <v>0</v>
      </c>
      <c r="R517" s="23"/>
      <c r="S517" s="6">
        <v>62034</v>
      </c>
      <c r="T517" s="23"/>
      <c r="U517" s="6">
        <v>679727</v>
      </c>
      <c r="V517" s="23"/>
      <c r="W517" s="33">
        <f t="shared" si="79"/>
        <v>53093701</v>
      </c>
      <c r="X517" s="23"/>
      <c r="Y517" s="23">
        <v>0</v>
      </c>
      <c r="Z517" s="23"/>
      <c r="AA517" s="23">
        <v>0</v>
      </c>
      <c r="AB517" s="23"/>
      <c r="AC517" s="23">
        <v>0</v>
      </c>
      <c r="AD517" s="23"/>
      <c r="AE517" s="23"/>
      <c r="AF517" s="23"/>
      <c r="AG517" s="23"/>
      <c r="AH517" s="23"/>
      <c r="AI517" s="23">
        <v>0</v>
      </c>
      <c r="AJ517" s="23"/>
      <c r="AK517" s="23">
        <v>0</v>
      </c>
      <c r="AL517" s="23"/>
      <c r="AM517" s="33">
        <f t="shared" si="82"/>
        <v>0</v>
      </c>
      <c r="AN517" s="23"/>
      <c r="AO517" s="33">
        <f t="shared" si="80"/>
        <v>53093701</v>
      </c>
      <c r="AP517" s="33"/>
    </row>
    <row r="518" spans="1:42">
      <c r="A518" s="11" t="s">
        <v>629</v>
      </c>
      <c r="B518" s="11"/>
      <c r="C518" s="11" t="s">
        <v>17</v>
      </c>
      <c r="D518" s="23"/>
      <c r="E518" s="6">
        <v>23770433</v>
      </c>
      <c r="F518" s="23"/>
      <c r="G518" s="6">
        <v>0</v>
      </c>
      <c r="H518" s="23"/>
      <c r="I518" s="6">
        <v>76898961</v>
      </c>
      <c r="J518" s="23"/>
      <c r="K518" s="6">
        <v>305194</v>
      </c>
      <c r="L518" s="23"/>
      <c r="M518" s="6">
        <f>1302183+31944+1009793</f>
        <v>2343920</v>
      </c>
      <c r="N518" s="23"/>
      <c r="O518" s="6">
        <v>308708</v>
      </c>
      <c r="P518" s="23"/>
      <c r="Q518" s="6">
        <v>0</v>
      </c>
      <c r="R518" s="23"/>
      <c r="S518" s="6">
        <v>37470</v>
      </c>
      <c r="T518" s="23"/>
      <c r="U518" s="6">
        <v>1076333</v>
      </c>
      <c r="V518" s="23"/>
      <c r="W518" s="33">
        <f t="shared" si="79"/>
        <v>104741019</v>
      </c>
      <c r="X518" s="23"/>
      <c r="Y518" s="23">
        <v>295218</v>
      </c>
      <c r="Z518" s="23"/>
      <c r="AA518" s="23">
        <v>0</v>
      </c>
      <c r="AB518" s="23"/>
      <c r="AC518" s="23">
        <v>0</v>
      </c>
      <c r="AD518" s="23"/>
      <c r="AE518" s="23"/>
      <c r="AF518" s="23"/>
      <c r="AG518" s="23"/>
      <c r="AH518" s="23"/>
      <c r="AI518" s="23">
        <v>65022</v>
      </c>
      <c r="AJ518" s="23"/>
      <c r="AK518" s="23">
        <v>0</v>
      </c>
      <c r="AL518" s="23"/>
      <c r="AM518" s="33">
        <f t="shared" si="82"/>
        <v>360240</v>
      </c>
      <c r="AN518" s="23"/>
      <c r="AO518" s="33">
        <f t="shared" si="80"/>
        <v>105101259</v>
      </c>
      <c r="AP518" s="33"/>
    </row>
    <row r="519" spans="1:42">
      <c r="A519" s="11" t="s">
        <v>716</v>
      </c>
      <c r="B519" s="11"/>
      <c r="C519" s="11" t="s">
        <v>115</v>
      </c>
      <c r="D519" s="23"/>
      <c r="E519" s="6">
        <v>26941069</v>
      </c>
      <c r="F519" s="23"/>
      <c r="G519" s="6">
        <v>0</v>
      </c>
      <c r="H519" s="23"/>
      <c r="I519" s="6">
        <f>87827+11950712+3220171</f>
        <v>15258710</v>
      </c>
      <c r="J519" s="23"/>
      <c r="K519" s="6">
        <v>11238</v>
      </c>
      <c r="L519" s="23"/>
      <c r="M519" s="6">
        <f>783289+663503+210635+44249</f>
        <v>1701676</v>
      </c>
      <c r="N519" s="23"/>
      <c r="O519" s="6">
        <v>490263</v>
      </c>
      <c r="P519" s="23"/>
      <c r="Q519" s="6">
        <v>111829</v>
      </c>
      <c r="R519" s="23"/>
      <c r="S519" s="6">
        <v>43821</v>
      </c>
      <c r="T519" s="23"/>
      <c r="U519" s="6">
        <f>44495+21179</f>
        <v>65674</v>
      </c>
      <c r="V519" s="23"/>
      <c r="W519" s="33">
        <f t="shared" si="79"/>
        <v>44624280</v>
      </c>
      <c r="X519" s="23"/>
      <c r="Y519" s="23">
        <v>0</v>
      </c>
      <c r="Z519" s="23"/>
      <c r="AA519" s="23">
        <v>0</v>
      </c>
      <c r="AB519" s="23"/>
      <c r="AC519" s="23">
        <v>0</v>
      </c>
      <c r="AD519" s="23"/>
      <c r="AE519" s="23">
        <v>0</v>
      </c>
      <c r="AF519" s="23"/>
      <c r="AG519" s="23">
        <v>0</v>
      </c>
      <c r="AH519" s="23"/>
      <c r="AI519" s="23">
        <v>0</v>
      </c>
      <c r="AJ519" s="23"/>
      <c r="AK519" s="23">
        <v>0</v>
      </c>
      <c r="AL519" s="23"/>
      <c r="AM519" s="33">
        <f t="shared" si="82"/>
        <v>0</v>
      </c>
      <c r="AN519" s="23"/>
      <c r="AO519" s="33">
        <f t="shared" si="80"/>
        <v>44624280</v>
      </c>
      <c r="AP519" s="33"/>
    </row>
    <row r="520" spans="1:42">
      <c r="A520" s="11" t="s">
        <v>393</v>
      </c>
      <c r="B520" s="11"/>
      <c r="C520" s="11" t="s">
        <v>45</v>
      </c>
      <c r="D520" s="23"/>
      <c r="E520" s="6">
        <v>3128861</v>
      </c>
      <c r="F520" s="23"/>
      <c r="G520" s="6">
        <v>1855422</v>
      </c>
      <c r="H520" s="23"/>
      <c r="I520" s="6">
        <f>4966600+934840</f>
        <v>5901440</v>
      </c>
      <c r="J520" s="23"/>
      <c r="K520" s="6">
        <v>2108</v>
      </c>
      <c r="L520" s="23"/>
      <c r="M520" s="6">
        <f>260121+27808+275</f>
        <v>288204</v>
      </c>
      <c r="N520" s="23"/>
      <c r="O520" s="6">
        <v>156920</v>
      </c>
      <c r="P520" s="23"/>
      <c r="Q520" s="6">
        <v>0</v>
      </c>
      <c r="R520" s="23"/>
      <c r="S520" s="6">
        <v>42372</v>
      </c>
      <c r="T520" s="23"/>
      <c r="U520" s="6">
        <f>5000+39678</f>
        <v>44678</v>
      </c>
      <c r="V520" s="23"/>
      <c r="W520" s="33">
        <f t="shared" si="79"/>
        <v>11420005</v>
      </c>
      <c r="X520" s="23"/>
      <c r="Y520" s="23">
        <v>0</v>
      </c>
      <c r="Z520" s="23"/>
      <c r="AA520" s="23">
        <v>0</v>
      </c>
      <c r="AB520" s="23"/>
      <c r="AC520" s="23">
        <v>0</v>
      </c>
      <c r="AD520" s="23"/>
      <c r="AE520" s="23"/>
      <c r="AF520" s="23"/>
      <c r="AG520" s="23"/>
      <c r="AH520" s="23"/>
      <c r="AI520" s="23">
        <v>3068535</v>
      </c>
      <c r="AJ520" s="23"/>
      <c r="AK520" s="23">
        <v>0</v>
      </c>
      <c r="AL520" s="23"/>
      <c r="AM520" s="33">
        <f t="shared" si="82"/>
        <v>3068535</v>
      </c>
      <c r="AN520" s="23"/>
      <c r="AO520" s="33">
        <f t="shared" si="80"/>
        <v>14488540</v>
      </c>
      <c r="AP520" s="33"/>
    </row>
    <row r="521" spans="1:42">
      <c r="A521" s="11" t="s">
        <v>393</v>
      </c>
      <c r="B521" s="11"/>
      <c r="C521" s="11" t="s">
        <v>63</v>
      </c>
      <c r="D521" s="23"/>
      <c r="E521" s="6">
        <v>12510875</v>
      </c>
      <c r="F521" s="23"/>
      <c r="G521" s="6">
        <v>0</v>
      </c>
      <c r="H521" s="23"/>
      <c r="I521" s="6">
        <v>19623959</v>
      </c>
      <c r="J521" s="23"/>
      <c r="K521" s="6">
        <v>214714</v>
      </c>
      <c r="L521" s="23"/>
      <c r="M521" s="6">
        <f>2412676+87007+237513</f>
        <v>2737196</v>
      </c>
      <c r="N521" s="23"/>
      <c r="O521" s="6">
        <v>283340</v>
      </c>
      <c r="P521" s="23"/>
      <c r="Q521" s="6">
        <v>0</v>
      </c>
      <c r="R521" s="23"/>
      <c r="S521" s="6">
        <v>13993</v>
      </c>
      <c r="T521" s="23"/>
      <c r="U521" s="6">
        <v>67385</v>
      </c>
      <c r="V521" s="23"/>
      <c r="W521" s="33">
        <f t="shared" si="79"/>
        <v>35451462</v>
      </c>
      <c r="X521" s="23"/>
      <c r="Y521" s="23">
        <v>0</v>
      </c>
      <c r="Z521" s="23"/>
      <c r="AA521" s="23">
        <v>0</v>
      </c>
      <c r="AB521" s="23"/>
      <c r="AC521" s="23">
        <v>0</v>
      </c>
      <c r="AD521" s="23"/>
      <c r="AE521" s="23">
        <v>0</v>
      </c>
      <c r="AF521" s="23"/>
      <c r="AG521" s="23">
        <v>0</v>
      </c>
      <c r="AH521" s="23"/>
      <c r="AI521" s="23">
        <v>819</v>
      </c>
      <c r="AJ521" s="23"/>
      <c r="AK521" s="23">
        <v>0</v>
      </c>
      <c r="AL521" s="23"/>
      <c r="AM521" s="33">
        <f t="shared" si="82"/>
        <v>819</v>
      </c>
      <c r="AN521" s="23"/>
      <c r="AO521" s="33">
        <f t="shared" si="80"/>
        <v>35452281</v>
      </c>
      <c r="AP521" s="33"/>
    </row>
    <row r="522" spans="1:42">
      <c r="A522" s="11" t="s">
        <v>786</v>
      </c>
      <c r="B522" s="11"/>
      <c r="C522" s="11" t="s">
        <v>32</v>
      </c>
      <c r="D522" s="23"/>
      <c r="E522" s="6">
        <v>4851615</v>
      </c>
      <c r="F522" s="23"/>
      <c r="G522" s="6">
        <v>0</v>
      </c>
      <c r="H522" s="23"/>
      <c r="I522" s="6">
        <v>8421802</v>
      </c>
      <c r="J522" s="23"/>
      <c r="K522" s="6">
        <v>2044</v>
      </c>
      <c r="L522" s="23"/>
      <c r="M522" s="6">
        <f>1187016+130727</f>
        <v>1317743</v>
      </c>
      <c r="N522" s="23"/>
      <c r="O522" s="6">
        <v>62356</v>
      </c>
      <c r="P522" s="23"/>
      <c r="Q522" s="6">
        <v>0</v>
      </c>
      <c r="R522" s="23"/>
      <c r="S522" s="6">
        <v>0</v>
      </c>
      <c r="T522" s="23"/>
      <c r="U522" s="6">
        <v>338958</v>
      </c>
      <c r="V522" s="23"/>
      <c r="W522" s="33">
        <f t="shared" si="79"/>
        <v>14994518</v>
      </c>
      <c r="X522" s="23"/>
      <c r="Y522" s="23">
        <v>486500</v>
      </c>
      <c r="Z522" s="23"/>
      <c r="AA522" s="23">
        <v>0</v>
      </c>
      <c r="AB522" s="23"/>
      <c r="AC522" s="23">
        <v>0</v>
      </c>
      <c r="AD522" s="23"/>
      <c r="AE522" s="23"/>
      <c r="AF522" s="23"/>
      <c r="AG522" s="23"/>
      <c r="AH522" s="23"/>
      <c r="AI522" s="23">
        <v>0</v>
      </c>
      <c r="AJ522" s="23"/>
      <c r="AK522" s="23">
        <v>0</v>
      </c>
      <c r="AL522" s="23"/>
      <c r="AM522" s="33">
        <f t="shared" si="82"/>
        <v>486500</v>
      </c>
      <c r="AN522" s="23"/>
      <c r="AO522" s="33">
        <f t="shared" si="80"/>
        <v>15481018</v>
      </c>
      <c r="AP522" s="33"/>
    </row>
    <row r="523" spans="1:42">
      <c r="A523" s="11" t="s">
        <v>787</v>
      </c>
      <c r="B523" s="11"/>
      <c r="C523" s="11" t="s">
        <v>15</v>
      </c>
      <c r="D523" s="23"/>
      <c r="E523" s="6">
        <v>7309421</v>
      </c>
      <c r="F523" s="23"/>
      <c r="G523" s="6">
        <v>0</v>
      </c>
      <c r="H523" s="23"/>
      <c r="I523" s="6">
        <v>5840137</v>
      </c>
      <c r="J523" s="23"/>
      <c r="K523" s="6">
        <v>4790</v>
      </c>
      <c r="L523" s="23"/>
      <c r="M523" s="6">
        <f>1227137+1100+98327</f>
        <v>1326564</v>
      </c>
      <c r="N523" s="23"/>
      <c r="O523" s="6">
        <v>358187</v>
      </c>
      <c r="P523" s="23"/>
      <c r="Q523" s="6">
        <v>0</v>
      </c>
      <c r="R523" s="23"/>
      <c r="S523" s="6">
        <v>83702</v>
      </c>
      <c r="T523" s="23"/>
      <c r="U523" s="6">
        <v>59230</v>
      </c>
      <c r="V523" s="23"/>
      <c r="W523" s="33">
        <f t="shared" si="79"/>
        <v>14982031</v>
      </c>
      <c r="X523" s="23"/>
      <c r="Y523" s="23">
        <v>0</v>
      </c>
      <c r="Z523" s="23"/>
      <c r="AA523" s="23">
        <v>0</v>
      </c>
      <c r="AB523" s="23"/>
      <c r="AC523" s="23">
        <v>0</v>
      </c>
      <c r="AD523" s="23"/>
      <c r="AE523" s="23"/>
      <c r="AF523" s="23"/>
      <c r="AG523" s="23"/>
      <c r="AH523" s="23"/>
      <c r="AI523" s="23">
        <v>2500</v>
      </c>
      <c r="AJ523" s="23"/>
      <c r="AK523" s="23">
        <v>0</v>
      </c>
      <c r="AL523" s="23"/>
      <c r="AM523" s="33">
        <f t="shared" si="82"/>
        <v>2500</v>
      </c>
      <c r="AN523" s="23"/>
      <c r="AO523" s="33">
        <f t="shared" si="80"/>
        <v>14984531</v>
      </c>
      <c r="AP523" s="33"/>
    </row>
    <row r="524" spans="1:42" hidden="1">
      <c r="A524" s="11" t="s">
        <v>703</v>
      </c>
      <c r="B524" s="11"/>
      <c r="C524" s="11" t="s">
        <v>422</v>
      </c>
      <c r="D524" s="23"/>
      <c r="E524" s="6"/>
      <c r="F524" s="23"/>
      <c r="G524" s="6"/>
      <c r="H524" s="23"/>
      <c r="I524" s="6"/>
      <c r="J524" s="23"/>
      <c r="K524" s="6"/>
      <c r="L524" s="23"/>
      <c r="M524" s="6"/>
      <c r="N524" s="23"/>
      <c r="O524" s="6"/>
      <c r="P524" s="23"/>
      <c r="Q524" s="6"/>
      <c r="R524" s="23"/>
      <c r="S524" s="6"/>
      <c r="T524" s="23"/>
      <c r="U524" s="6"/>
      <c r="V524" s="23"/>
      <c r="W524" s="33">
        <f t="shared" si="79"/>
        <v>0</v>
      </c>
      <c r="X524" s="23"/>
      <c r="Y524" s="23"/>
      <c r="Z524" s="23"/>
      <c r="AA524" s="23">
        <v>0</v>
      </c>
      <c r="AB524" s="23"/>
      <c r="AC524" s="23"/>
      <c r="AD524" s="23"/>
      <c r="AE524" s="23"/>
      <c r="AF524" s="23"/>
      <c r="AG524" s="23"/>
      <c r="AH524" s="23"/>
      <c r="AI524" s="23"/>
      <c r="AJ524" s="23"/>
      <c r="AK524" s="23">
        <v>0</v>
      </c>
      <c r="AL524" s="23"/>
      <c r="AM524" s="33">
        <f t="shared" si="82"/>
        <v>0</v>
      </c>
      <c r="AN524" s="23"/>
      <c r="AO524" s="33">
        <f t="shared" si="80"/>
        <v>0</v>
      </c>
      <c r="AP524" s="33"/>
    </row>
    <row r="525" spans="1:42" hidden="1">
      <c r="A525" s="11" t="s">
        <v>704</v>
      </c>
      <c r="B525" s="11"/>
      <c r="C525" s="11" t="s">
        <v>14</v>
      </c>
      <c r="D525" s="23"/>
      <c r="E525" s="6"/>
      <c r="F525" s="23"/>
      <c r="G525" s="6"/>
      <c r="H525" s="23"/>
      <c r="I525" s="6"/>
      <c r="J525" s="23"/>
      <c r="K525" s="6"/>
      <c r="L525" s="23"/>
      <c r="M525" s="6"/>
      <c r="N525" s="23"/>
      <c r="O525" s="6"/>
      <c r="P525" s="23"/>
      <c r="Q525" s="6"/>
      <c r="R525" s="23"/>
      <c r="S525" s="6"/>
      <c r="T525" s="23"/>
      <c r="U525" s="6"/>
      <c r="V525" s="23"/>
      <c r="W525" s="33">
        <f t="shared" si="79"/>
        <v>0</v>
      </c>
      <c r="X525" s="23"/>
      <c r="Y525" s="23"/>
      <c r="Z525" s="23"/>
      <c r="AA525" s="23">
        <v>0</v>
      </c>
      <c r="AB525" s="23"/>
      <c r="AC525" s="23"/>
      <c r="AD525" s="23"/>
      <c r="AE525" s="23"/>
      <c r="AF525" s="23"/>
      <c r="AG525" s="23"/>
      <c r="AH525" s="23"/>
      <c r="AI525" s="23"/>
      <c r="AJ525" s="23"/>
      <c r="AK525" s="23">
        <v>0</v>
      </c>
      <c r="AL525" s="23"/>
      <c r="AM525" s="33">
        <f t="shared" si="82"/>
        <v>0</v>
      </c>
      <c r="AN525" s="23"/>
      <c r="AO525" s="33">
        <f t="shared" si="80"/>
        <v>0</v>
      </c>
      <c r="AP525" s="33"/>
    </row>
    <row r="526" spans="1:42">
      <c r="A526" s="11" t="s">
        <v>364</v>
      </c>
      <c r="B526" s="11"/>
      <c r="C526" s="11" t="s">
        <v>39</v>
      </c>
      <c r="D526" s="23"/>
      <c r="E526" s="6">
        <v>4104500</v>
      </c>
      <c r="F526" s="23"/>
      <c r="G526" s="6">
        <v>0</v>
      </c>
      <c r="H526" s="23"/>
      <c r="I526" s="6">
        <v>17411378</v>
      </c>
      <c r="J526" s="23"/>
      <c r="K526" s="6">
        <v>82409</v>
      </c>
      <c r="L526" s="23"/>
      <c r="M526" s="6">
        <f>3317968+43391+238726</f>
        <v>3600085</v>
      </c>
      <c r="N526" s="23"/>
      <c r="O526" s="6">
        <v>305437</v>
      </c>
      <c r="P526" s="23"/>
      <c r="Q526" s="6">
        <v>0</v>
      </c>
      <c r="R526" s="23"/>
      <c r="S526" s="6">
        <v>68419</v>
      </c>
      <c r="T526" s="23"/>
      <c r="U526" s="6">
        <v>64265</v>
      </c>
      <c r="V526" s="23"/>
      <c r="W526" s="33">
        <f t="shared" si="79"/>
        <v>25636493</v>
      </c>
      <c r="X526" s="23"/>
      <c r="Y526" s="23">
        <v>142742</v>
      </c>
      <c r="Z526" s="23"/>
      <c r="AA526" s="23">
        <v>0</v>
      </c>
      <c r="AB526" s="23"/>
      <c r="AC526" s="23">
        <v>0</v>
      </c>
      <c r="AD526" s="23"/>
      <c r="AE526" s="23"/>
      <c r="AF526" s="23"/>
      <c r="AG526" s="23"/>
      <c r="AH526" s="23"/>
      <c r="AI526" s="23">
        <v>496</v>
      </c>
      <c r="AJ526" s="23"/>
      <c r="AK526" s="23">
        <v>0</v>
      </c>
      <c r="AL526" s="23"/>
      <c r="AM526" s="33">
        <f t="shared" si="82"/>
        <v>143238</v>
      </c>
      <c r="AN526" s="23"/>
      <c r="AO526" s="33">
        <f t="shared" si="80"/>
        <v>25779731</v>
      </c>
      <c r="AP526" s="33"/>
    </row>
    <row r="527" spans="1:42">
      <c r="A527" s="11" t="s">
        <v>514</v>
      </c>
      <c r="B527" s="11"/>
      <c r="C527" s="11" t="s">
        <v>63</v>
      </c>
      <c r="D527" s="23"/>
      <c r="E527" s="6">
        <v>31298744</v>
      </c>
      <c r="F527" s="23"/>
      <c r="G527" s="6">
        <v>0</v>
      </c>
      <c r="H527" s="23"/>
      <c r="I527" s="6">
        <f>14885+19218584+2230180</f>
        <v>21463649</v>
      </c>
      <c r="J527" s="23"/>
      <c r="K527" s="6">
        <v>55138</v>
      </c>
      <c r="L527" s="23"/>
      <c r="M527" s="6">
        <f>2032784+713955+119302</f>
        <v>2866041</v>
      </c>
      <c r="N527" s="23"/>
      <c r="O527" s="6">
        <v>706905</v>
      </c>
      <c r="P527" s="23"/>
      <c r="Q527" s="6">
        <v>0</v>
      </c>
      <c r="R527" s="23"/>
      <c r="S527" s="6">
        <v>0</v>
      </c>
      <c r="T527" s="23"/>
      <c r="U527" s="6">
        <v>468264</v>
      </c>
      <c r="V527" s="23"/>
      <c r="W527" s="33">
        <f t="shared" si="79"/>
        <v>56858741</v>
      </c>
      <c r="X527" s="23"/>
      <c r="Y527" s="62">
        <v>1298</v>
      </c>
      <c r="Z527" s="23"/>
      <c r="AA527" s="23">
        <v>0</v>
      </c>
      <c r="AB527" s="23"/>
      <c r="AC527" s="23">
        <v>0</v>
      </c>
      <c r="AD527" s="23"/>
      <c r="AE527" s="23"/>
      <c r="AF527" s="23"/>
      <c r="AG527" s="23"/>
      <c r="AH527" s="23"/>
      <c r="AI527" s="23">
        <v>0</v>
      </c>
      <c r="AJ527" s="23"/>
      <c r="AK527" s="23">
        <v>0</v>
      </c>
      <c r="AL527" s="23"/>
      <c r="AM527" s="33">
        <f t="shared" si="82"/>
        <v>1298</v>
      </c>
      <c r="AN527" s="23"/>
      <c r="AO527" s="33">
        <f t="shared" si="80"/>
        <v>56860039</v>
      </c>
      <c r="AP527" s="33"/>
    </row>
    <row r="528" spans="1:42" hidden="1">
      <c r="A528" s="11" t="s">
        <v>705</v>
      </c>
      <c r="B528" s="11"/>
      <c r="C528" s="11" t="s">
        <v>65</v>
      </c>
      <c r="D528" s="23"/>
      <c r="E528" s="6"/>
      <c r="F528" s="23"/>
      <c r="G528" s="6"/>
      <c r="H528" s="23"/>
      <c r="I528" s="6"/>
      <c r="J528" s="23"/>
      <c r="K528" s="6"/>
      <c r="L528" s="23"/>
      <c r="M528" s="6"/>
      <c r="N528" s="23"/>
      <c r="O528" s="6"/>
      <c r="P528" s="23"/>
      <c r="Q528" s="6"/>
      <c r="R528" s="23"/>
      <c r="S528" s="6"/>
      <c r="T528" s="23"/>
      <c r="U528" s="6"/>
      <c r="V528" s="23"/>
      <c r="W528" s="33">
        <f t="shared" si="79"/>
        <v>0</v>
      </c>
      <c r="X528" s="23"/>
      <c r="Y528" s="23"/>
      <c r="Z528" s="23"/>
      <c r="AA528" s="23">
        <v>0</v>
      </c>
      <c r="AB528" s="23"/>
      <c r="AC528" s="23"/>
      <c r="AD528" s="23"/>
      <c r="AE528" s="23"/>
      <c r="AF528" s="23"/>
      <c r="AG528" s="23"/>
      <c r="AH528" s="23"/>
      <c r="AI528" s="23"/>
      <c r="AJ528" s="23"/>
      <c r="AK528" s="23">
        <v>0</v>
      </c>
      <c r="AL528" s="23"/>
      <c r="AM528" s="33">
        <f t="shared" si="82"/>
        <v>0</v>
      </c>
      <c r="AN528" s="23"/>
      <c r="AO528" s="33">
        <f t="shared" si="80"/>
        <v>0</v>
      </c>
      <c r="AP528" s="33"/>
    </row>
    <row r="529" spans="1:42">
      <c r="A529" s="11" t="s">
        <v>464</v>
      </c>
      <c r="B529" s="11"/>
      <c r="C529" s="11" t="s">
        <v>56</v>
      </c>
      <c r="D529" s="23"/>
      <c r="E529" s="6">
        <v>14614441</v>
      </c>
      <c r="F529" s="23"/>
      <c r="G529" s="6">
        <v>0</v>
      </c>
      <c r="H529" s="23"/>
      <c r="I529" s="6">
        <v>8799467</v>
      </c>
      <c r="J529" s="23"/>
      <c r="K529" s="6">
        <v>2114</v>
      </c>
      <c r="L529" s="23"/>
      <c r="M529" s="6">
        <f>167997+7436+441498</f>
        <v>616931</v>
      </c>
      <c r="N529" s="23"/>
      <c r="O529" s="6">
        <v>331834</v>
      </c>
      <c r="P529" s="23"/>
      <c r="Q529" s="6">
        <v>470027</v>
      </c>
      <c r="R529" s="23"/>
      <c r="S529" s="6">
        <v>7736</v>
      </c>
      <c r="T529" s="23"/>
      <c r="U529" s="6">
        <v>86218</v>
      </c>
      <c r="V529" s="23"/>
      <c r="W529" s="33">
        <f t="shared" si="79"/>
        <v>24928768</v>
      </c>
      <c r="X529" s="23"/>
      <c r="Y529" s="62">
        <v>18000</v>
      </c>
      <c r="Z529" s="23"/>
      <c r="AA529" s="23">
        <v>0</v>
      </c>
      <c r="AB529" s="23"/>
      <c r="AC529" s="23">
        <v>0</v>
      </c>
      <c r="AD529" s="23"/>
      <c r="AE529" s="23"/>
      <c r="AF529" s="23"/>
      <c r="AG529" s="23"/>
      <c r="AH529" s="23"/>
      <c r="AI529" s="23">
        <v>658675</v>
      </c>
      <c r="AJ529" s="23"/>
      <c r="AK529" s="23">
        <v>0</v>
      </c>
      <c r="AL529" s="23"/>
      <c r="AM529" s="33">
        <f t="shared" ref="AM529:AM560" si="83">AI529+AC529+Y529</f>
        <v>676675</v>
      </c>
      <c r="AN529" s="23"/>
      <c r="AO529" s="33">
        <f t="shared" si="80"/>
        <v>25605443</v>
      </c>
      <c r="AP529" s="33"/>
    </row>
    <row r="530" spans="1:42">
      <c r="A530" s="11" t="s">
        <v>279</v>
      </c>
      <c r="B530" s="11"/>
      <c r="C530" s="11" t="s">
        <v>20</v>
      </c>
      <c r="D530" s="23"/>
      <c r="E530" s="6">
        <v>52782115</v>
      </c>
      <c r="F530" s="23"/>
      <c r="G530" s="6">
        <v>0</v>
      </c>
      <c r="H530" s="23"/>
      <c r="I530" s="6">
        <v>24992684</v>
      </c>
      <c r="J530" s="23"/>
      <c r="K530" s="6">
        <v>1043</v>
      </c>
      <c r="L530" s="23"/>
      <c r="M530" s="6">
        <f>1087129+1181906</f>
        <v>2269035</v>
      </c>
      <c r="N530" s="23"/>
      <c r="O530" s="6">
        <v>723247</v>
      </c>
      <c r="P530" s="23"/>
      <c r="Q530" s="6">
        <v>0</v>
      </c>
      <c r="R530" s="23"/>
      <c r="S530" s="6">
        <v>0</v>
      </c>
      <c r="T530" s="23"/>
      <c r="U530" s="6">
        <v>896432</v>
      </c>
      <c r="V530" s="23"/>
      <c r="W530" s="33">
        <f t="shared" si="79"/>
        <v>81664556</v>
      </c>
      <c r="X530" s="23"/>
      <c r="Y530" s="23">
        <v>76239</v>
      </c>
      <c r="Z530" s="23"/>
      <c r="AA530" s="23">
        <v>0</v>
      </c>
      <c r="AB530" s="23"/>
      <c r="AC530" s="23">
        <v>0</v>
      </c>
      <c r="AD530" s="23"/>
      <c r="AE530" s="23">
        <v>0</v>
      </c>
      <c r="AF530" s="23"/>
      <c r="AG530" s="23">
        <v>0</v>
      </c>
      <c r="AH530" s="23"/>
      <c r="AI530" s="23">
        <v>27787</v>
      </c>
      <c r="AJ530" s="23"/>
      <c r="AK530" s="23">
        <v>0</v>
      </c>
      <c r="AL530" s="23"/>
      <c r="AM530" s="33">
        <f t="shared" si="83"/>
        <v>104026</v>
      </c>
      <c r="AN530" s="23"/>
      <c r="AO530" s="33">
        <f t="shared" si="80"/>
        <v>81768582</v>
      </c>
      <c r="AP530" s="33"/>
    </row>
    <row r="531" spans="1:42">
      <c r="A531" s="11" t="s">
        <v>407</v>
      </c>
      <c r="B531" s="11"/>
      <c r="C531" s="11" t="s">
        <v>45</v>
      </c>
      <c r="D531" s="23"/>
      <c r="E531" s="6">
        <v>4635374</v>
      </c>
      <c r="F531" s="23"/>
      <c r="G531" s="6">
        <v>0</v>
      </c>
      <c r="H531" s="23"/>
      <c r="I531" s="6">
        <v>14071970</v>
      </c>
      <c r="J531" s="23"/>
      <c r="K531" s="6">
        <v>9227</v>
      </c>
      <c r="L531" s="23"/>
      <c r="M531" s="6">
        <f>1142062+252683+8509</f>
        <v>1403254</v>
      </c>
      <c r="N531" s="23"/>
      <c r="O531" s="6">
        <v>337542</v>
      </c>
      <c r="P531" s="23"/>
      <c r="Q531" s="6">
        <v>0</v>
      </c>
      <c r="R531" s="23"/>
      <c r="S531" s="6">
        <v>37120</v>
      </c>
      <c r="T531" s="23"/>
      <c r="U531" s="6">
        <v>51704</v>
      </c>
      <c r="V531" s="23"/>
      <c r="W531" s="33">
        <f t="shared" si="79"/>
        <v>20546191</v>
      </c>
      <c r="X531" s="23"/>
      <c r="Y531" s="23">
        <v>534403</v>
      </c>
      <c r="Z531" s="23"/>
      <c r="AA531" s="23">
        <v>0</v>
      </c>
      <c r="AB531" s="23"/>
      <c r="AC531" s="23">
        <v>0</v>
      </c>
      <c r="AD531" s="23"/>
      <c r="AE531" s="23"/>
      <c r="AF531" s="23"/>
      <c r="AG531" s="23"/>
      <c r="AH531" s="23"/>
      <c r="AI531" s="23">
        <v>0</v>
      </c>
      <c r="AJ531" s="23"/>
      <c r="AK531" s="23">
        <v>0</v>
      </c>
      <c r="AL531" s="23"/>
      <c r="AM531" s="33">
        <f t="shared" si="83"/>
        <v>534403</v>
      </c>
      <c r="AN531" s="23"/>
      <c r="AO531" s="33">
        <f t="shared" si="80"/>
        <v>21080594</v>
      </c>
      <c r="AP531" s="33"/>
    </row>
    <row r="532" spans="1:42" hidden="1">
      <c r="A532" s="11" t="s">
        <v>898</v>
      </c>
      <c r="B532" s="11"/>
      <c r="C532" s="11" t="s">
        <v>552</v>
      </c>
      <c r="D532" s="23"/>
      <c r="E532" s="6">
        <v>0</v>
      </c>
      <c r="F532" s="23"/>
      <c r="G532" s="6">
        <v>0</v>
      </c>
      <c r="H532" s="23"/>
      <c r="I532" s="6">
        <v>0</v>
      </c>
      <c r="J532" s="23"/>
      <c r="K532" s="6">
        <v>0</v>
      </c>
      <c r="L532" s="23"/>
      <c r="M532" s="6">
        <v>0</v>
      </c>
      <c r="N532" s="23"/>
      <c r="O532" s="6">
        <v>0</v>
      </c>
      <c r="P532" s="23"/>
      <c r="Q532" s="6">
        <v>0</v>
      </c>
      <c r="R532" s="23"/>
      <c r="S532" s="6">
        <v>0</v>
      </c>
      <c r="T532" s="23"/>
      <c r="U532" s="6">
        <v>0</v>
      </c>
      <c r="V532" s="23"/>
      <c r="W532" s="33">
        <f t="shared" si="79"/>
        <v>0</v>
      </c>
      <c r="X532" s="23"/>
      <c r="Y532" s="23">
        <v>0</v>
      </c>
      <c r="Z532" s="23"/>
      <c r="AA532" s="23">
        <v>0</v>
      </c>
      <c r="AB532" s="23"/>
      <c r="AC532" s="23">
        <v>0</v>
      </c>
      <c r="AD532" s="23"/>
      <c r="AE532" s="23"/>
      <c r="AF532" s="23"/>
      <c r="AG532" s="23"/>
      <c r="AH532" s="23"/>
      <c r="AI532" s="23">
        <v>0</v>
      </c>
      <c r="AJ532" s="23"/>
      <c r="AK532" s="23">
        <v>0</v>
      </c>
      <c r="AL532" s="23"/>
      <c r="AM532" s="33">
        <f t="shared" si="83"/>
        <v>0</v>
      </c>
      <c r="AN532" s="23"/>
      <c r="AO532" s="33">
        <f t="shared" si="80"/>
        <v>0</v>
      </c>
      <c r="AP532" s="33"/>
    </row>
    <row r="533" spans="1:42" hidden="1">
      <c r="A533" s="11" t="s">
        <v>899</v>
      </c>
      <c r="B533" s="11"/>
      <c r="C533" s="11" t="s">
        <v>28</v>
      </c>
      <c r="D533" s="23"/>
      <c r="E533" s="6">
        <v>0</v>
      </c>
      <c r="F533" s="23"/>
      <c r="G533" s="6">
        <v>0</v>
      </c>
      <c r="H533" s="23"/>
      <c r="I533" s="6">
        <v>0</v>
      </c>
      <c r="J533" s="23"/>
      <c r="K533" s="6">
        <v>0</v>
      </c>
      <c r="L533" s="23"/>
      <c r="M533" s="6">
        <v>0</v>
      </c>
      <c r="N533" s="23"/>
      <c r="O533" s="6">
        <v>0</v>
      </c>
      <c r="P533" s="23"/>
      <c r="Q533" s="6">
        <v>0</v>
      </c>
      <c r="R533" s="23"/>
      <c r="S533" s="6">
        <v>0</v>
      </c>
      <c r="T533" s="23"/>
      <c r="U533" s="6">
        <v>0</v>
      </c>
      <c r="V533" s="23"/>
      <c r="W533" s="33">
        <f t="shared" si="79"/>
        <v>0</v>
      </c>
      <c r="X533" s="23"/>
      <c r="Y533" s="23">
        <v>0</v>
      </c>
      <c r="Z533" s="23"/>
      <c r="AA533" s="23">
        <v>0</v>
      </c>
      <c r="AB533" s="23"/>
      <c r="AC533" s="23">
        <v>0</v>
      </c>
      <c r="AD533" s="23"/>
      <c r="AE533" s="23"/>
      <c r="AF533" s="23"/>
      <c r="AG533" s="23"/>
      <c r="AH533" s="23"/>
      <c r="AI533" s="23">
        <v>0</v>
      </c>
      <c r="AJ533" s="23"/>
      <c r="AK533" s="23">
        <v>0</v>
      </c>
      <c r="AL533" s="23"/>
      <c r="AM533" s="33">
        <f t="shared" si="83"/>
        <v>0</v>
      </c>
      <c r="AN533" s="23"/>
      <c r="AO533" s="33">
        <f t="shared" si="80"/>
        <v>0</v>
      </c>
      <c r="AP533" s="33"/>
    </row>
    <row r="534" spans="1:42">
      <c r="A534" s="11" t="s">
        <v>628</v>
      </c>
      <c r="B534" s="11"/>
      <c r="C534" s="11" t="s">
        <v>49</v>
      </c>
      <c r="D534" s="23"/>
      <c r="E534" s="6">
        <v>12179883</v>
      </c>
      <c r="F534" s="23"/>
      <c r="G534" s="6">
        <v>0</v>
      </c>
      <c r="H534" s="23"/>
      <c r="I534" s="6">
        <v>34038930</v>
      </c>
      <c r="J534" s="23"/>
      <c r="K534" s="6">
        <v>215660</v>
      </c>
      <c r="L534" s="23"/>
      <c r="M534" s="6">
        <f>136061+11697+292632</f>
        <v>440390</v>
      </c>
      <c r="N534" s="23"/>
      <c r="O534" s="6">
        <v>198401</v>
      </c>
      <c r="P534" s="23"/>
      <c r="Q534" s="6">
        <v>0</v>
      </c>
      <c r="R534" s="23"/>
      <c r="S534" s="6">
        <v>80455</v>
      </c>
      <c r="T534" s="23"/>
      <c r="U534" s="6">
        <v>170204</v>
      </c>
      <c r="V534" s="23"/>
      <c r="W534" s="33">
        <f t="shared" si="79"/>
        <v>47323923</v>
      </c>
      <c r="X534" s="23"/>
      <c r="Y534" s="23">
        <v>256164</v>
      </c>
      <c r="Z534" s="23"/>
      <c r="AA534" s="23">
        <v>0</v>
      </c>
      <c r="AB534" s="23"/>
      <c r="AC534" s="23">
        <v>0</v>
      </c>
      <c r="AD534" s="23"/>
      <c r="AE534" s="23"/>
      <c r="AF534" s="23"/>
      <c r="AG534" s="23"/>
      <c r="AH534" s="23"/>
      <c r="AI534" s="23">
        <v>0</v>
      </c>
      <c r="AJ534" s="23"/>
      <c r="AK534" s="23">
        <v>0</v>
      </c>
      <c r="AL534" s="23"/>
      <c r="AM534" s="33">
        <f t="shared" si="83"/>
        <v>256164</v>
      </c>
      <c r="AN534" s="23"/>
      <c r="AO534" s="33">
        <f t="shared" si="80"/>
        <v>47580087</v>
      </c>
      <c r="AP534" s="33"/>
    </row>
    <row r="535" spans="1:42">
      <c r="A535" s="10" t="s">
        <v>834</v>
      </c>
      <c r="B535" s="11"/>
      <c r="C535" s="11" t="s">
        <v>32</v>
      </c>
      <c r="D535" s="23"/>
      <c r="E535" s="6">
        <v>57707537</v>
      </c>
      <c r="F535" s="23"/>
      <c r="G535" s="6">
        <v>0</v>
      </c>
      <c r="H535" s="23"/>
      <c r="I535" s="6">
        <v>23926000</v>
      </c>
      <c r="J535" s="23"/>
      <c r="K535" s="6">
        <v>296868</v>
      </c>
      <c r="L535" s="23"/>
      <c r="M535" s="6">
        <f>1001277+1678629</f>
        <v>2679906</v>
      </c>
      <c r="N535" s="23"/>
      <c r="O535" s="6">
        <v>577840</v>
      </c>
      <c r="P535" s="23"/>
      <c r="Q535" s="6">
        <v>1891038</v>
      </c>
      <c r="R535" s="23"/>
      <c r="S535" s="6">
        <v>0</v>
      </c>
      <c r="T535" s="23"/>
      <c r="U535" s="6">
        <v>180102</v>
      </c>
      <c r="V535" s="23"/>
      <c r="W535" s="33">
        <f t="shared" ref="W535" si="84">SUM(E535:U535)</f>
        <v>87259291</v>
      </c>
      <c r="X535" s="23"/>
      <c r="Y535" s="23">
        <v>3048364</v>
      </c>
      <c r="Z535" s="23"/>
      <c r="AA535" s="23">
        <v>0</v>
      </c>
      <c r="AB535" s="23"/>
      <c r="AC535" s="23">
        <v>0</v>
      </c>
      <c r="AD535" s="23"/>
      <c r="AE535" s="23"/>
      <c r="AF535" s="23"/>
      <c r="AG535" s="23"/>
      <c r="AH535" s="23"/>
      <c r="AI535" s="23">
        <v>57361</v>
      </c>
      <c r="AJ535" s="23"/>
      <c r="AK535" s="23">
        <v>0</v>
      </c>
      <c r="AL535" s="23"/>
      <c r="AM535" s="33">
        <f t="shared" ref="AM535" si="85">AI535+AC535+Y535</f>
        <v>3105725</v>
      </c>
      <c r="AN535" s="23"/>
      <c r="AO535" s="33">
        <f t="shared" ref="AO535" si="86">W535+AM535</f>
        <v>90365016</v>
      </c>
      <c r="AP535" s="33"/>
    </row>
    <row r="536" spans="1:42">
      <c r="A536" s="11" t="s">
        <v>394</v>
      </c>
      <c r="B536" s="11"/>
      <c r="C536" s="11" t="s">
        <v>115</v>
      </c>
      <c r="D536" s="23"/>
      <c r="E536" s="6">
        <v>59720574</v>
      </c>
      <c r="F536" s="23"/>
      <c r="G536" s="6">
        <v>0</v>
      </c>
      <c r="H536" s="23"/>
      <c r="I536" s="6">
        <f>25129019+4216964</f>
        <v>29345983</v>
      </c>
      <c r="J536" s="23"/>
      <c r="K536" s="6">
        <v>53988</v>
      </c>
      <c r="L536" s="23"/>
      <c r="M536" s="6">
        <f>947290+45138+894810+460403+36751</f>
        <v>2384392</v>
      </c>
      <c r="N536" s="23"/>
      <c r="O536" s="6">
        <v>806730</v>
      </c>
      <c r="P536" s="23"/>
      <c r="Q536" s="6">
        <v>619100</v>
      </c>
      <c r="R536" s="23"/>
      <c r="S536" s="6">
        <v>150951</v>
      </c>
      <c r="T536" s="23"/>
      <c r="U536" s="6">
        <f>94396+322057</f>
        <v>416453</v>
      </c>
      <c r="V536" s="23"/>
      <c r="W536" s="33">
        <f t="shared" si="79"/>
        <v>93498171</v>
      </c>
      <c r="X536" s="23"/>
      <c r="Y536" s="23">
        <v>930</v>
      </c>
      <c r="Z536" s="23"/>
      <c r="AA536" s="23">
        <v>0</v>
      </c>
      <c r="AB536" s="23"/>
      <c r="AC536" s="23">
        <f>935188+9030000-9792919</f>
        <v>172269</v>
      </c>
      <c r="AD536" s="23"/>
      <c r="AE536" s="23"/>
      <c r="AF536" s="23"/>
      <c r="AG536" s="23"/>
      <c r="AH536" s="23"/>
      <c r="AI536" s="23">
        <f>75727+51023</f>
        <v>126750</v>
      </c>
      <c r="AJ536" s="23"/>
      <c r="AK536" s="23">
        <v>0</v>
      </c>
      <c r="AL536" s="23"/>
      <c r="AM536" s="33">
        <f t="shared" si="83"/>
        <v>299949</v>
      </c>
      <c r="AN536" s="23"/>
      <c r="AO536" s="33">
        <f t="shared" si="80"/>
        <v>93798120</v>
      </c>
      <c r="AP536" s="33"/>
    </row>
    <row r="537" spans="1:42">
      <c r="A537" s="11" t="s">
        <v>372</v>
      </c>
      <c r="B537" s="11"/>
      <c r="C537" s="11" t="s">
        <v>366</v>
      </c>
      <c r="D537" s="23"/>
      <c r="E537" s="6">
        <v>1158391</v>
      </c>
      <c r="F537" s="23"/>
      <c r="G537" s="6">
        <v>0</v>
      </c>
      <c r="H537" s="23"/>
      <c r="I537" s="6">
        <v>7341362</v>
      </c>
      <c r="J537" s="23"/>
      <c r="K537" s="6">
        <v>25249</v>
      </c>
      <c r="L537" s="23"/>
      <c r="M537" s="6">
        <f>612243+112812</f>
        <v>725055</v>
      </c>
      <c r="N537" s="23"/>
      <c r="O537" s="6">
        <v>79420</v>
      </c>
      <c r="P537" s="23"/>
      <c r="Q537" s="6">
        <v>0</v>
      </c>
      <c r="R537" s="23"/>
      <c r="S537" s="6">
        <v>9530</v>
      </c>
      <c r="T537" s="23"/>
      <c r="U537" s="6">
        <v>40896</v>
      </c>
      <c r="V537" s="23"/>
      <c r="W537" s="33">
        <f t="shared" si="79"/>
        <v>9379903</v>
      </c>
      <c r="X537" s="23"/>
      <c r="Y537" s="23">
        <v>4411</v>
      </c>
      <c r="Z537" s="23"/>
      <c r="AA537" s="23">
        <v>0</v>
      </c>
      <c r="AB537" s="23"/>
      <c r="AC537" s="23">
        <v>0</v>
      </c>
      <c r="AD537" s="23"/>
      <c r="AE537" s="23"/>
      <c r="AF537" s="23"/>
      <c r="AG537" s="23"/>
      <c r="AH537" s="23"/>
      <c r="AI537" s="23">
        <v>0</v>
      </c>
      <c r="AJ537" s="23"/>
      <c r="AK537" s="23">
        <v>0</v>
      </c>
      <c r="AL537" s="23"/>
      <c r="AM537" s="33">
        <f t="shared" si="83"/>
        <v>4411</v>
      </c>
      <c r="AN537" s="23"/>
      <c r="AO537" s="33">
        <f t="shared" si="80"/>
        <v>9384314</v>
      </c>
      <c r="AP537" s="33"/>
    </row>
    <row r="538" spans="1:42">
      <c r="A538" s="11" t="s">
        <v>717</v>
      </c>
      <c r="B538" s="11"/>
      <c r="C538" s="11" t="s">
        <v>221</v>
      </c>
      <c r="D538" s="23"/>
      <c r="E538" s="6">
        <v>24736085</v>
      </c>
      <c r="F538" s="23"/>
      <c r="G538" s="6">
        <v>0</v>
      </c>
      <c r="H538" s="23"/>
      <c r="I538" s="6">
        <v>13359212</v>
      </c>
      <c r="J538" s="23"/>
      <c r="K538" s="6">
        <v>35232</v>
      </c>
      <c r="L538" s="23"/>
      <c r="M538" s="6">
        <f>1150557+587452</f>
        <v>1738009</v>
      </c>
      <c r="N538" s="23"/>
      <c r="O538" s="6">
        <v>0</v>
      </c>
      <c r="P538" s="23"/>
      <c r="Q538" s="6">
        <v>0</v>
      </c>
      <c r="R538" s="23"/>
      <c r="S538" s="6">
        <v>0</v>
      </c>
      <c r="T538" s="23"/>
      <c r="U538" s="6">
        <v>967488</v>
      </c>
      <c r="V538" s="23"/>
      <c r="W538" s="33">
        <f t="shared" ref="W538:W560" si="87">SUM(E538:U538)</f>
        <v>40836026</v>
      </c>
      <c r="X538" s="23"/>
      <c r="Y538" s="23">
        <v>0</v>
      </c>
      <c r="Z538" s="23"/>
      <c r="AA538" s="23">
        <v>0</v>
      </c>
      <c r="AB538" s="23"/>
      <c r="AC538" s="23">
        <v>0</v>
      </c>
      <c r="AD538" s="23"/>
      <c r="AE538" s="23"/>
      <c r="AF538" s="23"/>
      <c r="AG538" s="23"/>
      <c r="AH538" s="23"/>
      <c r="AI538" s="23">
        <v>0</v>
      </c>
      <c r="AJ538" s="23"/>
      <c r="AK538" s="23">
        <v>0</v>
      </c>
      <c r="AL538" s="23"/>
      <c r="AM538" s="33">
        <f t="shared" si="83"/>
        <v>0</v>
      </c>
      <c r="AN538" s="23"/>
      <c r="AO538" s="33">
        <f t="shared" si="80"/>
        <v>40836026</v>
      </c>
      <c r="AP538" s="33"/>
    </row>
    <row r="539" spans="1:42">
      <c r="A539" s="11" t="s">
        <v>515</v>
      </c>
      <c r="B539" s="11"/>
      <c r="C539" s="11" t="s">
        <v>63</v>
      </c>
      <c r="D539" s="23"/>
      <c r="E539" s="6">
        <v>15479545</v>
      </c>
      <c r="F539" s="23"/>
      <c r="G539" s="6">
        <v>0</v>
      </c>
      <c r="H539" s="23"/>
      <c r="I539" s="6">
        <v>12420274</v>
      </c>
      <c r="J539" s="23"/>
      <c r="K539" s="6">
        <v>7649</v>
      </c>
      <c r="L539" s="23"/>
      <c r="M539" s="6">
        <f>347469+64657+728006</f>
        <v>1140132</v>
      </c>
      <c r="N539" s="23"/>
      <c r="O539" s="6">
        <v>458250</v>
      </c>
      <c r="P539" s="23"/>
      <c r="Q539" s="6">
        <v>0</v>
      </c>
      <c r="R539" s="23"/>
      <c r="S539" s="6">
        <v>112643</v>
      </c>
      <c r="T539" s="23"/>
      <c r="U539" s="6">
        <v>74582</v>
      </c>
      <c r="V539" s="23"/>
      <c r="W539" s="33">
        <f t="shared" si="87"/>
        <v>29693075</v>
      </c>
      <c r="X539" s="23"/>
      <c r="Y539" s="23">
        <v>0</v>
      </c>
      <c r="Z539" s="23"/>
      <c r="AA539" s="23">
        <v>0</v>
      </c>
      <c r="AB539" s="23"/>
      <c r="AC539" s="23">
        <v>0</v>
      </c>
      <c r="AD539" s="23"/>
      <c r="AE539" s="23"/>
      <c r="AF539" s="23"/>
      <c r="AG539" s="23"/>
      <c r="AH539" s="23"/>
      <c r="AI539" s="23">
        <v>130000</v>
      </c>
      <c r="AJ539" s="23"/>
      <c r="AK539" s="23">
        <v>0</v>
      </c>
      <c r="AL539" s="23"/>
      <c r="AM539" s="33">
        <f t="shared" si="83"/>
        <v>130000</v>
      </c>
      <c r="AN539" s="23"/>
      <c r="AO539" s="33">
        <f t="shared" si="80"/>
        <v>29823075</v>
      </c>
      <c r="AP539" s="33"/>
    </row>
    <row r="540" spans="1:42">
      <c r="A540" s="11" t="s">
        <v>454</v>
      </c>
      <c r="B540" s="11"/>
      <c r="C540" s="11" t="s">
        <v>54</v>
      </c>
      <c r="D540" s="23"/>
      <c r="E540" s="6">
        <v>8775722</v>
      </c>
      <c r="F540" s="23"/>
      <c r="G540" s="6">
        <v>3198591</v>
      </c>
      <c r="H540" s="23"/>
      <c r="I540" s="6">
        <f>109895+17350843+2682692</f>
        <v>20143430</v>
      </c>
      <c r="J540" s="23"/>
      <c r="K540" s="6">
        <v>60755</v>
      </c>
      <c r="L540" s="23"/>
      <c r="M540" s="6">
        <f>557536+712035+159888+1769</f>
        <v>1431228</v>
      </c>
      <c r="N540" s="23"/>
      <c r="O540" s="6">
        <v>381814</v>
      </c>
      <c r="P540" s="23"/>
      <c r="Q540" s="6">
        <v>11278</v>
      </c>
      <c r="R540" s="23"/>
      <c r="S540" s="6">
        <v>133246</v>
      </c>
      <c r="T540" s="23"/>
      <c r="U540" s="6">
        <v>66289</v>
      </c>
      <c r="V540" s="23"/>
      <c r="W540" s="33">
        <f t="shared" si="87"/>
        <v>34202353</v>
      </c>
      <c r="X540" s="23"/>
      <c r="Y540" s="23">
        <v>1215763</v>
      </c>
      <c r="Z540" s="23"/>
      <c r="AA540" s="23">
        <v>0</v>
      </c>
      <c r="AB540" s="23"/>
      <c r="AC540" s="23">
        <f>700000+396229</f>
        <v>1096229</v>
      </c>
      <c r="AD540" s="23"/>
      <c r="AE540" s="23"/>
      <c r="AF540" s="23"/>
      <c r="AG540" s="23"/>
      <c r="AH540" s="23"/>
      <c r="AI540" s="23">
        <v>24833</v>
      </c>
      <c r="AJ540" s="23"/>
      <c r="AK540" s="23">
        <v>0</v>
      </c>
      <c r="AL540" s="23"/>
      <c r="AM540" s="33">
        <f t="shared" si="83"/>
        <v>2336825</v>
      </c>
      <c r="AN540" s="23"/>
      <c r="AO540" s="33">
        <f t="shared" si="80"/>
        <v>36539178</v>
      </c>
      <c r="AP540" s="33"/>
    </row>
    <row r="541" spans="1:42">
      <c r="A541" s="11" t="s">
        <v>236</v>
      </c>
      <c r="B541" s="11"/>
      <c r="C541" s="11" t="s">
        <v>17</v>
      </c>
      <c r="D541" s="23"/>
      <c r="E541" s="6">
        <v>6970144</v>
      </c>
      <c r="F541" s="23"/>
      <c r="G541" s="6">
        <v>0</v>
      </c>
      <c r="H541" s="23"/>
      <c r="I541" s="6">
        <v>20995311</v>
      </c>
      <c r="J541" s="23"/>
      <c r="K541" s="6">
        <v>10359</v>
      </c>
      <c r="L541" s="23"/>
      <c r="M541" s="6">
        <f>1662873+707349+18883</f>
        <v>2389105</v>
      </c>
      <c r="N541" s="23"/>
      <c r="O541" s="6">
        <v>204125</v>
      </c>
      <c r="P541" s="23"/>
      <c r="Q541" s="6">
        <v>0</v>
      </c>
      <c r="R541" s="23"/>
      <c r="S541" s="6">
        <v>39158</v>
      </c>
      <c r="T541" s="23"/>
      <c r="U541" s="6">
        <v>87753</v>
      </c>
      <c r="V541" s="23"/>
      <c r="W541" s="33">
        <f t="shared" si="87"/>
        <v>30695955</v>
      </c>
      <c r="X541" s="23"/>
      <c r="Y541" s="23">
        <v>0</v>
      </c>
      <c r="Z541" s="23"/>
      <c r="AA541" s="23">
        <v>0</v>
      </c>
      <c r="AB541" s="23"/>
      <c r="AC541" s="23">
        <v>0</v>
      </c>
      <c r="AD541" s="23"/>
      <c r="AE541" s="23"/>
      <c r="AF541" s="23"/>
      <c r="AG541" s="23"/>
      <c r="AH541" s="23"/>
      <c r="AI541" s="23">
        <f>1264526+45028</f>
        <v>1309554</v>
      </c>
      <c r="AJ541" s="23"/>
      <c r="AK541" s="23">
        <v>0</v>
      </c>
      <c r="AL541" s="23"/>
      <c r="AM541" s="33">
        <f t="shared" si="83"/>
        <v>1309554</v>
      </c>
      <c r="AN541" s="23"/>
      <c r="AO541" s="33">
        <f t="shared" si="80"/>
        <v>32005509</v>
      </c>
      <c r="AP541" s="33"/>
    </row>
    <row r="542" spans="1:42">
      <c r="A542" s="11" t="s">
        <v>725</v>
      </c>
      <c r="B542" s="11"/>
      <c r="C542" s="11" t="s">
        <v>32</v>
      </c>
      <c r="D542" s="23"/>
      <c r="E542" s="6">
        <v>12334801</v>
      </c>
      <c r="F542" s="23"/>
      <c r="G542" s="6">
        <v>0</v>
      </c>
      <c r="H542" s="23"/>
      <c r="I542" s="6">
        <v>27954042</v>
      </c>
      <c r="J542" s="23"/>
      <c r="K542" s="6">
        <v>158452</v>
      </c>
      <c r="L542" s="23"/>
      <c r="M542" s="6">
        <f>416740+496718</f>
        <v>913458</v>
      </c>
      <c r="N542" s="23"/>
      <c r="O542" s="6">
        <v>216934</v>
      </c>
      <c r="P542" s="23"/>
      <c r="Q542" s="6">
        <v>2504808</v>
      </c>
      <c r="R542" s="23"/>
      <c r="S542" s="6">
        <v>0</v>
      </c>
      <c r="T542" s="23"/>
      <c r="U542" s="6">
        <v>264847</v>
      </c>
      <c r="V542" s="23"/>
      <c r="W542" s="33">
        <f t="shared" si="87"/>
        <v>44347342</v>
      </c>
      <c r="X542" s="23"/>
      <c r="Y542" s="23">
        <v>29663</v>
      </c>
      <c r="Z542" s="23"/>
      <c r="AA542" s="23">
        <v>0</v>
      </c>
      <c r="AB542" s="23"/>
      <c r="AC542" s="23">
        <f>2400000+61276</f>
        <v>2461276</v>
      </c>
      <c r="AD542" s="23"/>
      <c r="AE542" s="23"/>
      <c r="AF542" s="23"/>
      <c r="AG542" s="23"/>
      <c r="AH542" s="23"/>
      <c r="AI542" s="23">
        <v>3152</v>
      </c>
      <c r="AJ542" s="23"/>
      <c r="AK542" s="23">
        <v>0</v>
      </c>
      <c r="AL542" s="23"/>
      <c r="AM542" s="33">
        <f t="shared" si="83"/>
        <v>2494091</v>
      </c>
      <c r="AN542" s="23"/>
      <c r="AO542" s="33">
        <f t="shared" si="80"/>
        <v>46841433</v>
      </c>
      <c r="AP542" s="33"/>
    </row>
    <row r="543" spans="1:42">
      <c r="A543" s="11" t="s">
        <v>488</v>
      </c>
      <c r="B543" s="11"/>
      <c r="C543" s="11" t="s">
        <v>60</v>
      </c>
      <c r="D543" s="23"/>
      <c r="E543" s="6">
        <v>9644855</v>
      </c>
      <c r="F543" s="23"/>
      <c r="G543" s="6">
        <v>0</v>
      </c>
      <c r="H543" s="23"/>
      <c r="I543" s="6">
        <f>11770551+2591002</f>
        <v>14361553</v>
      </c>
      <c r="J543" s="23"/>
      <c r="K543" s="6">
        <v>3198</v>
      </c>
      <c r="L543" s="23"/>
      <c r="M543" s="6">
        <f>1175747+79024+325226+64912+12224+124733</f>
        <v>1781866</v>
      </c>
      <c r="N543" s="23"/>
      <c r="O543" s="6">
        <v>370145</v>
      </c>
      <c r="P543" s="23"/>
      <c r="Q543" s="6">
        <v>44966</v>
      </c>
      <c r="R543" s="23"/>
      <c r="S543" s="6">
        <v>279567</v>
      </c>
      <c r="T543" s="23"/>
      <c r="U543" s="6">
        <v>103992</v>
      </c>
      <c r="V543" s="23"/>
      <c r="W543" s="33">
        <f t="shared" si="87"/>
        <v>26590142</v>
      </c>
      <c r="X543" s="23"/>
      <c r="Y543" s="23">
        <v>0</v>
      </c>
      <c r="Z543" s="23"/>
      <c r="AA543" s="23">
        <v>0</v>
      </c>
      <c r="AB543" s="23"/>
      <c r="AC543" s="23">
        <v>0</v>
      </c>
      <c r="AD543" s="23"/>
      <c r="AE543" s="23"/>
      <c r="AF543" s="23"/>
      <c r="AG543" s="23"/>
      <c r="AH543" s="23"/>
      <c r="AI543" s="23">
        <v>103359</v>
      </c>
      <c r="AJ543" s="23"/>
      <c r="AK543" s="23">
        <v>0</v>
      </c>
      <c r="AL543" s="23"/>
      <c r="AM543" s="33">
        <f t="shared" si="83"/>
        <v>103359</v>
      </c>
      <c r="AN543" s="23"/>
      <c r="AO543" s="33">
        <f t="shared" si="80"/>
        <v>26693501</v>
      </c>
      <c r="AP543" s="33"/>
    </row>
    <row r="544" spans="1:42">
      <c r="A544" s="11" t="s">
        <v>778</v>
      </c>
      <c r="B544" s="11"/>
      <c r="C544" s="11" t="s">
        <v>48</v>
      </c>
      <c r="D544" s="23"/>
      <c r="E544" s="6">
        <v>12199424</v>
      </c>
      <c r="F544" s="23"/>
      <c r="G544" s="6">
        <v>0</v>
      </c>
      <c r="H544" s="23"/>
      <c r="I544" s="6">
        <f>9861031+1147474</f>
        <v>11008505</v>
      </c>
      <c r="J544" s="23"/>
      <c r="K544" s="6">
        <v>5289</v>
      </c>
      <c r="L544" s="23"/>
      <c r="M544" s="6">
        <f>786407+488563</f>
        <v>1274970</v>
      </c>
      <c r="N544" s="23"/>
      <c r="O544" s="6">
        <v>836751</v>
      </c>
      <c r="P544" s="23"/>
      <c r="Q544" s="6">
        <v>0</v>
      </c>
      <c r="R544" s="23"/>
      <c r="S544" s="6">
        <v>0</v>
      </c>
      <c r="T544" s="23"/>
      <c r="U544" s="6">
        <v>273633</v>
      </c>
      <c r="V544" s="23"/>
      <c r="W544" s="33">
        <f t="shared" si="87"/>
        <v>25598572</v>
      </c>
      <c r="X544" s="23"/>
      <c r="Y544" s="23">
        <v>0</v>
      </c>
      <c r="Z544" s="23"/>
      <c r="AA544" s="23">
        <v>0</v>
      </c>
      <c r="AB544" s="23"/>
      <c r="AC544" s="23">
        <v>375000</v>
      </c>
      <c r="AD544" s="23"/>
      <c r="AE544" s="23"/>
      <c r="AF544" s="23"/>
      <c r="AG544" s="23"/>
      <c r="AH544" s="23"/>
      <c r="AI544" s="23">
        <v>1054</v>
      </c>
      <c r="AJ544" s="23"/>
      <c r="AK544" s="23">
        <v>0</v>
      </c>
      <c r="AL544" s="23"/>
      <c r="AM544" s="33">
        <f t="shared" si="83"/>
        <v>376054</v>
      </c>
      <c r="AN544" s="23"/>
      <c r="AO544" s="33">
        <f t="shared" si="80"/>
        <v>25974626</v>
      </c>
      <c r="AP544" s="33"/>
    </row>
    <row r="545" spans="1:42">
      <c r="A545" s="11" t="s">
        <v>395</v>
      </c>
      <c r="B545" s="11"/>
      <c r="C545" s="11" t="s">
        <v>115</v>
      </c>
      <c r="D545" s="23"/>
      <c r="E545" s="6">
        <v>92962714</v>
      </c>
      <c r="F545" s="23"/>
      <c r="G545" s="6">
        <v>0</v>
      </c>
      <c r="H545" s="23"/>
      <c r="I545" s="6">
        <f>254012697+50241249</f>
        <v>304253946</v>
      </c>
      <c r="J545" s="23"/>
      <c r="K545" s="6">
        <v>343334</v>
      </c>
      <c r="L545" s="23"/>
      <c r="M545" s="6">
        <f>2139162+380291+753334+58356</f>
        <v>3331143</v>
      </c>
      <c r="N545" s="23"/>
      <c r="O545" s="6">
        <v>487122</v>
      </c>
      <c r="P545" s="23"/>
      <c r="Q545" s="6">
        <v>0</v>
      </c>
      <c r="R545" s="23"/>
      <c r="S545" s="6">
        <v>0</v>
      </c>
      <c r="T545" s="23"/>
      <c r="U545" s="6">
        <f>10200+8262528</f>
        <v>8272728</v>
      </c>
      <c r="V545" s="23"/>
      <c r="W545" s="33">
        <f t="shared" si="87"/>
        <v>409650987</v>
      </c>
      <c r="X545" s="23"/>
      <c r="Y545" s="23">
        <v>1282460</v>
      </c>
      <c r="Z545" s="23"/>
      <c r="AA545" s="23">
        <v>0</v>
      </c>
      <c r="AB545" s="23"/>
      <c r="AC545" s="23">
        <f>52555000+7508433</f>
        <v>60063433</v>
      </c>
      <c r="AD545" s="23"/>
      <c r="AE545" s="23"/>
      <c r="AF545" s="23"/>
      <c r="AG545" s="23"/>
      <c r="AH545" s="23"/>
      <c r="AI545" s="23">
        <v>0</v>
      </c>
      <c r="AJ545" s="23"/>
      <c r="AK545" s="23">
        <v>0</v>
      </c>
      <c r="AL545" s="23"/>
      <c r="AM545" s="33">
        <f t="shared" si="83"/>
        <v>61345893</v>
      </c>
      <c r="AN545" s="23"/>
      <c r="AO545" s="33">
        <f t="shared" si="80"/>
        <v>470996880</v>
      </c>
      <c r="AP545" s="33"/>
    </row>
    <row r="546" spans="1:42" hidden="1">
      <c r="A546" s="11" t="s">
        <v>894</v>
      </c>
      <c r="B546" s="11"/>
      <c r="C546" s="11" t="s">
        <v>115</v>
      </c>
      <c r="D546" s="23"/>
      <c r="E546" s="6"/>
      <c r="F546" s="23"/>
      <c r="G546" s="6"/>
      <c r="H546" s="23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23"/>
      <c r="W546" s="33">
        <f t="shared" si="87"/>
        <v>0</v>
      </c>
      <c r="X546" s="23"/>
      <c r="Y546" s="23"/>
      <c r="Z546" s="23"/>
      <c r="AA546" s="23">
        <v>0</v>
      </c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33">
        <f t="shared" si="83"/>
        <v>0</v>
      </c>
      <c r="AN546" s="23"/>
      <c r="AO546" s="33">
        <f t="shared" si="80"/>
        <v>0</v>
      </c>
      <c r="AP546" s="33"/>
    </row>
    <row r="547" spans="1:42">
      <c r="A547" s="11" t="s">
        <v>726</v>
      </c>
      <c r="B547" s="11"/>
      <c r="C547" s="11" t="s">
        <v>39</v>
      </c>
      <c r="D547" s="23"/>
      <c r="E547" s="6">
        <v>1718996</v>
      </c>
      <c r="F547" s="23"/>
      <c r="G547" s="6">
        <v>0</v>
      </c>
      <c r="H547" s="23"/>
      <c r="I547" s="6">
        <v>13346512</v>
      </c>
      <c r="J547" s="23"/>
      <c r="K547" s="6">
        <v>33520</v>
      </c>
      <c r="L547" s="23"/>
      <c r="M547" s="6">
        <f>740505+89075</f>
        <v>829580</v>
      </c>
      <c r="N547" s="23"/>
      <c r="O547" s="6">
        <v>180445</v>
      </c>
      <c r="P547" s="23"/>
      <c r="Q547" s="6">
        <v>0</v>
      </c>
      <c r="R547" s="23"/>
      <c r="S547" s="6">
        <v>85197</v>
      </c>
      <c r="T547" s="23"/>
      <c r="U547" s="6">
        <v>0</v>
      </c>
      <c r="V547" s="23"/>
      <c r="W547" s="33">
        <f t="shared" si="87"/>
        <v>16194250</v>
      </c>
      <c r="X547" s="23"/>
      <c r="Y547" s="23">
        <v>10000</v>
      </c>
      <c r="Z547" s="23"/>
      <c r="AA547" s="23">
        <v>0</v>
      </c>
      <c r="AB547" s="23"/>
      <c r="AC547" s="23">
        <v>0</v>
      </c>
      <c r="AD547" s="23"/>
      <c r="AE547" s="23"/>
      <c r="AF547" s="23"/>
      <c r="AG547" s="23"/>
      <c r="AH547" s="23"/>
      <c r="AI547" s="23">
        <f>2128+50000</f>
        <v>52128</v>
      </c>
      <c r="AJ547" s="23"/>
      <c r="AK547" s="23">
        <v>0</v>
      </c>
      <c r="AL547" s="23"/>
      <c r="AM547" s="33">
        <f t="shared" si="83"/>
        <v>62128</v>
      </c>
      <c r="AN547" s="23"/>
      <c r="AO547" s="33">
        <f t="shared" si="80"/>
        <v>16256378</v>
      </c>
      <c r="AP547" s="33"/>
    </row>
    <row r="548" spans="1:42">
      <c r="A548" s="11" t="s">
        <v>229</v>
      </c>
      <c r="B548" s="11"/>
      <c r="C548" s="11" t="s">
        <v>228</v>
      </c>
      <c r="D548" s="23"/>
      <c r="E548" s="6">
        <v>1617566</v>
      </c>
      <c r="F548" s="23"/>
      <c r="G548" s="6">
        <v>1692420</v>
      </c>
      <c r="H548" s="23"/>
      <c r="I548" s="6">
        <f>5572847+869176</f>
        <v>6442023</v>
      </c>
      <c r="J548" s="23"/>
      <c r="K548" s="6">
        <v>2303</v>
      </c>
      <c r="L548" s="23"/>
      <c r="M548" s="6">
        <f>522312+245963+28474+4060</f>
        <v>800809</v>
      </c>
      <c r="N548" s="23"/>
      <c r="O548" s="6">
        <v>207244</v>
      </c>
      <c r="P548" s="23"/>
      <c r="Q548" s="6">
        <v>0</v>
      </c>
      <c r="R548" s="23"/>
      <c r="S548" s="6">
        <v>39750</v>
      </c>
      <c r="T548" s="23"/>
      <c r="U548" s="6">
        <v>2887</v>
      </c>
      <c r="V548" s="23"/>
      <c r="W548" s="33">
        <f t="shared" si="87"/>
        <v>10805002</v>
      </c>
      <c r="X548" s="23"/>
      <c r="Y548" s="23">
        <v>219778</v>
      </c>
      <c r="Z548" s="23"/>
      <c r="AA548" s="23">
        <v>0</v>
      </c>
      <c r="AB548" s="23"/>
      <c r="AC548" s="23">
        <v>249000</v>
      </c>
      <c r="AD548" s="23"/>
      <c r="AE548" s="23"/>
      <c r="AF548" s="23"/>
      <c r="AG548" s="23"/>
      <c r="AH548" s="23"/>
      <c r="AI548" s="23">
        <v>0</v>
      </c>
      <c r="AJ548" s="23"/>
      <c r="AK548" s="23">
        <v>0</v>
      </c>
      <c r="AL548" s="23"/>
      <c r="AM548" s="33">
        <f t="shared" si="83"/>
        <v>468778</v>
      </c>
      <c r="AN548" s="23"/>
      <c r="AO548" s="33">
        <f t="shared" si="80"/>
        <v>11273780</v>
      </c>
      <c r="AP548" s="33"/>
    </row>
    <row r="549" spans="1:42">
      <c r="A549" s="11" t="s">
        <v>466</v>
      </c>
      <c r="B549" s="11"/>
      <c r="C549" s="11" t="s">
        <v>57</v>
      </c>
      <c r="D549" s="23"/>
      <c r="E549" s="6">
        <v>3443427</v>
      </c>
      <c r="F549" s="23"/>
      <c r="G549" s="6">
        <v>0</v>
      </c>
      <c r="H549" s="23"/>
      <c r="I549" s="6">
        <v>5259159</v>
      </c>
      <c r="J549" s="23"/>
      <c r="K549" s="6">
        <v>20326</v>
      </c>
      <c r="L549" s="23"/>
      <c r="M549" s="6">
        <f>297572+9125+194119</f>
        <v>500816</v>
      </c>
      <c r="N549" s="23"/>
      <c r="O549" s="6">
        <v>160381</v>
      </c>
      <c r="P549" s="23"/>
      <c r="Q549" s="6">
        <v>0</v>
      </c>
      <c r="R549" s="23"/>
      <c r="S549" s="6">
        <v>6529</v>
      </c>
      <c r="T549" s="23"/>
      <c r="U549" s="6">
        <v>29991</v>
      </c>
      <c r="V549" s="23"/>
      <c r="W549" s="33">
        <f t="shared" si="87"/>
        <v>9420629</v>
      </c>
      <c r="X549" s="23"/>
      <c r="Y549" s="23">
        <v>24700</v>
      </c>
      <c r="Z549" s="23"/>
      <c r="AA549" s="23">
        <v>0</v>
      </c>
      <c r="AB549" s="23"/>
      <c r="AC549" s="23">
        <v>0</v>
      </c>
      <c r="AD549" s="23"/>
      <c r="AE549" s="23"/>
      <c r="AF549" s="23"/>
      <c r="AG549" s="23"/>
      <c r="AH549" s="23"/>
      <c r="AI549" s="23">
        <v>2544</v>
      </c>
      <c r="AJ549" s="23"/>
      <c r="AK549" s="23">
        <v>0</v>
      </c>
      <c r="AL549" s="23"/>
      <c r="AM549" s="33">
        <f t="shared" si="83"/>
        <v>27244</v>
      </c>
      <c r="AN549" s="23"/>
      <c r="AO549" s="33">
        <f t="shared" si="80"/>
        <v>9447873</v>
      </c>
      <c r="AP549" s="33"/>
    </row>
    <row r="550" spans="1:42">
      <c r="A550" s="11" t="s">
        <v>212</v>
      </c>
      <c r="B550" s="11"/>
      <c r="C550" s="11" t="s">
        <v>13</v>
      </c>
      <c r="D550" s="23"/>
      <c r="E550" s="6">
        <v>794802</v>
      </c>
      <c r="F550" s="23"/>
      <c r="G550" s="6">
        <v>0</v>
      </c>
      <c r="H550" s="23"/>
      <c r="I550" s="6">
        <v>9601226</v>
      </c>
      <c r="J550" s="23"/>
      <c r="K550" s="6">
        <v>2453</v>
      </c>
      <c r="L550" s="23"/>
      <c r="M550" s="6">
        <f>757756+263+71957</f>
        <v>829976</v>
      </c>
      <c r="N550" s="23"/>
      <c r="O550" s="6">
        <v>60856</v>
      </c>
      <c r="P550" s="23"/>
      <c r="Q550" s="6">
        <v>0</v>
      </c>
      <c r="R550" s="23"/>
      <c r="S550" s="6">
        <v>18861</v>
      </c>
      <c r="T550" s="23"/>
      <c r="U550" s="6">
        <v>59429</v>
      </c>
      <c r="V550" s="23"/>
      <c r="W550" s="33">
        <f t="shared" si="87"/>
        <v>11367603</v>
      </c>
      <c r="X550" s="23"/>
      <c r="Y550" s="23">
        <v>10494</v>
      </c>
      <c r="Z550" s="23"/>
      <c r="AA550" s="23">
        <v>0</v>
      </c>
      <c r="AB550" s="23"/>
      <c r="AC550" s="23">
        <v>0</v>
      </c>
      <c r="AD550" s="23"/>
      <c r="AE550" s="23"/>
      <c r="AF550" s="23"/>
      <c r="AG550" s="23"/>
      <c r="AH550" s="23"/>
      <c r="AI550" s="23">
        <v>11634</v>
      </c>
      <c r="AJ550" s="23"/>
      <c r="AK550" s="23">
        <v>0</v>
      </c>
      <c r="AL550" s="23"/>
      <c r="AM550" s="33">
        <f t="shared" si="83"/>
        <v>22128</v>
      </c>
      <c r="AN550" s="23"/>
      <c r="AO550" s="33">
        <f t="shared" si="80"/>
        <v>11389731</v>
      </c>
      <c r="AP550" s="33"/>
    </row>
    <row r="551" spans="1:42">
      <c r="A551" s="11" t="s">
        <v>446</v>
      </c>
      <c r="B551" s="11"/>
      <c r="C551" s="11" t="s">
        <v>51</v>
      </c>
      <c r="D551" s="23"/>
      <c r="E551" s="6">
        <v>10310425</v>
      </c>
      <c r="F551" s="23"/>
      <c r="G551" s="6">
        <v>0</v>
      </c>
      <c r="H551" s="23"/>
      <c r="I551" s="6">
        <v>18682687</v>
      </c>
      <c r="J551" s="23"/>
      <c r="K551" s="6">
        <v>85706</v>
      </c>
      <c r="L551" s="23"/>
      <c r="M551" s="6">
        <f>1362930+524057</f>
        <v>1886987</v>
      </c>
      <c r="N551" s="23"/>
      <c r="O551" s="6">
        <v>379817</v>
      </c>
      <c r="P551" s="23"/>
      <c r="Q551" s="6">
        <v>520664</v>
      </c>
      <c r="R551" s="23"/>
      <c r="S551" s="6">
        <v>24731</v>
      </c>
      <c r="T551" s="23"/>
      <c r="U551" s="6">
        <v>344400</v>
      </c>
      <c r="V551" s="23"/>
      <c r="W551" s="33">
        <f t="shared" si="87"/>
        <v>32235417</v>
      </c>
      <c r="X551" s="23"/>
      <c r="Y551" s="23">
        <v>0</v>
      </c>
      <c r="Z551" s="23"/>
      <c r="AA551" s="23">
        <v>0</v>
      </c>
      <c r="AB551" s="23"/>
      <c r="AC551" s="23">
        <v>0</v>
      </c>
      <c r="AD551" s="23"/>
      <c r="AE551" s="23"/>
      <c r="AF551" s="23"/>
      <c r="AG551" s="23"/>
      <c r="AH551" s="23"/>
      <c r="AI551" s="23">
        <v>0</v>
      </c>
      <c r="AJ551" s="23"/>
      <c r="AK551" s="23">
        <v>0</v>
      </c>
      <c r="AL551" s="23"/>
      <c r="AM551" s="33">
        <f t="shared" si="83"/>
        <v>0</v>
      </c>
      <c r="AN551" s="23"/>
      <c r="AO551" s="33">
        <f t="shared" si="80"/>
        <v>32235417</v>
      </c>
      <c r="AP551" s="33"/>
    </row>
    <row r="552" spans="1:42" hidden="1">
      <c r="A552" s="11" t="s">
        <v>690</v>
      </c>
      <c r="B552" s="11"/>
      <c r="C552" s="11" t="s">
        <v>21</v>
      </c>
      <c r="D552" s="23"/>
      <c r="E552" s="6"/>
      <c r="F552" s="23"/>
      <c r="G552" s="6"/>
      <c r="H552" s="23"/>
      <c r="I552" s="6"/>
      <c r="J552" s="23"/>
      <c r="K552" s="6"/>
      <c r="L552" s="23"/>
      <c r="M552" s="6"/>
      <c r="N552" s="23"/>
      <c r="O552" s="6"/>
      <c r="P552" s="23"/>
      <c r="Q552" s="6"/>
      <c r="R552" s="23"/>
      <c r="S552" s="6"/>
      <c r="T552" s="23"/>
      <c r="U552" s="6"/>
      <c r="V552" s="23"/>
      <c r="W552" s="33">
        <f t="shared" si="87"/>
        <v>0</v>
      </c>
      <c r="X552" s="23"/>
      <c r="Y552" s="23"/>
      <c r="Z552" s="23"/>
      <c r="AA552" s="23">
        <v>0</v>
      </c>
      <c r="AB552" s="23"/>
      <c r="AC552" s="23"/>
      <c r="AD552" s="23"/>
      <c r="AE552" s="23"/>
      <c r="AF552" s="23"/>
      <c r="AG552" s="23"/>
      <c r="AH552" s="23"/>
      <c r="AI552" s="23"/>
      <c r="AJ552" s="23"/>
      <c r="AK552" s="23">
        <v>0</v>
      </c>
      <c r="AL552" s="23"/>
      <c r="AM552" s="33">
        <f t="shared" si="83"/>
        <v>0</v>
      </c>
      <c r="AN552" s="23"/>
      <c r="AO552" s="33">
        <f t="shared" ref="AO552:AO618" si="88">W552+AM552</f>
        <v>0</v>
      </c>
      <c r="AP552" s="33"/>
    </row>
    <row r="553" spans="1:42" hidden="1">
      <c r="A553" s="10" t="s">
        <v>835</v>
      </c>
      <c r="B553" s="11"/>
      <c r="C553" s="11" t="s">
        <v>71</v>
      </c>
      <c r="D553" s="23"/>
      <c r="E553" s="6"/>
      <c r="F553" s="23"/>
      <c r="G553" s="6"/>
      <c r="H553" s="23"/>
      <c r="I553" s="6"/>
      <c r="J553" s="23"/>
      <c r="K553" s="6"/>
      <c r="L553" s="23"/>
      <c r="M553" s="6"/>
      <c r="N553" s="23"/>
      <c r="O553" s="6"/>
      <c r="P553" s="23"/>
      <c r="Q553" s="6"/>
      <c r="R553" s="23"/>
      <c r="S553" s="6"/>
      <c r="T553" s="23"/>
      <c r="U553" s="6"/>
      <c r="V553" s="23"/>
      <c r="W553" s="33">
        <f t="shared" si="87"/>
        <v>0</v>
      </c>
      <c r="X553" s="23"/>
      <c r="Y553" s="23"/>
      <c r="Z553" s="23"/>
      <c r="AA553" s="23">
        <v>0</v>
      </c>
      <c r="AB553" s="23"/>
      <c r="AC553" s="23"/>
      <c r="AD553" s="23"/>
      <c r="AE553" s="23"/>
      <c r="AF553" s="23"/>
      <c r="AG553" s="23"/>
      <c r="AH553" s="23"/>
      <c r="AI553" s="23"/>
      <c r="AJ553" s="23"/>
      <c r="AK553" s="23">
        <v>0</v>
      </c>
      <c r="AL553" s="23"/>
      <c r="AM553" s="33">
        <f t="shared" si="83"/>
        <v>0</v>
      </c>
      <c r="AN553" s="23"/>
      <c r="AO553" s="33">
        <f t="shared" si="88"/>
        <v>0</v>
      </c>
      <c r="AP553" s="33"/>
    </row>
    <row r="554" spans="1:42">
      <c r="A554" s="11" t="s">
        <v>436</v>
      </c>
      <c r="B554" s="11"/>
      <c r="C554" s="11" t="s">
        <v>50</v>
      </c>
      <c r="D554" s="23"/>
      <c r="E554" s="6">
        <v>10404685</v>
      </c>
      <c r="F554" s="23"/>
      <c r="G554" s="6">
        <v>0</v>
      </c>
      <c r="H554" s="23"/>
      <c r="I554" s="6">
        <v>28279307</v>
      </c>
      <c r="J554" s="23"/>
      <c r="K554" s="6">
        <v>14269</v>
      </c>
      <c r="L554" s="23"/>
      <c r="M554" s="6">
        <f>362438+138700</f>
        <v>501138</v>
      </c>
      <c r="N554" s="23"/>
      <c r="O554" s="6">
        <v>175554</v>
      </c>
      <c r="P554" s="23"/>
      <c r="Q554" s="6">
        <v>32677</v>
      </c>
      <c r="R554" s="23"/>
      <c r="S554" s="6">
        <v>0</v>
      </c>
      <c r="T554" s="23"/>
      <c r="U554" s="6">
        <v>916691</v>
      </c>
      <c r="V554" s="23"/>
      <c r="W554" s="33">
        <f t="shared" si="87"/>
        <v>40324321</v>
      </c>
      <c r="X554" s="23"/>
      <c r="Y554" s="23">
        <v>280150</v>
      </c>
      <c r="Z554" s="23"/>
      <c r="AA554" s="23">
        <v>0</v>
      </c>
      <c r="AB554" s="23"/>
      <c r="AC554" s="23">
        <v>0</v>
      </c>
      <c r="AD554" s="23"/>
      <c r="AE554" s="23"/>
      <c r="AF554" s="23"/>
      <c r="AG554" s="23"/>
      <c r="AH554" s="23"/>
      <c r="AI554" s="23">
        <v>85187</v>
      </c>
      <c r="AJ554" s="23"/>
      <c r="AK554" s="23">
        <v>0</v>
      </c>
      <c r="AL554" s="23"/>
      <c r="AM554" s="33">
        <f t="shared" si="83"/>
        <v>365337</v>
      </c>
      <c r="AN554" s="23"/>
      <c r="AO554" s="33">
        <f t="shared" si="88"/>
        <v>40689658</v>
      </c>
      <c r="AP554" s="33"/>
    </row>
    <row r="555" spans="1:42">
      <c r="A555" s="11" t="s">
        <v>426</v>
      </c>
      <c r="B555" s="11"/>
      <c r="C555" s="11" t="s">
        <v>48</v>
      </c>
      <c r="D555" s="23"/>
      <c r="E555" s="6">
        <v>26106454</v>
      </c>
      <c r="F555" s="23"/>
      <c r="G555" s="6">
        <v>0</v>
      </c>
      <c r="H555" s="23"/>
      <c r="I555" s="6">
        <v>19695065</v>
      </c>
      <c r="J555" s="23"/>
      <c r="K555" s="6">
        <v>79563</v>
      </c>
      <c r="L555" s="23"/>
      <c r="M555" s="6">
        <f>1039301+1044290</f>
        <v>2083591</v>
      </c>
      <c r="N555" s="23"/>
      <c r="O555" s="6">
        <v>899867</v>
      </c>
      <c r="P555" s="23"/>
      <c r="Q555" s="6">
        <v>0</v>
      </c>
      <c r="R555" s="23"/>
      <c r="S555" s="6">
        <v>0</v>
      </c>
      <c r="T555" s="23"/>
      <c r="U555" s="6">
        <v>436165</v>
      </c>
      <c r="V555" s="23"/>
      <c r="W555" s="33">
        <f t="shared" si="87"/>
        <v>49300705</v>
      </c>
      <c r="X555" s="23"/>
      <c r="Y555" s="23">
        <v>150000</v>
      </c>
      <c r="Z555" s="23"/>
      <c r="AA555" s="23">
        <v>0</v>
      </c>
      <c r="AB555" s="23"/>
      <c r="AC555" s="23">
        <v>0</v>
      </c>
      <c r="AD555" s="23"/>
      <c r="AE555" s="23"/>
      <c r="AF555" s="23"/>
      <c r="AG555" s="23"/>
      <c r="AH555" s="23"/>
      <c r="AI555" s="23">
        <v>5683</v>
      </c>
      <c r="AJ555" s="23"/>
      <c r="AK555" s="23">
        <v>0</v>
      </c>
      <c r="AL555" s="23"/>
      <c r="AM555" s="33">
        <f t="shared" si="83"/>
        <v>155683</v>
      </c>
      <c r="AN555" s="23"/>
      <c r="AO555" s="33">
        <f t="shared" si="88"/>
        <v>49456388</v>
      </c>
      <c r="AP555" s="33"/>
    </row>
    <row r="556" spans="1:42">
      <c r="A556" s="11" t="s">
        <v>538</v>
      </c>
      <c r="B556" s="11"/>
      <c r="C556" s="11" t="s">
        <v>65</v>
      </c>
      <c r="D556" s="23"/>
      <c r="E556" s="6">
        <v>5591821</v>
      </c>
      <c r="F556" s="23"/>
      <c r="G556" s="6">
        <v>0</v>
      </c>
      <c r="H556" s="23"/>
      <c r="I556" s="6">
        <f>6555180+1170462</f>
        <v>7725642</v>
      </c>
      <c r="J556" s="23"/>
      <c r="K556" s="6">
        <v>731</v>
      </c>
      <c r="L556" s="23"/>
      <c r="M556" s="6">
        <f>401960+244923+58277+578</f>
        <v>705738</v>
      </c>
      <c r="N556" s="23"/>
      <c r="O556" s="6">
        <v>127456</v>
      </c>
      <c r="P556" s="23"/>
      <c r="Q556" s="6">
        <v>0</v>
      </c>
      <c r="R556" s="23"/>
      <c r="S556" s="6">
        <v>60149</v>
      </c>
      <c r="T556" s="23"/>
      <c r="U556" s="6">
        <v>13648</v>
      </c>
      <c r="V556" s="23"/>
      <c r="W556" s="33">
        <f t="shared" si="87"/>
        <v>14225185</v>
      </c>
      <c r="X556" s="23"/>
      <c r="Y556" s="23">
        <v>45141</v>
      </c>
      <c r="Z556" s="23"/>
      <c r="AA556" s="23">
        <v>0</v>
      </c>
      <c r="AB556" s="23"/>
      <c r="AC556" s="23">
        <v>561314</v>
      </c>
      <c r="AD556" s="23"/>
      <c r="AE556" s="23"/>
      <c r="AF556" s="23"/>
      <c r="AG556" s="23"/>
      <c r="AH556" s="23"/>
      <c r="AI556" s="23">
        <v>9382</v>
      </c>
      <c r="AJ556" s="23"/>
      <c r="AK556" s="23">
        <v>0</v>
      </c>
      <c r="AL556" s="23"/>
      <c r="AM556" s="33">
        <f t="shared" si="83"/>
        <v>615837</v>
      </c>
      <c r="AN556" s="23"/>
      <c r="AO556" s="33">
        <f t="shared" si="88"/>
        <v>14841022</v>
      </c>
      <c r="AP556" s="33"/>
    </row>
    <row r="557" spans="1:42">
      <c r="A557" s="11" t="s">
        <v>505</v>
      </c>
      <c r="B557" s="11"/>
      <c r="C557" s="11" t="s">
        <v>62</v>
      </c>
      <c r="D557" s="23"/>
      <c r="E557" s="6">
        <v>5201547</v>
      </c>
      <c r="F557" s="23"/>
      <c r="G557" s="6">
        <v>0</v>
      </c>
      <c r="H557" s="23"/>
      <c r="I557" s="6">
        <v>7817344</v>
      </c>
      <c r="J557" s="23"/>
      <c r="K557" s="6">
        <v>10726</v>
      </c>
      <c r="L557" s="23"/>
      <c r="M557" s="6">
        <f>822338+19385+346549</f>
        <v>1188272</v>
      </c>
      <c r="N557" s="23"/>
      <c r="O557" s="6">
        <v>374649</v>
      </c>
      <c r="P557" s="23"/>
      <c r="Q557" s="6">
        <v>0</v>
      </c>
      <c r="R557" s="23"/>
      <c r="S557" s="6">
        <v>175538</v>
      </c>
      <c r="T557" s="23"/>
      <c r="U557" s="6">
        <v>18220</v>
      </c>
      <c r="V557" s="23"/>
      <c r="W557" s="33">
        <f t="shared" si="87"/>
        <v>14786296</v>
      </c>
      <c r="X557" s="23"/>
      <c r="Y557" s="23">
        <v>91054</v>
      </c>
      <c r="Z557" s="23"/>
      <c r="AA557" s="23">
        <v>0</v>
      </c>
      <c r="AB557" s="23"/>
      <c r="AC557" s="23">
        <f>11954118+751421</f>
        <v>12705539</v>
      </c>
      <c r="AD557" s="23"/>
      <c r="AE557" s="23"/>
      <c r="AF557" s="23"/>
      <c r="AG557" s="23"/>
      <c r="AH557" s="23"/>
      <c r="AI557" s="23">
        <v>0</v>
      </c>
      <c r="AJ557" s="23"/>
      <c r="AK557" s="23">
        <v>0</v>
      </c>
      <c r="AL557" s="23"/>
      <c r="AM557" s="33">
        <f t="shared" si="83"/>
        <v>12796593</v>
      </c>
      <c r="AN557" s="23"/>
      <c r="AO557" s="33">
        <f t="shared" si="88"/>
        <v>27582889</v>
      </c>
      <c r="AP557" s="33"/>
    </row>
    <row r="558" spans="1:42" hidden="1">
      <c r="A558" s="11" t="s">
        <v>695</v>
      </c>
      <c r="B558" s="11"/>
      <c r="C558" s="11" t="s">
        <v>57</v>
      </c>
      <c r="D558" s="23"/>
      <c r="E558" s="6"/>
      <c r="F558" s="23"/>
      <c r="G558" s="6"/>
      <c r="H558" s="23"/>
      <c r="I558" s="6"/>
      <c r="J558" s="23"/>
      <c r="K558" s="6"/>
      <c r="L558" s="23"/>
      <c r="M558" s="6"/>
      <c r="N558" s="23"/>
      <c r="O558" s="6"/>
      <c r="P558" s="23"/>
      <c r="Q558" s="6"/>
      <c r="R558" s="23"/>
      <c r="S558" s="6"/>
      <c r="T558" s="23"/>
      <c r="U558" s="6"/>
      <c r="V558" s="23"/>
      <c r="W558" s="33">
        <f t="shared" si="87"/>
        <v>0</v>
      </c>
      <c r="X558" s="23"/>
      <c r="Y558" s="23"/>
      <c r="Z558" s="23"/>
      <c r="AA558" s="23">
        <v>0</v>
      </c>
      <c r="AB558" s="23"/>
      <c r="AC558" s="23"/>
      <c r="AD558" s="23"/>
      <c r="AE558" s="23"/>
      <c r="AF558" s="23"/>
      <c r="AG558" s="23"/>
      <c r="AH558" s="23"/>
      <c r="AI558" s="23"/>
      <c r="AJ558" s="23"/>
      <c r="AK558" s="23">
        <v>0</v>
      </c>
      <c r="AL558" s="23"/>
      <c r="AM558" s="33">
        <f t="shared" si="83"/>
        <v>0</v>
      </c>
      <c r="AN558" s="23"/>
      <c r="AO558" s="33">
        <f t="shared" si="88"/>
        <v>0</v>
      </c>
      <c r="AP558" s="33"/>
    </row>
    <row r="559" spans="1:42">
      <c r="A559" s="11" t="s">
        <v>516</v>
      </c>
      <c r="B559" s="11"/>
      <c r="C559" s="11" t="s">
        <v>63</v>
      </c>
      <c r="D559" s="23"/>
      <c r="E559" s="6">
        <v>27128145</v>
      </c>
      <c r="F559" s="23"/>
      <c r="G559" s="6">
        <v>0</v>
      </c>
      <c r="H559" s="23"/>
      <c r="I559" s="6">
        <v>16632397</v>
      </c>
      <c r="J559" s="23"/>
      <c r="K559" s="6">
        <v>39057</v>
      </c>
      <c r="L559" s="23"/>
      <c r="M559" s="6">
        <f>1008564+846636+51318</f>
        <v>1906518</v>
      </c>
      <c r="N559" s="23"/>
      <c r="O559" s="6">
        <v>375584</v>
      </c>
      <c r="P559" s="23"/>
      <c r="Q559" s="6">
        <v>96607</v>
      </c>
      <c r="R559" s="23"/>
      <c r="S559" s="6">
        <v>25424</v>
      </c>
      <c r="T559" s="23"/>
      <c r="U559" s="6">
        <v>115791</v>
      </c>
      <c r="V559" s="23"/>
      <c r="W559" s="33">
        <f t="shared" si="87"/>
        <v>46319523</v>
      </c>
      <c r="X559" s="23"/>
      <c r="Y559" s="23">
        <v>0</v>
      </c>
      <c r="Z559" s="23"/>
      <c r="AA559" s="23">
        <v>0</v>
      </c>
      <c r="AB559" s="23"/>
      <c r="AC559" s="23">
        <v>0</v>
      </c>
      <c r="AD559" s="23"/>
      <c r="AE559" s="23"/>
      <c r="AF559" s="23"/>
      <c r="AG559" s="23"/>
      <c r="AH559" s="23"/>
      <c r="AI559" s="23">
        <v>0</v>
      </c>
      <c r="AJ559" s="23"/>
      <c r="AK559" s="23">
        <v>0</v>
      </c>
      <c r="AL559" s="23"/>
      <c r="AM559" s="33">
        <f t="shared" si="83"/>
        <v>0</v>
      </c>
      <c r="AN559" s="23"/>
      <c r="AO559" s="33">
        <f t="shared" si="88"/>
        <v>46319523</v>
      </c>
      <c r="AP559" s="33"/>
    </row>
    <row r="560" spans="1:42" hidden="1">
      <c r="A560" s="10" t="s">
        <v>836</v>
      </c>
      <c r="B560" s="11"/>
      <c r="C560" s="11" t="s">
        <v>15</v>
      </c>
      <c r="D560" s="23"/>
      <c r="E560" s="6"/>
      <c r="F560" s="23"/>
      <c r="G560" s="6"/>
      <c r="H560" s="23"/>
      <c r="I560" s="6"/>
      <c r="J560" s="23"/>
      <c r="K560" s="6"/>
      <c r="L560" s="23"/>
      <c r="M560" s="6"/>
      <c r="N560" s="23"/>
      <c r="O560" s="6"/>
      <c r="P560" s="23"/>
      <c r="Q560" s="6"/>
      <c r="R560" s="23"/>
      <c r="S560" s="6"/>
      <c r="T560" s="23"/>
      <c r="U560" s="6"/>
      <c r="V560" s="23"/>
      <c r="W560" s="33">
        <f t="shared" si="87"/>
        <v>0</v>
      </c>
      <c r="X560" s="23"/>
      <c r="Y560" s="23"/>
      <c r="Z560" s="23"/>
      <c r="AA560" s="23">
        <v>0</v>
      </c>
      <c r="AB560" s="23"/>
      <c r="AC560" s="23"/>
      <c r="AD560" s="23"/>
      <c r="AE560" s="23"/>
      <c r="AF560" s="23"/>
      <c r="AG560" s="23"/>
      <c r="AH560" s="23"/>
      <c r="AI560" s="23"/>
      <c r="AJ560" s="23"/>
      <c r="AK560" s="23">
        <v>0</v>
      </c>
      <c r="AL560" s="23"/>
      <c r="AM560" s="33">
        <f t="shared" si="83"/>
        <v>0</v>
      </c>
      <c r="AN560" s="23"/>
      <c r="AO560" s="33">
        <f t="shared" si="88"/>
        <v>0</v>
      </c>
      <c r="AP560" s="33"/>
    </row>
    <row r="561" spans="1:42">
      <c r="A561" s="11" t="s">
        <v>476</v>
      </c>
      <c r="B561" s="11"/>
      <c r="C561" s="11" t="s">
        <v>58</v>
      </c>
      <c r="D561" s="23"/>
      <c r="E561" s="6">
        <v>3027554</v>
      </c>
      <c r="F561" s="23"/>
      <c r="G561" s="6">
        <v>1133646</v>
      </c>
      <c r="H561" s="23"/>
      <c r="I561" s="6">
        <v>12688616</v>
      </c>
      <c r="J561" s="23"/>
      <c r="K561" s="6">
        <v>142590</v>
      </c>
      <c r="L561" s="23"/>
      <c r="M561" s="6">
        <f>3172685+13819+389911</f>
        <v>3576415</v>
      </c>
      <c r="N561" s="23"/>
      <c r="O561" s="6">
        <v>110559</v>
      </c>
      <c r="P561" s="23"/>
      <c r="Q561" s="6">
        <v>0</v>
      </c>
      <c r="R561" s="23"/>
      <c r="S561" s="6">
        <v>14185</v>
      </c>
      <c r="T561" s="23"/>
      <c r="U561" s="6">
        <v>76550</v>
      </c>
      <c r="V561" s="23"/>
      <c r="W561" s="33">
        <f t="shared" ref="W561:W629" si="89">SUM(E561:U561)</f>
        <v>20770115</v>
      </c>
      <c r="X561" s="23"/>
      <c r="Y561" s="23">
        <v>107349</v>
      </c>
      <c r="Z561" s="23"/>
      <c r="AA561" s="23">
        <v>0</v>
      </c>
      <c r="AB561" s="23"/>
      <c r="AC561" s="23">
        <v>0</v>
      </c>
      <c r="AD561" s="23"/>
      <c r="AE561" s="23"/>
      <c r="AF561" s="23"/>
      <c r="AG561" s="23"/>
      <c r="AH561" s="23"/>
      <c r="AI561" s="23">
        <v>0</v>
      </c>
      <c r="AJ561" s="23"/>
      <c r="AK561" s="23">
        <v>0</v>
      </c>
      <c r="AL561" s="23"/>
      <c r="AM561" s="33">
        <f t="shared" ref="AM561:AM573" si="90">AI561+AC561+Y561</f>
        <v>107349</v>
      </c>
      <c r="AN561" s="23"/>
      <c r="AO561" s="33">
        <f t="shared" si="88"/>
        <v>20877464</v>
      </c>
      <c r="AP561" s="33"/>
    </row>
    <row r="562" spans="1:42">
      <c r="A562" s="11" t="s">
        <v>251</v>
      </c>
      <c r="B562" s="11"/>
      <c r="C562" s="11" t="s">
        <v>112</v>
      </c>
      <c r="D562" s="23"/>
      <c r="E562" s="6">
        <v>2621695</v>
      </c>
      <c r="F562" s="23"/>
      <c r="G562" s="6">
        <v>780367</v>
      </c>
      <c r="H562" s="23"/>
      <c r="I562" s="6">
        <f>6797+7004018+1233912</f>
        <v>8244727</v>
      </c>
      <c r="J562" s="23"/>
      <c r="K562" s="6">
        <v>179039</v>
      </c>
      <c r="L562" s="23"/>
      <c r="M562" s="6">
        <f>860907+20364+275767+24877+15992+2232</f>
        <v>1200139</v>
      </c>
      <c r="N562" s="23"/>
      <c r="O562" s="6">
        <v>224522</v>
      </c>
      <c r="P562" s="23"/>
      <c r="Q562" s="6">
        <v>0</v>
      </c>
      <c r="R562" s="23"/>
      <c r="S562" s="6">
        <v>8382</v>
      </c>
      <c r="T562" s="23"/>
      <c r="U562" s="6">
        <v>14332</v>
      </c>
      <c r="V562" s="23"/>
      <c r="W562" s="33">
        <f t="shared" si="89"/>
        <v>13273203</v>
      </c>
      <c r="X562" s="23"/>
      <c r="Y562" s="23">
        <v>0</v>
      </c>
      <c r="Z562" s="23"/>
      <c r="AA562" s="23">
        <v>0</v>
      </c>
      <c r="AB562" s="23"/>
      <c r="AC562" s="23">
        <v>98292</v>
      </c>
      <c r="AD562" s="23"/>
      <c r="AE562" s="23"/>
      <c r="AF562" s="23"/>
      <c r="AG562" s="23"/>
      <c r="AH562" s="23"/>
      <c r="AI562" s="23">
        <v>0</v>
      </c>
      <c r="AJ562" s="23"/>
      <c r="AK562" s="23">
        <v>0</v>
      </c>
      <c r="AL562" s="23"/>
      <c r="AM562" s="33">
        <f t="shared" si="90"/>
        <v>98292</v>
      </c>
      <c r="AN562" s="23"/>
      <c r="AO562" s="33">
        <f t="shared" si="88"/>
        <v>13371495</v>
      </c>
      <c r="AP562" s="33"/>
    </row>
    <row r="563" spans="1:42" s="28" customFormat="1">
      <c r="A563" s="27" t="s">
        <v>308</v>
      </c>
      <c r="B563" s="27"/>
      <c r="C563" s="27" t="s">
        <v>27</v>
      </c>
      <c r="D563" s="31"/>
      <c r="E563" s="28">
        <v>67445948</v>
      </c>
      <c r="F563" s="31"/>
      <c r="G563" s="28">
        <v>0</v>
      </c>
      <c r="H563" s="31"/>
      <c r="I563" s="28">
        <f>1823795+13777854+941910</f>
        <v>16543559</v>
      </c>
      <c r="J563" s="31"/>
      <c r="K563" s="28">
        <v>183265</v>
      </c>
      <c r="L563" s="31"/>
      <c r="M563" s="28">
        <f>3315799+352788</f>
        <v>3668587</v>
      </c>
      <c r="N563" s="31"/>
      <c r="O563" s="28">
        <v>1566020</v>
      </c>
      <c r="P563" s="31"/>
      <c r="Q563" s="28">
        <v>938761</v>
      </c>
      <c r="R563" s="31"/>
      <c r="S563" s="28">
        <v>0</v>
      </c>
      <c r="T563" s="31"/>
      <c r="U563" s="28">
        <v>1012856</v>
      </c>
      <c r="V563" s="31"/>
      <c r="W563" s="41">
        <f t="shared" si="89"/>
        <v>91358996</v>
      </c>
      <c r="X563" s="31"/>
      <c r="Y563" s="31">
        <v>222330</v>
      </c>
      <c r="Z563" s="31"/>
      <c r="AA563" s="31">
        <v>0</v>
      </c>
      <c r="AB563" s="31"/>
      <c r="AC563" s="31">
        <v>0</v>
      </c>
      <c r="AD563" s="31"/>
      <c r="AE563" s="31"/>
      <c r="AF563" s="31"/>
      <c r="AG563" s="31"/>
      <c r="AH563" s="31"/>
      <c r="AI563" s="31">
        <v>0</v>
      </c>
      <c r="AJ563" s="31"/>
      <c r="AK563" s="31">
        <v>0</v>
      </c>
      <c r="AL563" s="31"/>
      <c r="AM563" s="41">
        <f t="shared" si="90"/>
        <v>222330</v>
      </c>
      <c r="AN563" s="31"/>
      <c r="AO563" s="41">
        <f t="shared" si="88"/>
        <v>91581326</v>
      </c>
      <c r="AP563" s="41"/>
    </row>
    <row r="564" spans="1:42" hidden="1">
      <c r="A564" s="11" t="s">
        <v>779</v>
      </c>
      <c r="B564" s="11"/>
      <c r="C564" s="11" t="s">
        <v>558</v>
      </c>
      <c r="D564" s="23"/>
      <c r="E564" s="6"/>
      <c r="F564" s="23"/>
      <c r="G564" s="6"/>
      <c r="H564" s="23"/>
      <c r="I564" s="6"/>
      <c r="J564" s="23"/>
      <c r="K564" s="6"/>
      <c r="L564" s="23"/>
      <c r="M564" s="6"/>
      <c r="N564" s="23"/>
      <c r="O564" s="6"/>
      <c r="P564" s="23"/>
      <c r="Q564" s="6"/>
      <c r="R564" s="23"/>
      <c r="S564" s="6"/>
      <c r="T564" s="23"/>
      <c r="U564" s="6"/>
      <c r="V564" s="23"/>
      <c r="W564" s="33">
        <f t="shared" si="89"/>
        <v>0</v>
      </c>
      <c r="X564" s="23"/>
      <c r="Y564" s="23"/>
      <c r="Z564" s="23"/>
      <c r="AA564" s="23">
        <v>0</v>
      </c>
      <c r="AB564" s="23"/>
      <c r="AC564" s="23"/>
      <c r="AD564" s="23"/>
      <c r="AE564" s="23"/>
      <c r="AF564" s="23"/>
      <c r="AG564" s="23"/>
      <c r="AH564" s="23"/>
      <c r="AI564" s="23"/>
      <c r="AJ564" s="23"/>
      <c r="AK564" s="23">
        <v>0</v>
      </c>
      <c r="AL564" s="23"/>
      <c r="AM564" s="33">
        <f t="shared" si="90"/>
        <v>0</v>
      </c>
      <c r="AN564" s="23"/>
      <c r="AO564" s="33">
        <f t="shared" si="88"/>
        <v>0</v>
      </c>
      <c r="AP564" s="33"/>
    </row>
    <row r="565" spans="1:42" hidden="1">
      <c r="A565" s="11" t="s">
        <v>696</v>
      </c>
      <c r="B565" s="11"/>
      <c r="C565" s="11" t="s">
        <v>339</v>
      </c>
      <c r="D565" s="23"/>
      <c r="E565" s="6"/>
      <c r="F565" s="23"/>
      <c r="G565" s="6"/>
      <c r="H565" s="23"/>
      <c r="I565" s="6"/>
      <c r="J565" s="23"/>
      <c r="K565" s="6"/>
      <c r="L565" s="23"/>
      <c r="M565" s="6"/>
      <c r="N565" s="23"/>
      <c r="O565" s="6"/>
      <c r="P565" s="23"/>
      <c r="Q565" s="6"/>
      <c r="R565" s="23"/>
      <c r="S565" s="6"/>
      <c r="T565" s="23"/>
      <c r="U565" s="6"/>
      <c r="V565" s="23"/>
      <c r="W565" s="33">
        <f t="shared" si="89"/>
        <v>0</v>
      </c>
      <c r="X565" s="23"/>
      <c r="Y565" s="23"/>
      <c r="Z565" s="23"/>
      <c r="AA565" s="23">
        <v>0</v>
      </c>
      <c r="AB565" s="23"/>
      <c r="AC565" s="23"/>
      <c r="AD565" s="23"/>
      <c r="AE565" s="23"/>
      <c r="AF565" s="23"/>
      <c r="AG565" s="23"/>
      <c r="AH565" s="23"/>
      <c r="AI565" s="23"/>
      <c r="AJ565" s="23"/>
      <c r="AK565" s="23">
        <v>0</v>
      </c>
      <c r="AL565" s="23"/>
      <c r="AM565" s="33">
        <f t="shared" si="90"/>
        <v>0</v>
      </c>
      <c r="AN565" s="23"/>
      <c r="AO565" s="33">
        <f t="shared" si="88"/>
        <v>0</v>
      </c>
      <c r="AP565" s="33"/>
    </row>
    <row r="566" spans="1:42" hidden="1">
      <c r="A566" s="11" t="s">
        <v>895</v>
      </c>
      <c r="B566" s="11"/>
      <c r="C566" s="11" t="s">
        <v>228</v>
      </c>
      <c r="D566" s="23"/>
      <c r="E566" s="6">
        <v>0</v>
      </c>
      <c r="F566" s="23"/>
      <c r="G566" s="6">
        <v>0</v>
      </c>
      <c r="H566" s="23"/>
      <c r="I566" s="6">
        <v>0</v>
      </c>
      <c r="J566" s="23"/>
      <c r="K566" s="6">
        <v>0</v>
      </c>
      <c r="L566" s="23"/>
      <c r="M566" s="6">
        <v>0</v>
      </c>
      <c r="N566" s="23"/>
      <c r="O566" s="6">
        <v>0</v>
      </c>
      <c r="P566" s="23"/>
      <c r="Q566" s="6">
        <v>0</v>
      </c>
      <c r="R566" s="23"/>
      <c r="S566" s="6">
        <v>0</v>
      </c>
      <c r="T566" s="23"/>
      <c r="U566" s="6">
        <v>0</v>
      </c>
      <c r="V566" s="23"/>
      <c r="W566" s="33">
        <f t="shared" si="89"/>
        <v>0</v>
      </c>
      <c r="X566" s="23"/>
      <c r="Y566" s="23">
        <v>0</v>
      </c>
      <c r="Z566" s="23"/>
      <c r="AA566" s="23">
        <v>0</v>
      </c>
      <c r="AB566" s="23"/>
      <c r="AC566" s="23">
        <v>0</v>
      </c>
      <c r="AD566" s="23"/>
      <c r="AE566" s="23"/>
      <c r="AF566" s="23"/>
      <c r="AG566" s="23"/>
      <c r="AH566" s="23"/>
      <c r="AI566" s="23">
        <v>0</v>
      </c>
      <c r="AJ566" s="23"/>
      <c r="AK566" s="23">
        <v>0</v>
      </c>
      <c r="AL566" s="23"/>
      <c r="AM566" s="33">
        <f t="shared" si="90"/>
        <v>0</v>
      </c>
      <c r="AN566" s="23"/>
      <c r="AO566" s="33">
        <f t="shared" si="88"/>
        <v>0</v>
      </c>
      <c r="AP566" s="33"/>
    </row>
    <row r="567" spans="1:42" hidden="1">
      <c r="A567" s="11" t="s">
        <v>697</v>
      </c>
      <c r="B567" s="11"/>
      <c r="C567" s="11" t="s">
        <v>59</v>
      </c>
      <c r="D567" s="23"/>
      <c r="E567" s="6"/>
      <c r="F567" s="23"/>
      <c r="G567" s="6"/>
      <c r="H567" s="23"/>
      <c r="I567" s="6"/>
      <c r="J567" s="23"/>
      <c r="K567" s="6"/>
      <c r="L567" s="23"/>
      <c r="M567" s="6"/>
      <c r="N567" s="23"/>
      <c r="O567" s="6"/>
      <c r="P567" s="23"/>
      <c r="Q567" s="6"/>
      <c r="R567" s="23"/>
      <c r="S567" s="6"/>
      <c r="T567" s="23"/>
      <c r="U567" s="6"/>
      <c r="V567" s="23"/>
      <c r="W567" s="33">
        <f t="shared" si="89"/>
        <v>0</v>
      </c>
      <c r="X567" s="23"/>
      <c r="Y567" s="23"/>
      <c r="Z567" s="23"/>
      <c r="AA567" s="23">
        <v>0</v>
      </c>
      <c r="AB567" s="23"/>
      <c r="AC567" s="23"/>
      <c r="AD567" s="23"/>
      <c r="AE567" s="23"/>
      <c r="AF567" s="23"/>
      <c r="AG567" s="23"/>
      <c r="AH567" s="23"/>
      <c r="AI567" s="23"/>
      <c r="AJ567" s="23"/>
      <c r="AK567" s="23">
        <v>0</v>
      </c>
      <c r="AL567" s="23"/>
      <c r="AM567" s="33">
        <f t="shared" si="90"/>
        <v>0</v>
      </c>
      <c r="AN567" s="23"/>
      <c r="AO567" s="33">
        <f t="shared" si="88"/>
        <v>0</v>
      </c>
      <c r="AP567" s="33"/>
    </row>
    <row r="568" spans="1:42">
      <c r="A568" s="11" t="s">
        <v>437</v>
      </c>
      <c r="B568" s="11"/>
      <c r="C568" s="11" t="s">
        <v>50</v>
      </c>
      <c r="D568" s="23"/>
      <c r="E568" s="6">
        <v>4973655</v>
      </c>
      <c r="F568" s="23"/>
      <c r="G568" s="6">
        <v>3084406</v>
      </c>
      <c r="H568" s="23"/>
      <c r="I568" s="6">
        <f>8816446+1351960</f>
        <v>10168406</v>
      </c>
      <c r="J568" s="23"/>
      <c r="K568" s="6">
        <v>26491</v>
      </c>
      <c r="L568" s="23"/>
      <c r="M568" s="6">
        <f>139078+469928+114387+20430</f>
        <v>743823</v>
      </c>
      <c r="N568" s="23"/>
      <c r="O568" s="6">
        <v>332928</v>
      </c>
      <c r="P568" s="23"/>
      <c r="Q568" s="6">
        <v>0</v>
      </c>
      <c r="R568" s="23"/>
      <c r="S568" s="6">
        <v>16822</v>
      </c>
      <c r="T568" s="23"/>
      <c r="U568" s="6">
        <v>137938</v>
      </c>
      <c r="V568" s="23"/>
      <c r="W568" s="33">
        <f t="shared" si="89"/>
        <v>19484469</v>
      </c>
      <c r="X568" s="23"/>
      <c r="Y568" s="23">
        <v>11620</v>
      </c>
      <c r="Z568" s="23"/>
      <c r="AA568" s="23">
        <v>0</v>
      </c>
      <c r="AB568" s="23"/>
      <c r="AC568" s="23">
        <v>0</v>
      </c>
      <c r="AD568" s="23"/>
      <c r="AE568" s="23"/>
      <c r="AF568" s="23"/>
      <c r="AG568" s="23"/>
      <c r="AH568" s="23"/>
      <c r="AI568" s="23">
        <v>0</v>
      </c>
      <c r="AJ568" s="23"/>
      <c r="AK568" s="23">
        <v>0</v>
      </c>
      <c r="AL568" s="23"/>
      <c r="AM568" s="33">
        <f>AI568+AC568+Y568</f>
        <v>11620</v>
      </c>
      <c r="AN568" s="23"/>
      <c r="AO568" s="33">
        <f>W568+AM568+AK568</f>
        <v>19496089</v>
      </c>
      <c r="AP568" s="33"/>
    </row>
    <row r="569" spans="1:42">
      <c r="A569" s="11" t="s">
        <v>338</v>
      </c>
      <c r="B569" s="11"/>
      <c r="C569" s="11" t="s">
        <v>33</v>
      </c>
      <c r="D569" s="23"/>
      <c r="E569" s="6">
        <v>7278750</v>
      </c>
      <c r="F569" s="23"/>
      <c r="G569" s="6">
        <v>0</v>
      </c>
      <c r="H569" s="23"/>
      <c r="I569" s="6">
        <v>4072186</v>
      </c>
      <c r="J569" s="23"/>
      <c r="K569" s="6">
        <v>28885</v>
      </c>
      <c r="L569" s="23"/>
      <c r="M569" s="6">
        <f>996089+200923</f>
        <v>1197012</v>
      </c>
      <c r="N569" s="23"/>
      <c r="O569" s="6">
        <v>114006</v>
      </c>
      <c r="P569" s="23"/>
      <c r="Q569" s="6">
        <v>107659</v>
      </c>
      <c r="R569" s="23"/>
      <c r="S569" s="6">
        <v>27825</v>
      </c>
      <c r="T569" s="23"/>
      <c r="U569" s="6">
        <v>44255</v>
      </c>
      <c r="V569" s="23"/>
      <c r="W569" s="33">
        <f t="shared" si="89"/>
        <v>12870578</v>
      </c>
      <c r="X569" s="23"/>
      <c r="Y569" s="23">
        <v>28391</v>
      </c>
      <c r="Z569" s="23"/>
      <c r="AA569" s="23">
        <v>0</v>
      </c>
      <c r="AB569" s="23"/>
      <c r="AC569" s="23">
        <v>0</v>
      </c>
      <c r="AD569" s="23"/>
      <c r="AE569" s="23"/>
      <c r="AF569" s="23"/>
      <c r="AG569" s="23"/>
      <c r="AH569" s="23"/>
      <c r="AI569" s="23">
        <v>3000</v>
      </c>
      <c r="AJ569" s="23"/>
      <c r="AK569" s="23">
        <v>0</v>
      </c>
      <c r="AL569" s="23"/>
      <c r="AM569" s="33">
        <f t="shared" si="90"/>
        <v>31391</v>
      </c>
      <c r="AN569" s="23"/>
      <c r="AO569" s="33">
        <f t="shared" si="88"/>
        <v>12901969</v>
      </c>
      <c r="AP569" s="33"/>
    </row>
    <row r="570" spans="1:42" hidden="1">
      <c r="A570" s="11" t="s">
        <v>830</v>
      </c>
      <c r="B570" s="11"/>
      <c r="C570" s="11" t="s">
        <v>67</v>
      </c>
      <c r="D570" s="23"/>
      <c r="E570" s="6"/>
      <c r="F570" s="23"/>
      <c r="G570" s="6"/>
      <c r="H570" s="23"/>
      <c r="I570" s="6"/>
      <c r="J570" s="23"/>
      <c r="K570" s="6"/>
      <c r="L570" s="23"/>
      <c r="M570" s="6"/>
      <c r="N570" s="23"/>
      <c r="O570" s="6"/>
      <c r="P570" s="23"/>
      <c r="Q570" s="6"/>
      <c r="R570" s="23"/>
      <c r="S570" s="6"/>
      <c r="T570" s="23"/>
      <c r="U570" s="6"/>
      <c r="V570" s="23"/>
      <c r="W570" s="33">
        <f t="shared" si="89"/>
        <v>0</v>
      </c>
      <c r="X570" s="23"/>
      <c r="Y570" s="23"/>
      <c r="Z570" s="23"/>
      <c r="AA570" s="23">
        <v>0</v>
      </c>
      <c r="AB570" s="23"/>
      <c r="AC570" s="23"/>
      <c r="AD570" s="23"/>
      <c r="AE570" s="23"/>
      <c r="AF570" s="23"/>
      <c r="AG570" s="23"/>
      <c r="AH570" s="23"/>
      <c r="AI570" s="23"/>
      <c r="AJ570" s="23"/>
      <c r="AK570" s="23">
        <v>0</v>
      </c>
      <c r="AL570" s="23"/>
      <c r="AM570" s="33">
        <f t="shared" si="90"/>
        <v>0</v>
      </c>
      <c r="AN570" s="23"/>
      <c r="AO570" s="33">
        <f t="shared" si="88"/>
        <v>0</v>
      </c>
      <c r="AP570" s="33"/>
    </row>
    <row r="571" spans="1:42">
      <c r="A571" s="11" t="s">
        <v>438</v>
      </c>
      <c r="B571" s="11"/>
      <c r="C571" s="11" t="s">
        <v>50</v>
      </c>
      <c r="D571" s="23"/>
      <c r="E571" s="6">
        <v>21836503</v>
      </c>
      <c r="F571" s="23"/>
      <c r="G571" s="6">
        <v>0</v>
      </c>
      <c r="H571" s="23"/>
      <c r="I571" s="6">
        <f>10166164+1927200</f>
        <v>12093364</v>
      </c>
      <c r="J571" s="23"/>
      <c r="K571" s="6">
        <v>180237</v>
      </c>
      <c r="L571" s="23"/>
      <c r="M571" s="6">
        <f>595744+21172+724992+166489+3239+320731</f>
        <v>1832367</v>
      </c>
      <c r="N571" s="23"/>
      <c r="O571" s="6">
        <v>340665</v>
      </c>
      <c r="P571" s="23"/>
      <c r="Q571" s="6">
        <v>584391</v>
      </c>
      <c r="R571" s="23"/>
      <c r="S571" s="6">
        <v>127025</v>
      </c>
      <c r="T571" s="23"/>
      <c r="U571" s="6">
        <v>58558</v>
      </c>
      <c r="V571" s="23"/>
      <c r="W571" s="33">
        <f t="shared" si="89"/>
        <v>37053110</v>
      </c>
      <c r="X571" s="23"/>
      <c r="Y571" s="23">
        <v>168355</v>
      </c>
      <c r="Z571" s="23"/>
      <c r="AA571" s="23">
        <v>0</v>
      </c>
      <c r="AB571" s="23"/>
      <c r="AC571" s="23">
        <f>999833+38155</f>
        <v>1037988</v>
      </c>
      <c r="AD571" s="23"/>
      <c r="AE571" s="23"/>
      <c r="AF571" s="23"/>
      <c r="AG571" s="23"/>
      <c r="AH571" s="23"/>
      <c r="AI571" s="23">
        <v>0</v>
      </c>
      <c r="AJ571" s="23"/>
      <c r="AK571" s="23">
        <v>0</v>
      </c>
      <c r="AL571" s="23"/>
      <c r="AM571" s="33">
        <f t="shared" si="90"/>
        <v>1206343</v>
      </c>
      <c r="AN571" s="23"/>
      <c r="AO571" s="33">
        <f t="shared" si="88"/>
        <v>38259453</v>
      </c>
      <c r="AP571" s="33"/>
    </row>
    <row r="572" spans="1:42" hidden="1">
      <c r="A572" s="11" t="s">
        <v>698</v>
      </c>
      <c r="B572" s="11"/>
      <c r="C572" s="11" t="s">
        <v>33</v>
      </c>
      <c r="D572" s="23"/>
      <c r="E572" s="6"/>
      <c r="F572" s="23"/>
      <c r="G572" s="6"/>
      <c r="H572" s="23"/>
      <c r="I572" s="6"/>
      <c r="J572" s="23"/>
      <c r="K572" s="6"/>
      <c r="L572" s="23"/>
      <c r="M572" s="6"/>
      <c r="N572" s="23"/>
      <c r="O572" s="6"/>
      <c r="P572" s="23"/>
      <c r="Q572" s="6"/>
      <c r="R572" s="23"/>
      <c r="S572" s="6"/>
      <c r="T572" s="23"/>
      <c r="U572" s="6"/>
      <c r="V572" s="23"/>
      <c r="W572" s="33">
        <f t="shared" si="89"/>
        <v>0</v>
      </c>
      <c r="X572" s="23"/>
      <c r="Y572" s="23"/>
      <c r="Z572" s="23"/>
      <c r="AA572" s="23">
        <v>0</v>
      </c>
      <c r="AB572" s="23"/>
      <c r="AC572" s="23"/>
      <c r="AD572" s="23"/>
      <c r="AE572" s="23"/>
      <c r="AF572" s="23"/>
      <c r="AG572" s="23"/>
      <c r="AH572" s="23"/>
      <c r="AI572" s="23"/>
      <c r="AJ572" s="23"/>
      <c r="AK572" s="23">
        <v>0</v>
      </c>
      <c r="AL572" s="23"/>
      <c r="AM572" s="33">
        <f t="shared" si="90"/>
        <v>0</v>
      </c>
      <c r="AN572" s="23"/>
      <c r="AO572" s="33">
        <f t="shared" si="88"/>
        <v>0</v>
      </c>
      <c r="AP572" s="33"/>
    </row>
    <row r="573" spans="1:42">
      <c r="A573" s="11" t="s">
        <v>291</v>
      </c>
      <c r="B573" s="11"/>
      <c r="C573" s="11" t="s">
        <v>24</v>
      </c>
      <c r="D573" s="23"/>
      <c r="E573" s="6">
        <v>15129713</v>
      </c>
      <c r="F573" s="23"/>
      <c r="G573" s="6">
        <v>0</v>
      </c>
      <c r="H573" s="23"/>
      <c r="I573" s="6">
        <v>8581616</v>
      </c>
      <c r="J573" s="23"/>
      <c r="K573" s="6">
        <v>100180</v>
      </c>
      <c r="L573" s="23"/>
      <c r="M573" s="6">
        <f>675218+367662+1074+152882</f>
        <v>1196836</v>
      </c>
      <c r="N573" s="23"/>
      <c r="O573" s="6">
        <v>243397</v>
      </c>
      <c r="P573" s="23"/>
      <c r="Q573" s="6">
        <v>0</v>
      </c>
      <c r="R573" s="23"/>
      <c r="S573" s="6">
        <v>0</v>
      </c>
      <c r="T573" s="23"/>
      <c r="U573" s="6">
        <f>138467+155058</f>
        <v>293525</v>
      </c>
      <c r="V573" s="23"/>
      <c r="W573" s="33">
        <f t="shared" si="89"/>
        <v>25545267</v>
      </c>
      <c r="X573" s="23"/>
      <c r="Y573" s="23">
        <v>25871</v>
      </c>
      <c r="Z573" s="23"/>
      <c r="AA573" s="23">
        <v>0</v>
      </c>
      <c r="AB573" s="23"/>
      <c r="AC573" s="23">
        <f>193499+3379998</f>
        <v>3573497</v>
      </c>
      <c r="AD573" s="23"/>
      <c r="AE573" s="23"/>
      <c r="AF573" s="23"/>
      <c r="AG573" s="23"/>
      <c r="AH573" s="23"/>
      <c r="AI573" s="23">
        <v>0</v>
      </c>
      <c r="AJ573" s="23"/>
      <c r="AK573" s="23">
        <v>0</v>
      </c>
      <c r="AL573" s="23"/>
      <c r="AM573" s="33">
        <f t="shared" si="90"/>
        <v>3599368</v>
      </c>
      <c r="AN573" s="23"/>
      <c r="AO573" s="33">
        <f t="shared" si="88"/>
        <v>29144635</v>
      </c>
      <c r="AP573" s="33"/>
    </row>
    <row r="574" spans="1:42" hidden="1">
      <c r="A574" s="11" t="s">
        <v>699</v>
      </c>
      <c r="B574" s="11"/>
      <c r="C574" s="11" t="s">
        <v>21</v>
      </c>
      <c r="D574" s="23"/>
      <c r="E574" s="6"/>
      <c r="F574" s="23"/>
      <c r="G574" s="6"/>
      <c r="H574" s="23"/>
      <c r="I574" s="6"/>
      <c r="J574" s="23"/>
      <c r="K574" s="6"/>
      <c r="L574" s="23"/>
      <c r="M574" s="6"/>
      <c r="N574" s="23"/>
      <c r="O574" s="6"/>
      <c r="P574" s="23"/>
      <c r="Q574" s="6"/>
      <c r="R574" s="23"/>
      <c r="S574" s="6"/>
      <c r="T574" s="23"/>
      <c r="U574" s="6"/>
      <c r="V574" s="23"/>
      <c r="W574" s="33"/>
      <c r="X574" s="23"/>
      <c r="Y574" s="23"/>
      <c r="Z574" s="23"/>
      <c r="AA574" s="23">
        <v>0</v>
      </c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33"/>
      <c r="AN574" s="23"/>
      <c r="AO574" s="33">
        <f t="shared" si="88"/>
        <v>0</v>
      </c>
      <c r="AP574" s="33"/>
    </row>
    <row r="575" spans="1:42">
      <c r="A575" s="11" t="s">
        <v>542</v>
      </c>
      <c r="B575" s="11"/>
      <c r="C575" s="11" t="s">
        <v>68</v>
      </c>
      <c r="D575" s="23"/>
      <c r="E575" s="6">
        <v>3764195</v>
      </c>
      <c r="F575" s="23"/>
      <c r="G575" s="6">
        <v>0</v>
      </c>
      <c r="H575" s="23"/>
      <c r="I575" s="6">
        <v>21785900</v>
      </c>
      <c r="J575" s="23"/>
      <c r="K575" s="6">
        <v>46164</v>
      </c>
      <c r="L575" s="23"/>
      <c r="M575" s="6">
        <f>452867+541797</f>
        <v>994664</v>
      </c>
      <c r="N575" s="23"/>
      <c r="O575" s="6">
        <v>140926</v>
      </c>
      <c r="P575" s="23"/>
      <c r="Q575" s="6">
        <v>616224</v>
      </c>
      <c r="R575" s="23"/>
      <c r="S575" s="6">
        <v>17257</v>
      </c>
      <c r="T575" s="23"/>
      <c r="U575" s="6">
        <v>159595</v>
      </c>
      <c r="V575" s="23"/>
      <c r="W575" s="33">
        <f t="shared" si="89"/>
        <v>27524925</v>
      </c>
      <c r="X575" s="23"/>
      <c r="Y575" s="23">
        <v>0</v>
      </c>
      <c r="Z575" s="23"/>
      <c r="AA575" s="23">
        <v>0</v>
      </c>
      <c r="AB575" s="23"/>
      <c r="AC575" s="23">
        <v>31266</v>
      </c>
      <c r="AD575" s="23"/>
      <c r="AE575" s="23"/>
      <c r="AF575" s="23"/>
      <c r="AG575" s="23"/>
      <c r="AH575" s="23"/>
      <c r="AI575" s="23">
        <v>7630</v>
      </c>
      <c r="AJ575" s="23"/>
      <c r="AK575" s="23">
        <v>0</v>
      </c>
      <c r="AL575" s="23"/>
      <c r="AM575" s="33">
        <f t="shared" ref="AM575:AM609" si="91">AI575+AC575+Y575</f>
        <v>38896</v>
      </c>
      <c r="AN575" s="23"/>
      <c r="AO575" s="33">
        <f t="shared" si="88"/>
        <v>27563821</v>
      </c>
      <c r="AP575" s="33"/>
    </row>
    <row r="576" spans="1:42">
      <c r="A576" s="11" t="s">
        <v>419</v>
      </c>
      <c r="B576" s="11"/>
      <c r="C576" s="11" t="s">
        <v>47</v>
      </c>
      <c r="D576" s="23"/>
      <c r="E576" s="6">
        <v>22894742</v>
      </c>
      <c r="F576" s="23"/>
      <c r="G576" s="6">
        <v>0</v>
      </c>
      <c r="H576" s="23"/>
      <c r="I576" s="6">
        <f>1722162+21110219+4092278</f>
        <v>26924659</v>
      </c>
      <c r="J576" s="23"/>
      <c r="K576" s="6">
        <v>854939</v>
      </c>
      <c r="L576" s="23"/>
      <c r="M576" s="6">
        <f>981206+20090+838119+145024+38346+197448</f>
        <v>2220233</v>
      </c>
      <c r="N576" s="23"/>
      <c r="O576" s="6">
        <v>641692</v>
      </c>
      <c r="P576" s="23"/>
      <c r="Q576" s="6">
        <v>156176</v>
      </c>
      <c r="R576" s="23"/>
      <c r="S576" s="6">
        <v>20555</v>
      </c>
      <c r="T576" s="23"/>
      <c r="U576" s="6">
        <v>143853</v>
      </c>
      <c r="V576" s="23"/>
      <c r="W576" s="33">
        <f t="shared" si="89"/>
        <v>53856849</v>
      </c>
      <c r="X576" s="23"/>
      <c r="Y576" s="23">
        <v>0</v>
      </c>
      <c r="Z576" s="23"/>
      <c r="AA576" s="23">
        <v>0</v>
      </c>
      <c r="AB576" s="23"/>
      <c r="AC576" s="23">
        <v>0</v>
      </c>
      <c r="AD576" s="23"/>
      <c r="AE576" s="23"/>
      <c r="AF576" s="23"/>
      <c r="AG576" s="23"/>
      <c r="AH576" s="23"/>
      <c r="AI576" s="23">
        <v>132687</v>
      </c>
      <c r="AJ576" s="23"/>
      <c r="AK576" s="23">
        <v>0</v>
      </c>
      <c r="AL576" s="23"/>
      <c r="AM576" s="33">
        <f t="shared" si="91"/>
        <v>132687</v>
      </c>
      <c r="AN576" s="23"/>
      <c r="AO576" s="33">
        <f t="shared" si="88"/>
        <v>53989536</v>
      </c>
      <c r="AP576" s="33"/>
    </row>
    <row r="577" spans="1:42" hidden="1">
      <c r="A577" s="11" t="s">
        <v>875</v>
      </c>
      <c r="B577" s="11"/>
      <c r="C577" s="11" t="s">
        <v>25</v>
      </c>
      <c r="D577" s="23"/>
      <c r="E577" s="6">
        <v>0</v>
      </c>
      <c r="F577" s="23"/>
      <c r="G577" s="6">
        <v>0</v>
      </c>
      <c r="H577" s="23"/>
      <c r="I577" s="6">
        <v>0</v>
      </c>
      <c r="J577" s="23"/>
      <c r="K577" s="6">
        <v>0</v>
      </c>
      <c r="L577" s="23"/>
      <c r="M577" s="6">
        <v>0</v>
      </c>
      <c r="N577" s="23"/>
      <c r="O577" s="6">
        <v>0</v>
      </c>
      <c r="P577" s="23"/>
      <c r="Q577" s="6">
        <v>0</v>
      </c>
      <c r="R577" s="23"/>
      <c r="S577" s="6">
        <v>0</v>
      </c>
      <c r="T577" s="23"/>
      <c r="U577" s="6">
        <v>0</v>
      </c>
      <c r="V577" s="23"/>
      <c r="W577" s="33">
        <f t="shared" ref="W577:W579" si="92">SUM(E577:U577)</f>
        <v>0</v>
      </c>
      <c r="X577" s="23"/>
      <c r="Y577" s="23">
        <v>0</v>
      </c>
      <c r="Z577" s="23"/>
      <c r="AA577" s="23">
        <v>0</v>
      </c>
      <c r="AB577" s="23"/>
      <c r="AC577" s="23">
        <v>0</v>
      </c>
      <c r="AD577" s="23"/>
      <c r="AE577" s="23"/>
      <c r="AF577" s="23"/>
      <c r="AG577" s="23"/>
      <c r="AH577" s="23"/>
      <c r="AI577" s="23">
        <v>0</v>
      </c>
      <c r="AJ577" s="23"/>
      <c r="AK577" s="23">
        <v>0</v>
      </c>
      <c r="AL577" s="23"/>
      <c r="AM577" s="33">
        <f t="shared" ref="AM577:AM579" si="93">AI577+AC577+Y577</f>
        <v>0</v>
      </c>
      <c r="AN577" s="23"/>
      <c r="AO577" s="33">
        <f t="shared" ref="AO577:AO579" si="94">W577+AM577</f>
        <v>0</v>
      </c>
      <c r="AP577" s="33"/>
    </row>
    <row r="578" spans="1:42" hidden="1">
      <c r="A578" s="11" t="s">
        <v>876</v>
      </c>
      <c r="B578" s="11"/>
      <c r="C578" s="11" t="s">
        <v>14</v>
      </c>
      <c r="D578" s="23"/>
      <c r="E578" s="6">
        <v>0</v>
      </c>
      <c r="F578" s="23"/>
      <c r="G578" s="6">
        <v>0</v>
      </c>
      <c r="H578" s="23"/>
      <c r="I578" s="6">
        <v>0</v>
      </c>
      <c r="J578" s="23"/>
      <c r="K578" s="6">
        <v>0</v>
      </c>
      <c r="L578" s="23"/>
      <c r="M578" s="6">
        <v>0</v>
      </c>
      <c r="N578" s="23"/>
      <c r="O578" s="6">
        <v>0</v>
      </c>
      <c r="P578" s="23"/>
      <c r="Q578" s="6">
        <v>0</v>
      </c>
      <c r="R578" s="23"/>
      <c r="S578" s="6">
        <v>0</v>
      </c>
      <c r="T578" s="23"/>
      <c r="U578" s="6">
        <v>0</v>
      </c>
      <c r="V578" s="23"/>
      <c r="W578" s="33">
        <f t="shared" si="92"/>
        <v>0</v>
      </c>
      <c r="X578" s="23"/>
      <c r="Y578" s="23">
        <v>0</v>
      </c>
      <c r="Z578" s="23"/>
      <c r="AA578" s="23">
        <v>0</v>
      </c>
      <c r="AB578" s="23"/>
      <c r="AC578" s="23">
        <v>0</v>
      </c>
      <c r="AD578" s="23"/>
      <c r="AE578" s="23"/>
      <c r="AF578" s="23"/>
      <c r="AG578" s="23"/>
      <c r="AH578" s="23"/>
      <c r="AI578" s="23">
        <v>0</v>
      </c>
      <c r="AJ578" s="23"/>
      <c r="AK578" s="23">
        <v>0</v>
      </c>
      <c r="AL578" s="23"/>
      <c r="AM578" s="33">
        <f t="shared" si="93"/>
        <v>0</v>
      </c>
      <c r="AN578" s="23"/>
      <c r="AO578" s="33">
        <f t="shared" si="94"/>
        <v>0</v>
      </c>
      <c r="AP578" s="33"/>
    </row>
    <row r="579" spans="1:42" hidden="1">
      <c r="A579" s="10" t="s">
        <v>877</v>
      </c>
      <c r="B579" s="10"/>
      <c r="C579" s="10" t="s">
        <v>63</v>
      </c>
      <c r="D579" s="23"/>
      <c r="E579" s="6">
        <v>0</v>
      </c>
      <c r="F579" s="23"/>
      <c r="G579" s="6">
        <v>0</v>
      </c>
      <c r="H579" s="23"/>
      <c r="I579" s="6">
        <v>0</v>
      </c>
      <c r="J579" s="23"/>
      <c r="K579" s="6">
        <v>0</v>
      </c>
      <c r="L579" s="23"/>
      <c r="M579" s="6">
        <v>0</v>
      </c>
      <c r="N579" s="23"/>
      <c r="O579" s="6">
        <v>0</v>
      </c>
      <c r="P579" s="23"/>
      <c r="Q579" s="6">
        <v>0</v>
      </c>
      <c r="R579" s="23"/>
      <c r="S579" s="6">
        <v>0</v>
      </c>
      <c r="T579" s="23"/>
      <c r="U579" s="6">
        <v>0</v>
      </c>
      <c r="V579" s="23"/>
      <c r="W579" s="33">
        <f t="shared" si="92"/>
        <v>0</v>
      </c>
      <c r="X579" s="23"/>
      <c r="Y579" s="23">
        <v>0</v>
      </c>
      <c r="Z579" s="23"/>
      <c r="AA579" s="23">
        <v>0</v>
      </c>
      <c r="AB579" s="23"/>
      <c r="AC579" s="23">
        <v>0</v>
      </c>
      <c r="AD579" s="23"/>
      <c r="AE579" s="23"/>
      <c r="AF579" s="23"/>
      <c r="AG579" s="23"/>
      <c r="AH579" s="23"/>
      <c r="AI579" s="23">
        <v>0</v>
      </c>
      <c r="AJ579" s="23"/>
      <c r="AK579" s="23">
        <v>0</v>
      </c>
      <c r="AL579" s="23"/>
      <c r="AM579" s="33">
        <f t="shared" si="93"/>
        <v>0</v>
      </c>
      <c r="AN579" s="23"/>
      <c r="AO579" s="33">
        <f t="shared" si="94"/>
        <v>0</v>
      </c>
      <c r="AP579" s="33"/>
    </row>
    <row r="580" spans="1:42">
      <c r="A580" s="11" t="s">
        <v>531</v>
      </c>
      <c r="B580" s="11"/>
      <c r="C580" s="11" t="s">
        <v>64</v>
      </c>
      <c r="D580" s="23"/>
      <c r="E580" s="6">
        <v>13568324</v>
      </c>
      <c r="F580" s="23"/>
      <c r="G580" s="6">
        <v>0</v>
      </c>
      <c r="H580" s="23"/>
      <c r="I580" s="6">
        <f>47834215+12001208</f>
        <v>59835423</v>
      </c>
      <c r="J580" s="23"/>
      <c r="K580" s="6">
        <v>619754</v>
      </c>
      <c r="L580" s="23"/>
      <c r="M580" s="6">
        <f>1208166+44939+609615+33966</f>
        <v>1896686</v>
      </c>
      <c r="N580" s="23"/>
      <c r="O580" s="6">
        <v>212944</v>
      </c>
      <c r="P580" s="23"/>
      <c r="Q580" s="6">
        <v>0</v>
      </c>
      <c r="R580" s="23"/>
      <c r="S580" s="6">
        <v>0</v>
      </c>
      <c r="T580" s="23"/>
      <c r="U580" s="6">
        <v>512400</v>
      </c>
      <c r="V580" s="23"/>
      <c r="W580" s="33">
        <f t="shared" si="89"/>
        <v>76645531</v>
      </c>
      <c r="X580" s="23"/>
      <c r="Y580" s="23">
        <v>24900</v>
      </c>
      <c r="Z580" s="23"/>
      <c r="AA580" s="23">
        <v>0</v>
      </c>
      <c r="AB580" s="23"/>
      <c r="AC580" s="23">
        <f>2474624+30905000+177921</f>
        <v>33557545</v>
      </c>
      <c r="AD580" s="23"/>
      <c r="AE580" s="23"/>
      <c r="AF580" s="23"/>
      <c r="AG580" s="23"/>
      <c r="AH580" s="23"/>
      <c r="AI580" s="23">
        <f>200000+33641</f>
        <v>233641</v>
      </c>
      <c r="AJ580" s="23"/>
      <c r="AK580" s="23">
        <v>0</v>
      </c>
      <c r="AL580" s="23"/>
      <c r="AM580" s="33">
        <f t="shared" si="91"/>
        <v>33816086</v>
      </c>
      <c r="AN580" s="23"/>
      <c r="AO580" s="33">
        <f t="shared" si="88"/>
        <v>110461617</v>
      </c>
      <c r="AP580" s="33"/>
    </row>
    <row r="581" spans="1:42">
      <c r="A581" s="11" t="s">
        <v>549</v>
      </c>
      <c r="B581" s="11"/>
      <c r="C581" s="11" t="s">
        <v>70</v>
      </c>
      <c r="D581" s="23"/>
      <c r="E581" s="6">
        <v>5876451</v>
      </c>
      <c r="F581" s="23"/>
      <c r="G581" s="6">
        <v>0</v>
      </c>
      <c r="H581" s="23"/>
      <c r="I581" s="6">
        <v>14298786</v>
      </c>
      <c r="J581" s="23"/>
      <c r="K581" s="6">
        <v>61701</v>
      </c>
      <c r="L581" s="23"/>
      <c r="M581" s="6">
        <v>1236160</v>
      </c>
      <c r="N581" s="23"/>
      <c r="O581" s="6">
        <v>240346</v>
      </c>
      <c r="P581" s="23"/>
      <c r="Q581" s="6">
        <v>0</v>
      </c>
      <c r="R581" s="23"/>
      <c r="S581" s="6">
        <v>92997</v>
      </c>
      <c r="T581" s="23"/>
      <c r="U581" s="6">
        <v>75857</v>
      </c>
      <c r="V581" s="23"/>
      <c r="W581" s="33">
        <f t="shared" si="89"/>
        <v>21882298</v>
      </c>
      <c r="X581" s="23"/>
      <c r="Y581" s="23">
        <v>0</v>
      </c>
      <c r="Z581" s="23"/>
      <c r="AA581" s="23">
        <v>0</v>
      </c>
      <c r="AB581" s="23"/>
      <c r="AC581" s="23">
        <v>0</v>
      </c>
      <c r="AD581" s="23"/>
      <c r="AE581" s="23"/>
      <c r="AF581" s="23"/>
      <c r="AG581" s="23"/>
      <c r="AH581" s="23"/>
      <c r="AI581" s="23">
        <v>786</v>
      </c>
      <c r="AJ581" s="23"/>
      <c r="AK581" s="23">
        <v>0</v>
      </c>
      <c r="AL581" s="23"/>
      <c r="AM581" s="33">
        <f t="shared" si="91"/>
        <v>786</v>
      </c>
      <c r="AN581" s="23"/>
      <c r="AO581" s="33">
        <f t="shared" si="88"/>
        <v>21883084</v>
      </c>
      <c r="AP581" s="33"/>
    </row>
    <row r="582" spans="1:42">
      <c r="A582" s="11" t="s">
        <v>280</v>
      </c>
      <c r="B582" s="11"/>
      <c r="C582" s="11" t="s">
        <v>20</v>
      </c>
      <c r="D582" s="23"/>
      <c r="E582" s="6">
        <v>19347710</v>
      </c>
      <c r="F582" s="23"/>
      <c r="G582" s="6">
        <v>0</v>
      </c>
      <c r="H582" s="23"/>
      <c r="I582" s="6">
        <v>17856903</v>
      </c>
      <c r="J582" s="23"/>
      <c r="K582" s="6">
        <v>29701</v>
      </c>
      <c r="L582" s="23"/>
      <c r="M582" s="6">
        <f>228947+257791+8777</f>
        <v>495515</v>
      </c>
      <c r="N582" s="23"/>
      <c r="O582" s="6">
        <v>21699</v>
      </c>
      <c r="P582" s="23"/>
      <c r="Q582" s="6">
        <v>0</v>
      </c>
      <c r="R582" s="23"/>
      <c r="S582" s="6">
        <v>982</v>
      </c>
      <c r="T582" s="23"/>
      <c r="U582" s="6">
        <v>339614</v>
      </c>
      <c r="V582" s="23"/>
      <c r="W582" s="33">
        <f t="shared" si="89"/>
        <v>38092124</v>
      </c>
      <c r="X582" s="23"/>
      <c r="Y582" s="23">
        <v>105000</v>
      </c>
      <c r="Z582" s="23"/>
      <c r="AA582" s="23">
        <v>0</v>
      </c>
      <c r="AB582" s="23"/>
      <c r="AC582" s="23">
        <v>0</v>
      </c>
      <c r="AD582" s="23"/>
      <c r="AE582" s="23"/>
      <c r="AF582" s="23"/>
      <c r="AG582" s="23"/>
      <c r="AH582" s="23"/>
      <c r="AI582" s="23">
        <v>0</v>
      </c>
      <c r="AJ582" s="23"/>
      <c r="AK582" s="23">
        <v>0</v>
      </c>
      <c r="AL582" s="23"/>
      <c r="AM582" s="33">
        <f t="shared" si="91"/>
        <v>105000</v>
      </c>
      <c r="AN582" s="23"/>
      <c r="AO582" s="33">
        <f t="shared" si="88"/>
        <v>38197124</v>
      </c>
      <c r="AP582" s="33"/>
    </row>
    <row r="583" spans="1:42" ht="12" customHeight="1">
      <c r="A583" s="11" t="s">
        <v>298</v>
      </c>
      <c r="B583" s="11"/>
      <c r="C583" s="11" t="s">
        <v>26</v>
      </c>
      <c r="D583" s="23"/>
      <c r="E583" s="6">
        <v>5611843</v>
      </c>
      <c r="F583" s="23"/>
      <c r="G583" s="6">
        <v>0</v>
      </c>
      <c r="H583" s="23"/>
      <c r="I583" s="6">
        <v>16124376</v>
      </c>
      <c r="J583" s="23"/>
      <c r="K583" s="6">
        <v>10567</v>
      </c>
      <c r="L583" s="23"/>
      <c r="M583" s="6">
        <f>1047577+20645+335668</f>
        <v>1403890</v>
      </c>
      <c r="N583" s="23"/>
      <c r="O583" s="6">
        <v>269695</v>
      </c>
      <c r="P583" s="23"/>
      <c r="Q583" s="6">
        <v>19426</v>
      </c>
      <c r="R583" s="23"/>
      <c r="S583" s="6">
        <v>75235</v>
      </c>
      <c r="T583" s="23"/>
      <c r="U583" s="6">
        <v>97565</v>
      </c>
      <c r="V583" s="23"/>
      <c r="W583" s="33">
        <f t="shared" si="89"/>
        <v>23612597</v>
      </c>
      <c r="X583" s="23"/>
      <c r="Y583" s="23">
        <v>173097</v>
      </c>
      <c r="Z583" s="23"/>
      <c r="AA583" s="23">
        <v>0</v>
      </c>
      <c r="AB583" s="23"/>
      <c r="AC583" s="23">
        <v>0</v>
      </c>
      <c r="AD583" s="23"/>
      <c r="AE583" s="23"/>
      <c r="AF583" s="23"/>
      <c r="AG583" s="23"/>
      <c r="AH583" s="23"/>
      <c r="AI583" s="23">
        <v>0</v>
      </c>
      <c r="AJ583" s="23"/>
      <c r="AK583" s="23">
        <v>0</v>
      </c>
      <c r="AL583" s="23"/>
      <c r="AM583" s="33">
        <f t="shared" si="91"/>
        <v>173097</v>
      </c>
      <c r="AN583" s="23"/>
      <c r="AO583" s="33">
        <f t="shared" si="88"/>
        <v>23785694</v>
      </c>
      <c r="AP583" s="33"/>
    </row>
    <row r="584" spans="1:42">
      <c r="A584" s="11" t="s">
        <v>396</v>
      </c>
      <c r="B584" s="11"/>
      <c r="C584" s="11" t="s">
        <v>115</v>
      </c>
      <c r="D584" s="23"/>
      <c r="E584" s="6">
        <v>35305224</v>
      </c>
      <c r="F584" s="23"/>
      <c r="G584" s="6">
        <v>0</v>
      </c>
      <c r="H584" s="23"/>
      <c r="I584" s="6">
        <f>7722+33128718+7283585</f>
        <v>40420025</v>
      </c>
      <c r="J584" s="23"/>
      <c r="K584" s="6">
        <v>115393</v>
      </c>
      <c r="L584" s="23"/>
      <c r="M584" s="6">
        <f>585236+782249+156627+143019+121789+82912</f>
        <v>1871832</v>
      </c>
      <c r="N584" s="23"/>
      <c r="O584" s="6">
        <v>714442</v>
      </c>
      <c r="P584" s="23"/>
      <c r="Q584" s="6">
        <v>3727980</v>
      </c>
      <c r="R584" s="23"/>
      <c r="S584" s="6">
        <v>35245</v>
      </c>
      <c r="T584" s="23"/>
      <c r="U584" s="6">
        <v>815598</v>
      </c>
      <c r="V584" s="23"/>
      <c r="W584" s="33">
        <f t="shared" si="89"/>
        <v>83005739</v>
      </c>
      <c r="X584" s="23"/>
      <c r="Y584" s="23">
        <v>640988</v>
      </c>
      <c r="Z584" s="23"/>
      <c r="AA584" s="23">
        <v>0</v>
      </c>
      <c r="AB584" s="23"/>
      <c r="AC584" s="23">
        <v>0</v>
      </c>
      <c r="AD584" s="23"/>
      <c r="AE584" s="23"/>
      <c r="AF584" s="23"/>
      <c r="AG584" s="23"/>
      <c r="AH584" s="23"/>
      <c r="AI584" s="23">
        <v>0</v>
      </c>
      <c r="AJ584" s="23"/>
      <c r="AK584" s="23">
        <v>0</v>
      </c>
      <c r="AL584" s="23"/>
      <c r="AM584" s="33">
        <f t="shared" si="91"/>
        <v>640988</v>
      </c>
      <c r="AN584" s="23"/>
      <c r="AO584" s="33">
        <f t="shared" si="88"/>
        <v>83646727</v>
      </c>
      <c r="AP584" s="33"/>
    </row>
    <row r="585" spans="1:42">
      <c r="A585" s="11" t="s">
        <v>485</v>
      </c>
      <c r="B585" s="11"/>
      <c r="C585" s="11" t="s">
        <v>59</v>
      </c>
      <c r="D585" s="23"/>
      <c r="E585" s="6">
        <v>1543102</v>
      </c>
      <c r="F585" s="23"/>
      <c r="G585" s="6">
        <v>0</v>
      </c>
      <c r="H585" s="23"/>
      <c r="I585" s="6">
        <v>13351990</v>
      </c>
      <c r="J585" s="23"/>
      <c r="K585" s="6">
        <v>26447</v>
      </c>
      <c r="L585" s="23"/>
      <c r="M585" s="6">
        <f>1134154+286709</f>
        <v>1420863</v>
      </c>
      <c r="N585" s="23"/>
      <c r="O585" s="6">
        <v>274214</v>
      </c>
      <c r="P585" s="23"/>
      <c r="Q585" s="6">
        <v>0</v>
      </c>
      <c r="R585" s="23"/>
      <c r="S585" s="6">
        <v>0</v>
      </c>
      <c r="T585" s="23"/>
      <c r="U585" s="6">
        <v>175966</v>
      </c>
      <c r="V585" s="23"/>
      <c r="W585" s="33">
        <f t="shared" si="89"/>
        <v>16792582</v>
      </c>
      <c r="X585" s="23"/>
      <c r="Y585" s="23">
        <v>225000</v>
      </c>
      <c r="Z585" s="23"/>
      <c r="AA585" s="23">
        <v>0</v>
      </c>
      <c r="AB585" s="23"/>
      <c r="AC585" s="23">
        <v>0</v>
      </c>
      <c r="AD585" s="23"/>
      <c r="AE585" s="23"/>
      <c r="AF585" s="23"/>
      <c r="AG585" s="23"/>
      <c r="AH585" s="23"/>
      <c r="AI585" s="23">
        <v>86019</v>
      </c>
      <c r="AJ585" s="23"/>
      <c r="AK585" s="23">
        <v>0</v>
      </c>
      <c r="AL585" s="23"/>
      <c r="AM585" s="33">
        <f t="shared" si="91"/>
        <v>311019</v>
      </c>
      <c r="AN585" s="23"/>
      <c r="AO585" s="33">
        <f t="shared" si="88"/>
        <v>17103601</v>
      </c>
      <c r="AP585" s="33"/>
    </row>
    <row r="586" spans="1:42">
      <c r="A586" s="11" t="s">
        <v>465</v>
      </c>
      <c r="B586" s="11"/>
      <c r="C586" s="11" t="s">
        <v>56</v>
      </c>
      <c r="D586" s="23"/>
      <c r="E586" s="6">
        <v>3776650</v>
      </c>
      <c r="F586" s="23"/>
      <c r="G586" s="6">
        <v>0</v>
      </c>
      <c r="H586" s="23"/>
      <c r="I586" s="6">
        <f>6576971+1013243</f>
        <v>7590214</v>
      </c>
      <c r="J586" s="23"/>
      <c r="K586" s="6">
        <v>2923</v>
      </c>
      <c r="L586" s="23"/>
      <c r="M586" s="6">
        <f>291526+159011+41447+594</f>
        <v>492578</v>
      </c>
      <c r="N586" s="23"/>
      <c r="O586" s="6">
        <v>221845</v>
      </c>
      <c r="P586" s="23"/>
      <c r="Q586" s="6">
        <v>0</v>
      </c>
      <c r="R586" s="23"/>
      <c r="S586" s="6">
        <v>5919</v>
      </c>
      <c r="T586" s="23"/>
      <c r="U586" s="6">
        <v>42793</v>
      </c>
      <c r="V586" s="23"/>
      <c r="W586" s="33">
        <f t="shared" si="89"/>
        <v>12132922</v>
      </c>
      <c r="X586" s="23"/>
      <c r="Y586" s="23">
        <v>0</v>
      </c>
      <c r="Z586" s="23"/>
      <c r="AA586" s="23">
        <v>0</v>
      </c>
      <c r="AB586" s="23"/>
      <c r="AC586" s="23">
        <v>0</v>
      </c>
      <c r="AD586" s="23"/>
      <c r="AE586" s="23"/>
      <c r="AF586" s="23"/>
      <c r="AG586" s="23"/>
      <c r="AH586" s="23"/>
      <c r="AI586" s="23">
        <v>0</v>
      </c>
      <c r="AJ586" s="23"/>
      <c r="AK586" s="23">
        <v>0</v>
      </c>
      <c r="AL586" s="23"/>
      <c r="AM586" s="33">
        <f t="shared" si="91"/>
        <v>0</v>
      </c>
      <c r="AN586" s="23"/>
      <c r="AO586" s="33">
        <f t="shared" si="88"/>
        <v>12132922</v>
      </c>
      <c r="AP586" s="33"/>
    </row>
    <row r="587" spans="1:42">
      <c r="A587" s="11" t="s">
        <v>780</v>
      </c>
      <c r="B587" s="11"/>
      <c r="C587" s="11" t="s">
        <v>28</v>
      </c>
      <c r="D587" s="23"/>
      <c r="E587" s="6">
        <v>6833584</v>
      </c>
      <c r="F587" s="23"/>
      <c r="G587" s="6">
        <v>0</v>
      </c>
      <c r="H587" s="23"/>
      <c r="I587" s="6">
        <f>1250+9432160+1129649</f>
        <v>10563059</v>
      </c>
      <c r="J587" s="23"/>
      <c r="K587" s="6">
        <v>25876</v>
      </c>
      <c r="L587" s="23"/>
      <c r="M587" s="6">
        <f>691090+25891+407831+59701</f>
        <v>1184513</v>
      </c>
      <c r="N587" s="23"/>
      <c r="O587" s="6">
        <v>142639</v>
      </c>
      <c r="P587" s="23"/>
      <c r="Q587" s="6">
        <v>0</v>
      </c>
      <c r="R587" s="23"/>
      <c r="S587" s="6">
        <v>0</v>
      </c>
      <c r="T587" s="23"/>
      <c r="U587" s="6">
        <v>165870</v>
      </c>
      <c r="V587" s="23"/>
      <c r="W587" s="33">
        <f t="shared" si="89"/>
        <v>18915541</v>
      </c>
      <c r="X587" s="23"/>
      <c r="Y587" s="23">
        <v>0</v>
      </c>
      <c r="Z587" s="23"/>
      <c r="AA587" s="23">
        <v>0</v>
      </c>
      <c r="AB587" s="23"/>
      <c r="AC587" s="23">
        <v>0</v>
      </c>
      <c r="AD587" s="23"/>
      <c r="AE587" s="23"/>
      <c r="AF587" s="23"/>
      <c r="AG587" s="23"/>
      <c r="AH587" s="23"/>
      <c r="AI587" s="23">
        <f>40836+1422</f>
        <v>42258</v>
      </c>
      <c r="AJ587" s="23"/>
      <c r="AK587" s="23">
        <v>0</v>
      </c>
      <c r="AL587" s="23"/>
      <c r="AM587" s="33">
        <f t="shared" si="91"/>
        <v>42258</v>
      </c>
      <c r="AN587" s="23"/>
      <c r="AO587" s="33">
        <f t="shared" si="88"/>
        <v>18957799</v>
      </c>
      <c r="AP587" s="33"/>
    </row>
    <row r="588" spans="1:42">
      <c r="A588" s="11" t="s">
        <v>457</v>
      </c>
      <c r="B588" s="11"/>
      <c r="C588" s="11" t="s">
        <v>55</v>
      </c>
      <c r="D588" s="23"/>
      <c r="E588" s="6">
        <v>3836769</v>
      </c>
      <c r="F588" s="23"/>
      <c r="G588" s="6">
        <v>0</v>
      </c>
      <c r="H588" s="23"/>
      <c r="I588" s="6">
        <v>14936693</v>
      </c>
      <c r="J588" s="23"/>
      <c r="K588" s="6">
        <v>13845</v>
      </c>
      <c r="L588" s="23"/>
      <c r="M588" s="6">
        <f>710323+252266+3244</f>
        <v>965833</v>
      </c>
      <c r="N588" s="23"/>
      <c r="O588" s="6">
        <v>210090</v>
      </c>
      <c r="P588" s="23"/>
      <c r="Q588" s="6">
        <v>0</v>
      </c>
      <c r="R588" s="23"/>
      <c r="S588" s="6">
        <v>66433</v>
      </c>
      <c r="T588" s="23"/>
      <c r="U588" s="6">
        <v>48523</v>
      </c>
      <c r="V588" s="23"/>
      <c r="W588" s="33">
        <f t="shared" si="89"/>
        <v>20078186</v>
      </c>
      <c r="X588" s="23"/>
      <c r="Y588" s="23">
        <v>95041</v>
      </c>
      <c r="Z588" s="23"/>
      <c r="AA588" s="23">
        <v>0</v>
      </c>
      <c r="AB588" s="23"/>
      <c r="AC588" s="23">
        <v>36406</v>
      </c>
      <c r="AD588" s="23"/>
      <c r="AE588" s="23"/>
      <c r="AF588" s="23"/>
      <c r="AG588" s="23"/>
      <c r="AH588" s="23"/>
      <c r="AI588" s="23">
        <v>12272</v>
      </c>
      <c r="AJ588" s="23"/>
      <c r="AK588" s="23">
        <v>375000</v>
      </c>
      <c r="AL588" s="23"/>
      <c r="AM588" s="33">
        <f>AI588+AC588+Y588+AK588</f>
        <v>518719</v>
      </c>
      <c r="AN588" s="23"/>
      <c r="AO588" s="33">
        <f t="shared" si="88"/>
        <v>20596905</v>
      </c>
      <c r="AP588" s="33"/>
    </row>
    <row r="589" spans="1:42" hidden="1">
      <c r="A589" s="11" t="s">
        <v>708</v>
      </c>
      <c r="B589" s="11"/>
      <c r="C589" s="11" t="s">
        <v>69</v>
      </c>
      <c r="D589" s="23"/>
      <c r="E589" s="6"/>
      <c r="F589" s="23"/>
      <c r="G589" s="6"/>
      <c r="H589" s="23"/>
      <c r="I589" s="6"/>
      <c r="J589" s="23"/>
      <c r="K589" s="6"/>
      <c r="L589" s="23"/>
      <c r="M589" s="6"/>
      <c r="N589" s="23"/>
      <c r="O589" s="6"/>
      <c r="P589" s="23"/>
      <c r="Q589" s="6"/>
      <c r="R589" s="23"/>
      <c r="S589" s="6"/>
      <c r="T589" s="23"/>
      <c r="U589" s="6"/>
      <c r="V589" s="23"/>
      <c r="W589" s="33">
        <f t="shared" si="89"/>
        <v>0</v>
      </c>
      <c r="X589" s="23"/>
      <c r="Y589" s="23"/>
      <c r="Z589" s="23"/>
      <c r="AA589" s="23">
        <v>0</v>
      </c>
      <c r="AB589" s="23"/>
      <c r="AC589" s="23"/>
      <c r="AD589" s="23"/>
      <c r="AE589" s="23"/>
      <c r="AF589" s="23"/>
      <c r="AG589" s="23"/>
      <c r="AH589" s="23"/>
      <c r="AI589" s="23"/>
      <c r="AJ589" s="23"/>
      <c r="AK589" s="23">
        <v>0</v>
      </c>
      <c r="AL589" s="23"/>
      <c r="AM589" s="33">
        <f t="shared" si="91"/>
        <v>0</v>
      </c>
      <c r="AN589" s="23"/>
      <c r="AO589" s="33">
        <f t="shared" si="88"/>
        <v>0</v>
      </c>
      <c r="AP589" s="33"/>
    </row>
    <row r="590" spans="1:42" hidden="1">
      <c r="A590" s="11" t="s">
        <v>803</v>
      </c>
      <c r="B590" s="11"/>
      <c r="C590" s="11" t="s">
        <v>450</v>
      </c>
      <c r="D590" s="23"/>
      <c r="E590" s="6"/>
      <c r="F590" s="23"/>
      <c r="G590" s="6"/>
      <c r="H590" s="23"/>
      <c r="I590" s="6"/>
      <c r="J590" s="23"/>
      <c r="K590" s="6"/>
      <c r="L590" s="23"/>
      <c r="M590" s="6"/>
      <c r="N590" s="23"/>
      <c r="O590" s="6"/>
      <c r="P590" s="23"/>
      <c r="Q590" s="6"/>
      <c r="R590" s="23"/>
      <c r="S590" s="6"/>
      <c r="T590" s="23"/>
      <c r="U590" s="6"/>
      <c r="V590" s="23"/>
      <c r="W590" s="33">
        <f t="shared" si="89"/>
        <v>0</v>
      </c>
      <c r="X590" s="23"/>
      <c r="Y590" s="23"/>
      <c r="Z590" s="23"/>
      <c r="AA590" s="23">
        <v>0</v>
      </c>
      <c r="AB590" s="23"/>
      <c r="AC590" s="23"/>
      <c r="AD590" s="23"/>
      <c r="AE590" s="23"/>
      <c r="AF590" s="23"/>
      <c r="AG590" s="23"/>
      <c r="AH590" s="23"/>
      <c r="AI590" s="23"/>
      <c r="AJ590" s="23"/>
      <c r="AK590" s="23">
        <v>0</v>
      </c>
      <c r="AL590" s="23"/>
      <c r="AM590" s="33">
        <f t="shared" si="91"/>
        <v>0</v>
      </c>
      <c r="AN590" s="23"/>
      <c r="AO590" s="33">
        <f t="shared" si="88"/>
        <v>0</v>
      </c>
      <c r="AP590" s="33"/>
    </row>
    <row r="591" spans="1:42" hidden="1">
      <c r="A591" s="11" t="s">
        <v>646</v>
      </c>
      <c r="B591" s="11"/>
      <c r="C591" s="11" t="s">
        <v>14</v>
      </c>
      <c r="D591" s="23"/>
      <c r="E591" s="6"/>
      <c r="F591" s="23"/>
      <c r="G591" s="6"/>
      <c r="H591" s="23"/>
      <c r="I591" s="6"/>
      <c r="J591" s="23"/>
      <c r="K591" s="6"/>
      <c r="L591" s="23"/>
      <c r="M591" s="6"/>
      <c r="N591" s="23"/>
      <c r="O591" s="6"/>
      <c r="P591" s="23"/>
      <c r="Q591" s="6"/>
      <c r="R591" s="23"/>
      <c r="S591" s="6"/>
      <c r="T591" s="23"/>
      <c r="U591" s="6"/>
      <c r="V591" s="23"/>
      <c r="W591" s="33">
        <f t="shared" si="89"/>
        <v>0</v>
      </c>
      <c r="X591" s="23"/>
      <c r="Y591" s="23"/>
      <c r="Z591" s="23"/>
      <c r="AA591" s="23">
        <v>0</v>
      </c>
      <c r="AB591" s="23"/>
      <c r="AC591" s="23"/>
      <c r="AD591" s="23"/>
      <c r="AE591" s="23"/>
      <c r="AF591" s="23"/>
      <c r="AG591" s="23"/>
      <c r="AH591" s="23"/>
      <c r="AI591" s="23"/>
      <c r="AJ591" s="23"/>
      <c r="AK591" s="23">
        <v>0</v>
      </c>
      <c r="AL591" s="23"/>
      <c r="AM591" s="33">
        <f t="shared" si="91"/>
        <v>0</v>
      </c>
      <c r="AN591" s="23"/>
      <c r="AO591" s="33">
        <f t="shared" si="88"/>
        <v>0</v>
      </c>
      <c r="AP591" s="33"/>
    </row>
    <row r="592" spans="1:42">
      <c r="A592" s="11" t="s">
        <v>532</v>
      </c>
      <c r="B592" s="11"/>
      <c r="C592" s="11" t="s">
        <v>64</v>
      </c>
      <c r="D592" s="23"/>
      <c r="E592" s="6">
        <v>2381957</v>
      </c>
      <c r="F592" s="23"/>
      <c r="G592" s="6">
        <v>0</v>
      </c>
      <c r="H592" s="23"/>
      <c r="I592" s="6">
        <f>4365295+912346</f>
        <v>5277641</v>
      </c>
      <c r="J592" s="23"/>
      <c r="K592" s="6">
        <v>7114</v>
      </c>
      <c r="L592" s="23"/>
      <c r="M592" s="6">
        <f>1605232+136959+24188</f>
        <v>1766379</v>
      </c>
      <c r="N592" s="23"/>
      <c r="O592" s="6">
        <v>89809</v>
      </c>
      <c r="P592" s="23"/>
      <c r="Q592" s="6">
        <v>0</v>
      </c>
      <c r="R592" s="23"/>
      <c r="S592" s="6">
        <v>8414</v>
      </c>
      <c r="T592" s="23"/>
      <c r="U592" s="6">
        <v>24479</v>
      </c>
      <c r="V592" s="23"/>
      <c r="W592" s="33">
        <f t="shared" si="89"/>
        <v>9555793</v>
      </c>
      <c r="X592" s="23"/>
      <c r="Y592" s="23">
        <v>68509</v>
      </c>
      <c r="Z592" s="23"/>
      <c r="AA592" s="23">
        <v>0</v>
      </c>
      <c r="AB592" s="23"/>
      <c r="AC592" s="23">
        <v>0</v>
      </c>
      <c r="AD592" s="23"/>
      <c r="AE592" s="23"/>
      <c r="AF592" s="23"/>
      <c r="AG592" s="23"/>
      <c r="AH592" s="23"/>
      <c r="AI592" s="23">
        <v>0</v>
      </c>
      <c r="AJ592" s="23"/>
      <c r="AK592" s="23">
        <v>0</v>
      </c>
      <c r="AL592" s="23"/>
      <c r="AM592" s="33">
        <f t="shared" si="91"/>
        <v>68509</v>
      </c>
      <c r="AN592" s="23"/>
      <c r="AO592" s="33">
        <f t="shared" si="88"/>
        <v>9624302</v>
      </c>
      <c r="AP592" s="33"/>
    </row>
    <row r="593" spans="1:42">
      <c r="A593" s="11" t="s">
        <v>781</v>
      </c>
      <c r="B593" s="11"/>
      <c r="C593" s="11" t="s">
        <v>44</v>
      </c>
      <c r="D593" s="23"/>
      <c r="E593" s="6">
        <v>4058837</v>
      </c>
      <c r="F593" s="23"/>
      <c r="G593" s="6">
        <v>1756436</v>
      </c>
      <c r="H593" s="23"/>
      <c r="I593" s="6">
        <v>7503793</v>
      </c>
      <c r="J593" s="23"/>
      <c r="K593" s="6">
        <v>6564</v>
      </c>
      <c r="L593" s="23"/>
      <c r="M593" s="6">
        <f>405759+202566</f>
        <v>608325</v>
      </c>
      <c r="N593" s="23"/>
      <c r="O593" s="6">
        <v>324630</v>
      </c>
      <c r="P593" s="23"/>
      <c r="Q593" s="6">
        <v>5120</v>
      </c>
      <c r="R593" s="23"/>
      <c r="S593" s="6">
        <v>103655</v>
      </c>
      <c r="T593" s="23"/>
      <c r="U593" s="6">
        <v>35438</v>
      </c>
      <c r="V593" s="23"/>
      <c r="W593" s="33">
        <f t="shared" si="89"/>
        <v>14402798</v>
      </c>
      <c r="X593" s="23"/>
      <c r="Y593" s="23">
        <v>378912</v>
      </c>
      <c r="Z593" s="23"/>
      <c r="AA593" s="23">
        <v>0</v>
      </c>
      <c r="AB593" s="23"/>
      <c r="AC593" s="23">
        <v>0</v>
      </c>
      <c r="AD593" s="23"/>
      <c r="AE593" s="23"/>
      <c r="AF593" s="23"/>
      <c r="AG593" s="23"/>
      <c r="AH593" s="23"/>
      <c r="AI593" s="23">
        <v>0</v>
      </c>
      <c r="AJ593" s="23"/>
      <c r="AK593" s="23">
        <v>0</v>
      </c>
      <c r="AL593" s="23"/>
      <c r="AM593" s="33">
        <f t="shared" si="91"/>
        <v>378912</v>
      </c>
      <c r="AN593" s="23"/>
      <c r="AO593" s="33">
        <f t="shared" si="88"/>
        <v>14781710</v>
      </c>
      <c r="AP593" s="33"/>
    </row>
    <row r="594" spans="1:42">
      <c r="A594" s="11" t="s">
        <v>361</v>
      </c>
      <c r="B594" s="11"/>
      <c r="C594" s="11" t="s">
        <v>38</v>
      </c>
      <c r="D594" s="23"/>
      <c r="E594" s="6">
        <v>2136980</v>
      </c>
      <c r="F594" s="23"/>
      <c r="G594" s="6">
        <v>0</v>
      </c>
      <c r="H594" s="23"/>
      <c r="I594" s="6">
        <v>14066552</v>
      </c>
      <c r="J594" s="23"/>
      <c r="K594" s="6">
        <v>16525</v>
      </c>
      <c r="L594" s="23"/>
      <c r="M594" s="6">
        <f>377396+217515+3100</f>
        <v>598011</v>
      </c>
      <c r="N594" s="23"/>
      <c r="O594" s="6">
        <v>103638</v>
      </c>
      <c r="P594" s="23"/>
      <c r="Q594" s="6">
        <v>0</v>
      </c>
      <c r="R594" s="23"/>
      <c r="S594" s="6">
        <v>75533</v>
      </c>
      <c r="T594" s="23"/>
      <c r="U594" s="6">
        <v>113769</v>
      </c>
      <c r="V594" s="23"/>
      <c r="W594" s="33">
        <f t="shared" si="89"/>
        <v>17111008</v>
      </c>
      <c r="X594" s="23"/>
      <c r="Y594" s="23">
        <v>0</v>
      </c>
      <c r="Z594" s="23"/>
      <c r="AA594" s="23">
        <v>0</v>
      </c>
      <c r="AB594" s="23"/>
      <c r="AC594" s="23">
        <v>500000</v>
      </c>
      <c r="AD594" s="23"/>
      <c r="AE594" s="23"/>
      <c r="AF594" s="23"/>
      <c r="AG594" s="23"/>
      <c r="AH594" s="23"/>
      <c r="AI594" s="23">
        <v>2053113</v>
      </c>
      <c r="AJ594" s="23"/>
      <c r="AK594" s="23">
        <v>0</v>
      </c>
      <c r="AL594" s="23"/>
      <c r="AM594" s="33">
        <f t="shared" si="91"/>
        <v>2553113</v>
      </c>
      <c r="AN594" s="23"/>
      <c r="AO594" s="33">
        <f t="shared" si="88"/>
        <v>19664121</v>
      </c>
      <c r="AP594" s="33"/>
    </row>
    <row r="595" spans="1:42">
      <c r="A595" s="11" t="s">
        <v>252</v>
      </c>
      <c r="B595" s="11"/>
      <c r="C595" s="11" t="s">
        <v>112</v>
      </c>
      <c r="D595" s="23"/>
      <c r="E595" s="6">
        <v>1036645</v>
      </c>
      <c r="F595" s="23"/>
      <c r="G595" s="6">
        <v>0</v>
      </c>
      <c r="H595" s="23"/>
      <c r="I595" s="6">
        <f>6317324+1047995</f>
        <v>7365319</v>
      </c>
      <c r="J595" s="23"/>
      <c r="K595" s="6">
        <v>29861</v>
      </c>
      <c r="L595" s="23"/>
      <c r="M595" s="6">
        <f>632429+65851+1006</f>
        <v>699286</v>
      </c>
      <c r="N595" s="23"/>
      <c r="O595" s="6">
        <v>89742</v>
      </c>
      <c r="P595" s="23"/>
      <c r="Q595" s="6">
        <v>0</v>
      </c>
      <c r="R595" s="23"/>
      <c r="S595" s="6">
        <v>4626</v>
      </c>
      <c r="T595" s="23"/>
      <c r="U595" s="6">
        <v>5270</v>
      </c>
      <c r="V595" s="23"/>
      <c r="W595" s="33">
        <f t="shared" si="89"/>
        <v>9230749</v>
      </c>
      <c r="X595" s="23"/>
      <c r="Y595" s="23">
        <v>0</v>
      </c>
      <c r="Z595" s="23"/>
      <c r="AA595" s="23">
        <v>0</v>
      </c>
      <c r="AB595" s="23"/>
      <c r="AC595" s="23">
        <v>0</v>
      </c>
      <c r="AD595" s="23"/>
      <c r="AE595" s="23"/>
      <c r="AF595" s="23"/>
      <c r="AG595" s="23"/>
      <c r="AH595" s="23"/>
      <c r="AI595" s="23">
        <v>0</v>
      </c>
      <c r="AJ595" s="23"/>
      <c r="AK595" s="23">
        <v>0</v>
      </c>
      <c r="AL595" s="23"/>
      <c r="AM595" s="33">
        <f t="shared" si="91"/>
        <v>0</v>
      </c>
      <c r="AN595" s="23"/>
      <c r="AO595" s="33">
        <f t="shared" si="88"/>
        <v>9230749</v>
      </c>
      <c r="AP595" s="33"/>
    </row>
    <row r="596" spans="1:42">
      <c r="A596" s="11" t="s">
        <v>408</v>
      </c>
      <c r="B596" s="11"/>
      <c r="C596" s="11" t="s">
        <v>45</v>
      </c>
      <c r="D596" s="23"/>
      <c r="E596" s="6">
        <v>4751732</v>
      </c>
      <c r="F596" s="23"/>
      <c r="G596" s="6">
        <v>0</v>
      </c>
      <c r="H596" s="23"/>
      <c r="I596" s="6">
        <f>2675+12014704+2198031</f>
        <v>14215410</v>
      </c>
      <c r="J596" s="23"/>
      <c r="K596" s="6">
        <v>19027</v>
      </c>
      <c r="L596" s="23"/>
      <c r="M596" s="6">
        <f>1730981+511431+28154</f>
        <v>2270566</v>
      </c>
      <c r="N596" s="23"/>
      <c r="O596" s="6">
        <v>316429</v>
      </c>
      <c r="P596" s="23"/>
      <c r="Q596" s="6">
        <v>0</v>
      </c>
      <c r="R596" s="23"/>
      <c r="S596" s="6">
        <v>0</v>
      </c>
      <c r="T596" s="23"/>
      <c r="U596" s="6">
        <v>517230</v>
      </c>
      <c r="V596" s="23"/>
      <c r="W596" s="33">
        <f t="shared" si="89"/>
        <v>22090394</v>
      </c>
      <c r="X596" s="23"/>
      <c r="Y596" s="23">
        <v>225354</v>
      </c>
      <c r="Z596" s="23"/>
      <c r="AA596" s="23">
        <v>0</v>
      </c>
      <c r="AB596" s="23"/>
      <c r="AC596" s="23">
        <v>0</v>
      </c>
      <c r="AD596" s="23"/>
      <c r="AE596" s="23"/>
      <c r="AF596" s="23"/>
      <c r="AG596" s="23"/>
      <c r="AH596" s="23"/>
      <c r="AI596" s="23">
        <v>0</v>
      </c>
      <c r="AJ596" s="23"/>
      <c r="AK596" s="23">
        <v>0</v>
      </c>
      <c r="AL596" s="23"/>
      <c r="AM596" s="33">
        <f t="shared" si="91"/>
        <v>225354</v>
      </c>
      <c r="AN596" s="23"/>
      <c r="AO596" s="33">
        <f t="shared" si="88"/>
        <v>22315748</v>
      </c>
      <c r="AP596" s="33"/>
    </row>
    <row r="597" spans="1:42">
      <c r="A597" s="11" t="s">
        <v>707</v>
      </c>
      <c r="B597" s="11"/>
      <c r="C597" s="11" t="s">
        <v>50</v>
      </c>
      <c r="D597" s="23"/>
      <c r="E597" s="6">
        <v>16799793</v>
      </c>
      <c r="F597" s="23"/>
      <c r="G597" s="6">
        <v>0</v>
      </c>
      <c r="H597" s="23"/>
      <c r="I597" s="6">
        <f>19384481+3997533</f>
        <v>23382014</v>
      </c>
      <c r="J597" s="23"/>
      <c r="K597" s="6">
        <v>310328</v>
      </c>
      <c r="L597" s="23"/>
      <c r="M597" s="6">
        <f>295109+19150+447948+106378+71017</f>
        <v>939602</v>
      </c>
      <c r="N597" s="23"/>
      <c r="O597" s="6">
        <v>156609</v>
      </c>
      <c r="P597" s="23"/>
      <c r="Q597" s="6">
        <v>38007</v>
      </c>
      <c r="R597" s="23"/>
      <c r="S597" s="6">
        <v>140057</v>
      </c>
      <c r="T597" s="23"/>
      <c r="U597" s="6">
        <v>207273</v>
      </c>
      <c r="V597" s="23"/>
      <c r="W597" s="33">
        <f t="shared" si="89"/>
        <v>41973683</v>
      </c>
      <c r="X597" s="23"/>
      <c r="Y597" s="23">
        <v>0</v>
      </c>
      <c r="Z597" s="23"/>
      <c r="AA597" s="23">
        <v>0</v>
      </c>
      <c r="AB597" s="23"/>
      <c r="AC597" s="23">
        <v>0</v>
      </c>
      <c r="AD597" s="23"/>
      <c r="AE597" s="23"/>
      <c r="AF597" s="23"/>
      <c r="AG597" s="23"/>
      <c r="AH597" s="23"/>
      <c r="AI597" s="23">
        <v>0</v>
      </c>
      <c r="AJ597" s="23"/>
      <c r="AK597" s="23">
        <v>0</v>
      </c>
      <c r="AL597" s="23"/>
      <c r="AM597" s="33">
        <f t="shared" si="91"/>
        <v>0</v>
      </c>
      <c r="AN597" s="23"/>
      <c r="AO597" s="33">
        <f t="shared" si="88"/>
        <v>41973683</v>
      </c>
      <c r="AP597" s="33"/>
    </row>
    <row r="598" spans="1:42">
      <c r="A598" s="11" t="s">
        <v>241</v>
      </c>
      <c r="B598" s="11"/>
      <c r="C598" s="11" t="s">
        <v>113</v>
      </c>
      <c r="D598" s="23"/>
      <c r="E598" s="6">
        <v>36068184</v>
      </c>
      <c r="F598" s="23"/>
      <c r="G598" s="6">
        <v>0</v>
      </c>
      <c r="H598" s="23"/>
      <c r="I598" s="6">
        <v>37203348</v>
      </c>
      <c r="J598" s="23"/>
      <c r="K598" s="6">
        <v>1130</v>
      </c>
      <c r="L598" s="23"/>
      <c r="M598" s="6">
        <f>844223+1179494</f>
        <v>2023717</v>
      </c>
      <c r="N598" s="23"/>
      <c r="O598" s="6">
        <v>712133</v>
      </c>
      <c r="P598" s="23"/>
      <c r="Q598" s="6">
        <v>0</v>
      </c>
      <c r="R598" s="23"/>
      <c r="S598" s="6">
        <v>0</v>
      </c>
      <c r="T598" s="23"/>
      <c r="U598" s="6">
        <v>917990</v>
      </c>
      <c r="V598" s="23"/>
      <c r="W598" s="33">
        <f t="shared" si="89"/>
        <v>76926502</v>
      </c>
      <c r="X598" s="23"/>
      <c r="Y598" s="23">
        <v>114723</v>
      </c>
      <c r="Z598" s="23"/>
      <c r="AA598" s="23">
        <v>0</v>
      </c>
      <c r="AB598" s="23"/>
      <c r="AC598" s="23">
        <v>0</v>
      </c>
      <c r="AD598" s="23"/>
      <c r="AE598" s="23"/>
      <c r="AF598" s="23"/>
      <c r="AG598" s="23"/>
      <c r="AH598" s="23"/>
      <c r="AI598" s="23">
        <v>0</v>
      </c>
      <c r="AJ598" s="23"/>
      <c r="AK598" s="23">
        <v>0</v>
      </c>
      <c r="AL598" s="23"/>
      <c r="AM598" s="33">
        <f t="shared" si="91"/>
        <v>114723</v>
      </c>
      <c r="AN598" s="23"/>
      <c r="AO598" s="33">
        <f t="shared" si="88"/>
        <v>77041225</v>
      </c>
      <c r="AP598" s="33"/>
    </row>
    <row r="599" spans="1:42">
      <c r="A599" s="11" t="s">
        <v>316</v>
      </c>
      <c r="B599" s="11"/>
      <c r="C599" s="11" t="s">
        <v>30</v>
      </c>
      <c r="D599" s="23"/>
      <c r="E599" s="6">
        <v>20220677</v>
      </c>
      <c r="F599" s="23"/>
      <c r="G599" s="6">
        <v>0</v>
      </c>
      <c r="H599" s="23"/>
      <c r="I599" s="6">
        <v>7992179</v>
      </c>
      <c r="J599" s="23"/>
      <c r="K599" s="6">
        <v>82212</v>
      </c>
      <c r="L599" s="23"/>
      <c r="M599" s="6">
        <f>1873355+6886+301358</f>
        <v>2181599</v>
      </c>
      <c r="N599" s="23"/>
      <c r="O599" s="6">
        <v>330765</v>
      </c>
      <c r="P599" s="23"/>
      <c r="Q599" s="6">
        <v>0</v>
      </c>
      <c r="R599" s="23"/>
      <c r="S599" s="6">
        <v>170424</v>
      </c>
      <c r="T599" s="23"/>
      <c r="U599" s="6">
        <v>49219</v>
      </c>
      <c r="V599" s="23"/>
      <c r="W599" s="33">
        <f t="shared" si="89"/>
        <v>31027075</v>
      </c>
      <c r="X599" s="23"/>
      <c r="Y599" s="23">
        <v>154000</v>
      </c>
      <c r="Z599" s="23"/>
      <c r="AA599" s="23">
        <v>0</v>
      </c>
      <c r="AB599" s="23"/>
      <c r="AC599" s="23">
        <v>0</v>
      </c>
      <c r="AD599" s="23"/>
      <c r="AE599" s="23"/>
      <c r="AF599" s="23"/>
      <c r="AG599" s="23"/>
      <c r="AH599" s="23"/>
      <c r="AI599" s="23">
        <v>12595</v>
      </c>
      <c r="AJ599" s="23"/>
      <c r="AK599" s="23">
        <v>0</v>
      </c>
      <c r="AL599" s="23"/>
      <c r="AM599" s="33">
        <f t="shared" si="91"/>
        <v>166595</v>
      </c>
      <c r="AN599" s="23"/>
      <c r="AO599" s="33">
        <f t="shared" si="88"/>
        <v>31193670</v>
      </c>
      <c r="AP599" s="33"/>
    </row>
    <row r="600" spans="1:42">
      <c r="A600" s="11" t="s">
        <v>354</v>
      </c>
      <c r="B600" s="11"/>
      <c r="C600" s="11" t="s">
        <v>36</v>
      </c>
      <c r="D600" s="23"/>
      <c r="E600" s="6">
        <v>9715100</v>
      </c>
      <c r="F600" s="23"/>
      <c r="G600" s="6">
        <v>0</v>
      </c>
      <c r="H600" s="23"/>
      <c r="I600" s="6">
        <v>15003606</v>
      </c>
      <c r="J600" s="23"/>
      <c r="K600" s="6">
        <v>53933</v>
      </c>
      <c r="L600" s="23"/>
      <c r="M600" s="6">
        <f>549179+44715+454085</f>
        <v>1047979</v>
      </c>
      <c r="N600" s="23"/>
      <c r="O600" s="6">
        <v>343178</v>
      </c>
      <c r="P600" s="23"/>
      <c r="Q600" s="6">
        <v>0</v>
      </c>
      <c r="R600" s="23"/>
      <c r="S600" s="6">
        <v>20909</v>
      </c>
      <c r="T600" s="23"/>
      <c r="U600" s="6">
        <v>39580</v>
      </c>
      <c r="V600" s="23"/>
      <c r="W600" s="33">
        <f t="shared" si="89"/>
        <v>26224285</v>
      </c>
      <c r="X600" s="23"/>
      <c r="Y600" s="23">
        <v>0</v>
      </c>
      <c r="Z600" s="23"/>
      <c r="AA600" s="23">
        <v>0</v>
      </c>
      <c r="AB600" s="23"/>
      <c r="AC600" s="23">
        <v>0</v>
      </c>
      <c r="AD600" s="23"/>
      <c r="AE600" s="23"/>
      <c r="AF600" s="23"/>
      <c r="AG600" s="23"/>
      <c r="AH600" s="23"/>
      <c r="AI600" s="23">
        <v>0</v>
      </c>
      <c r="AJ600" s="23"/>
      <c r="AK600" s="23">
        <v>0</v>
      </c>
      <c r="AL600" s="23"/>
      <c r="AM600" s="33">
        <f t="shared" si="91"/>
        <v>0</v>
      </c>
      <c r="AN600" s="23"/>
      <c r="AO600" s="33">
        <f t="shared" si="88"/>
        <v>26224285</v>
      </c>
      <c r="AP600" s="33"/>
    </row>
    <row r="601" spans="1:42">
      <c r="A601" s="11" t="s">
        <v>230</v>
      </c>
      <c r="B601" s="11"/>
      <c r="C601" s="11" t="s">
        <v>228</v>
      </c>
      <c r="D601" s="23"/>
      <c r="E601" s="6">
        <v>1646177</v>
      </c>
      <c r="F601" s="23"/>
      <c r="G601" s="6">
        <v>1816024</v>
      </c>
      <c r="H601" s="23"/>
      <c r="I601" s="6">
        <f>5948661+604327</f>
        <v>6552988</v>
      </c>
      <c r="J601" s="23"/>
      <c r="K601" s="6">
        <v>7840</v>
      </c>
      <c r="L601" s="23"/>
      <c r="M601" s="6">
        <f>1330133+327162+20+12913</f>
        <v>1670228</v>
      </c>
      <c r="N601" s="23"/>
      <c r="O601" s="6">
        <v>186554</v>
      </c>
      <c r="P601" s="23"/>
      <c r="Q601" s="6">
        <v>0</v>
      </c>
      <c r="R601" s="23"/>
      <c r="S601" s="6">
        <v>9090</v>
      </c>
      <c r="T601" s="23"/>
      <c r="U601" s="6">
        <v>165171</v>
      </c>
      <c r="V601" s="23"/>
      <c r="W601" s="33">
        <f t="shared" si="89"/>
        <v>12054072</v>
      </c>
      <c r="X601" s="23"/>
      <c r="Y601" s="23">
        <v>1655</v>
      </c>
      <c r="Z601" s="23"/>
      <c r="AA601" s="23">
        <v>0</v>
      </c>
      <c r="AB601" s="23"/>
      <c r="AC601" s="23">
        <v>0</v>
      </c>
      <c r="AD601" s="23"/>
      <c r="AE601" s="23"/>
      <c r="AF601" s="23"/>
      <c r="AG601" s="23"/>
      <c r="AH601" s="23"/>
      <c r="AI601" s="23">
        <v>0</v>
      </c>
      <c r="AJ601" s="23"/>
      <c r="AK601" s="23">
        <v>0</v>
      </c>
      <c r="AL601" s="23"/>
      <c r="AM601" s="33">
        <f t="shared" si="91"/>
        <v>1655</v>
      </c>
      <c r="AN601" s="23"/>
      <c r="AO601" s="33">
        <f t="shared" si="88"/>
        <v>12055727</v>
      </c>
      <c r="AP601" s="33"/>
    </row>
    <row r="602" spans="1:42">
      <c r="A602" s="11" t="s">
        <v>447</v>
      </c>
      <c r="B602" s="11"/>
      <c r="C602" s="11" t="s">
        <v>51</v>
      </c>
      <c r="D602" s="23"/>
      <c r="E602" s="6">
        <v>9513773</v>
      </c>
      <c r="F602" s="23"/>
      <c r="G602" s="6">
        <v>0</v>
      </c>
      <c r="H602" s="23"/>
      <c r="I602" s="6">
        <v>9150795</v>
      </c>
      <c r="J602" s="23"/>
      <c r="K602" s="6">
        <v>35799</v>
      </c>
      <c r="L602" s="23"/>
      <c r="M602" s="6">
        <f>1306314+255928+1480</f>
        <v>1563722</v>
      </c>
      <c r="N602" s="23"/>
      <c r="O602" s="6">
        <v>213698</v>
      </c>
      <c r="P602" s="23"/>
      <c r="Q602" s="6">
        <v>171949</v>
      </c>
      <c r="R602" s="23"/>
      <c r="S602" s="6">
        <v>133955</v>
      </c>
      <c r="T602" s="23"/>
      <c r="U602" s="6">
        <v>43108</v>
      </c>
      <c r="V602" s="23"/>
      <c r="W602" s="33">
        <f t="shared" si="89"/>
        <v>20826799</v>
      </c>
      <c r="X602" s="23"/>
      <c r="Y602" s="23">
        <v>35000</v>
      </c>
      <c r="Z602" s="23"/>
      <c r="AA602" s="23">
        <v>0</v>
      </c>
      <c r="AB602" s="23"/>
      <c r="AC602" s="23">
        <f>7999593+715578-45771</f>
        <v>8669400</v>
      </c>
      <c r="AD602" s="23"/>
      <c r="AE602" s="23"/>
      <c r="AF602" s="23"/>
      <c r="AG602" s="23"/>
      <c r="AH602" s="23"/>
      <c r="AI602" s="23">
        <v>1500</v>
      </c>
      <c r="AJ602" s="23"/>
      <c r="AK602" s="23">
        <v>0</v>
      </c>
      <c r="AL602" s="23"/>
      <c r="AM602" s="33">
        <f t="shared" si="91"/>
        <v>8705900</v>
      </c>
      <c r="AN602" s="23"/>
      <c r="AO602" s="33">
        <f t="shared" si="88"/>
        <v>29532699</v>
      </c>
      <c r="AP602" s="33"/>
    </row>
    <row r="603" spans="1:42">
      <c r="A603" s="11" t="s">
        <v>220</v>
      </c>
      <c r="B603" s="11"/>
      <c r="C603" s="11" t="s">
        <v>77</v>
      </c>
      <c r="D603" s="23"/>
      <c r="E603" s="6">
        <v>5028289</v>
      </c>
      <c r="F603" s="23"/>
      <c r="G603" s="6">
        <v>0</v>
      </c>
      <c r="H603" s="23"/>
      <c r="I603" s="6">
        <v>23124431</v>
      </c>
      <c r="J603" s="23"/>
      <c r="K603" s="6">
        <v>10197</v>
      </c>
      <c r="L603" s="23"/>
      <c r="M603" s="6">
        <f>1519029+17946</f>
        <v>1536975</v>
      </c>
      <c r="N603" s="23"/>
      <c r="O603" s="6">
        <v>394573</v>
      </c>
      <c r="P603" s="23"/>
      <c r="Q603" s="6">
        <v>104257</v>
      </c>
      <c r="R603" s="23"/>
      <c r="S603" s="6">
        <v>93847</v>
      </c>
      <c r="T603" s="23"/>
      <c r="U603" s="6">
        <v>76508</v>
      </c>
      <c r="V603" s="23"/>
      <c r="W603" s="33">
        <f t="shared" si="89"/>
        <v>30369077</v>
      </c>
      <c r="X603" s="23"/>
      <c r="Y603" s="23">
        <v>0</v>
      </c>
      <c r="Z603" s="23"/>
      <c r="AA603" s="23">
        <v>0</v>
      </c>
      <c r="AB603" s="23"/>
      <c r="AC603" s="23">
        <v>0</v>
      </c>
      <c r="AD603" s="23"/>
      <c r="AE603" s="23"/>
      <c r="AF603" s="23"/>
      <c r="AG603" s="23"/>
      <c r="AH603" s="23"/>
      <c r="AI603" s="23">
        <v>0</v>
      </c>
      <c r="AJ603" s="23"/>
      <c r="AK603" s="23">
        <v>0</v>
      </c>
      <c r="AL603" s="23"/>
      <c r="AM603" s="33">
        <f t="shared" si="91"/>
        <v>0</v>
      </c>
      <c r="AN603" s="23"/>
      <c r="AO603" s="33">
        <f t="shared" si="88"/>
        <v>30369077</v>
      </c>
      <c r="AP603" s="33"/>
    </row>
    <row r="604" spans="1:42">
      <c r="A604" s="11" t="s">
        <v>458</v>
      </c>
      <c r="B604" s="11"/>
      <c r="C604" s="11" t="s">
        <v>55</v>
      </c>
      <c r="D604" s="23"/>
      <c r="E604" s="6">
        <v>858582</v>
      </c>
      <c r="F604" s="23"/>
      <c r="G604" s="6">
        <v>0</v>
      </c>
      <c r="H604" s="23"/>
      <c r="I604" s="6">
        <v>8178933</v>
      </c>
      <c r="J604" s="23"/>
      <c r="K604" s="6">
        <v>17003</v>
      </c>
      <c r="L604" s="23"/>
      <c r="M604" s="6">
        <f>315+237519+75993</f>
        <v>313827</v>
      </c>
      <c r="N604" s="23"/>
      <c r="O604" s="6">
        <v>43294</v>
      </c>
      <c r="P604" s="23"/>
      <c r="Q604" s="6">
        <v>0</v>
      </c>
      <c r="R604" s="23"/>
      <c r="S604" s="6">
        <v>1755</v>
      </c>
      <c r="T604" s="23"/>
      <c r="U604" s="6">
        <v>6222</v>
      </c>
      <c r="V604" s="23"/>
      <c r="W604" s="33">
        <f t="shared" si="89"/>
        <v>9419616</v>
      </c>
      <c r="X604" s="23"/>
      <c r="Y604" s="23">
        <v>134307</v>
      </c>
      <c r="Z604" s="23"/>
      <c r="AA604" s="23">
        <v>0</v>
      </c>
      <c r="AB604" s="23"/>
      <c r="AC604" s="23">
        <v>0</v>
      </c>
      <c r="AD604" s="23"/>
      <c r="AE604" s="23"/>
      <c r="AF604" s="23"/>
      <c r="AG604" s="23"/>
      <c r="AH604" s="23"/>
      <c r="AI604" s="23">
        <v>0</v>
      </c>
      <c r="AJ604" s="23"/>
      <c r="AK604" s="23">
        <v>0</v>
      </c>
      <c r="AL604" s="23"/>
      <c r="AM604" s="33">
        <f t="shared" si="91"/>
        <v>134307</v>
      </c>
      <c r="AN604" s="23"/>
      <c r="AO604" s="33">
        <f t="shared" si="88"/>
        <v>9553923</v>
      </c>
      <c r="AP604" s="33"/>
    </row>
    <row r="605" spans="1:42">
      <c r="A605" s="11" t="s">
        <v>359</v>
      </c>
      <c r="B605" s="11"/>
      <c r="C605" s="11" t="s">
        <v>37</v>
      </c>
      <c r="D605" s="23"/>
      <c r="E605" s="6">
        <v>2588277</v>
      </c>
      <c r="F605" s="23"/>
      <c r="G605" s="6">
        <v>1771157</v>
      </c>
      <c r="H605" s="23"/>
      <c r="I605" s="6">
        <f>49515+6371715+713105</f>
        <v>7134335</v>
      </c>
      <c r="J605" s="23"/>
      <c r="K605" s="6">
        <v>9238</v>
      </c>
      <c r="L605" s="23"/>
      <c r="M605" s="6">
        <f>728420+178266+24014+12872</f>
        <v>943572</v>
      </c>
      <c r="N605" s="23"/>
      <c r="O605" s="6">
        <v>256890</v>
      </c>
      <c r="P605" s="23"/>
      <c r="Q605" s="6">
        <v>0</v>
      </c>
      <c r="R605" s="23"/>
      <c r="S605" s="6">
        <v>150</v>
      </c>
      <c r="T605" s="23"/>
      <c r="U605" s="6">
        <v>68560</v>
      </c>
      <c r="V605" s="23"/>
      <c r="W605" s="33">
        <f t="shared" si="89"/>
        <v>12772179</v>
      </c>
      <c r="X605" s="23"/>
      <c r="Y605" s="23">
        <v>0</v>
      </c>
      <c r="Z605" s="23"/>
      <c r="AA605" s="23">
        <v>0</v>
      </c>
      <c r="AB605" s="23"/>
      <c r="AC605" s="23">
        <v>76000</v>
      </c>
      <c r="AD605" s="23"/>
      <c r="AE605" s="23"/>
      <c r="AF605" s="23"/>
      <c r="AG605" s="23"/>
      <c r="AH605" s="23"/>
      <c r="AI605" s="23">
        <v>0</v>
      </c>
      <c r="AJ605" s="23"/>
      <c r="AK605" s="23">
        <v>0</v>
      </c>
      <c r="AL605" s="23"/>
      <c r="AM605" s="33">
        <f t="shared" si="91"/>
        <v>76000</v>
      </c>
      <c r="AN605" s="23"/>
      <c r="AO605" s="33">
        <f t="shared" si="88"/>
        <v>12848179</v>
      </c>
      <c r="AP605" s="33"/>
    </row>
    <row r="606" spans="1:42">
      <c r="A606" s="11" t="s">
        <v>359</v>
      </c>
      <c r="B606" s="11"/>
      <c r="C606" s="11" t="s">
        <v>45</v>
      </c>
      <c r="D606" s="23"/>
      <c r="E606" s="6">
        <v>3329834</v>
      </c>
      <c r="F606" s="23"/>
      <c r="G606" s="6">
        <v>0</v>
      </c>
      <c r="H606" s="23"/>
      <c r="I606" s="6">
        <v>4236873</v>
      </c>
      <c r="J606" s="23"/>
      <c r="K606" s="6">
        <v>24214</v>
      </c>
      <c r="L606" s="23"/>
      <c r="M606" s="6">
        <f>812136+163722+1426</f>
        <v>977284</v>
      </c>
      <c r="N606" s="23"/>
      <c r="O606" s="6">
        <v>145969</v>
      </c>
      <c r="P606" s="23"/>
      <c r="Q606" s="6">
        <v>0</v>
      </c>
      <c r="R606" s="23"/>
      <c r="S606" s="6">
        <v>19073</v>
      </c>
      <c r="T606" s="23"/>
      <c r="U606" s="6">
        <v>102320</v>
      </c>
      <c r="V606" s="23"/>
      <c r="W606" s="33">
        <f t="shared" si="89"/>
        <v>8835567</v>
      </c>
      <c r="X606" s="23"/>
      <c r="Y606" s="23">
        <v>41831</v>
      </c>
      <c r="Z606" s="23"/>
      <c r="AA606" s="23">
        <v>0</v>
      </c>
      <c r="AB606" s="23"/>
      <c r="AC606" s="23">
        <v>117000</v>
      </c>
      <c r="AD606" s="23"/>
      <c r="AE606" s="23"/>
      <c r="AF606" s="23"/>
      <c r="AG606" s="23"/>
      <c r="AH606" s="23"/>
      <c r="AI606" s="23">
        <v>34211</v>
      </c>
      <c r="AJ606" s="23"/>
      <c r="AK606" s="23">
        <v>273818</v>
      </c>
      <c r="AL606" s="23"/>
      <c r="AM606" s="33">
        <f>AI606+AC606+Y606+AK606</f>
        <v>466860</v>
      </c>
      <c r="AN606" s="23"/>
      <c r="AO606" s="33">
        <f t="shared" si="88"/>
        <v>9302427</v>
      </c>
      <c r="AP606" s="33"/>
    </row>
    <row r="607" spans="1:42">
      <c r="A607" s="11" t="s">
        <v>309</v>
      </c>
      <c r="B607" s="11"/>
      <c r="C607" s="11" t="s">
        <v>27</v>
      </c>
      <c r="D607" s="23"/>
      <c r="E607" s="6">
        <v>108880413</v>
      </c>
      <c r="F607" s="23"/>
      <c r="G607" s="6">
        <v>0</v>
      </c>
      <c r="H607" s="23"/>
      <c r="I607" s="6">
        <f>48531131+9819993</f>
        <v>58351124</v>
      </c>
      <c r="J607" s="23"/>
      <c r="K607" s="6">
        <v>35657</v>
      </c>
      <c r="L607" s="23"/>
      <c r="M607" s="6">
        <f>1145130+2283149+569767+620748</f>
        <v>4618794</v>
      </c>
      <c r="N607" s="23"/>
      <c r="O607" s="6">
        <v>1733212</v>
      </c>
      <c r="P607" s="23"/>
      <c r="Q607" s="6">
        <v>2385150</v>
      </c>
      <c r="R607" s="23"/>
      <c r="S607" s="6">
        <v>246724</v>
      </c>
      <c r="T607" s="23"/>
      <c r="U607" s="6">
        <v>377674</v>
      </c>
      <c r="V607" s="23"/>
      <c r="W607" s="33">
        <f t="shared" si="89"/>
        <v>176628748</v>
      </c>
      <c r="X607" s="23"/>
      <c r="Y607" s="23">
        <v>2980338</v>
      </c>
      <c r="Z607" s="23"/>
      <c r="AA607" s="23">
        <v>0</v>
      </c>
      <c r="AB607" s="23"/>
      <c r="AC607" s="23">
        <v>0</v>
      </c>
      <c r="AD607" s="23"/>
      <c r="AE607" s="23"/>
      <c r="AF607" s="23"/>
      <c r="AG607" s="23"/>
      <c r="AH607" s="23"/>
      <c r="AI607" s="23">
        <v>0</v>
      </c>
      <c r="AJ607" s="23"/>
      <c r="AK607" s="23">
        <v>0</v>
      </c>
      <c r="AL607" s="23"/>
      <c r="AM607" s="33">
        <f t="shared" si="91"/>
        <v>2980338</v>
      </c>
      <c r="AN607" s="23"/>
      <c r="AO607" s="33">
        <f t="shared" si="88"/>
        <v>179609086</v>
      </c>
      <c r="AP607" s="33"/>
    </row>
    <row r="608" spans="1:42">
      <c r="A608" s="11" t="s">
        <v>455</v>
      </c>
      <c r="B608" s="11"/>
      <c r="C608" s="11" t="s">
        <v>54</v>
      </c>
      <c r="D608" s="23"/>
      <c r="E608" s="6">
        <v>4963239</v>
      </c>
      <c r="F608" s="23"/>
      <c r="G608" s="6">
        <v>0</v>
      </c>
      <c r="H608" s="23"/>
      <c r="I608" s="6">
        <v>10096171</v>
      </c>
      <c r="J608" s="23"/>
      <c r="K608" s="6">
        <v>44120</v>
      </c>
      <c r="L608" s="23"/>
      <c r="M608" s="6">
        <f>529602+150827+251887</f>
        <v>932316</v>
      </c>
      <c r="N608" s="23"/>
      <c r="O608" s="6">
        <v>133924</v>
      </c>
      <c r="P608" s="23"/>
      <c r="Q608" s="6">
        <v>507166</v>
      </c>
      <c r="R608" s="23"/>
      <c r="S608" s="6">
        <v>15236</v>
      </c>
      <c r="T608" s="23"/>
      <c r="U608" s="6">
        <v>253413</v>
      </c>
      <c r="V608" s="23"/>
      <c r="W608" s="33">
        <f t="shared" si="89"/>
        <v>16945585</v>
      </c>
      <c r="X608" s="23"/>
      <c r="Y608" s="23">
        <v>333174</v>
      </c>
      <c r="Z608" s="23"/>
      <c r="AA608" s="23">
        <v>0</v>
      </c>
      <c r="AB608" s="23"/>
      <c r="AC608" s="23">
        <v>0</v>
      </c>
      <c r="AD608" s="23"/>
      <c r="AE608" s="23"/>
      <c r="AF608" s="23"/>
      <c r="AG608" s="23"/>
      <c r="AH608" s="23"/>
      <c r="AI608" s="23">
        <v>0</v>
      </c>
      <c r="AJ608" s="23"/>
      <c r="AK608" s="23">
        <v>0</v>
      </c>
      <c r="AL608" s="23"/>
      <c r="AM608" s="33">
        <f t="shared" si="91"/>
        <v>333174</v>
      </c>
      <c r="AN608" s="23"/>
      <c r="AO608" s="33">
        <f t="shared" si="88"/>
        <v>17278759</v>
      </c>
      <c r="AP608" s="33"/>
    </row>
    <row r="609" spans="1:42">
      <c r="A609" s="11" t="s">
        <v>281</v>
      </c>
      <c r="B609" s="11"/>
      <c r="C609" s="11" t="s">
        <v>20</v>
      </c>
      <c r="D609" s="23"/>
      <c r="E609" s="6">
        <v>45596405</v>
      </c>
      <c r="F609" s="23"/>
      <c r="G609" s="6">
        <v>0</v>
      </c>
      <c r="H609" s="23"/>
      <c r="I609" s="6">
        <f>10637072+3554779</f>
        <v>14191851</v>
      </c>
      <c r="J609" s="23"/>
      <c r="K609" s="6">
        <v>431229</v>
      </c>
      <c r="L609" s="23"/>
      <c r="M609" s="6">
        <f>688926+22711+1028386+257721+73317+18060</f>
        <v>2089121</v>
      </c>
      <c r="N609" s="23"/>
      <c r="O609" s="6">
        <v>313010</v>
      </c>
      <c r="P609" s="23"/>
      <c r="Q609" s="6">
        <v>0</v>
      </c>
      <c r="R609" s="23"/>
      <c r="S609" s="6">
        <v>212665</v>
      </c>
      <c r="T609" s="23"/>
      <c r="U609" s="6">
        <v>66841</v>
      </c>
      <c r="V609" s="23"/>
      <c r="W609" s="33">
        <f t="shared" si="89"/>
        <v>62901122</v>
      </c>
      <c r="X609" s="23"/>
      <c r="Y609" s="23">
        <v>10000</v>
      </c>
      <c r="Z609" s="23"/>
      <c r="AA609" s="23">
        <v>0</v>
      </c>
      <c r="AB609" s="23"/>
      <c r="AC609" s="23">
        <f>393218+6540000</f>
        <v>6933218</v>
      </c>
      <c r="AD609" s="23"/>
      <c r="AE609" s="23"/>
      <c r="AF609" s="23"/>
      <c r="AG609" s="23"/>
      <c r="AH609" s="23"/>
      <c r="AI609" s="23">
        <v>427</v>
      </c>
      <c r="AJ609" s="23"/>
      <c r="AK609" s="23">
        <v>0</v>
      </c>
      <c r="AL609" s="23"/>
      <c r="AM609" s="33">
        <f t="shared" si="91"/>
        <v>6943645</v>
      </c>
      <c r="AN609" s="23"/>
      <c r="AO609" s="33">
        <f t="shared" si="88"/>
        <v>69844767</v>
      </c>
      <c r="AP609" s="33"/>
    </row>
    <row r="610" spans="1:42">
      <c r="A610" s="11" t="s">
        <v>486</v>
      </c>
      <c r="B610" s="11"/>
      <c r="C610" s="11" t="s">
        <v>59</v>
      </c>
      <c r="D610" s="23"/>
      <c r="E610" s="6">
        <v>3478414</v>
      </c>
      <c r="F610" s="23"/>
      <c r="G610" s="6">
        <v>0</v>
      </c>
      <c r="H610" s="23"/>
      <c r="I610" s="6">
        <v>8813462</v>
      </c>
      <c r="J610" s="23"/>
      <c r="K610" s="6">
        <v>40947</v>
      </c>
      <c r="L610" s="23"/>
      <c r="M610" s="6">
        <f>1918353+260+290549</f>
        <v>2209162</v>
      </c>
      <c r="N610" s="23"/>
      <c r="O610" s="6">
        <v>354708</v>
      </c>
      <c r="P610" s="23"/>
      <c r="Q610" s="6">
        <v>0</v>
      </c>
      <c r="R610" s="23"/>
      <c r="S610" s="6">
        <v>132600</v>
      </c>
      <c r="T610" s="23"/>
      <c r="U610" s="6">
        <v>22185</v>
      </c>
      <c r="V610" s="23"/>
      <c r="W610" s="33">
        <f t="shared" si="89"/>
        <v>15051478</v>
      </c>
      <c r="X610" s="23"/>
      <c r="Y610" s="23">
        <v>21392</v>
      </c>
      <c r="Z610" s="23"/>
      <c r="AA610" s="23">
        <v>0</v>
      </c>
      <c r="AB610" s="23"/>
      <c r="AC610" s="23">
        <v>979693</v>
      </c>
      <c r="AD610" s="23"/>
      <c r="AE610" s="23"/>
      <c r="AF610" s="23"/>
      <c r="AG610" s="23"/>
      <c r="AH610" s="23"/>
      <c r="AI610" s="23">
        <v>640</v>
      </c>
      <c r="AJ610" s="23"/>
      <c r="AK610" s="23">
        <v>0</v>
      </c>
      <c r="AL610" s="23"/>
      <c r="AM610" s="33">
        <f t="shared" ref="AM610:AM630" si="95">AI610+AC610+Y610</f>
        <v>1001725</v>
      </c>
      <c r="AN610" s="23"/>
      <c r="AO610" s="33">
        <f t="shared" si="88"/>
        <v>16053203</v>
      </c>
      <c r="AP610" s="33"/>
    </row>
    <row r="611" spans="1:42">
      <c r="A611" s="11" t="s">
        <v>310</v>
      </c>
      <c r="B611" s="11"/>
      <c r="C611" s="11" t="s">
        <v>27</v>
      </c>
      <c r="D611" s="23"/>
      <c r="E611" s="6">
        <v>11245058</v>
      </c>
      <c r="F611" s="23"/>
      <c r="G611" s="6">
        <v>0</v>
      </c>
      <c r="H611" s="23"/>
      <c r="I611" s="6">
        <f>5374778+18887634+7521500</f>
        <v>31783912</v>
      </c>
      <c r="J611" s="23"/>
      <c r="K611" s="6">
        <v>212273</v>
      </c>
      <c r="L611" s="23"/>
      <c r="M611" s="6">
        <f>140843+395496</f>
        <v>536339</v>
      </c>
      <c r="N611" s="23"/>
      <c r="O611" s="6">
        <v>78140</v>
      </c>
      <c r="P611" s="23"/>
      <c r="Q611" s="6">
        <v>1023983</v>
      </c>
      <c r="R611" s="23"/>
      <c r="S611" s="6">
        <v>0</v>
      </c>
      <c r="T611" s="23"/>
      <c r="U611" s="6">
        <v>396021</v>
      </c>
      <c r="V611" s="23"/>
      <c r="W611" s="33">
        <f t="shared" si="89"/>
        <v>45275726</v>
      </c>
      <c r="X611" s="23"/>
      <c r="Y611" s="23">
        <v>0</v>
      </c>
      <c r="Z611" s="23"/>
      <c r="AA611" s="23">
        <v>0</v>
      </c>
      <c r="AB611" s="23"/>
      <c r="AC611" s="23">
        <v>0</v>
      </c>
      <c r="AD611" s="23"/>
      <c r="AE611" s="23"/>
      <c r="AF611" s="23"/>
      <c r="AG611" s="23"/>
      <c r="AH611" s="23"/>
      <c r="AI611" s="23">
        <v>0</v>
      </c>
      <c r="AJ611" s="23"/>
      <c r="AK611" s="23">
        <v>0</v>
      </c>
      <c r="AL611" s="23"/>
      <c r="AM611" s="33">
        <f t="shared" si="95"/>
        <v>0</v>
      </c>
      <c r="AN611" s="23"/>
      <c r="AO611" s="33">
        <f t="shared" si="88"/>
        <v>45275726</v>
      </c>
      <c r="AP611" s="33"/>
    </row>
    <row r="612" spans="1:42" hidden="1">
      <c r="A612" s="11" t="s">
        <v>622</v>
      </c>
      <c r="B612" s="11"/>
      <c r="C612" s="11" t="s">
        <v>41</v>
      </c>
      <c r="D612" s="23"/>
      <c r="E612" s="6"/>
      <c r="F612" s="23"/>
      <c r="G612" s="6"/>
      <c r="H612" s="23"/>
      <c r="I612" s="6"/>
      <c r="J612" s="23"/>
      <c r="K612" s="6"/>
      <c r="L612" s="23"/>
      <c r="M612" s="6"/>
      <c r="N612" s="23"/>
      <c r="O612" s="6"/>
      <c r="P612" s="23"/>
      <c r="Q612" s="6"/>
      <c r="R612" s="23"/>
      <c r="S612" s="6"/>
      <c r="T612" s="23"/>
      <c r="U612" s="6"/>
      <c r="V612" s="23"/>
      <c r="W612" s="33">
        <f t="shared" si="89"/>
        <v>0</v>
      </c>
      <c r="X612" s="23"/>
      <c r="Y612" s="23">
        <v>0</v>
      </c>
      <c r="Z612" s="23"/>
      <c r="AA612" s="23">
        <v>0</v>
      </c>
      <c r="AB612" s="23"/>
      <c r="AC612" s="23">
        <v>0</v>
      </c>
      <c r="AD612" s="23"/>
      <c r="AE612" s="23"/>
      <c r="AF612" s="23"/>
      <c r="AG612" s="23"/>
      <c r="AH612" s="23"/>
      <c r="AI612" s="23">
        <v>0</v>
      </c>
      <c r="AJ612" s="23"/>
      <c r="AK612" s="23">
        <v>0</v>
      </c>
      <c r="AL612" s="23"/>
      <c r="AM612" s="33">
        <f t="shared" si="95"/>
        <v>0</v>
      </c>
      <c r="AN612" s="23"/>
      <c r="AO612" s="33">
        <f t="shared" si="88"/>
        <v>0</v>
      </c>
      <c r="AP612" s="33"/>
    </row>
    <row r="613" spans="1:42">
      <c r="A613" s="11" t="s">
        <v>360</v>
      </c>
      <c r="B613" s="11"/>
      <c r="C613" s="11" t="s">
        <v>37</v>
      </c>
      <c r="D613" s="23"/>
      <c r="E613" s="6">
        <v>4714846</v>
      </c>
      <c r="F613" s="23"/>
      <c r="G613" s="6">
        <v>271515</v>
      </c>
      <c r="H613" s="23"/>
      <c r="I613" s="6">
        <f>8097+11135694+2788335</f>
        <v>13932126</v>
      </c>
      <c r="J613" s="23"/>
      <c r="K613" s="6">
        <v>32986</v>
      </c>
      <c r="L613" s="23"/>
      <c r="M613" s="6">
        <f>210945+11813+279688+29537+6056+1335</f>
        <v>539374</v>
      </c>
      <c r="N613" s="23"/>
      <c r="O613" s="6">
        <v>276509</v>
      </c>
      <c r="P613" s="23"/>
      <c r="Q613" s="6">
        <v>0</v>
      </c>
      <c r="R613" s="23"/>
      <c r="S613" s="6">
        <v>28609</v>
      </c>
      <c r="T613" s="23"/>
      <c r="U613" s="6">
        <v>197549</v>
      </c>
      <c r="V613" s="23"/>
      <c r="W613" s="33">
        <f t="shared" si="89"/>
        <v>19993514</v>
      </c>
      <c r="X613" s="23"/>
      <c r="Y613" s="23">
        <v>58248</v>
      </c>
      <c r="Z613" s="23"/>
      <c r="AA613" s="23">
        <v>0</v>
      </c>
      <c r="AB613" s="23"/>
      <c r="AC613" s="23">
        <f>951595+20997197</f>
        <v>21948792</v>
      </c>
      <c r="AD613" s="23"/>
      <c r="AE613" s="23"/>
      <c r="AF613" s="23"/>
      <c r="AG613" s="23"/>
      <c r="AH613" s="23"/>
      <c r="AI613" s="23">
        <v>22465</v>
      </c>
      <c r="AJ613" s="23"/>
      <c r="AK613" s="23">
        <v>0</v>
      </c>
      <c r="AL613" s="23"/>
      <c r="AM613" s="33">
        <f t="shared" si="95"/>
        <v>22029505</v>
      </c>
      <c r="AN613" s="23"/>
      <c r="AO613" s="33">
        <f t="shared" si="88"/>
        <v>42023019</v>
      </c>
      <c r="AP613" s="33"/>
    </row>
    <row r="614" spans="1:42" hidden="1">
      <c r="A614" s="11" t="s">
        <v>893</v>
      </c>
      <c r="B614" s="11"/>
      <c r="C614" s="11" t="s">
        <v>113</v>
      </c>
      <c r="D614" s="23"/>
      <c r="E614" s="6">
        <v>0</v>
      </c>
      <c r="F614" s="23"/>
      <c r="G614" s="6">
        <v>0</v>
      </c>
      <c r="H614" s="23"/>
      <c r="I614" s="6">
        <v>0</v>
      </c>
      <c r="J614" s="23"/>
      <c r="K614" s="6">
        <v>0</v>
      </c>
      <c r="L614" s="23"/>
      <c r="M614" s="6">
        <v>0</v>
      </c>
      <c r="N614" s="23"/>
      <c r="O614" s="6">
        <v>0</v>
      </c>
      <c r="P614" s="23"/>
      <c r="Q614" s="6">
        <v>0</v>
      </c>
      <c r="R614" s="23"/>
      <c r="S614" s="6">
        <v>0</v>
      </c>
      <c r="T614" s="23"/>
      <c r="U614" s="6">
        <v>0</v>
      </c>
      <c r="V614" s="23"/>
      <c r="W614" s="33">
        <f t="shared" si="89"/>
        <v>0</v>
      </c>
      <c r="X614" s="23"/>
      <c r="Y614" s="23">
        <v>0</v>
      </c>
      <c r="Z614" s="23"/>
      <c r="AA614" s="23">
        <v>0</v>
      </c>
      <c r="AB614" s="23"/>
      <c r="AC614" s="23">
        <v>0</v>
      </c>
      <c r="AD614" s="23"/>
      <c r="AE614" s="23"/>
      <c r="AF614" s="23"/>
      <c r="AG614" s="23"/>
      <c r="AH614" s="23"/>
      <c r="AI614" s="23">
        <v>0</v>
      </c>
      <c r="AJ614" s="23"/>
      <c r="AK614" s="23">
        <v>0</v>
      </c>
      <c r="AL614" s="23"/>
      <c r="AM614" s="33">
        <f t="shared" si="95"/>
        <v>0</v>
      </c>
      <c r="AN614" s="23"/>
      <c r="AO614" s="33">
        <f t="shared" si="88"/>
        <v>0</v>
      </c>
      <c r="AP614" s="33"/>
    </row>
    <row r="615" spans="1:42">
      <c r="A615" s="11" t="s">
        <v>365</v>
      </c>
      <c r="B615" s="11"/>
      <c r="C615" s="11" t="s">
        <v>41</v>
      </c>
      <c r="D615" s="23"/>
      <c r="E615" s="6">
        <v>55696719</v>
      </c>
      <c r="F615" s="23"/>
      <c r="G615" s="6">
        <v>0</v>
      </c>
      <c r="H615" s="23"/>
      <c r="I615" s="6">
        <v>32251336</v>
      </c>
      <c r="J615" s="23"/>
      <c r="K615" s="6">
        <v>83940</v>
      </c>
      <c r="L615" s="23"/>
      <c r="M615" s="6">
        <f>1743168+205735+1778142</f>
        <v>3727045</v>
      </c>
      <c r="N615" s="23"/>
      <c r="O615" s="6">
        <v>603033</v>
      </c>
      <c r="P615" s="23"/>
      <c r="Q615" s="6">
        <v>0</v>
      </c>
      <c r="R615" s="23"/>
      <c r="S615" s="6">
        <v>298788</v>
      </c>
      <c r="T615" s="23"/>
      <c r="U615" s="6">
        <v>303286</v>
      </c>
      <c r="V615" s="23"/>
      <c r="W615" s="33">
        <f t="shared" si="89"/>
        <v>92964147</v>
      </c>
      <c r="X615" s="23"/>
      <c r="Y615" s="23">
        <v>2026824</v>
      </c>
      <c r="Z615" s="23"/>
      <c r="AA615" s="23">
        <v>0</v>
      </c>
      <c r="AB615" s="23"/>
      <c r="AC615" s="23">
        <f>8589000+148213</f>
        <v>8737213</v>
      </c>
      <c r="AD615" s="23"/>
      <c r="AE615" s="23"/>
      <c r="AF615" s="23"/>
      <c r="AG615" s="23"/>
      <c r="AH615" s="23"/>
      <c r="AI615" s="23">
        <v>0</v>
      </c>
      <c r="AJ615" s="23"/>
      <c r="AK615" s="23">
        <v>0</v>
      </c>
      <c r="AL615" s="23"/>
      <c r="AM615" s="33">
        <f t="shared" si="95"/>
        <v>10764037</v>
      </c>
      <c r="AN615" s="23"/>
      <c r="AO615" s="33">
        <f t="shared" si="88"/>
        <v>103728184</v>
      </c>
      <c r="AP615" s="33"/>
    </row>
    <row r="616" spans="1:42" ht="13.5" customHeight="1">
      <c r="A616" s="11" t="s">
        <v>245</v>
      </c>
      <c r="B616" s="11"/>
      <c r="C616" s="11" t="s">
        <v>18</v>
      </c>
      <c r="D616" s="23"/>
      <c r="E616" s="6">
        <v>14391649</v>
      </c>
      <c r="F616" s="23"/>
      <c r="G616" s="6">
        <v>0</v>
      </c>
      <c r="H616" s="23"/>
      <c r="I616" s="6">
        <v>13492262</v>
      </c>
      <c r="J616" s="23"/>
      <c r="K616" s="6">
        <v>7711</v>
      </c>
      <c r="L616" s="23"/>
      <c r="M616" s="6">
        <f>759887+491395</f>
        <v>1251282</v>
      </c>
      <c r="N616" s="23"/>
      <c r="O616" s="6">
        <v>123895</v>
      </c>
      <c r="P616" s="23"/>
      <c r="Q616" s="6">
        <v>0</v>
      </c>
      <c r="R616" s="23"/>
      <c r="S616" s="6">
        <v>0</v>
      </c>
      <c r="T616" s="23"/>
      <c r="U616" s="6">
        <v>24468</v>
      </c>
      <c r="V616" s="23"/>
      <c r="W616" s="33">
        <f t="shared" si="89"/>
        <v>29291267</v>
      </c>
      <c r="X616" s="23"/>
      <c r="Y616" s="23">
        <v>0</v>
      </c>
      <c r="Z616" s="23"/>
      <c r="AA616" s="23">
        <v>0</v>
      </c>
      <c r="AB616" s="23"/>
      <c r="AC616" s="23">
        <v>265000</v>
      </c>
      <c r="AD616" s="23"/>
      <c r="AE616" s="23"/>
      <c r="AF616" s="23"/>
      <c r="AG616" s="23"/>
      <c r="AH616" s="23"/>
      <c r="AI616" s="23">
        <v>0</v>
      </c>
      <c r="AJ616" s="23"/>
      <c r="AK616" s="23">
        <v>0</v>
      </c>
      <c r="AL616" s="23"/>
      <c r="AM616" s="33">
        <f t="shared" si="95"/>
        <v>265000</v>
      </c>
      <c r="AN616" s="23"/>
      <c r="AO616" s="33">
        <f t="shared" si="88"/>
        <v>29556267</v>
      </c>
      <c r="AP616" s="33"/>
    </row>
    <row r="617" spans="1:42">
      <c r="A617" s="11" t="s">
        <v>782</v>
      </c>
      <c r="B617" s="11"/>
      <c r="C617" s="11" t="s">
        <v>56</v>
      </c>
      <c r="D617" s="23"/>
      <c r="E617" s="6">
        <v>1402409</v>
      </c>
      <c r="F617" s="23"/>
      <c r="G617" s="6">
        <v>0</v>
      </c>
      <c r="H617" s="23"/>
      <c r="I617" s="6">
        <f>6315131+954516</f>
        <v>7269647</v>
      </c>
      <c r="J617" s="23"/>
      <c r="K617" s="6">
        <v>10293</v>
      </c>
      <c r="L617" s="23"/>
      <c r="M617" s="6">
        <f>215191+123154+1839</f>
        <v>340184</v>
      </c>
      <c r="N617" s="23"/>
      <c r="O617" s="6">
        <v>101759</v>
      </c>
      <c r="P617" s="23"/>
      <c r="Q617" s="6">
        <v>6840</v>
      </c>
      <c r="R617" s="23"/>
      <c r="S617" s="6">
        <v>13505</v>
      </c>
      <c r="T617" s="23"/>
      <c r="U617" s="6">
        <v>39003</v>
      </c>
      <c r="V617" s="23"/>
      <c r="W617" s="33">
        <f t="shared" si="89"/>
        <v>9183640</v>
      </c>
      <c r="X617" s="23"/>
      <c r="Y617" s="23">
        <v>0</v>
      </c>
      <c r="Z617" s="23"/>
      <c r="AA617" s="23">
        <v>0</v>
      </c>
      <c r="AB617" s="23"/>
      <c r="AC617" s="23">
        <v>0</v>
      </c>
      <c r="AD617" s="23"/>
      <c r="AE617" s="23"/>
      <c r="AF617" s="23"/>
      <c r="AG617" s="23"/>
      <c r="AH617" s="23"/>
      <c r="AI617" s="23">
        <v>0</v>
      </c>
      <c r="AJ617" s="23"/>
      <c r="AK617" s="23">
        <v>0</v>
      </c>
      <c r="AL617" s="23"/>
      <c r="AM617" s="33">
        <f t="shared" si="95"/>
        <v>0</v>
      </c>
      <c r="AN617" s="23"/>
      <c r="AO617" s="33">
        <f t="shared" si="88"/>
        <v>9183640</v>
      </c>
      <c r="AP617" s="33"/>
    </row>
    <row r="618" spans="1:42">
      <c r="A618" s="11" t="s">
        <v>332</v>
      </c>
      <c r="B618" s="11"/>
      <c r="C618" s="11" t="s">
        <v>32</v>
      </c>
      <c r="D618" s="23"/>
      <c r="E618" s="6">
        <v>22890021</v>
      </c>
      <c r="F618" s="23"/>
      <c r="G618" s="6">
        <v>0</v>
      </c>
      <c r="H618" s="23"/>
      <c r="I618" s="6">
        <v>22915965</v>
      </c>
      <c r="J618" s="23"/>
      <c r="K618" s="6">
        <v>12823</v>
      </c>
      <c r="L618" s="23"/>
      <c r="M618" s="6">
        <f>1501985+636510</f>
        <v>2138495</v>
      </c>
      <c r="N618" s="23"/>
      <c r="O618" s="6">
        <v>185309</v>
      </c>
      <c r="P618" s="23"/>
      <c r="Q618" s="6">
        <v>491051</v>
      </c>
      <c r="R618" s="23"/>
      <c r="S618" s="6">
        <v>0</v>
      </c>
      <c r="T618" s="23"/>
      <c r="U618" s="6">
        <v>729953</v>
      </c>
      <c r="V618" s="23"/>
      <c r="W618" s="33">
        <f t="shared" si="89"/>
        <v>49363617</v>
      </c>
      <c r="X618" s="23"/>
      <c r="Y618" s="23">
        <v>0</v>
      </c>
      <c r="Z618" s="23"/>
      <c r="AA618" s="23">
        <v>0</v>
      </c>
      <c r="AB618" s="23"/>
      <c r="AC618" s="23">
        <v>0</v>
      </c>
      <c r="AD618" s="23"/>
      <c r="AE618" s="23"/>
      <c r="AF618" s="23"/>
      <c r="AG618" s="23"/>
      <c r="AH618" s="23"/>
      <c r="AI618" s="23">
        <v>0</v>
      </c>
      <c r="AJ618" s="23"/>
      <c r="AK618" s="23">
        <v>0</v>
      </c>
      <c r="AL618" s="23"/>
      <c r="AM618" s="33">
        <f t="shared" si="95"/>
        <v>0</v>
      </c>
      <c r="AN618" s="23"/>
      <c r="AO618" s="33">
        <f t="shared" si="88"/>
        <v>49363617</v>
      </c>
      <c r="AP618" s="33"/>
    </row>
    <row r="619" spans="1:42">
      <c r="A619" s="11" t="s">
        <v>550</v>
      </c>
      <c r="B619" s="11"/>
      <c r="C619" s="11" t="s">
        <v>70</v>
      </c>
      <c r="D619" s="23"/>
      <c r="E619" s="6">
        <v>4834471</v>
      </c>
      <c r="F619" s="23"/>
      <c r="G619" s="6">
        <v>0</v>
      </c>
      <c r="H619" s="23"/>
      <c r="I619" s="6">
        <v>2860989</v>
      </c>
      <c r="J619" s="23"/>
      <c r="K619" s="6">
        <v>54187</v>
      </c>
      <c r="L619" s="23"/>
      <c r="M619" s="6">
        <f>93952+323341</f>
        <v>417293</v>
      </c>
      <c r="N619" s="23"/>
      <c r="O619" s="6">
        <v>126565</v>
      </c>
      <c r="P619" s="23"/>
      <c r="Q619" s="6">
        <v>0</v>
      </c>
      <c r="R619" s="23"/>
      <c r="S619" s="6">
        <v>80838</v>
      </c>
      <c r="T619" s="23"/>
      <c r="U619" s="6">
        <v>53228</v>
      </c>
      <c r="V619" s="23"/>
      <c r="W619" s="33">
        <f t="shared" si="89"/>
        <v>8427571</v>
      </c>
      <c r="X619" s="23"/>
      <c r="Y619" s="23">
        <v>0</v>
      </c>
      <c r="Z619" s="23"/>
      <c r="AA619" s="23">
        <v>0</v>
      </c>
      <c r="AB619" s="23"/>
      <c r="AC619" s="23">
        <v>4950000</v>
      </c>
      <c r="AD619" s="23"/>
      <c r="AE619" s="23"/>
      <c r="AF619" s="23"/>
      <c r="AG619" s="23"/>
      <c r="AH619" s="23"/>
      <c r="AI619" s="23">
        <v>66</v>
      </c>
      <c r="AJ619" s="23"/>
      <c r="AK619" s="23">
        <v>0</v>
      </c>
      <c r="AL619" s="23"/>
      <c r="AM619" s="33">
        <f t="shared" si="95"/>
        <v>4950066</v>
      </c>
      <c r="AN619" s="23"/>
      <c r="AO619" s="33">
        <f t="shared" ref="AO619:AO630" si="96">W619+AM619</f>
        <v>13377637</v>
      </c>
      <c r="AP619" s="33"/>
    </row>
    <row r="620" spans="1:42">
      <c r="A620" s="11" t="s">
        <v>478</v>
      </c>
      <c r="B620" s="11"/>
      <c r="C620" s="11" t="s">
        <v>79</v>
      </c>
      <c r="D620" s="23"/>
      <c r="E620" s="6">
        <v>4213263</v>
      </c>
      <c r="F620" s="23"/>
      <c r="G620" s="6">
        <v>0</v>
      </c>
      <c r="H620" s="23"/>
      <c r="I620" s="6">
        <f>2452+4539442+872163</f>
        <v>5414057</v>
      </c>
      <c r="J620" s="23"/>
      <c r="K620" s="6">
        <v>2881</v>
      </c>
      <c r="L620" s="23"/>
      <c r="M620" s="6">
        <f>365086+243220+11000+64934</f>
        <v>684240</v>
      </c>
      <c r="N620" s="23"/>
      <c r="O620" s="6">
        <v>152553</v>
      </c>
      <c r="P620" s="23"/>
      <c r="Q620" s="6">
        <v>0</v>
      </c>
      <c r="R620" s="23"/>
      <c r="S620" s="6">
        <v>31113</v>
      </c>
      <c r="T620" s="23"/>
      <c r="U620" s="6">
        <v>450</v>
      </c>
      <c r="V620" s="23"/>
      <c r="W620" s="33">
        <f t="shared" si="89"/>
        <v>10498557</v>
      </c>
      <c r="X620" s="23"/>
      <c r="Y620" s="23">
        <v>28737</v>
      </c>
      <c r="Z620" s="23"/>
      <c r="AA620" s="23">
        <v>0</v>
      </c>
      <c r="AB620" s="23"/>
      <c r="AC620" s="23">
        <v>0</v>
      </c>
      <c r="AD620" s="23"/>
      <c r="AE620" s="23"/>
      <c r="AF620" s="23"/>
      <c r="AG620" s="23"/>
      <c r="AH620" s="23"/>
      <c r="AI620" s="23">
        <v>0</v>
      </c>
      <c r="AJ620" s="23"/>
      <c r="AK620" s="23">
        <v>0</v>
      </c>
      <c r="AL620" s="23"/>
      <c r="AM620" s="33">
        <f t="shared" si="95"/>
        <v>28737</v>
      </c>
      <c r="AN620" s="23"/>
      <c r="AO620" s="33">
        <f t="shared" si="96"/>
        <v>10527294</v>
      </c>
      <c r="AP620" s="33"/>
    </row>
    <row r="621" spans="1:42">
      <c r="A621" s="11" t="s">
        <v>517</v>
      </c>
      <c r="B621" s="11"/>
      <c r="C621" s="11" t="s">
        <v>63</v>
      </c>
      <c r="D621" s="23"/>
      <c r="E621" s="6">
        <v>15533291</v>
      </c>
      <c r="F621" s="23"/>
      <c r="G621" s="6">
        <v>0</v>
      </c>
      <c r="H621" s="23"/>
      <c r="I621" s="6">
        <v>6899256</v>
      </c>
      <c r="J621" s="23"/>
      <c r="K621" s="6">
        <v>9436</v>
      </c>
      <c r="L621" s="23"/>
      <c r="M621" s="6">
        <f>1117539+294335+2919</f>
        <v>1414793</v>
      </c>
      <c r="N621" s="23"/>
      <c r="O621" s="6">
        <v>215707</v>
      </c>
      <c r="P621" s="23"/>
      <c r="Q621" s="6">
        <v>227445</v>
      </c>
      <c r="R621" s="23"/>
      <c r="S621" s="6">
        <v>32764</v>
      </c>
      <c r="T621" s="23"/>
      <c r="U621" s="6">
        <v>29396</v>
      </c>
      <c r="V621" s="23"/>
      <c r="W621" s="33">
        <f t="shared" si="89"/>
        <v>24362088</v>
      </c>
      <c r="X621" s="23"/>
      <c r="Y621" s="62">
        <v>95497</v>
      </c>
      <c r="Z621" s="23"/>
      <c r="AA621" s="23">
        <v>0</v>
      </c>
      <c r="AB621" s="23"/>
      <c r="AC621" s="23">
        <f>6530000+292612</f>
        <v>6822612</v>
      </c>
      <c r="AD621" s="23"/>
      <c r="AE621" s="23"/>
      <c r="AF621" s="23"/>
      <c r="AG621" s="23"/>
      <c r="AH621" s="23"/>
      <c r="AI621" s="23">
        <v>0</v>
      </c>
      <c r="AJ621" s="23"/>
      <c r="AK621" s="23">
        <v>0</v>
      </c>
      <c r="AL621" s="23"/>
      <c r="AM621" s="33">
        <f t="shared" si="95"/>
        <v>6918109</v>
      </c>
      <c r="AN621" s="23"/>
      <c r="AO621" s="33">
        <f t="shared" si="96"/>
        <v>31280197</v>
      </c>
      <c r="AP621" s="33"/>
    </row>
    <row r="622" spans="1:42">
      <c r="A622" s="11" t="s">
        <v>623</v>
      </c>
      <c r="B622" s="11"/>
      <c r="C622" s="11" t="s">
        <v>71</v>
      </c>
      <c r="D622" s="23"/>
      <c r="E622" s="6">
        <v>30295940</v>
      </c>
      <c r="F622" s="23"/>
      <c r="G622" s="6">
        <v>0</v>
      </c>
      <c r="H622" s="23"/>
      <c r="I622" s="6">
        <v>19854447</v>
      </c>
      <c r="J622" s="23"/>
      <c r="K622" s="6">
        <v>104578</v>
      </c>
      <c r="L622" s="23"/>
      <c r="M622" s="6">
        <f>848615+78848</f>
        <v>927463</v>
      </c>
      <c r="N622" s="23"/>
      <c r="O622" s="6">
        <v>277999</v>
      </c>
      <c r="P622" s="23"/>
      <c r="Q622" s="6">
        <v>0</v>
      </c>
      <c r="R622" s="23"/>
      <c r="S622" s="6">
        <v>73408</v>
      </c>
      <c r="T622" s="23"/>
      <c r="U622" s="6">
        <v>34106</v>
      </c>
      <c r="V622" s="23"/>
      <c r="W622" s="33">
        <f t="shared" si="89"/>
        <v>51567941</v>
      </c>
      <c r="X622" s="23"/>
      <c r="Y622" s="23">
        <v>280500</v>
      </c>
      <c r="Z622" s="23"/>
      <c r="AA622" s="23">
        <v>0</v>
      </c>
      <c r="AB622" s="23"/>
      <c r="AC622" s="23">
        <v>0</v>
      </c>
      <c r="AD622" s="23"/>
      <c r="AE622" s="23"/>
      <c r="AF622" s="23"/>
      <c r="AG622" s="23"/>
      <c r="AH622" s="23"/>
      <c r="AI622" s="23">
        <v>922</v>
      </c>
      <c r="AJ622" s="23"/>
      <c r="AK622" s="23">
        <v>0</v>
      </c>
      <c r="AL622" s="23"/>
      <c r="AM622" s="33">
        <f t="shared" si="95"/>
        <v>281422</v>
      </c>
      <c r="AN622" s="23"/>
      <c r="AO622" s="33">
        <f t="shared" si="96"/>
        <v>51849363</v>
      </c>
      <c r="AP622" s="33"/>
    </row>
    <row r="623" spans="1:42">
      <c r="A623" s="11" t="s">
        <v>311</v>
      </c>
      <c r="B623" s="11"/>
      <c r="C623" s="11" t="s">
        <v>27</v>
      </c>
      <c r="D623" s="23"/>
      <c r="E623" s="6">
        <v>88847544</v>
      </c>
      <c r="F623" s="23"/>
      <c r="G623" s="6">
        <v>0</v>
      </c>
      <c r="H623" s="23"/>
      <c r="I623" s="6">
        <v>42509297</v>
      </c>
      <c r="J623" s="23"/>
      <c r="K623" s="6">
        <v>294842</v>
      </c>
      <c r="L623" s="23"/>
      <c r="M623" s="6">
        <f>2055568+2149544</f>
        <v>4205112</v>
      </c>
      <c r="N623" s="23"/>
      <c r="O623" s="6">
        <v>684446</v>
      </c>
      <c r="P623" s="23"/>
      <c r="Q623" s="6">
        <v>0</v>
      </c>
      <c r="R623" s="23"/>
      <c r="S623" s="6">
        <v>0</v>
      </c>
      <c r="T623" s="23"/>
      <c r="U623" s="6">
        <v>920072</v>
      </c>
      <c r="V623" s="23"/>
      <c r="W623" s="33">
        <f t="shared" si="89"/>
        <v>137461313</v>
      </c>
      <c r="X623" s="23"/>
      <c r="Y623" s="23">
        <v>1051125</v>
      </c>
      <c r="Z623" s="23"/>
      <c r="AA623" s="23">
        <v>0</v>
      </c>
      <c r="AB623" s="23"/>
      <c r="AC623" s="23">
        <v>0</v>
      </c>
      <c r="AD623" s="23"/>
      <c r="AE623" s="23"/>
      <c r="AF623" s="23"/>
      <c r="AG623" s="23"/>
      <c r="AH623" s="23"/>
      <c r="AI623" s="23">
        <v>81852</v>
      </c>
      <c r="AJ623" s="23"/>
      <c r="AK623" s="23">
        <v>0</v>
      </c>
      <c r="AL623" s="23"/>
      <c r="AM623" s="33">
        <f t="shared" si="95"/>
        <v>1132977</v>
      </c>
      <c r="AN623" s="23"/>
      <c r="AO623" s="33">
        <f t="shared" si="96"/>
        <v>138594290</v>
      </c>
      <c r="AP623" s="33"/>
    </row>
    <row r="624" spans="1:42">
      <c r="A624" s="11" t="s">
        <v>260</v>
      </c>
      <c r="B624" s="11"/>
      <c r="C624" s="11" t="s">
        <v>111</v>
      </c>
      <c r="D624" s="23"/>
      <c r="E624" s="6">
        <v>3951365</v>
      </c>
      <c r="F624" s="23"/>
      <c r="G624" s="6">
        <v>0</v>
      </c>
      <c r="H624" s="23"/>
      <c r="I624" s="6">
        <f>5887824+1019660</f>
        <v>6907484</v>
      </c>
      <c r="J624" s="23"/>
      <c r="K624" s="6">
        <v>15536</v>
      </c>
      <c r="L624" s="23"/>
      <c r="M624" s="6">
        <f>887400+236318+48269+1650+8750</f>
        <v>1182387</v>
      </c>
      <c r="N624" s="23"/>
      <c r="O624" s="6">
        <v>116488</v>
      </c>
      <c r="P624" s="23"/>
      <c r="Q624" s="6">
        <v>0</v>
      </c>
      <c r="R624" s="23"/>
      <c r="S624" s="6">
        <v>12288</v>
      </c>
      <c r="T624" s="23"/>
      <c r="U624" s="6">
        <v>40349</v>
      </c>
      <c r="V624" s="23"/>
      <c r="W624" s="33">
        <f t="shared" si="89"/>
        <v>12225897</v>
      </c>
      <c r="X624" s="23"/>
      <c r="Y624" s="23">
        <v>43271</v>
      </c>
      <c r="Z624" s="23"/>
      <c r="AA624" s="23">
        <v>0</v>
      </c>
      <c r="AB624" s="23"/>
      <c r="AC624" s="23">
        <v>0</v>
      </c>
      <c r="AD624" s="23"/>
      <c r="AE624" s="23"/>
      <c r="AF624" s="23"/>
      <c r="AG624" s="23"/>
      <c r="AH624" s="23"/>
      <c r="AI624" s="23">
        <v>0</v>
      </c>
      <c r="AJ624" s="23"/>
      <c r="AK624" s="23">
        <v>0</v>
      </c>
      <c r="AL624" s="23"/>
      <c r="AM624" s="33">
        <f t="shared" si="95"/>
        <v>43271</v>
      </c>
      <c r="AN624" s="23"/>
      <c r="AO624" s="33">
        <f t="shared" si="96"/>
        <v>12269168</v>
      </c>
      <c r="AP624" s="33"/>
    </row>
    <row r="625" spans="1:42">
      <c r="A625" s="11" t="s">
        <v>333</v>
      </c>
      <c r="B625" s="11"/>
      <c r="C625" s="11" t="s">
        <v>32</v>
      </c>
      <c r="D625" s="23"/>
      <c r="E625" s="6">
        <v>16453211</v>
      </c>
      <c r="F625" s="23"/>
      <c r="G625" s="6">
        <v>0</v>
      </c>
      <c r="H625" s="23"/>
      <c r="I625" s="6">
        <v>7751096</v>
      </c>
      <c r="J625" s="23"/>
      <c r="K625" s="6">
        <v>83145</v>
      </c>
      <c r="L625" s="23"/>
      <c r="M625" s="6">
        <f>735251+432047</f>
        <v>1167298</v>
      </c>
      <c r="N625" s="23"/>
      <c r="O625" s="6">
        <v>178989</v>
      </c>
      <c r="P625" s="23"/>
      <c r="Q625" s="6">
        <v>0</v>
      </c>
      <c r="R625" s="23"/>
      <c r="S625" s="6">
        <v>0</v>
      </c>
      <c r="T625" s="23"/>
      <c r="U625" s="6">
        <v>312889</v>
      </c>
      <c r="V625" s="23"/>
      <c r="W625" s="33">
        <f t="shared" si="89"/>
        <v>25946628</v>
      </c>
      <c r="X625" s="23"/>
      <c r="Y625" s="23">
        <v>0</v>
      </c>
      <c r="Z625" s="23"/>
      <c r="AA625" s="23">
        <v>0</v>
      </c>
      <c r="AB625" s="23"/>
      <c r="AC625" s="23">
        <v>25037000</v>
      </c>
      <c r="AD625" s="23"/>
      <c r="AE625" s="23"/>
      <c r="AF625" s="23"/>
      <c r="AG625" s="23"/>
      <c r="AH625" s="23"/>
      <c r="AI625" s="23">
        <v>0</v>
      </c>
      <c r="AJ625" s="23"/>
      <c r="AK625" s="23">
        <v>0</v>
      </c>
      <c r="AL625" s="23"/>
      <c r="AM625" s="33">
        <f t="shared" si="95"/>
        <v>25037000</v>
      </c>
      <c r="AN625" s="23"/>
      <c r="AO625" s="33">
        <f t="shared" si="96"/>
        <v>50983628</v>
      </c>
      <c r="AP625" s="33"/>
    </row>
    <row r="626" spans="1:42">
      <c r="A626" s="10" t="s">
        <v>884</v>
      </c>
      <c r="B626" s="10"/>
      <c r="C626" s="10" t="s">
        <v>114</v>
      </c>
      <c r="D626" s="23"/>
      <c r="E626" s="6">
        <v>18449920</v>
      </c>
      <c r="F626" s="23"/>
      <c r="G626" s="6">
        <v>3194973</v>
      </c>
      <c r="H626" s="23"/>
      <c r="I626" s="6">
        <v>34914970</v>
      </c>
      <c r="J626" s="23"/>
      <c r="K626" s="6">
        <v>106204</v>
      </c>
      <c r="L626" s="23"/>
      <c r="M626" s="6">
        <f>992228+630335+7987</f>
        <v>1630550</v>
      </c>
      <c r="N626" s="23"/>
      <c r="O626" s="6">
        <v>236784</v>
      </c>
      <c r="P626" s="23"/>
      <c r="Q626" s="6">
        <v>31924</v>
      </c>
      <c r="R626" s="23"/>
      <c r="S626" s="6">
        <v>15464</v>
      </c>
      <c r="T626" s="23"/>
      <c r="U626" s="6">
        <v>34703</v>
      </c>
      <c r="V626" s="23"/>
      <c r="W626" s="33">
        <f t="shared" ref="W626" si="97">SUM(E626:U626)</f>
        <v>58615492</v>
      </c>
      <c r="X626" s="23"/>
      <c r="Y626" s="23">
        <v>0</v>
      </c>
      <c r="Z626" s="23"/>
      <c r="AA626" s="23">
        <v>0</v>
      </c>
      <c r="AB626" s="23"/>
      <c r="AC626" s="23">
        <v>0</v>
      </c>
      <c r="AD626" s="23"/>
      <c r="AE626" s="23"/>
      <c r="AF626" s="23"/>
      <c r="AG626" s="23"/>
      <c r="AH626" s="23"/>
      <c r="AI626" s="23">
        <v>595024</v>
      </c>
      <c r="AJ626" s="23"/>
      <c r="AK626" s="23">
        <v>1339489</v>
      </c>
      <c r="AL626" s="23"/>
      <c r="AM626" s="33">
        <f>AI626+AC626+Y626+AK626</f>
        <v>1934513</v>
      </c>
      <c r="AN626" s="23"/>
      <c r="AO626" s="33">
        <f t="shared" ref="AO626" si="98">W626+AM626</f>
        <v>60550005</v>
      </c>
      <c r="AP626" s="33"/>
    </row>
    <row r="627" spans="1:42">
      <c r="A627" s="11" t="s">
        <v>783</v>
      </c>
      <c r="B627" s="11"/>
      <c r="C627" s="11" t="s">
        <v>114</v>
      </c>
      <c r="D627" s="23"/>
      <c r="E627" s="6">
        <v>3671337</v>
      </c>
      <c r="F627" s="23"/>
      <c r="G627" s="6">
        <v>1331297</v>
      </c>
      <c r="H627" s="23"/>
      <c r="I627" s="6">
        <v>2369102</v>
      </c>
      <c r="J627" s="23"/>
      <c r="K627" s="6">
        <v>8117</v>
      </c>
      <c r="L627" s="23"/>
      <c r="M627" s="6">
        <f>841051+2950+103256</f>
        <v>947257</v>
      </c>
      <c r="N627" s="23"/>
      <c r="O627" s="6">
        <v>86205</v>
      </c>
      <c r="P627" s="23"/>
      <c r="Q627" s="6">
        <v>0</v>
      </c>
      <c r="R627" s="23"/>
      <c r="S627" s="6">
        <v>49662</v>
      </c>
      <c r="T627" s="23"/>
      <c r="U627" s="6">
        <v>7212</v>
      </c>
      <c r="V627" s="23"/>
      <c r="W627" s="33">
        <f t="shared" si="89"/>
        <v>8470189</v>
      </c>
      <c r="X627" s="23"/>
      <c r="Y627" s="23">
        <v>35000</v>
      </c>
      <c r="Z627" s="23"/>
      <c r="AA627" s="23">
        <v>0</v>
      </c>
      <c r="AB627" s="23"/>
      <c r="AC627" s="23">
        <f>2959999+303152</f>
        <v>3263151</v>
      </c>
      <c r="AD627" s="23"/>
      <c r="AE627" s="23"/>
      <c r="AF627" s="23"/>
      <c r="AG627" s="23"/>
      <c r="AH627" s="23"/>
      <c r="AI627" s="23">
        <v>900</v>
      </c>
      <c r="AJ627" s="23"/>
      <c r="AK627" s="23">
        <v>0</v>
      </c>
      <c r="AL627" s="23"/>
      <c r="AM627" s="33">
        <f t="shared" si="95"/>
        <v>3299051</v>
      </c>
      <c r="AN627" s="23"/>
      <c r="AO627" s="33">
        <f t="shared" si="96"/>
        <v>11769240</v>
      </c>
      <c r="AP627" s="33"/>
    </row>
    <row r="628" spans="1:42">
      <c r="A628" s="11" t="s">
        <v>409</v>
      </c>
      <c r="B628" s="11"/>
      <c r="C628" s="11" t="s">
        <v>45</v>
      </c>
      <c r="D628" s="23"/>
      <c r="E628" s="6">
        <v>21874574</v>
      </c>
      <c r="F628" s="23"/>
      <c r="G628" s="6">
        <v>0</v>
      </c>
      <c r="H628" s="23"/>
      <c r="I628" s="6">
        <v>112439070</v>
      </c>
      <c r="J628" s="23"/>
      <c r="K628" s="6">
        <v>48612</v>
      </c>
      <c r="L628" s="23"/>
      <c r="M628" s="6">
        <f>1068296+161313+113485</f>
        <v>1343094</v>
      </c>
      <c r="N628" s="23"/>
      <c r="O628" s="6">
        <v>88559</v>
      </c>
      <c r="P628" s="23"/>
      <c r="Q628" s="6">
        <v>0</v>
      </c>
      <c r="R628" s="23"/>
      <c r="S628" s="6">
        <v>712062</v>
      </c>
      <c r="T628" s="23"/>
      <c r="U628" s="6">
        <v>434181</v>
      </c>
      <c r="V628" s="23"/>
      <c r="W628" s="33">
        <f t="shared" si="89"/>
        <v>136940152</v>
      </c>
      <c r="X628" s="23"/>
      <c r="Y628" s="23">
        <v>1412382</v>
      </c>
      <c r="Z628" s="23"/>
      <c r="AA628" s="23">
        <v>0</v>
      </c>
      <c r="AB628" s="23"/>
      <c r="AC628" s="23">
        <v>0</v>
      </c>
      <c r="AD628" s="23"/>
      <c r="AE628" s="23"/>
      <c r="AF628" s="23"/>
      <c r="AG628" s="23"/>
      <c r="AH628" s="23"/>
      <c r="AI628" s="23">
        <v>0</v>
      </c>
      <c r="AJ628" s="23"/>
      <c r="AK628" s="23">
        <v>0</v>
      </c>
      <c r="AL628" s="23"/>
      <c r="AM628" s="33">
        <f t="shared" si="95"/>
        <v>1412382</v>
      </c>
      <c r="AN628" s="23"/>
      <c r="AO628" s="33">
        <f t="shared" si="96"/>
        <v>138352534</v>
      </c>
      <c r="AP628" s="33"/>
    </row>
    <row r="629" spans="1:42">
      <c r="A629" s="11" t="s">
        <v>477</v>
      </c>
      <c r="B629" s="11"/>
      <c r="C629" s="11" t="s">
        <v>58</v>
      </c>
      <c r="D629" s="23"/>
      <c r="E629" s="6">
        <v>3616532</v>
      </c>
      <c r="F629" s="23"/>
      <c r="G629" s="6">
        <v>3212</v>
      </c>
      <c r="H629" s="23"/>
      <c r="I629" s="6">
        <v>8679313</v>
      </c>
      <c r="J629" s="23"/>
      <c r="K629" s="6">
        <v>10021</v>
      </c>
      <c r="L629" s="23"/>
      <c r="M629" s="6">
        <f>610152+478007</f>
        <v>1088159</v>
      </c>
      <c r="N629" s="23"/>
      <c r="O629" s="6">
        <v>279711</v>
      </c>
      <c r="P629" s="23"/>
      <c r="Q629" s="6">
        <v>0</v>
      </c>
      <c r="R629" s="23"/>
      <c r="S629" s="6">
        <v>53632</v>
      </c>
      <c r="T629" s="23"/>
      <c r="U629" s="6">
        <v>87616</v>
      </c>
      <c r="V629" s="23"/>
      <c r="W629" s="33">
        <f t="shared" si="89"/>
        <v>13818196</v>
      </c>
      <c r="X629" s="23"/>
      <c r="Y629" s="23">
        <v>0</v>
      </c>
      <c r="Z629" s="23"/>
      <c r="AA629" s="23">
        <v>0</v>
      </c>
      <c r="AB629" s="23"/>
      <c r="AC629" s="23">
        <v>0</v>
      </c>
      <c r="AD629" s="23"/>
      <c r="AE629" s="23"/>
      <c r="AF629" s="23"/>
      <c r="AG629" s="23"/>
      <c r="AH629" s="23"/>
      <c r="AI629" s="23">
        <v>0</v>
      </c>
      <c r="AJ629" s="23"/>
      <c r="AK629" s="23">
        <v>0</v>
      </c>
      <c r="AL629" s="23"/>
      <c r="AM629" s="33">
        <f t="shared" si="95"/>
        <v>0</v>
      </c>
      <c r="AN629" s="23"/>
      <c r="AO629" s="33">
        <f t="shared" si="96"/>
        <v>13818196</v>
      </c>
      <c r="AP629" s="33"/>
    </row>
    <row r="630" spans="1:42">
      <c r="A630" s="11" t="s">
        <v>448</v>
      </c>
      <c r="B630" s="11"/>
      <c r="C630" s="11" t="s">
        <v>51</v>
      </c>
      <c r="D630" s="23"/>
      <c r="E630" s="6">
        <v>14510764</v>
      </c>
      <c r="F630" s="23"/>
      <c r="G630" s="6">
        <v>0</v>
      </c>
      <c r="H630" s="23"/>
      <c r="I630" s="6">
        <v>32426087</v>
      </c>
      <c r="J630" s="23"/>
      <c r="K630" s="6">
        <v>30507</v>
      </c>
      <c r="L630" s="23"/>
      <c r="M630" s="6">
        <f>1551730+96891+474417</f>
        <v>2123038</v>
      </c>
      <c r="N630" s="23"/>
      <c r="O630" s="6">
        <v>273272</v>
      </c>
      <c r="P630" s="23"/>
      <c r="Q630" s="6">
        <v>8557</v>
      </c>
      <c r="R630" s="23"/>
      <c r="S630" s="6">
        <v>135785</v>
      </c>
      <c r="T630" s="23"/>
      <c r="U630" s="6">
        <v>248018</v>
      </c>
      <c r="V630" s="23"/>
      <c r="W630" s="33">
        <f>SUM(E630:U630)</f>
        <v>49756028</v>
      </c>
      <c r="X630" s="23"/>
      <c r="Y630" s="23">
        <v>0</v>
      </c>
      <c r="Z630" s="23"/>
      <c r="AA630" s="23">
        <v>0</v>
      </c>
      <c r="AB630" s="23"/>
      <c r="AC630" s="23">
        <f>11910000+918402</f>
        <v>12828402</v>
      </c>
      <c r="AD630" s="23"/>
      <c r="AE630" s="23"/>
      <c r="AF630" s="23"/>
      <c r="AG630" s="23"/>
      <c r="AH630" s="23"/>
      <c r="AI630" s="23">
        <v>4000</v>
      </c>
      <c r="AJ630" s="23"/>
      <c r="AK630" s="23">
        <v>0</v>
      </c>
      <c r="AL630" s="23"/>
      <c r="AM630" s="33">
        <f t="shared" si="95"/>
        <v>12832402</v>
      </c>
      <c r="AN630" s="23"/>
      <c r="AO630" s="33">
        <f t="shared" si="96"/>
        <v>62588430</v>
      </c>
      <c r="AP630" s="33"/>
    </row>
    <row r="631" spans="1:42">
      <c r="A631" s="11"/>
      <c r="B631" s="11"/>
      <c r="C631" s="11"/>
    </row>
    <row r="634" spans="1:42">
      <c r="E634" s="6"/>
      <c r="F634" s="6"/>
      <c r="G634" s="6"/>
    </row>
  </sheetData>
  <mergeCells count="1">
    <mergeCell ref="Y6:AI6"/>
  </mergeCells>
  <pageMargins left="0.9" right="0.75" top="0.5" bottom="0.5" header="0.25" footer="0.25"/>
  <pageSetup scale="77" firstPageNumber="162" pageOrder="overThenDown" orientation="portrait" useFirstPageNumber="1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633"/>
  <sheetViews>
    <sheetView view="pageBreakPreview" zoomScaleNormal="100" zoomScaleSheetLayoutView="100" workbookViewId="0">
      <pane xSplit="4" ySplit="9" topLeftCell="E10" activePane="bottomRight" state="frozen"/>
      <selection activeCell="A563" sqref="A563:XFD563"/>
      <selection pane="topRight" activeCell="A563" sqref="A563:XFD563"/>
      <selection pane="bottomLeft" activeCell="A563" sqref="A563:XFD563"/>
      <selection pane="bottomRight" activeCell="E10" sqref="E10"/>
    </sheetView>
  </sheetViews>
  <sheetFormatPr defaultColWidth="9.140625" defaultRowHeight="12"/>
  <cols>
    <col min="1" max="1" width="34.7109375" style="6" customWidth="1"/>
    <col min="2" max="2" width="1.7109375" style="6" customWidth="1"/>
    <col min="3" max="3" width="10.140625" style="6" customWidth="1"/>
    <col min="4" max="4" width="1.7109375" style="6" customWidth="1"/>
    <col min="5" max="5" width="10.28515625" style="6" bestFit="1" customWidth="1"/>
    <col min="6" max="6" width="1.42578125" style="6" customWidth="1"/>
    <col min="7" max="7" width="10.28515625" style="6" bestFit="1" customWidth="1"/>
    <col min="8" max="8" width="1.42578125" style="6" customWidth="1"/>
    <col min="9" max="9" width="9.42578125" style="6" bestFit="1" customWidth="1"/>
    <col min="10" max="10" width="1.42578125" style="6" customWidth="1"/>
    <col min="11" max="11" width="9.5703125" style="6" customWidth="1"/>
    <col min="12" max="12" width="1.42578125" style="6" customWidth="1"/>
    <col min="13" max="13" width="9.42578125" style="6" bestFit="1" customWidth="1"/>
    <col min="14" max="14" width="1.42578125" style="6" customWidth="1"/>
    <col min="15" max="15" width="10.28515625" style="6" bestFit="1" customWidth="1"/>
    <col min="16" max="16" width="1.7109375" style="6" customWidth="1"/>
    <col min="17" max="17" width="9.85546875" style="6" bestFit="1" customWidth="1"/>
    <col min="18" max="18" width="1.7109375" style="6" customWidth="1"/>
    <col min="19" max="19" width="8.5703125" style="6" bestFit="1" customWidth="1"/>
    <col min="20" max="20" width="1.7109375" style="6" customWidth="1"/>
    <col min="21" max="21" width="11.5703125" style="6" bestFit="1" customWidth="1"/>
    <col min="22" max="22" width="1.7109375" style="6" customWidth="1"/>
    <col min="23" max="23" width="9.42578125" style="6" bestFit="1" customWidth="1"/>
    <col min="24" max="24" width="1.7109375" style="6" customWidth="1"/>
    <col min="25" max="25" width="8.5703125" style="6" bestFit="1" customWidth="1"/>
    <col min="26" max="26" width="1.7109375" style="6" customWidth="1"/>
    <col min="27" max="27" width="11" style="6" bestFit="1" customWidth="1"/>
    <col min="28" max="28" width="1.7109375" style="6" customWidth="1"/>
    <col min="29" max="29" width="11.5703125" style="6" bestFit="1" customWidth="1"/>
    <col min="30" max="30" width="1.7109375" style="6" customWidth="1"/>
    <col min="31" max="31" width="9.42578125" style="6" bestFit="1" customWidth="1"/>
    <col min="32" max="32" width="1.7109375" style="6" customWidth="1"/>
    <col min="33" max="33" width="9.28515625" style="6" bestFit="1" customWidth="1"/>
    <col min="34" max="34" width="1.7109375" style="6" customWidth="1"/>
    <col min="35" max="35" width="9.42578125" style="6" bestFit="1" customWidth="1"/>
    <col min="36" max="36" width="42.28515625" style="6" customWidth="1"/>
    <col min="37" max="37" width="1.7109375" style="6" customWidth="1"/>
    <col min="38" max="38" width="10.140625" style="6" bestFit="1" customWidth="1"/>
    <col min="39" max="39" width="1.42578125" style="6" customWidth="1"/>
    <col min="40" max="40" width="11.140625" style="6" bestFit="1" customWidth="1"/>
    <col min="41" max="41" width="1.42578125" style="6" customWidth="1"/>
    <col min="42" max="42" width="10.28515625" style="6" bestFit="1" customWidth="1"/>
    <col min="43" max="43" width="1.42578125" style="6" customWidth="1"/>
    <col min="44" max="44" width="10.28515625" style="6" bestFit="1" customWidth="1"/>
    <col min="45" max="45" width="1.42578125" style="6" customWidth="1"/>
    <col min="46" max="46" width="11.140625" style="6" bestFit="1" customWidth="1"/>
    <col min="47" max="47" width="1.42578125" style="6" customWidth="1"/>
    <col min="48" max="48" width="9.42578125" style="6" bestFit="1" customWidth="1"/>
    <col min="49" max="49" width="1.7109375" style="6" customWidth="1"/>
    <col min="50" max="50" width="10.140625" style="6" bestFit="1" customWidth="1"/>
    <col min="51" max="51" width="1.42578125" style="6" customWidth="1"/>
    <col min="52" max="52" width="10.28515625" style="6" bestFit="1" customWidth="1"/>
    <col min="53" max="53" width="1.42578125" style="6" customWidth="1"/>
    <col min="54" max="54" width="10.28515625" style="6" bestFit="1" customWidth="1"/>
    <col min="55" max="55" width="1.42578125" style="6" customWidth="1"/>
    <col min="56" max="56" width="7.7109375" style="6" hidden="1" customWidth="1"/>
    <col min="57" max="57" width="1.7109375" style="6" hidden="1" customWidth="1"/>
    <col min="58" max="58" width="11.7109375" style="6" hidden="1" customWidth="1"/>
    <col min="59" max="59" width="1.7109375" style="6" hidden="1" customWidth="1"/>
    <col min="60" max="60" width="9.42578125" style="6" bestFit="1" customWidth="1"/>
    <col min="61" max="61" width="1.42578125" style="6" customWidth="1"/>
    <col min="62" max="62" width="11.42578125" style="6" customWidth="1"/>
    <col min="63" max="63" width="1.42578125" style="6" customWidth="1"/>
    <col min="64" max="64" width="10.28515625" style="6" bestFit="1" customWidth="1"/>
    <col min="65" max="65" width="1.42578125" style="6" customWidth="1"/>
    <col min="66" max="66" width="10.28515625" style="6" bestFit="1" customWidth="1"/>
    <col min="67" max="67" width="1.42578125" style="6" customWidth="1"/>
    <col min="68" max="68" width="10.7109375" style="6" bestFit="1" customWidth="1"/>
    <col min="69" max="69" width="1.42578125" style="6" customWidth="1"/>
    <col min="70" max="70" width="10.5703125" style="6" bestFit="1" customWidth="1"/>
    <col min="71" max="71" width="1.42578125" style="6" customWidth="1"/>
    <col min="72" max="72" width="10.28515625" style="6" bestFit="1" customWidth="1"/>
    <col min="73" max="73" width="1.7109375" style="6" hidden="1" customWidth="1"/>
    <col min="74" max="74" width="11.7109375" style="6" hidden="1" customWidth="1"/>
    <col min="75" max="75" width="2.7109375" style="6" hidden="1" customWidth="1"/>
    <col min="76" max="16384" width="9.140625" style="6"/>
  </cols>
  <sheetData>
    <row r="1" spans="1:75" s="13" customFormat="1">
      <c r="A1" s="34" t="s">
        <v>599</v>
      </c>
      <c r="B1" s="34"/>
      <c r="C1" s="34"/>
      <c r="D1" s="34"/>
      <c r="E1" s="34"/>
      <c r="F1" s="34"/>
      <c r="G1" s="35"/>
      <c r="H1" s="35"/>
      <c r="I1" s="35"/>
      <c r="J1" s="35"/>
      <c r="K1" s="35"/>
      <c r="L1" s="35"/>
      <c r="M1" s="35"/>
      <c r="N1" s="35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34" t="s">
        <v>599</v>
      </c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4"/>
    </row>
    <row r="2" spans="1:75" s="13" customFormat="1">
      <c r="A2" s="34" t="s">
        <v>852</v>
      </c>
      <c r="B2" s="34"/>
      <c r="C2" s="34"/>
      <c r="D2" s="34"/>
      <c r="E2" s="34"/>
      <c r="F2" s="34"/>
      <c r="H2" s="35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34" t="s">
        <v>852</v>
      </c>
      <c r="AK2" s="34"/>
      <c r="AL2" s="34"/>
      <c r="AM2" s="21"/>
      <c r="AN2" s="21"/>
      <c r="AO2" s="21"/>
      <c r="AP2" s="21"/>
      <c r="AQ2" s="21"/>
      <c r="AR2" s="21"/>
      <c r="AS2" s="21"/>
      <c r="AT2" s="21"/>
      <c r="AU2" s="24"/>
    </row>
    <row r="3" spans="1:75" s="13" customFormat="1">
      <c r="A3" s="34"/>
      <c r="B3" s="34"/>
      <c r="C3" s="34"/>
      <c r="D3" s="34"/>
      <c r="E3" s="34"/>
      <c r="F3" s="34"/>
      <c r="G3" s="35"/>
      <c r="H3" s="35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4"/>
      <c r="AK3" s="34"/>
      <c r="AL3" s="34"/>
      <c r="AM3" s="21"/>
      <c r="AN3" s="21"/>
      <c r="AO3" s="21"/>
      <c r="AP3" s="21"/>
      <c r="AQ3" s="21"/>
      <c r="AR3" s="21"/>
      <c r="AS3" s="21"/>
      <c r="AT3" s="21"/>
      <c r="AU3" s="24"/>
    </row>
    <row r="4" spans="1:75">
      <c r="A4" s="24" t="s">
        <v>169</v>
      </c>
      <c r="B4" s="24"/>
      <c r="C4" s="24"/>
      <c r="D4" s="24"/>
      <c r="E4" s="9"/>
      <c r="F4" s="9"/>
      <c r="G4" s="21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24" t="s">
        <v>169</v>
      </c>
      <c r="AK4" s="24"/>
      <c r="AL4" s="24"/>
      <c r="AM4" s="9"/>
      <c r="AN4" s="9"/>
      <c r="AO4" s="9"/>
      <c r="AP4" s="9"/>
      <c r="AQ4" s="9"/>
      <c r="AR4" s="9"/>
      <c r="AS4" s="9"/>
      <c r="AT4" s="9"/>
      <c r="AU4" s="9"/>
    </row>
    <row r="5" spans="1:75" s="13" customFormat="1">
      <c r="B5" s="9"/>
      <c r="C5" s="9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14" t="s">
        <v>842</v>
      </c>
      <c r="P5" s="52"/>
      <c r="Q5" s="52"/>
      <c r="R5" s="52"/>
      <c r="S5" s="52"/>
      <c r="T5" s="52"/>
      <c r="U5" s="52"/>
      <c r="AK5" s="9"/>
      <c r="AL5" s="9"/>
    </row>
    <row r="6" spans="1:75">
      <c r="A6" s="45" t="s">
        <v>727</v>
      </c>
      <c r="B6" s="13"/>
      <c r="C6" s="13"/>
      <c r="D6" s="13"/>
      <c r="E6" s="16" t="s">
        <v>143</v>
      </c>
      <c r="F6" s="16"/>
      <c r="G6" s="16"/>
      <c r="H6" s="16"/>
      <c r="I6" s="16"/>
      <c r="J6" s="16"/>
      <c r="K6" s="16"/>
      <c r="L6" s="16"/>
      <c r="M6" s="16"/>
      <c r="O6" s="53" t="s">
        <v>6</v>
      </c>
      <c r="P6" s="21"/>
      <c r="Q6" s="16" t="s">
        <v>843</v>
      </c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G6" s="16" t="s">
        <v>156</v>
      </c>
      <c r="AH6" s="16"/>
      <c r="AI6" s="16"/>
      <c r="AJ6" s="45" t="s">
        <v>727</v>
      </c>
      <c r="AK6" s="13"/>
      <c r="AL6" s="13"/>
      <c r="AT6" s="66" t="s">
        <v>179</v>
      </c>
      <c r="AU6" s="66"/>
      <c r="AV6" s="66"/>
      <c r="AW6" s="9"/>
      <c r="AX6" s="9"/>
      <c r="BB6" s="16" t="s">
        <v>180</v>
      </c>
      <c r="BC6" s="16"/>
      <c r="BD6" s="16"/>
      <c r="BE6" s="16"/>
      <c r="BF6" s="16"/>
      <c r="BG6" s="16"/>
      <c r="BH6" s="16"/>
      <c r="BJ6" s="14" t="s">
        <v>3</v>
      </c>
      <c r="BK6" s="14"/>
      <c r="BL6" s="14" t="s">
        <v>184</v>
      </c>
      <c r="BM6" s="14"/>
      <c r="BN6" s="14" t="s">
        <v>90</v>
      </c>
      <c r="BO6" s="14"/>
      <c r="BP6" s="14" t="s">
        <v>588</v>
      </c>
      <c r="BQ6" s="14"/>
      <c r="BR6" s="14"/>
      <c r="BS6" s="14"/>
      <c r="BT6" s="14" t="s">
        <v>90</v>
      </c>
      <c r="BU6" s="14"/>
      <c r="BV6" s="14" t="s">
        <v>133</v>
      </c>
      <c r="BW6" s="14"/>
    </row>
    <row r="7" spans="1:75">
      <c r="A7" s="45"/>
      <c r="M7" s="14"/>
      <c r="AA7" s="14" t="s">
        <v>151</v>
      </c>
      <c r="AJ7" s="45"/>
      <c r="AR7" s="14" t="s">
        <v>1</v>
      </c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 t="s">
        <v>583</v>
      </c>
      <c r="BG7" s="14"/>
      <c r="BH7" s="14" t="s">
        <v>183</v>
      </c>
      <c r="BJ7" s="14" t="s">
        <v>74</v>
      </c>
      <c r="BK7" s="14"/>
      <c r="BL7" s="14" t="s">
        <v>119</v>
      </c>
      <c r="BM7" s="14"/>
      <c r="BN7" s="14" t="s">
        <v>185</v>
      </c>
      <c r="BO7" s="14"/>
      <c r="BP7" s="14" t="s">
        <v>589</v>
      </c>
      <c r="BQ7" s="14"/>
      <c r="BR7" s="14"/>
      <c r="BS7" s="14"/>
      <c r="BT7" s="14" t="s">
        <v>185</v>
      </c>
      <c r="BU7" s="14"/>
      <c r="BV7" s="14" t="s">
        <v>134</v>
      </c>
      <c r="BW7" s="14"/>
    </row>
    <row r="8" spans="1:75">
      <c r="A8" s="14"/>
      <c r="B8" s="54"/>
      <c r="C8" s="54"/>
      <c r="D8" s="54"/>
      <c r="E8" s="54"/>
      <c r="F8" s="54"/>
      <c r="G8" s="54"/>
      <c r="H8" s="54"/>
      <c r="I8" s="54"/>
      <c r="J8" s="54"/>
      <c r="K8" s="54" t="s">
        <v>859</v>
      </c>
      <c r="L8" s="54"/>
      <c r="M8" s="54"/>
      <c r="N8" s="54"/>
      <c r="O8" s="54"/>
      <c r="P8" s="54"/>
      <c r="Q8" s="54" t="s">
        <v>145</v>
      </c>
      <c r="R8" s="54"/>
      <c r="S8" s="54" t="s">
        <v>147</v>
      </c>
      <c r="T8" s="54"/>
      <c r="U8" s="54"/>
      <c r="V8" s="54"/>
      <c r="W8" s="54"/>
      <c r="X8" s="54"/>
      <c r="Y8" s="54"/>
      <c r="Z8" s="54"/>
      <c r="AA8" s="54" t="s">
        <v>152</v>
      </c>
      <c r="AB8" s="54"/>
      <c r="AC8" s="54" t="s">
        <v>154</v>
      </c>
      <c r="AD8" s="54"/>
      <c r="AE8" s="54"/>
      <c r="AF8" s="54"/>
      <c r="AG8" s="14" t="s">
        <v>157</v>
      </c>
      <c r="AH8" s="14"/>
      <c r="AI8" s="14"/>
      <c r="AJ8" s="14"/>
      <c r="AK8" s="54"/>
      <c r="AL8" s="54"/>
      <c r="AM8" s="14"/>
      <c r="AN8" s="14" t="s">
        <v>159</v>
      </c>
      <c r="AO8" s="14"/>
      <c r="AP8" s="14" t="s">
        <v>73</v>
      </c>
      <c r="AQ8" s="14"/>
      <c r="AR8" s="14" t="s">
        <v>7</v>
      </c>
      <c r="AS8" s="14"/>
      <c r="AT8" s="14" t="s">
        <v>76</v>
      </c>
      <c r="AU8" s="14"/>
      <c r="AV8" s="14"/>
      <c r="AW8" s="14"/>
      <c r="AX8" s="14" t="s">
        <v>127</v>
      </c>
      <c r="AY8" s="14"/>
      <c r="AZ8" s="14" t="s">
        <v>3</v>
      </c>
      <c r="BA8" s="14"/>
      <c r="BB8" s="14" t="s">
        <v>162</v>
      </c>
      <c r="BC8" s="14"/>
      <c r="BD8" s="14" t="s">
        <v>181</v>
      </c>
      <c r="BE8" s="14"/>
      <c r="BF8" s="14" t="s">
        <v>584</v>
      </c>
      <c r="BG8" s="14"/>
      <c r="BH8" s="14" t="s">
        <v>82</v>
      </c>
      <c r="BI8" s="14"/>
      <c r="BJ8" s="14" t="s">
        <v>177</v>
      </c>
      <c r="BK8" s="14"/>
      <c r="BL8" s="14" t="s">
        <v>90</v>
      </c>
      <c r="BM8" s="14"/>
      <c r="BN8" s="54" t="s">
        <v>163</v>
      </c>
      <c r="BO8" s="14"/>
      <c r="BP8" s="14" t="s">
        <v>580</v>
      </c>
      <c r="BQ8" s="14"/>
      <c r="BR8" s="14" t="s">
        <v>595</v>
      </c>
      <c r="BS8" s="14"/>
      <c r="BT8" s="54" t="s">
        <v>186</v>
      </c>
      <c r="BU8" s="14"/>
      <c r="BV8" s="14" t="s">
        <v>196</v>
      </c>
      <c r="BW8" s="14"/>
    </row>
    <row r="9" spans="1:75">
      <c r="A9" s="53" t="s">
        <v>199</v>
      </c>
      <c r="B9" s="14"/>
      <c r="C9" s="53" t="s">
        <v>4</v>
      </c>
      <c r="D9" s="54"/>
      <c r="E9" s="1" t="s">
        <v>853</v>
      </c>
      <c r="G9" s="1" t="s">
        <v>2</v>
      </c>
      <c r="I9" s="1" t="s">
        <v>142</v>
      </c>
      <c r="K9" s="1" t="s">
        <v>841</v>
      </c>
      <c r="M9" s="1" t="s">
        <v>82</v>
      </c>
      <c r="O9" s="1" t="s">
        <v>854</v>
      </c>
      <c r="Q9" s="1" t="s">
        <v>146</v>
      </c>
      <c r="S9" s="1" t="s">
        <v>148</v>
      </c>
      <c r="U9" s="1" t="s">
        <v>149</v>
      </c>
      <c r="W9" s="1" t="s">
        <v>150</v>
      </c>
      <c r="X9" s="54"/>
      <c r="Y9" s="53" t="s">
        <v>559</v>
      </c>
      <c r="AA9" s="1" t="s">
        <v>153</v>
      </c>
      <c r="AB9" s="54"/>
      <c r="AC9" s="53" t="s">
        <v>155</v>
      </c>
      <c r="AD9" s="54"/>
      <c r="AE9" s="53" t="s">
        <v>560</v>
      </c>
      <c r="AG9" s="53" t="s">
        <v>158</v>
      </c>
      <c r="AI9" s="53" t="s">
        <v>82</v>
      </c>
      <c r="AJ9" s="53" t="s">
        <v>199</v>
      </c>
      <c r="AK9" s="14"/>
      <c r="AL9" s="53" t="s">
        <v>4</v>
      </c>
      <c r="AM9" s="54"/>
      <c r="AN9" s="53" t="s">
        <v>160</v>
      </c>
      <c r="AO9" s="54"/>
      <c r="AP9" s="53" t="s">
        <v>75</v>
      </c>
      <c r="AQ9" s="54"/>
      <c r="AR9" s="53" t="s">
        <v>581</v>
      </c>
      <c r="AS9" s="54"/>
      <c r="AT9" s="53" t="s">
        <v>855</v>
      </c>
      <c r="AU9" s="54"/>
      <c r="AV9" s="53" t="s">
        <v>161</v>
      </c>
      <c r="AW9" s="54"/>
      <c r="AX9" s="53" t="s">
        <v>74</v>
      </c>
      <c r="AY9" s="54"/>
      <c r="AZ9" s="53" t="s">
        <v>74</v>
      </c>
      <c r="BA9" s="54"/>
      <c r="BB9" s="53" t="s">
        <v>118</v>
      </c>
      <c r="BC9" s="54"/>
      <c r="BD9" s="53" t="s">
        <v>118</v>
      </c>
      <c r="BE9" s="54"/>
      <c r="BF9" s="54" t="s">
        <v>586</v>
      </c>
      <c r="BG9" s="54"/>
      <c r="BH9" s="53" t="s">
        <v>182</v>
      </c>
      <c r="BI9" s="54"/>
      <c r="BJ9" s="53" t="s">
        <v>187</v>
      </c>
      <c r="BK9" s="54"/>
      <c r="BL9" s="53" t="s">
        <v>185</v>
      </c>
      <c r="BM9" s="14"/>
      <c r="BN9" s="53" t="s">
        <v>164</v>
      </c>
      <c r="BO9" s="14"/>
      <c r="BP9" s="53" t="s">
        <v>579</v>
      </c>
      <c r="BQ9" s="14"/>
      <c r="BR9" s="53" t="s">
        <v>594</v>
      </c>
      <c r="BS9" s="14"/>
      <c r="BT9" s="53" t="s">
        <v>164</v>
      </c>
      <c r="BU9" s="14"/>
      <c r="BV9" s="53" t="s">
        <v>135</v>
      </c>
      <c r="BW9" s="54"/>
    </row>
    <row r="10" spans="1:75">
      <c r="A10" s="11"/>
      <c r="B10" s="11"/>
      <c r="C10" s="11"/>
      <c r="D10" s="9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1"/>
      <c r="AK10" s="11"/>
      <c r="AL10" s="11"/>
      <c r="AM10" s="12"/>
      <c r="AN10" s="12"/>
      <c r="AO10" s="12"/>
      <c r="AP10" s="12"/>
      <c r="AQ10" s="12"/>
      <c r="AR10" s="12"/>
      <c r="AS10" s="12"/>
      <c r="AT10" s="12"/>
      <c r="AU10" s="18"/>
    </row>
    <row r="11" spans="1:75" hidden="1">
      <c r="A11" s="11" t="s">
        <v>862</v>
      </c>
      <c r="B11" s="11"/>
      <c r="C11" s="11" t="s">
        <v>339</v>
      </c>
      <c r="AJ11" s="11" t="s">
        <v>862</v>
      </c>
      <c r="AK11" s="11"/>
      <c r="AL11" s="11" t="s">
        <v>339</v>
      </c>
      <c r="AR11" s="6">
        <v>0</v>
      </c>
      <c r="AX11" s="6">
        <v>0</v>
      </c>
      <c r="AZ11" s="7">
        <f>SUM(E11:AX11)</f>
        <v>0</v>
      </c>
      <c r="BB11" s="6">
        <v>0</v>
      </c>
      <c r="BD11" s="6">
        <v>0</v>
      </c>
      <c r="BF11" s="6">
        <v>0</v>
      </c>
      <c r="BH11" s="6">
        <v>0</v>
      </c>
      <c r="BJ11" s="7">
        <f t="shared" ref="BJ11" si="0">AZ11+BB11+BH11</f>
        <v>0</v>
      </c>
      <c r="BL11" s="7">
        <f>'Gov Fd Rev'!AO11-'Gov Fd Exp'!BJ11</f>
        <v>0</v>
      </c>
      <c r="BP11" s="6">
        <v>0</v>
      </c>
      <c r="BR11" s="6">
        <v>0</v>
      </c>
      <c r="BT11" s="7">
        <f>BL11+BN11+BP11+BR11</f>
        <v>0</v>
      </c>
      <c r="BU11" s="7"/>
      <c r="BV11" s="7">
        <f>BT11-'Gov Fd BS'!AC11</f>
        <v>0</v>
      </c>
      <c r="BW11" s="7"/>
    </row>
    <row r="12" spans="1:75" s="32" customFormat="1">
      <c r="A12" s="27" t="s">
        <v>788</v>
      </c>
      <c r="B12" s="58"/>
      <c r="C12" s="59" t="s">
        <v>200</v>
      </c>
      <c r="D12" s="30"/>
      <c r="E12" s="28">
        <v>15351167</v>
      </c>
      <c r="F12" s="28"/>
      <c r="G12" s="28">
        <v>4431322</v>
      </c>
      <c r="H12" s="28"/>
      <c r="I12" s="28">
        <v>1866334</v>
      </c>
      <c r="J12" s="28"/>
      <c r="K12" s="28">
        <v>378934</v>
      </c>
      <c r="L12" s="28"/>
      <c r="M12" s="28">
        <v>500709</v>
      </c>
      <c r="N12" s="28"/>
      <c r="O12" s="28">
        <v>1430388</v>
      </c>
      <c r="P12" s="28"/>
      <c r="Q12" s="28">
        <v>2618931</v>
      </c>
      <c r="R12" s="28"/>
      <c r="S12" s="28">
        <v>83258</v>
      </c>
      <c r="T12" s="28"/>
      <c r="U12" s="28">
        <v>2167903</v>
      </c>
      <c r="V12" s="28"/>
      <c r="W12" s="28">
        <v>1082499</v>
      </c>
      <c r="X12" s="28"/>
      <c r="Y12" s="28">
        <v>240745</v>
      </c>
      <c r="Z12" s="28"/>
      <c r="AA12" s="28">
        <v>3168890</v>
      </c>
      <c r="AB12" s="28"/>
      <c r="AC12" s="28">
        <v>2177888</v>
      </c>
      <c r="AD12" s="28"/>
      <c r="AE12" s="28">
        <v>271882</v>
      </c>
      <c r="AF12" s="28"/>
      <c r="AG12" s="28">
        <v>0</v>
      </c>
      <c r="AH12" s="28"/>
      <c r="AI12" s="28">
        <v>2027477</v>
      </c>
      <c r="AJ12" s="27" t="s">
        <v>788</v>
      </c>
      <c r="AK12" s="58"/>
      <c r="AL12" s="59" t="s">
        <v>200</v>
      </c>
      <c r="AM12" s="28"/>
      <c r="AN12" s="28">
        <v>448848</v>
      </c>
      <c r="AO12" s="28"/>
      <c r="AP12" s="28">
        <v>179864</v>
      </c>
      <c r="AQ12" s="28"/>
      <c r="AR12" s="28">
        <v>0</v>
      </c>
      <c r="AS12" s="28"/>
      <c r="AT12" s="28">
        <v>1348850</v>
      </c>
      <c r="AU12" s="28"/>
      <c r="AV12" s="28">
        <f>1455428+168179</f>
        <v>1623607</v>
      </c>
      <c r="AW12" s="28"/>
      <c r="AX12" s="28">
        <v>0</v>
      </c>
      <c r="AY12" s="28"/>
      <c r="AZ12" s="32">
        <f>SUM(E12:AX12)</f>
        <v>41399496</v>
      </c>
      <c r="BA12" s="28"/>
      <c r="BB12" s="28">
        <v>200000</v>
      </c>
      <c r="BC12" s="28"/>
      <c r="BD12" s="28">
        <v>0</v>
      </c>
      <c r="BE12" s="28"/>
      <c r="BF12" s="28">
        <v>0</v>
      </c>
      <c r="BG12" s="28"/>
      <c r="BH12" s="28">
        <v>9545579</v>
      </c>
      <c r="BI12" s="28"/>
      <c r="BJ12" s="32">
        <f>AZ12+BB12+BH12</f>
        <v>51145075</v>
      </c>
      <c r="BK12" s="28"/>
      <c r="BL12" s="32">
        <f>'Gov Fd Rev'!AO12-'Gov Fd Exp'!BJ12</f>
        <v>5280741</v>
      </c>
      <c r="BM12" s="28"/>
      <c r="BN12" s="28">
        <v>9436255</v>
      </c>
      <c r="BO12" s="28"/>
      <c r="BP12" s="28">
        <v>0</v>
      </c>
      <c r="BQ12" s="28"/>
      <c r="BR12" s="28">
        <v>0</v>
      </c>
      <c r="BS12" s="28"/>
      <c r="BT12" s="32">
        <f>BL12+BN12+BP12+BR12</f>
        <v>14716996</v>
      </c>
      <c r="BV12" s="32">
        <f>BT12-'Gov Fd BS'!AC12</f>
        <v>0</v>
      </c>
    </row>
    <row r="13" spans="1:75">
      <c r="A13" s="11" t="s">
        <v>587</v>
      </c>
      <c r="B13" s="11"/>
      <c r="C13" s="11" t="s">
        <v>58</v>
      </c>
      <c r="E13" s="6">
        <v>4559884</v>
      </c>
      <c r="G13" s="6">
        <v>1310387</v>
      </c>
      <c r="I13" s="6">
        <v>1070</v>
      </c>
      <c r="K13" s="6">
        <v>0</v>
      </c>
      <c r="M13" s="6">
        <v>992125</v>
      </c>
      <c r="O13" s="6">
        <v>470817</v>
      </c>
      <c r="Q13" s="6">
        <v>679947</v>
      </c>
      <c r="S13" s="6">
        <v>56770</v>
      </c>
      <c r="U13" s="6">
        <v>938124</v>
      </c>
      <c r="W13" s="6">
        <v>330360</v>
      </c>
      <c r="Y13" s="6">
        <v>0</v>
      </c>
      <c r="AA13" s="6">
        <v>813122</v>
      </c>
      <c r="AC13" s="6">
        <v>818177</v>
      </c>
      <c r="AE13" s="6">
        <v>181847</v>
      </c>
      <c r="AG13" s="6">
        <v>0</v>
      </c>
      <c r="AI13" s="6">
        <v>440263</v>
      </c>
      <c r="AJ13" s="11" t="s">
        <v>587</v>
      </c>
      <c r="AK13" s="11"/>
      <c r="AL13" s="11" t="s">
        <v>58</v>
      </c>
      <c r="AN13" s="6">
        <v>345991</v>
      </c>
      <c r="AP13" s="6">
        <v>734122</v>
      </c>
      <c r="AR13" s="6">
        <v>0</v>
      </c>
      <c r="AT13" s="6">
        <v>229402</v>
      </c>
      <c r="AV13" s="6">
        <v>128484</v>
      </c>
      <c r="AX13" s="6">
        <v>0</v>
      </c>
      <c r="AZ13" s="7">
        <f>SUM(E13:AX13)</f>
        <v>13030892</v>
      </c>
      <c r="BB13" s="6">
        <v>109719</v>
      </c>
      <c r="BD13" s="6">
        <v>0</v>
      </c>
      <c r="BF13" s="6">
        <v>0</v>
      </c>
      <c r="BH13" s="6">
        <v>0</v>
      </c>
      <c r="BJ13" s="7">
        <f>AZ13+BB13+BH13</f>
        <v>13140611</v>
      </c>
      <c r="BL13" s="7">
        <f>'Gov Fd Rev'!AO13-'Gov Fd Exp'!BJ13</f>
        <v>-684462</v>
      </c>
      <c r="BN13" s="6">
        <v>5760970</v>
      </c>
      <c r="BP13" s="6">
        <v>0</v>
      </c>
      <c r="BR13" s="6">
        <v>0</v>
      </c>
      <c r="BT13" s="7">
        <f>BL13+BN13+BP13+BR13</f>
        <v>5076508</v>
      </c>
      <c r="BU13" s="7"/>
      <c r="BV13" s="7">
        <f>BT13-'Gov Fd BS'!AC13</f>
        <v>0</v>
      </c>
      <c r="BW13" s="7"/>
    </row>
    <row r="14" spans="1:75">
      <c r="A14" s="11" t="s">
        <v>506</v>
      </c>
      <c r="B14" s="11"/>
      <c r="C14" s="11" t="s">
        <v>63</v>
      </c>
      <c r="E14" s="6">
        <v>151824000</v>
      </c>
      <c r="G14" s="6">
        <v>40229839</v>
      </c>
      <c r="I14" s="6">
        <v>11567244</v>
      </c>
      <c r="K14" s="6">
        <v>716238</v>
      </c>
      <c r="M14" s="6">
        <v>6080190</v>
      </c>
      <c r="O14" s="6">
        <v>20859985</v>
      </c>
      <c r="Q14" s="6">
        <v>22867692</v>
      </c>
      <c r="S14" s="6">
        <v>102187</v>
      </c>
      <c r="U14" s="6">
        <v>21292475</v>
      </c>
      <c r="W14" s="6">
        <v>4427690</v>
      </c>
      <c r="Y14" s="6">
        <v>2706511</v>
      </c>
      <c r="AA14" s="6">
        <v>31784587</v>
      </c>
      <c r="AC14" s="6">
        <v>12401806</v>
      </c>
      <c r="AE14" s="6">
        <v>9540637</v>
      </c>
      <c r="AG14" s="6">
        <v>10406900</v>
      </c>
      <c r="AI14" s="6">
        <v>3507606</v>
      </c>
      <c r="AJ14" s="11" t="s">
        <v>506</v>
      </c>
      <c r="AK14" s="11"/>
      <c r="AL14" s="11" t="s">
        <v>63</v>
      </c>
      <c r="AN14" s="6">
        <v>3539589</v>
      </c>
      <c r="AP14" s="6">
        <v>27670778</v>
      </c>
      <c r="AR14" s="6">
        <v>0</v>
      </c>
      <c r="AT14" s="6">
        <v>0</v>
      </c>
      <c r="AV14" s="6">
        <v>0</v>
      </c>
      <c r="AX14" s="6">
        <v>0</v>
      </c>
      <c r="AZ14" s="7">
        <f>SUM(E14:AX14)</f>
        <v>381525954</v>
      </c>
      <c r="BB14" s="6">
        <v>40414</v>
      </c>
      <c r="BD14" s="6">
        <v>0</v>
      </c>
      <c r="BF14" s="6">
        <v>0</v>
      </c>
      <c r="BH14" s="6">
        <v>0</v>
      </c>
      <c r="BJ14" s="7">
        <f t="shared" ref="BJ14:BJ84" si="1">AZ14+BB14+BH14</f>
        <v>381566368</v>
      </c>
      <c r="BL14" s="7">
        <f>'Gov Fd Rev'!AO14-'Gov Fd Exp'!BJ14</f>
        <v>-3213633</v>
      </c>
      <c r="BN14" s="6">
        <v>62550232</v>
      </c>
      <c r="BP14" s="6">
        <v>0</v>
      </c>
      <c r="BR14" s="6">
        <v>0</v>
      </c>
      <c r="BT14" s="7">
        <f>BL14+BN14+BP14+BR14</f>
        <v>59336599</v>
      </c>
      <c r="BU14" s="7"/>
      <c r="BV14" s="7">
        <f>BT14-'Gov Fd BS'!AC14</f>
        <v>0</v>
      </c>
      <c r="BW14" s="7"/>
    </row>
    <row r="15" spans="1:75" hidden="1">
      <c r="A15" s="11" t="s">
        <v>617</v>
      </c>
      <c r="B15" s="11"/>
      <c r="C15" s="11" t="s">
        <v>13</v>
      </c>
      <c r="AJ15" s="11" t="s">
        <v>617</v>
      </c>
      <c r="AK15" s="11"/>
      <c r="AL15" s="11" t="s">
        <v>13</v>
      </c>
      <c r="AZ15" s="7">
        <f t="shared" ref="AZ15:AZ35" si="2">SUM(E15:AX15)</f>
        <v>0</v>
      </c>
      <c r="BD15" s="6">
        <v>0</v>
      </c>
      <c r="BF15" s="6">
        <v>0</v>
      </c>
      <c r="BJ15" s="7">
        <f t="shared" si="1"/>
        <v>0</v>
      </c>
      <c r="BL15" s="7">
        <f>'Gov Fd Rev'!AO15-'Gov Fd Exp'!BJ15</f>
        <v>0</v>
      </c>
      <c r="BT15" s="7">
        <f t="shared" ref="BT15:BT18" si="3">BL15+BN15+BP15+BR15</f>
        <v>0</v>
      </c>
      <c r="BU15" s="7"/>
      <c r="BV15" s="7">
        <f>BT15-'Gov Fd BS'!AC15</f>
        <v>0</v>
      </c>
      <c r="BW15" s="7"/>
    </row>
    <row r="16" spans="1:75" hidden="1">
      <c r="A16" s="11" t="s">
        <v>864</v>
      </c>
      <c r="B16" s="11"/>
      <c r="C16" s="11" t="s">
        <v>10</v>
      </c>
      <c r="D16" s="9"/>
      <c r="AJ16" s="11" t="s">
        <v>864</v>
      </c>
      <c r="AK16" s="11"/>
      <c r="AL16" s="11" t="s">
        <v>10</v>
      </c>
      <c r="AR16" s="6">
        <v>0</v>
      </c>
      <c r="AX16" s="6">
        <v>0</v>
      </c>
      <c r="AZ16" s="7">
        <f t="shared" ref="AZ16" si="4">SUM(E16:AX16)</f>
        <v>0</v>
      </c>
      <c r="BB16" s="6">
        <v>0</v>
      </c>
      <c r="BD16" s="6">
        <v>0</v>
      </c>
      <c r="BF16" s="6">
        <v>0</v>
      </c>
      <c r="BH16" s="6">
        <v>0</v>
      </c>
      <c r="BJ16" s="7">
        <f>AZ16+BB16+BH16</f>
        <v>0</v>
      </c>
      <c r="BL16" s="7">
        <f>'Gov Fd Rev'!AO16-'Gov Fd Exp'!BJ16</f>
        <v>0</v>
      </c>
      <c r="BP16" s="6">
        <v>0</v>
      </c>
      <c r="BR16" s="6">
        <v>0</v>
      </c>
      <c r="BT16" s="7">
        <f t="shared" si="3"/>
        <v>0</v>
      </c>
      <c r="BU16" s="7"/>
      <c r="BV16" s="7">
        <f>BT16-'Gov Fd BS'!AC16</f>
        <v>0</v>
      </c>
      <c r="BW16" s="7"/>
    </row>
    <row r="17" spans="1:75">
      <c r="A17" s="11" t="s">
        <v>493</v>
      </c>
      <c r="B17" s="11"/>
      <c r="C17" s="11" t="s">
        <v>62</v>
      </c>
      <c r="E17" s="6">
        <v>13508473</v>
      </c>
      <c r="G17" s="6">
        <v>5165872</v>
      </c>
      <c r="I17" s="6">
        <v>1267144</v>
      </c>
      <c r="K17" s="6">
        <v>761330</v>
      </c>
      <c r="M17" s="6">
        <f>89911+223297</f>
        <v>313208</v>
      </c>
      <c r="O17" s="6">
        <v>1962640</v>
      </c>
      <c r="Q17" s="6">
        <v>965946</v>
      </c>
      <c r="S17" s="6">
        <v>35881</v>
      </c>
      <c r="U17" s="6">
        <v>2396535</v>
      </c>
      <c r="W17" s="6">
        <v>561331</v>
      </c>
      <c r="Y17" s="6">
        <v>428193</v>
      </c>
      <c r="AA17" s="6">
        <v>3064391</v>
      </c>
      <c r="AC17" s="6">
        <v>761595</v>
      </c>
      <c r="AE17" s="6">
        <v>147662</v>
      </c>
      <c r="AG17" s="6">
        <v>1472325</v>
      </c>
      <c r="AI17" s="6">
        <v>144747</v>
      </c>
      <c r="AJ17" s="11" t="s">
        <v>493</v>
      </c>
      <c r="AK17" s="11"/>
      <c r="AL17" s="11" t="s">
        <v>62</v>
      </c>
      <c r="AN17" s="6">
        <v>654599</v>
      </c>
      <c r="AP17" s="6">
        <v>221279</v>
      </c>
      <c r="AR17" s="6">
        <v>0</v>
      </c>
      <c r="AT17" s="6">
        <v>311328</v>
      </c>
      <c r="AV17" s="6">
        <v>707411</v>
      </c>
      <c r="AX17" s="6">
        <v>0</v>
      </c>
      <c r="AZ17" s="7">
        <f t="shared" si="2"/>
        <v>34851890</v>
      </c>
      <c r="BB17" s="6">
        <v>0</v>
      </c>
      <c r="BD17" s="6">
        <v>0</v>
      </c>
      <c r="BF17" s="6">
        <v>0</v>
      </c>
      <c r="BH17" s="6">
        <v>0</v>
      </c>
      <c r="BJ17" s="7">
        <f t="shared" si="1"/>
        <v>34851890</v>
      </c>
      <c r="BL17" s="7">
        <f>'Gov Fd Rev'!AO17-'Gov Fd Exp'!BJ17</f>
        <v>-745899</v>
      </c>
      <c r="BN17" s="6">
        <v>7991130</v>
      </c>
      <c r="BP17" s="6">
        <v>0</v>
      </c>
      <c r="BR17" s="6">
        <v>0</v>
      </c>
      <c r="BT17" s="7">
        <f t="shared" si="3"/>
        <v>7245231</v>
      </c>
      <c r="BU17" s="7"/>
      <c r="BV17" s="7">
        <f>BT17-'Gov Fd BS'!AC17</f>
        <v>0</v>
      </c>
      <c r="BW17" s="7"/>
    </row>
    <row r="18" spans="1:75">
      <c r="A18" s="11" t="s">
        <v>292</v>
      </c>
      <c r="B18" s="11"/>
      <c r="C18" s="11" t="s">
        <v>25</v>
      </c>
      <c r="E18" s="6">
        <v>5359883</v>
      </c>
      <c r="G18" s="6">
        <v>2271791</v>
      </c>
      <c r="I18" s="6">
        <v>266772</v>
      </c>
      <c r="K18" s="6">
        <v>0</v>
      </c>
      <c r="M18" s="6">
        <f>30028+48879</f>
        <v>78907</v>
      </c>
      <c r="O18" s="6">
        <v>645025</v>
      </c>
      <c r="Q18" s="6">
        <v>175101</v>
      </c>
      <c r="S18" s="6">
        <v>103593</v>
      </c>
      <c r="U18" s="6">
        <v>1005874</v>
      </c>
      <c r="W18" s="6">
        <v>320343</v>
      </c>
      <c r="Y18" s="6">
        <v>36316</v>
      </c>
      <c r="AA18" s="6">
        <v>1451520</v>
      </c>
      <c r="AC18" s="6">
        <v>1159500</v>
      </c>
      <c r="AE18" s="6">
        <v>200075</v>
      </c>
      <c r="AG18" s="6">
        <v>0</v>
      </c>
      <c r="AI18" s="6">
        <v>817386</v>
      </c>
      <c r="AJ18" s="11" t="s">
        <v>292</v>
      </c>
      <c r="AK18" s="11"/>
      <c r="AL18" s="11" t="s">
        <v>25</v>
      </c>
      <c r="AN18" s="6">
        <v>244178</v>
      </c>
      <c r="AP18" s="6">
        <v>58752</v>
      </c>
      <c r="AR18" s="6">
        <v>0</v>
      </c>
      <c r="AT18" s="6">
        <v>348116</v>
      </c>
      <c r="AV18" s="6">
        <v>137502</v>
      </c>
      <c r="AX18" s="6">
        <v>0</v>
      </c>
      <c r="AZ18" s="7">
        <f t="shared" si="2"/>
        <v>14680634</v>
      </c>
      <c r="BB18" s="6">
        <v>0</v>
      </c>
      <c r="BD18" s="6">
        <v>0</v>
      </c>
      <c r="BF18" s="6">
        <v>0</v>
      </c>
      <c r="BH18" s="6">
        <v>0</v>
      </c>
      <c r="BJ18" s="7">
        <f t="shared" si="1"/>
        <v>14680634</v>
      </c>
      <c r="BL18" s="7">
        <f>'Gov Fd Rev'!AO18-'Gov Fd Exp'!BJ18</f>
        <v>1408624</v>
      </c>
      <c r="BN18" s="6">
        <v>1975280</v>
      </c>
      <c r="BP18" s="6">
        <v>0</v>
      </c>
      <c r="BR18" s="6">
        <v>0</v>
      </c>
      <c r="BT18" s="7">
        <f t="shared" si="3"/>
        <v>3383904</v>
      </c>
      <c r="BU18" s="7"/>
      <c r="BV18" s="7">
        <f>BT18-'Gov Fd BS'!AC18</f>
        <v>0</v>
      </c>
      <c r="BW18" s="7"/>
    </row>
    <row r="19" spans="1:75">
      <c r="A19" s="11" t="s">
        <v>749</v>
      </c>
      <c r="B19" s="11"/>
      <c r="C19" s="11" t="s">
        <v>44</v>
      </c>
      <c r="D19" s="9"/>
      <c r="E19" s="6">
        <v>17259113</v>
      </c>
      <c r="G19" s="6">
        <v>5479202</v>
      </c>
      <c r="I19" s="6">
        <v>365711</v>
      </c>
      <c r="K19" s="6">
        <v>0</v>
      </c>
      <c r="M19" s="6">
        <v>0</v>
      </c>
      <c r="O19" s="6">
        <v>1697847</v>
      </c>
      <c r="Q19" s="6">
        <v>1885703</v>
      </c>
      <c r="S19" s="6">
        <v>31115</v>
      </c>
      <c r="U19" s="6">
        <v>2975542</v>
      </c>
      <c r="W19" s="6">
        <v>822126</v>
      </c>
      <c r="Y19" s="6">
        <v>0</v>
      </c>
      <c r="AA19" s="6">
        <v>3314082</v>
      </c>
      <c r="AC19" s="6">
        <v>1352196</v>
      </c>
      <c r="AE19" s="6">
        <v>20973</v>
      </c>
      <c r="AG19" s="6">
        <v>0</v>
      </c>
      <c r="AI19" s="6">
        <v>1776283</v>
      </c>
      <c r="AJ19" s="11" t="s">
        <v>749</v>
      </c>
      <c r="AK19" s="11"/>
      <c r="AL19" s="11" t="s">
        <v>44</v>
      </c>
      <c r="AN19" s="6">
        <v>747314</v>
      </c>
      <c r="AP19" s="6">
        <v>172852</v>
      </c>
      <c r="AR19" s="6">
        <v>0</v>
      </c>
      <c r="AT19" s="6">
        <v>1540000</v>
      </c>
      <c r="AV19" s="6">
        <v>698319</v>
      </c>
      <c r="AX19" s="6">
        <v>0</v>
      </c>
      <c r="AZ19" s="7">
        <f t="shared" si="2"/>
        <v>40138378</v>
      </c>
      <c r="BB19" s="6">
        <v>0</v>
      </c>
      <c r="BD19" s="6">
        <v>0</v>
      </c>
      <c r="BF19" s="6">
        <v>0</v>
      </c>
      <c r="BH19" s="6">
        <v>0</v>
      </c>
      <c r="BJ19" s="7">
        <f>AZ19+BB19+BH19</f>
        <v>40138378</v>
      </c>
      <c r="BL19" s="7">
        <f>'Gov Fd Rev'!AO19-'Gov Fd Exp'!BJ19</f>
        <v>-53645</v>
      </c>
      <c r="BN19" s="6">
        <v>6642507</v>
      </c>
      <c r="BP19" s="6">
        <v>0</v>
      </c>
      <c r="BR19" s="6">
        <v>0</v>
      </c>
      <c r="BT19" s="7">
        <f t="shared" ref="BT19:BT89" si="5">BL19+BN19+BP19+BR19</f>
        <v>6588862</v>
      </c>
      <c r="BU19" s="7"/>
      <c r="BV19" s="7">
        <f>BT19-'Gov Fd BS'!AC19</f>
        <v>0</v>
      </c>
      <c r="BW19" s="7"/>
    </row>
    <row r="20" spans="1:75">
      <c r="A20" s="11" t="s">
        <v>804</v>
      </c>
      <c r="B20" s="11"/>
      <c r="C20" s="11" t="s">
        <v>61</v>
      </c>
      <c r="E20" s="6">
        <v>4976280</v>
      </c>
      <c r="G20" s="6">
        <v>890359</v>
      </c>
      <c r="I20" s="6">
        <v>397793</v>
      </c>
      <c r="K20" s="6">
        <v>0</v>
      </c>
      <c r="M20" s="6">
        <v>11711</v>
      </c>
      <c r="O20" s="6">
        <v>445288</v>
      </c>
      <c r="Q20" s="6">
        <v>258918</v>
      </c>
      <c r="S20" s="6">
        <v>59842</v>
      </c>
      <c r="U20" s="6">
        <v>674234</v>
      </c>
      <c r="W20" s="6">
        <v>361938</v>
      </c>
      <c r="Y20" s="6">
        <v>84802</v>
      </c>
      <c r="AA20" s="6">
        <v>976797</v>
      </c>
      <c r="AC20" s="6">
        <v>687739</v>
      </c>
      <c r="AE20" s="6">
        <v>3864</v>
      </c>
      <c r="AG20" s="6">
        <v>0</v>
      </c>
      <c r="AI20" s="6">
        <v>494704</v>
      </c>
      <c r="AJ20" s="11" t="s">
        <v>804</v>
      </c>
      <c r="AK20" s="11"/>
      <c r="AL20" s="11" t="s">
        <v>61</v>
      </c>
      <c r="AN20" s="6">
        <v>569977</v>
      </c>
      <c r="AP20" s="6">
        <v>580873</v>
      </c>
      <c r="AR20" s="6">
        <v>0</v>
      </c>
      <c r="AT20" s="6">
        <v>250000</v>
      </c>
      <c r="AV20" s="6">
        <v>148350</v>
      </c>
      <c r="AX20" s="6">
        <v>0</v>
      </c>
      <c r="AZ20" s="7">
        <f t="shared" si="2"/>
        <v>11873469</v>
      </c>
      <c r="BB20" s="6">
        <v>1500000</v>
      </c>
      <c r="BD20" s="6">
        <v>0</v>
      </c>
      <c r="BF20" s="6">
        <v>0</v>
      </c>
      <c r="BH20" s="6">
        <v>0</v>
      </c>
      <c r="BJ20" s="7">
        <f t="shared" si="1"/>
        <v>13373469</v>
      </c>
      <c r="BL20" s="7">
        <f>'Gov Fd Rev'!AO20-'Gov Fd Exp'!BJ20</f>
        <v>483666</v>
      </c>
      <c r="BN20" s="6">
        <v>5221949</v>
      </c>
      <c r="BP20" s="6">
        <v>0</v>
      </c>
      <c r="BR20" s="6">
        <v>0</v>
      </c>
      <c r="BT20" s="7">
        <f t="shared" si="5"/>
        <v>5705615</v>
      </c>
      <c r="BU20" s="7"/>
      <c r="BV20" s="7">
        <f>BT20-'Gov Fd BS'!AC20</f>
        <v>0</v>
      </c>
      <c r="BW20" s="7"/>
    </row>
    <row r="21" spans="1:75" hidden="1">
      <c r="A21" s="11" t="s">
        <v>691</v>
      </c>
      <c r="B21" s="11"/>
      <c r="C21" s="11" t="s">
        <v>603</v>
      </c>
      <c r="AJ21" s="11" t="s">
        <v>691</v>
      </c>
      <c r="AK21" s="11"/>
      <c r="AL21" s="11" t="s">
        <v>603</v>
      </c>
      <c r="AZ21" s="7">
        <f t="shared" si="2"/>
        <v>0</v>
      </c>
      <c r="BD21" s="6">
        <v>0</v>
      </c>
      <c r="BF21" s="6">
        <v>0</v>
      </c>
      <c r="BJ21" s="7">
        <f t="shared" si="1"/>
        <v>0</v>
      </c>
      <c r="BL21" s="7">
        <f>'Gov Fd Rev'!AO21-'Gov Fd Exp'!BJ21</f>
        <v>0</v>
      </c>
      <c r="BT21" s="7">
        <f t="shared" si="5"/>
        <v>0</v>
      </c>
      <c r="BU21" s="7"/>
      <c r="BV21" s="7">
        <f>BT21-'Gov Fd BS'!AC21</f>
        <v>0</v>
      </c>
      <c r="BW21" s="7"/>
    </row>
    <row r="22" spans="1:75">
      <c r="A22" s="11" t="s">
        <v>390</v>
      </c>
      <c r="B22" s="11"/>
      <c r="C22" s="11" t="s">
        <v>115</v>
      </c>
      <c r="E22" s="6">
        <v>19331156</v>
      </c>
      <c r="G22" s="6">
        <v>3027208</v>
      </c>
      <c r="I22" s="6">
        <v>3363</v>
      </c>
      <c r="K22" s="6">
        <v>0</v>
      </c>
      <c r="M22" s="6">
        <v>0</v>
      </c>
      <c r="O22" s="6">
        <v>1734651</v>
      </c>
      <c r="Q22" s="6">
        <v>884304</v>
      </c>
      <c r="S22" s="6">
        <v>617101</v>
      </c>
      <c r="U22" s="6">
        <v>3118248</v>
      </c>
      <c r="W22" s="6">
        <v>975528</v>
      </c>
      <c r="Y22" s="6">
        <v>25053</v>
      </c>
      <c r="AA22" s="6">
        <v>4109566</v>
      </c>
      <c r="AC22" s="6">
        <v>2521185</v>
      </c>
      <c r="AE22" s="6">
        <v>50391</v>
      </c>
      <c r="AG22" s="6">
        <v>1119966</v>
      </c>
      <c r="AI22" s="6">
        <v>228835</v>
      </c>
      <c r="AJ22" s="11" t="s">
        <v>390</v>
      </c>
      <c r="AK22" s="11"/>
      <c r="AL22" s="11" t="s">
        <v>115</v>
      </c>
      <c r="AN22" s="6">
        <v>1083101</v>
      </c>
      <c r="AP22" s="6">
        <v>545133</v>
      </c>
      <c r="AR22" s="6">
        <v>0</v>
      </c>
      <c r="AT22" s="6">
        <v>503555</v>
      </c>
      <c r="AV22" s="6">
        <f>1573431+112515</f>
        <v>1685946</v>
      </c>
      <c r="AX22" s="6">
        <v>0</v>
      </c>
      <c r="AZ22" s="7">
        <f t="shared" si="2"/>
        <v>41564290</v>
      </c>
      <c r="BB22" s="6">
        <v>0</v>
      </c>
      <c r="BD22" s="6">
        <v>0</v>
      </c>
      <c r="BF22" s="6">
        <v>0</v>
      </c>
      <c r="BH22" s="6">
        <v>8029500</v>
      </c>
      <c r="BJ22" s="7">
        <f>AZ22+BB22+BH22</f>
        <v>49593790</v>
      </c>
      <c r="BL22" s="7">
        <f>'Gov Fd Rev'!AO22-'Gov Fd Exp'!BJ22</f>
        <v>-1561385</v>
      </c>
      <c r="BN22" s="6">
        <v>8996265</v>
      </c>
      <c r="BP22" s="6">
        <v>-4839</v>
      </c>
      <c r="BR22" s="6">
        <v>0</v>
      </c>
      <c r="BT22" s="7">
        <f t="shared" si="5"/>
        <v>7430041</v>
      </c>
      <c r="BU22" s="7"/>
      <c r="BV22" s="7">
        <f>BT22-'Gov Fd BS'!AC22</f>
        <v>0</v>
      </c>
      <c r="BW22" s="7"/>
    </row>
    <row r="23" spans="1:75" hidden="1">
      <c r="A23" s="11" t="s">
        <v>865</v>
      </c>
      <c r="B23" s="11"/>
      <c r="C23" s="11" t="s">
        <v>450</v>
      </c>
      <c r="AJ23" s="11" t="s">
        <v>865</v>
      </c>
      <c r="AK23" s="11"/>
      <c r="AL23" s="11" t="s">
        <v>450</v>
      </c>
      <c r="AR23" s="6">
        <v>0</v>
      </c>
      <c r="AX23" s="6">
        <v>0</v>
      </c>
      <c r="AZ23" s="7">
        <f t="shared" ref="AZ23" si="6">SUM(E23:AX23)</f>
        <v>0</v>
      </c>
      <c r="BB23" s="6">
        <v>0</v>
      </c>
      <c r="BD23" s="6">
        <v>0</v>
      </c>
      <c r="BF23" s="6">
        <v>0</v>
      </c>
      <c r="BH23" s="6">
        <v>0</v>
      </c>
      <c r="BJ23" s="7">
        <f t="shared" ref="BJ23" si="7">AZ23+BB23+BH23</f>
        <v>0</v>
      </c>
      <c r="BL23" s="7">
        <f>'Gov Fd Rev'!AO23-'Gov Fd Exp'!BJ23</f>
        <v>0</v>
      </c>
      <c r="BP23" s="6">
        <v>0</v>
      </c>
      <c r="BR23" s="6">
        <v>0</v>
      </c>
      <c r="BT23" s="7">
        <f t="shared" ref="BT23" si="8">BL23+BN23+BP23+BR23</f>
        <v>0</v>
      </c>
      <c r="BU23" s="7"/>
      <c r="BV23" s="7">
        <f>BT23-'Gov Fd BS'!AC23</f>
        <v>0</v>
      </c>
      <c r="BW23" s="7"/>
    </row>
    <row r="24" spans="1:75">
      <c r="A24" s="11" t="s">
        <v>334</v>
      </c>
      <c r="B24" s="11"/>
      <c r="C24" s="11" t="s">
        <v>33</v>
      </c>
      <c r="E24" s="6">
        <v>2615188</v>
      </c>
      <c r="G24" s="6">
        <v>378440</v>
      </c>
      <c r="I24" s="6">
        <v>327821</v>
      </c>
      <c r="K24" s="6">
        <v>0</v>
      </c>
      <c r="M24" s="6">
        <v>0</v>
      </c>
      <c r="O24" s="6">
        <v>230910</v>
      </c>
      <c r="Q24" s="6">
        <v>205427</v>
      </c>
      <c r="S24" s="6">
        <v>24262</v>
      </c>
      <c r="U24" s="6">
        <v>638505</v>
      </c>
      <c r="W24" s="6">
        <v>193264</v>
      </c>
      <c r="Y24" s="6">
        <v>0</v>
      </c>
      <c r="AA24" s="6">
        <v>520499</v>
      </c>
      <c r="AC24" s="6">
        <v>318763</v>
      </c>
      <c r="AE24" s="6">
        <v>3970</v>
      </c>
      <c r="AG24" s="6">
        <v>0</v>
      </c>
      <c r="AI24" s="6">
        <v>292100</v>
      </c>
      <c r="AJ24" s="11" t="s">
        <v>334</v>
      </c>
      <c r="AK24" s="11"/>
      <c r="AL24" s="11" t="s">
        <v>33</v>
      </c>
      <c r="AN24" s="6">
        <v>258914</v>
      </c>
      <c r="AP24" s="6">
        <v>13577</v>
      </c>
      <c r="AR24" s="6">
        <v>0</v>
      </c>
      <c r="AT24" s="6">
        <v>0</v>
      </c>
      <c r="AV24" s="6">
        <v>0</v>
      </c>
      <c r="AX24" s="6">
        <v>0</v>
      </c>
      <c r="AZ24" s="7">
        <f t="shared" si="2"/>
        <v>6021640</v>
      </c>
      <c r="BB24" s="6">
        <v>0</v>
      </c>
      <c r="BD24" s="6">
        <v>0</v>
      </c>
      <c r="BF24" s="6">
        <v>0</v>
      </c>
      <c r="BH24" s="6">
        <v>0</v>
      </c>
      <c r="BJ24" s="7">
        <f t="shared" si="1"/>
        <v>6021640</v>
      </c>
      <c r="BL24" s="7">
        <f>'Gov Fd Rev'!AO24-'Gov Fd Exp'!BJ24</f>
        <v>799912</v>
      </c>
      <c r="BN24" s="6">
        <v>3447341</v>
      </c>
      <c r="BP24" s="6">
        <v>0</v>
      </c>
      <c r="BR24" s="6">
        <v>0</v>
      </c>
      <c r="BT24" s="7">
        <f t="shared" si="5"/>
        <v>4247253</v>
      </c>
      <c r="BU24" s="7"/>
      <c r="BV24" s="7">
        <f>BT24-'Gov Fd BS'!AC24</f>
        <v>0</v>
      </c>
      <c r="BW24" s="7"/>
    </row>
    <row r="25" spans="1:75" hidden="1">
      <c r="A25" s="11" t="s">
        <v>670</v>
      </c>
      <c r="B25" s="11"/>
      <c r="C25" s="11" t="s">
        <v>21</v>
      </c>
      <c r="AJ25" s="11" t="s">
        <v>670</v>
      </c>
      <c r="AK25" s="11"/>
      <c r="AL25" s="11" t="s">
        <v>21</v>
      </c>
      <c r="AZ25" s="7">
        <f t="shared" si="2"/>
        <v>0</v>
      </c>
      <c r="BD25" s="6">
        <v>0</v>
      </c>
      <c r="BF25" s="6">
        <v>0</v>
      </c>
      <c r="BJ25" s="7">
        <f t="shared" si="1"/>
        <v>0</v>
      </c>
      <c r="BL25" s="7">
        <f>'Gov Fd Rev'!AO25-'Gov Fd Exp'!BJ25</f>
        <v>0</v>
      </c>
      <c r="BT25" s="7">
        <f t="shared" si="5"/>
        <v>0</v>
      </c>
      <c r="BU25" s="7"/>
      <c r="BV25" s="7">
        <f>BT25-'Gov Fd BS'!AC25</f>
        <v>0</v>
      </c>
      <c r="BW25" s="7"/>
    </row>
    <row r="26" spans="1:75">
      <c r="A26" s="11" t="s">
        <v>866</v>
      </c>
      <c r="B26" s="11"/>
      <c r="C26" s="11" t="s">
        <v>28</v>
      </c>
      <c r="E26" s="6">
        <v>6419963</v>
      </c>
      <c r="G26" s="6">
        <v>1184618</v>
      </c>
      <c r="I26" s="6">
        <v>164741</v>
      </c>
      <c r="K26" s="6">
        <v>0</v>
      </c>
      <c r="M26" s="6">
        <f>2265+27904</f>
        <v>30169</v>
      </c>
      <c r="O26" s="6">
        <v>881506</v>
      </c>
      <c r="Q26" s="6">
        <v>491496</v>
      </c>
      <c r="S26" s="6">
        <v>43686</v>
      </c>
      <c r="U26" s="6">
        <v>789710</v>
      </c>
      <c r="W26" s="6">
        <v>375297</v>
      </c>
      <c r="Y26" s="6">
        <v>0</v>
      </c>
      <c r="AA26" s="6">
        <v>987198</v>
      </c>
      <c r="AC26" s="6">
        <v>480635</v>
      </c>
      <c r="AE26" s="6">
        <v>0</v>
      </c>
      <c r="AG26" s="6">
        <v>0</v>
      </c>
      <c r="AI26" s="6">
        <v>535962</v>
      </c>
      <c r="AJ26" s="11" t="s">
        <v>866</v>
      </c>
      <c r="AK26" s="11"/>
      <c r="AL26" s="11" t="s">
        <v>28</v>
      </c>
      <c r="AN26" s="6">
        <v>609660</v>
      </c>
      <c r="AP26" s="6">
        <v>1370371</v>
      </c>
      <c r="AR26" s="6">
        <v>0</v>
      </c>
      <c r="AT26" s="6">
        <v>1315000</v>
      </c>
      <c r="AV26" s="6">
        <v>363031</v>
      </c>
      <c r="AX26" s="6">
        <v>0</v>
      </c>
      <c r="AZ26" s="7">
        <f t="shared" si="2"/>
        <v>16043043</v>
      </c>
      <c r="BB26" s="6">
        <v>0</v>
      </c>
      <c r="BD26" s="6">
        <v>0</v>
      </c>
      <c r="BF26" s="6">
        <v>0</v>
      </c>
      <c r="BH26" s="6">
        <v>0</v>
      </c>
      <c r="BJ26" s="7">
        <f t="shared" si="1"/>
        <v>16043043</v>
      </c>
      <c r="BL26" s="7">
        <f>'Gov Fd Rev'!AO26-'Gov Fd Exp'!BJ26</f>
        <v>-1396113</v>
      </c>
      <c r="BN26" s="6">
        <v>8051130</v>
      </c>
      <c r="BP26" s="6">
        <v>0</v>
      </c>
      <c r="BR26" s="6">
        <v>0</v>
      </c>
      <c r="BT26" s="7">
        <f>BL26+BN26+BP26+BR26-BB26</f>
        <v>6655017</v>
      </c>
      <c r="BU26" s="7"/>
      <c r="BV26" s="7">
        <f>BT26-'Gov Fd BS'!AC26</f>
        <v>0</v>
      </c>
      <c r="BW26" s="7"/>
    </row>
    <row r="27" spans="1:75">
      <c r="A27" s="11" t="s">
        <v>335</v>
      </c>
      <c r="B27" s="11"/>
      <c r="C27" s="11" t="s">
        <v>33</v>
      </c>
      <c r="E27" s="6">
        <v>3115163</v>
      </c>
      <c r="G27" s="6">
        <v>777329</v>
      </c>
      <c r="I27" s="6">
        <v>317358</v>
      </c>
      <c r="K27" s="6">
        <v>0</v>
      </c>
      <c r="M27" s="6">
        <v>0</v>
      </c>
      <c r="O27" s="6">
        <v>279574</v>
      </c>
      <c r="Q27" s="6">
        <v>296578</v>
      </c>
      <c r="S27" s="6">
        <v>21508</v>
      </c>
      <c r="U27" s="6">
        <v>510202</v>
      </c>
      <c r="W27" s="6">
        <v>219933</v>
      </c>
      <c r="Y27" s="6">
        <v>0</v>
      </c>
      <c r="AA27" s="6">
        <v>448476</v>
      </c>
      <c r="AC27" s="6">
        <v>215590</v>
      </c>
      <c r="AE27" s="6">
        <v>1054</v>
      </c>
      <c r="AG27" s="6">
        <v>0</v>
      </c>
      <c r="AI27" s="6">
        <v>265493</v>
      </c>
      <c r="AJ27" s="11" t="s">
        <v>335</v>
      </c>
      <c r="AK27" s="11"/>
      <c r="AL27" s="11" t="s">
        <v>33</v>
      </c>
      <c r="AN27" s="6">
        <v>291698</v>
      </c>
      <c r="AP27" s="6">
        <v>0</v>
      </c>
      <c r="AR27" s="6">
        <v>0</v>
      </c>
      <c r="AT27" s="6">
        <v>120000</v>
      </c>
      <c r="AV27" s="6">
        <v>23681</v>
      </c>
      <c r="AX27" s="6">
        <v>0</v>
      </c>
      <c r="AZ27" s="7">
        <f t="shared" si="2"/>
        <v>6903637</v>
      </c>
      <c r="BB27" s="6">
        <v>0</v>
      </c>
      <c r="BD27" s="6">
        <v>0</v>
      </c>
      <c r="BF27" s="6">
        <v>0</v>
      </c>
      <c r="BH27" s="6">
        <v>0</v>
      </c>
      <c r="BJ27" s="7">
        <f t="shared" si="1"/>
        <v>6903637</v>
      </c>
      <c r="BL27" s="7">
        <f>'Gov Fd Rev'!AO27-'Gov Fd Exp'!BJ27</f>
        <v>-53604</v>
      </c>
      <c r="BN27" s="6">
        <v>2292495</v>
      </c>
      <c r="BP27" s="6">
        <v>0</v>
      </c>
      <c r="BR27" s="6">
        <v>0</v>
      </c>
      <c r="BT27" s="7">
        <f t="shared" si="5"/>
        <v>2238891</v>
      </c>
      <c r="BU27" s="7"/>
      <c r="BV27" s="7">
        <f>BT27-'Gov Fd BS'!AC27</f>
        <v>0</v>
      </c>
      <c r="BW27" s="7"/>
    </row>
    <row r="28" spans="1:75">
      <c r="A28" s="11" t="s">
        <v>203</v>
      </c>
      <c r="B28" s="11"/>
      <c r="C28" s="11" t="s">
        <v>11</v>
      </c>
      <c r="E28" s="6">
        <v>15555324</v>
      </c>
      <c r="G28" s="6">
        <v>4865681</v>
      </c>
      <c r="I28" s="6">
        <v>675083</v>
      </c>
      <c r="K28" s="6">
        <v>0</v>
      </c>
      <c r="M28" s="6">
        <v>952081</v>
      </c>
      <c r="O28" s="6">
        <v>1679400</v>
      </c>
      <c r="Q28" s="6">
        <v>1655749</v>
      </c>
      <c r="S28" s="6">
        <v>90601</v>
      </c>
      <c r="U28" s="6">
        <v>2473379</v>
      </c>
      <c r="W28" s="6">
        <v>846479</v>
      </c>
      <c r="Y28" s="6">
        <v>328821</v>
      </c>
      <c r="AA28" s="6">
        <v>2574813</v>
      </c>
      <c r="AC28" s="6">
        <v>1146679</v>
      </c>
      <c r="AE28" s="6">
        <v>321557</v>
      </c>
      <c r="AG28" s="6">
        <v>1442530</v>
      </c>
      <c r="AI28" s="6">
        <v>178724</v>
      </c>
      <c r="AJ28" s="11" t="s">
        <v>203</v>
      </c>
      <c r="AK28" s="11"/>
      <c r="AL28" s="11" t="s">
        <v>11</v>
      </c>
      <c r="AN28" s="6">
        <v>936896</v>
      </c>
      <c r="AP28" s="6">
        <v>284100</v>
      </c>
      <c r="AR28" s="6">
        <v>0</v>
      </c>
      <c r="AT28" s="6">
        <v>223246</v>
      </c>
      <c r="AV28" s="6">
        <v>119767</v>
      </c>
      <c r="AX28" s="6">
        <v>0</v>
      </c>
      <c r="AZ28" s="7">
        <f t="shared" si="2"/>
        <v>36350910</v>
      </c>
      <c r="BB28" s="6">
        <v>2571</v>
      </c>
      <c r="BD28" s="6">
        <v>0</v>
      </c>
      <c r="BF28" s="6">
        <v>0</v>
      </c>
      <c r="BH28" s="6">
        <v>0</v>
      </c>
      <c r="BJ28" s="7">
        <f>AZ28+BB28+BH28</f>
        <v>36353481</v>
      </c>
      <c r="BL28" s="7">
        <f>'Gov Fd Rev'!AO28-'Gov Fd Exp'!BJ28</f>
        <v>-2663704</v>
      </c>
      <c r="BN28" s="6">
        <v>8612747</v>
      </c>
      <c r="BP28" s="6">
        <v>0</v>
      </c>
      <c r="BR28" s="6">
        <v>0</v>
      </c>
      <c r="BT28" s="7">
        <f t="shared" si="5"/>
        <v>5949043</v>
      </c>
      <c r="BU28" s="7"/>
      <c r="BV28" s="7">
        <f>BT28-'Gov Fd BS'!AC28</f>
        <v>0</v>
      </c>
      <c r="BW28" s="7"/>
    </row>
    <row r="29" spans="1:75">
      <c r="A29" s="11" t="s">
        <v>669</v>
      </c>
      <c r="B29" s="11"/>
      <c r="C29" s="11" t="s">
        <v>12</v>
      </c>
      <c r="E29" s="6">
        <v>17920703</v>
      </c>
      <c r="G29" s="6">
        <v>6881931</v>
      </c>
      <c r="I29" s="6">
        <v>207436</v>
      </c>
      <c r="K29" s="6">
        <v>0</v>
      </c>
      <c r="M29" s="6">
        <v>651434</v>
      </c>
      <c r="O29" s="6">
        <v>2003000</v>
      </c>
      <c r="Q29" s="6">
        <v>2863603</v>
      </c>
      <c r="S29" s="6">
        <v>180341</v>
      </c>
      <c r="U29" s="6">
        <v>2455044</v>
      </c>
      <c r="W29" s="6">
        <v>824459</v>
      </c>
      <c r="Y29" s="6">
        <v>611029</v>
      </c>
      <c r="AA29" s="6">
        <v>3638468</v>
      </c>
      <c r="AC29" s="6">
        <v>2251939</v>
      </c>
      <c r="AE29" s="6">
        <v>130677</v>
      </c>
      <c r="AG29" s="6">
        <v>1853177</v>
      </c>
      <c r="AI29" s="6">
        <v>0</v>
      </c>
      <c r="AJ29" s="11" t="s">
        <v>669</v>
      </c>
      <c r="AK29" s="11"/>
      <c r="AL29" s="11" t="s">
        <v>12</v>
      </c>
      <c r="AN29" s="6">
        <v>589081</v>
      </c>
      <c r="AP29" s="6">
        <v>19692044</v>
      </c>
      <c r="AR29" s="6">
        <v>0</v>
      </c>
      <c r="AT29" s="6">
        <v>1575000</v>
      </c>
      <c r="AV29" s="6">
        <f>1256236+108414</f>
        <v>1364650</v>
      </c>
      <c r="AX29" s="6">
        <v>0</v>
      </c>
      <c r="AZ29" s="7">
        <f t="shared" si="2"/>
        <v>65694016</v>
      </c>
      <c r="BB29" s="6">
        <v>279951</v>
      </c>
      <c r="BD29" s="6">
        <v>0</v>
      </c>
      <c r="BF29" s="6">
        <v>0</v>
      </c>
      <c r="BH29" s="6">
        <v>34238553</v>
      </c>
      <c r="BJ29" s="7">
        <f t="shared" si="1"/>
        <v>100212520</v>
      </c>
      <c r="BL29" s="7">
        <f>'Gov Fd Rev'!AO29-'Gov Fd Exp'!BJ29</f>
        <v>-7438917</v>
      </c>
      <c r="BN29" s="6">
        <v>20126481</v>
      </c>
      <c r="BP29" s="6">
        <v>0</v>
      </c>
      <c r="BR29" s="6">
        <v>0</v>
      </c>
      <c r="BT29" s="7">
        <f t="shared" si="5"/>
        <v>12687564</v>
      </c>
      <c r="BU29" s="7"/>
      <c r="BV29" s="7">
        <f>BT29-'Gov Fd BS'!AC29</f>
        <v>0</v>
      </c>
      <c r="BW29" s="7"/>
    </row>
    <row r="30" spans="1:75">
      <c r="A30" s="11" t="s">
        <v>210</v>
      </c>
      <c r="B30" s="11"/>
      <c r="C30" s="11" t="s">
        <v>13</v>
      </c>
      <c r="E30" s="6">
        <v>15702414</v>
      </c>
      <c r="G30" s="6">
        <v>3772027</v>
      </c>
      <c r="I30" s="6">
        <v>439824</v>
      </c>
      <c r="K30" s="6">
        <v>0</v>
      </c>
      <c r="M30" s="6">
        <v>138420</v>
      </c>
      <c r="O30" s="6">
        <v>1366840</v>
      </c>
      <c r="Q30" s="6">
        <v>2527120</v>
      </c>
      <c r="S30" s="6">
        <v>124322</v>
      </c>
      <c r="U30" s="6">
        <v>1851728</v>
      </c>
      <c r="W30" s="6">
        <v>655113</v>
      </c>
      <c r="Y30" s="6">
        <v>505633</v>
      </c>
      <c r="AA30" s="6">
        <v>3169448</v>
      </c>
      <c r="AC30" s="6">
        <v>1862382</v>
      </c>
      <c r="AE30" s="6">
        <v>238024</v>
      </c>
      <c r="AG30" s="6">
        <v>0</v>
      </c>
      <c r="AI30" s="6">
        <v>810905</v>
      </c>
      <c r="AJ30" s="11" t="s">
        <v>210</v>
      </c>
      <c r="AK30" s="11"/>
      <c r="AL30" s="11" t="s">
        <v>13</v>
      </c>
      <c r="AN30" s="6">
        <v>475561</v>
      </c>
      <c r="AP30" s="6">
        <v>1569423</v>
      </c>
      <c r="AR30" s="6">
        <v>0</v>
      </c>
      <c r="AT30" s="6">
        <v>685000</v>
      </c>
      <c r="AV30" s="6">
        <v>556182</v>
      </c>
      <c r="AX30" s="6">
        <v>0</v>
      </c>
      <c r="AZ30" s="7">
        <f t="shared" si="2"/>
        <v>36450366</v>
      </c>
      <c r="BB30" s="6">
        <v>51520</v>
      </c>
      <c r="BD30" s="6">
        <v>0</v>
      </c>
      <c r="BF30" s="6">
        <v>0</v>
      </c>
      <c r="BH30" s="6">
        <v>0</v>
      </c>
      <c r="BJ30" s="7">
        <f t="shared" si="1"/>
        <v>36501886</v>
      </c>
      <c r="BL30" s="7">
        <f>'Gov Fd Rev'!AO30-'Gov Fd Exp'!BJ30</f>
        <v>-737347</v>
      </c>
      <c r="BN30" s="6">
        <v>13582264</v>
      </c>
      <c r="BP30" s="6">
        <v>0</v>
      </c>
      <c r="BR30" s="6">
        <v>0</v>
      </c>
      <c r="BT30" s="7">
        <f>BL30+BN30+BP30+BR30</f>
        <v>12844917</v>
      </c>
      <c r="BU30" s="7"/>
      <c r="BV30" s="7">
        <f>BT30-'Gov Fd BS'!AC30</f>
        <v>0</v>
      </c>
      <c r="BW30" s="7"/>
    </row>
    <row r="31" spans="1:75">
      <c r="A31" s="11" t="s">
        <v>459</v>
      </c>
      <c r="B31" s="11"/>
      <c r="C31" s="11" t="s">
        <v>56</v>
      </c>
      <c r="E31" s="6">
        <v>14042967</v>
      </c>
      <c r="G31" s="6">
        <v>2298740</v>
      </c>
      <c r="I31" s="6">
        <v>178387</v>
      </c>
      <c r="K31" s="6">
        <v>0</v>
      </c>
      <c r="M31" s="6">
        <v>1149406</v>
      </c>
      <c r="O31" s="6">
        <v>1867334</v>
      </c>
      <c r="Q31" s="6">
        <v>2159489</v>
      </c>
      <c r="S31" s="6">
        <v>91063</v>
      </c>
      <c r="U31" s="6">
        <v>2199387</v>
      </c>
      <c r="W31" s="6">
        <v>817509</v>
      </c>
      <c r="Y31" s="6">
        <v>195694</v>
      </c>
      <c r="AA31" s="6">
        <v>2825761</v>
      </c>
      <c r="AC31" s="6">
        <v>1577293</v>
      </c>
      <c r="AE31" s="6">
        <v>243033</v>
      </c>
      <c r="AG31" s="6">
        <v>760289</v>
      </c>
      <c r="AI31" s="6">
        <v>201302</v>
      </c>
      <c r="AJ31" s="11" t="s">
        <v>459</v>
      </c>
      <c r="AK31" s="11"/>
      <c r="AL31" s="11" t="s">
        <v>56</v>
      </c>
      <c r="AN31" s="6">
        <v>975041</v>
      </c>
      <c r="AP31" s="6">
        <v>736847</v>
      </c>
      <c r="AR31" s="6">
        <v>0</v>
      </c>
      <c r="AT31" s="6">
        <v>1718765</v>
      </c>
      <c r="AV31" s="6">
        <v>1410189</v>
      </c>
      <c r="AX31" s="6">
        <v>0</v>
      </c>
      <c r="AZ31" s="7">
        <f t="shared" si="2"/>
        <v>35448496</v>
      </c>
      <c r="BB31" s="6">
        <v>0</v>
      </c>
      <c r="BD31" s="6">
        <v>0</v>
      </c>
      <c r="BF31" s="6">
        <v>0</v>
      </c>
      <c r="BH31" s="6">
        <v>0</v>
      </c>
      <c r="BJ31" s="7">
        <f>AZ31+BB31+BH31</f>
        <v>35448496</v>
      </c>
      <c r="BL31" s="7">
        <f>'Gov Fd Rev'!AO31-'Gov Fd Exp'!BJ31</f>
        <v>-659158</v>
      </c>
      <c r="BN31" s="6">
        <v>5070119</v>
      </c>
      <c r="BP31" s="6">
        <v>0</v>
      </c>
      <c r="BR31" s="6">
        <v>0</v>
      </c>
      <c r="BT31" s="7">
        <f>BL31+BN31+BP31+BR31</f>
        <v>4410961</v>
      </c>
      <c r="BU31" s="7"/>
      <c r="BV31" s="7">
        <f>BT31-'Gov Fd BS'!AC31</f>
        <v>0</v>
      </c>
      <c r="BW31" s="7"/>
    </row>
    <row r="32" spans="1:75">
      <c r="A32" s="11" t="s">
        <v>401</v>
      </c>
      <c r="B32" s="11"/>
      <c r="C32" s="11" t="s">
        <v>45</v>
      </c>
      <c r="E32" s="6">
        <v>18580788</v>
      </c>
      <c r="G32" s="6">
        <v>6091849</v>
      </c>
      <c r="I32" s="6">
        <v>245931</v>
      </c>
      <c r="K32" s="6">
        <v>0</v>
      </c>
      <c r="M32" s="6">
        <v>1735218</v>
      </c>
      <c r="O32" s="6">
        <v>2721137</v>
      </c>
      <c r="Q32" s="6">
        <v>1186546</v>
      </c>
      <c r="S32" s="6">
        <v>70486</v>
      </c>
      <c r="U32" s="6">
        <v>3523827</v>
      </c>
      <c r="W32" s="6">
        <v>921691</v>
      </c>
      <c r="Y32" s="6">
        <v>1579</v>
      </c>
      <c r="AA32" s="6">
        <v>3563604</v>
      </c>
      <c r="AC32" s="6">
        <v>2408338</v>
      </c>
      <c r="AE32" s="6">
        <v>19025</v>
      </c>
      <c r="AG32" s="6">
        <v>2092702</v>
      </c>
      <c r="AI32" s="6">
        <v>190444</v>
      </c>
      <c r="AJ32" s="11" t="s">
        <v>401</v>
      </c>
      <c r="AK32" s="11"/>
      <c r="AL32" s="11" t="s">
        <v>45</v>
      </c>
      <c r="AN32" s="6">
        <v>911501</v>
      </c>
      <c r="AP32" s="6">
        <v>10750612</v>
      </c>
      <c r="AR32" s="6">
        <v>0</v>
      </c>
      <c r="AT32" s="6">
        <v>1060015</v>
      </c>
      <c r="AV32" s="6">
        <f>2761800+260989</f>
        <v>3022789</v>
      </c>
      <c r="AX32" s="6">
        <v>0</v>
      </c>
      <c r="AZ32" s="7">
        <f t="shared" si="2"/>
        <v>59098082</v>
      </c>
      <c r="BB32" s="6">
        <v>1298424</v>
      </c>
      <c r="BD32" s="6">
        <v>0</v>
      </c>
      <c r="BF32" s="6">
        <v>0</v>
      </c>
      <c r="BH32" s="6">
        <v>23431421</v>
      </c>
      <c r="BJ32" s="7">
        <f t="shared" si="1"/>
        <v>83827927</v>
      </c>
      <c r="BL32" s="7">
        <f>'Gov Fd Rev'!AO32-'Gov Fd Exp'!BJ32</f>
        <v>5476551</v>
      </c>
      <c r="BN32" s="6">
        <v>36847686</v>
      </c>
      <c r="BP32" s="6">
        <v>-4390</v>
      </c>
      <c r="BR32" s="6">
        <v>0</v>
      </c>
      <c r="BT32" s="7">
        <f t="shared" si="5"/>
        <v>42319847</v>
      </c>
      <c r="BU32" s="7"/>
      <c r="BV32" s="7">
        <f>BT32-'Gov Fd BS'!AC32</f>
        <v>0</v>
      </c>
      <c r="BW32" s="7"/>
    </row>
    <row r="33" spans="1:75">
      <c r="A33" s="11" t="s">
        <v>380</v>
      </c>
      <c r="B33" s="11"/>
      <c r="C33" s="11" t="s">
        <v>44</v>
      </c>
      <c r="E33" s="6">
        <v>19448118</v>
      </c>
      <c r="G33" s="6">
        <v>2769506</v>
      </c>
      <c r="I33" s="6">
        <v>104068</v>
      </c>
      <c r="K33" s="6">
        <v>17130</v>
      </c>
      <c r="M33" s="6">
        <v>1540655</v>
      </c>
      <c r="O33" s="6">
        <v>3600350</v>
      </c>
      <c r="Q33" s="6">
        <v>881209</v>
      </c>
      <c r="S33" s="6">
        <v>21129</v>
      </c>
      <c r="U33" s="6">
        <v>3139182</v>
      </c>
      <c r="W33" s="6">
        <v>1132733</v>
      </c>
      <c r="Y33" s="6">
        <v>137857</v>
      </c>
      <c r="AA33" s="6">
        <v>4505781</v>
      </c>
      <c r="AC33" s="6">
        <v>1563521</v>
      </c>
      <c r="AE33" s="6">
        <v>217284</v>
      </c>
      <c r="AG33" s="6">
        <v>1318768</v>
      </c>
      <c r="AI33" s="6">
        <v>252561</v>
      </c>
      <c r="AJ33" s="11" t="s">
        <v>380</v>
      </c>
      <c r="AK33" s="11"/>
      <c r="AL33" s="11" t="s">
        <v>44</v>
      </c>
      <c r="AN33" s="6">
        <v>1301928</v>
      </c>
      <c r="AP33" s="6">
        <v>2566461</v>
      </c>
      <c r="AR33" s="6">
        <v>0</v>
      </c>
      <c r="AT33" s="6">
        <v>2776920</v>
      </c>
      <c r="AV33" s="6">
        <v>2356494</v>
      </c>
      <c r="AX33" s="6">
        <v>0</v>
      </c>
      <c r="AZ33" s="7">
        <f t="shared" si="2"/>
        <v>49651655</v>
      </c>
      <c r="BB33" s="6">
        <v>224620</v>
      </c>
      <c r="BD33" s="6">
        <v>0</v>
      </c>
      <c r="BF33" s="6">
        <v>0</v>
      </c>
      <c r="BH33" s="6">
        <v>0</v>
      </c>
      <c r="BJ33" s="7">
        <f t="shared" si="1"/>
        <v>49876275</v>
      </c>
      <c r="BL33" s="7">
        <f>'Gov Fd Rev'!AO33-'Gov Fd Exp'!BJ33</f>
        <v>-4443862</v>
      </c>
      <c r="BN33" s="6">
        <v>19368599</v>
      </c>
      <c r="BP33" s="6">
        <v>0</v>
      </c>
      <c r="BR33" s="6">
        <v>0</v>
      </c>
      <c r="BT33" s="7">
        <f t="shared" si="5"/>
        <v>14924737</v>
      </c>
      <c r="BU33" s="7"/>
      <c r="BV33" s="7">
        <f>BT33-'Gov Fd BS'!AC33</f>
        <v>0</v>
      </c>
      <c r="BW33" s="7"/>
    </row>
    <row r="34" spans="1:75">
      <c r="A34" s="11" t="s">
        <v>381</v>
      </c>
      <c r="B34" s="11"/>
      <c r="C34" s="11" t="s">
        <v>44</v>
      </c>
      <c r="E34" s="6">
        <v>13895432</v>
      </c>
      <c r="G34" s="6">
        <v>4081585</v>
      </c>
      <c r="I34" s="6">
        <v>170748</v>
      </c>
      <c r="K34" s="6">
        <v>0</v>
      </c>
      <c r="M34" s="6">
        <v>651164</v>
      </c>
      <c r="O34" s="6">
        <v>1169153</v>
      </c>
      <c r="Q34" s="6">
        <v>1779588</v>
      </c>
      <c r="S34" s="6">
        <v>183895</v>
      </c>
      <c r="U34" s="6">
        <v>1990935</v>
      </c>
      <c r="W34" s="6">
        <v>862036</v>
      </c>
      <c r="Y34" s="6">
        <v>129296</v>
      </c>
      <c r="AA34" s="6">
        <v>2100022</v>
      </c>
      <c r="AC34" s="6">
        <v>1790304</v>
      </c>
      <c r="AE34" s="6">
        <v>360694</v>
      </c>
      <c r="AG34" s="6">
        <v>796718</v>
      </c>
      <c r="AI34" s="6">
        <f>833745+192839</f>
        <v>1026584</v>
      </c>
      <c r="AJ34" s="11" t="s">
        <v>381</v>
      </c>
      <c r="AK34" s="11"/>
      <c r="AL34" s="11" t="s">
        <v>44</v>
      </c>
      <c r="AN34" s="6">
        <v>868556</v>
      </c>
      <c r="AP34" s="6">
        <v>876271</v>
      </c>
      <c r="AR34" s="6">
        <v>0</v>
      </c>
      <c r="AT34" s="6">
        <v>2142294</v>
      </c>
      <c r="AV34" s="6">
        <v>1443672</v>
      </c>
      <c r="AX34" s="6">
        <v>0</v>
      </c>
      <c r="AZ34" s="7">
        <f t="shared" si="2"/>
        <v>36318947</v>
      </c>
      <c r="BB34" s="6">
        <v>0</v>
      </c>
      <c r="BD34" s="6">
        <v>0</v>
      </c>
      <c r="BF34" s="6">
        <v>0</v>
      </c>
      <c r="BH34" s="6">
        <v>0</v>
      </c>
      <c r="BJ34" s="7">
        <f t="shared" si="1"/>
        <v>36318947</v>
      </c>
      <c r="BL34" s="7">
        <f>'Gov Fd Rev'!AO34-'Gov Fd Exp'!BJ34</f>
        <v>4950943</v>
      </c>
      <c r="BN34" s="6">
        <v>8865910</v>
      </c>
      <c r="BP34" s="6">
        <v>0</v>
      </c>
      <c r="BR34" s="6">
        <v>0</v>
      </c>
      <c r="BT34" s="7">
        <f t="shared" si="5"/>
        <v>13816853</v>
      </c>
      <c r="BU34" s="7"/>
      <c r="BV34" s="7">
        <f>BT34-'Gov Fd BS'!AC34</f>
        <v>0</v>
      </c>
      <c r="BW34" s="7"/>
    </row>
    <row r="35" spans="1:75">
      <c r="A35" s="11" t="s">
        <v>283</v>
      </c>
      <c r="B35" s="11"/>
      <c r="C35" s="11" t="s">
        <v>22</v>
      </c>
      <c r="E35" s="6">
        <v>3873212</v>
      </c>
      <c r="G35" s="6">
        <v>555786</v>
      </c>
      <c r="I35" s="6">
        <v>59445</v>
      </c>
      <c r="K35" s="6">
        <v>0</v>
      </c>
      <c r="M35" s="6">
        <v>362538</v>
      </c>
      <c r="O35" s="6">
        <v>355602</v>
      </c>
      <c r="Q35" s="6">
        <v>294263</v>
      </c>
      <c r="S35" s="6">
        <v>17502</v>
      </c>
      <c r="U35" s="6">
        <v>575624</v>
      </c>
      <c r="W35" s="6">
        <v>316280</v>
      </c>
      <c r="Y35" s="6">
        <v>0</v>
      </c>
      <c r="AA35" s="6">
        <v>632872</v>
      </c>
      <c r="AC35" s="6">
        <v>251012</v>
      </c>
      <c r="AE35" s="6">
        <v>61851</v>
      </c>
      <c r="AG35" s="6">
        <v>361464</v>
      </c>
      <c r="AI35" s="6">
        <v>134048</v>
      </c>
      <c r="AJ35" s="11" t="s">
        <v>283</v>
      </c>
      <c r="AK35" s="11"/>
      <c r="AL35" s="11" t="s">
        <v>22</v>
      </c>
      <c r="AN35" s="6">
        <v>441073</v>
      </c>
      <c r="AP35" s="6">
        <v>125873</v>
      </c>
      <c r="AR35" s="6">
        <v>0</v>
      </c>
      <c r="AT35" s="6">
        <v>99571</v>
      </c>
      <c r="AV35" s="6">
        <v>7319</v>
      </c>
      <c r="AX35" s="6">
        <v>0</v>
      </c>
      <c r="AZ35" s="7">
        <f t="shared" si="2"/>
        <v>8525335</v>
      </c>
      <c r="BB35" s="6">
        <v>22422</v>
      </c>
      <c r="BD35" s="6">
        <v>0</v>
      </c>
      <c r="BF35" s="6">
        <v>0</v>
      </c>
      <c r="BH35" s="6">
        <v>0</v>
      </c>
      <c r="BJ35" s="7">
        <f t="shared" si="1"/>
        <v>8547757</v>
      </c>
      <c r="BL35" s="7">
        <f>'Gov Fd Rev'!AO35-'Gov Fd Exp'!BJ35</f>
        <v>668036</v>
      </c>
      <c r="BN35" s="6">
        <v>3404240</v>
      </c>
      <c r="BP35" s="6">
        <v>10189</v>
      </c>
      <c r="BR35" s="6">
        <v>0</v>
      </c>
      <c r="BT35" s="7">
        <f t="shared" si="5"/>
        <v>4082465</v>
      </c>
      <c r="BU35" s="7"/>
      <c r="BV35" s="7">
        <f>BT35-'Gov Fd BS'!AC35</f>
        <v>0</v>
      </c>
      <c r="BW35" s="7"/>
    </row>
    <row r="36" spans="1:75">
      <c r="A36" s="11" t="s">
        <v>507</v>
      </c>
      <c r="B36" s="11"/>
      <c r="C36" s="11" t="s">
        <v>63</v>
      </c>
      <c r="E36" s="6">
        <v>17157107</v>
      </c>
      <c r="G36" s="6">
        <v>5470352</v>
      </c>
      <c r="I36" s="6">
        <v>1400498</v>
      </c>
      <c r="K36" s="6">
        <v>0</v>
      </c>
      <c r="M36" s="6">
        <v>4914650</v>
      </c>
      <c r="O36" s="6">
        <v>2188145</v>
      </c>
      <c r="Q36" s="6">
        <v>2747289</v>
      </c>
      <c r="S36" s="6">
        <v>25755</v>
      </c>
      <c r="U36" s="6">
        <v>3376740</v>
      </c>
      <c r="W36" s="6">
        <v>775778</v>
      </c>
      <c r="Y36" s="6">
        <v>343904</v>
      </c>
      <c r="AA36" s="6">
        <v>3449875</v>
      </c>
      <c r="AC36" s="6">
        <v>1172345</v>
      </c>
      <c r="AE36" s="6">
        <v>109408</v>
      </c>
      <c r="AG36" s="6">
        <v>2136686</v>
      </c>
      <c r="AI36" s="6">
        <v>271660</v>
      </c>
      <c r="AJ36" s="11" t="s">
        <v>507</v>
      </c>
      <c r="AK36" s="11"/>
      <c r="AL36" s="11" t="s">
        <v>63</v>
      </c>
      <c r="AN36" s="6">
        <v>1616750</v>
      </c>
      <c r="AP36" s="6">
        <v>22453467</v>
      </c>
      <c r="AR36" s="6">
        <v>0</v>
      </c>
      <c r="AT36" s="6">
        <v>2140000</v>
      </c>
      <c r="AV36" s="6">
        <v>2359783</v>
      </c>
      <c r="AX36" s="6">
        <v>0</v>
      </c>
      <c r="AZ36" s="7">
        <f t="shared" ref="AZ36:AZ54" si="9">SUM(E36:AX36)</f>
        <v>74110192</v>
      </c>
      <c r="BB36" s="6">
        <v>278603</v>
      </c>
      <c r="BD36" s="6">
        <v>0</v>
      </c>
      <c r="BF36" s="6">
        <v>0</v>
      </c>
      <c r="BH36" s="6">
        <v>0</v>
      </c>
      <c r="BJ36" s="7">
        <f>AZ36+BB36+BH36</f>
        <v>74388795</v>
      </c>
      <c r="BL36" s="7">
        <f>'Gov Fd Rev'!AO36-'Gov Fd Exp'!BJ36</f>
        <v>-21706877</v>
      </c>
      <c r="BN36" s="6">
        <v>38893818</v>
      </c>
      <c r="BP36" s="6">
        <v>0</v>
      </c>
      <c r="BR36" s="6">
        <v>0</v>
      </c>
      <c r="BT36" s="7">
        <f t="shared" si="5"/>
        <v>17186941</v>
      </c>
      <c r="BU36" s="7"/>
      <c r="BV36" s="7">
        <f>BT36-'Gov Fd BS'!AC36</f>
        <v>0</v>
      </c>
      <c r="BW36" s="7"/>
    </row>
    <row r="37" spans="1:75">
      <c r="A37" s="11" t="s">
        <v>750</v>
      </c>
      <c r="B37" s="11"/>
      <c r="C37" s="11" t="s">
        <v>15</v>
      </c>
      <c r="E37" s="6">
        <v>4806912</v>
      </c>
      <c r="G37" s="6">
        <v>1180583</v>
      </c>
      <c r="I37" s="6">
        <v>188702</v>
      </c>
      <c r="K37" s="6">
        <v>0</v>
      </c>
      <c r="M37" s="6">
        <v>260870</v>
      </c>
      <c r="O37" s="6">
        <v>795407</v>
      </c>
      <c r="Q37" s="6">
        <v>426810</v>
      </c>
      <c r="S37" s="6">
        <v>141649</v>
      </c>
      <c r="U37" s="6">
        <v>692974</v>
      </c>
      <c r="W37" s="6">
        <v>396214</v>
      </c>
      <c r="Y37" s="6">
        <v>23992</v>
      </c>
      <c r="AA37" s="6">
        <v>1121137</v>
      </c>
      <c r="AC37" s="6">
        <v>789137</v>
      </c>
      <c r="AE37" s="6">
        <v>23364</v>
      </c>
      <c r="AG37" s="6">
        <v>357966</v>
      </c>
      <c r="AI37" s="6">
        <v>21093</v>
      </c>
      <c r="AJ37" s="11" t="s">
        <v>750</v>
      </c>
      <c r="AK37" s="11"/>
      <c r="AL37" s="11" t="s">
        <v>15</v>
      </c>
      <c r="AN37" s="6">
        <v>221278</v>
      </c>
      <c r="AP37" s="6">
        <v>182640</v>
      </c>
      <c r="AR37" s="6">
        <v>0</v>
      </c>
      <c r="AT37" s="6">
        <v>217549</v>
      </c>
      <c r="AV37" s="6">
        <v>116103</v>
      </c>
      <c r="AX37" s="6">
        <v>0</v>
      </c>
      <c r="AZ37" s="7">
        <f t="shared" si="9"/>
        <v>11964380</v>
      </c>
      <c r="BB37" s="6">
        <v>1678700</v>
      </c>
      <c r="BD37" s="6">
        <v>0</v>
      </c>
      <c r="BF37" s="6">
        <v>0</v>
      </c>
      <c r="BH37" s="6">
        <v>0</v>
      </c>
      <c r="BJ37" s="7">
        <f t="shared" si="1"/>
        <v>13643080</v>
      </c>
      <c r="BL37" s="7">
        <f>'Gov Fd Rev'!AO37-'Gov Fd Exp'!BJ37</f>
        <v>916009</v>
      </c>
      <c r="BN37" s="6">
        <v>2978697</v>
      </c>
      <c r="BP37" s="6">
        <v>0</v>
      </c>
      <c r="BR37" s="6">
        <v>0</v>
      </c>
      <c r="BT37" s="7">
        <f t="shared" si="5"/>
        <v>3894706</v>
      </c>
      <c r="BU37" s="7"/>
      <c r="BV37" s="7">
        <f>BT37-'Gov Fd BS'!AC37</f>
        <v>0</v>
      </c>
      <c r="BW37" s="7"/>
    </row>
    <row r="38" spans="1:75">
      <c r="A38" s="11" t="s">
        <v>237</v>
      </c>
      <c r="B38" s="11"/>
      <c r="C38" s="11" t="s">
        <v>113</v>
      </c>
      <c r="E38" s="6">
        <v>8431419</v>
      </c>
      <c r="G38" s="6">
        <v>4292934</v>
      </c>
      <c r="I38" s="6">
        <v>0</v>
      </c>
      <c r="K38" s="6">
        <v>0</v>
      </c>
      <c r="M38" s="6">
        <v>92667</v>
      </c>
      <c r="O38" s="6">
        <v>411674</v>
      </c>
      <c r="Q38" s="6">
        <v>304887</v>
      </c>
      <c r="S38" s="6">
        <v>193130</v>
      </c>
      <c r="U38" s="6">
        <v>1304459</v>
      </c>
      <c r="W38" s="6">
        <v>488571</v>
      </c>
      <c r="Y38" s="6">
        <v>0</v>
      </c>
      <c r="AA38" s="6">
        <v>1225808</v>
      </c>
      <c r="AC38" s="6">
        <v>1307884</v>
      </c>
      <c r="AE38" s="6">
        <v>2018</v>
      </c>
      <c r="AG38" s="6">
        <v>0</v>
      </c>
      <c r="AI38" s="6">
        <v>0</v>
      </c>
      <c r="AJ38" s="11" t="s">
        <v>237</v>
      </c>
      <c r="AK38" s="11"/>
      <c r="AL38" s="11" t="s">
        <v>113</v>
      </c>
      <c r="AN38" s="6">
        <v>380071</v>
      </c>
      <c r="AP38" s="6">
        <v>653973</v>
      </c>
      <c r="AR38" s="6">
        <v>0</v>
      </c>
      <c r="AT38" s="6">
        <v>147486</v>
      </c>
      <c r="AV38" s="6">
        <v>658908</v>
      </c>
      <c r="AX38" s="6">
        <v>0</v>
      </c>
      <c r="AZ38" s="7">
        <f t="shared" si="9"/>
        <v>19895889</v>
      </c>
      <c r="BB38" s="6">
        <v>80000</v>
      </c>
      <c r="BD38" s="6">
        <v>0</v>
      </c>
      <c r="BF38" s="6">
        <v>0</v>
      </c>
      <c r="BH38" s="6">
        <v>0</v>
      </c>
      <c r="BJ38" s="7">
        <f t="shared" si="1"/>
        <v>19975889</v>
      </c>
      <c r="BL38" s="7">
        <f>'Gov Fd Rev'!AO38-'Gov Fd Exp'!BJ38</f>
        <v>-435960</v>
      </c>
      <c r="BN38" s="6">
        <v>2067468</v>
      </c>
      <c r="BP38" s="6">
        <v>0</v>
      </c>
      <c r="BR38" s="6">
        <v>0</v>
      </c>
      <c r="BT38" s="7">
        <f t="shared" si="5"/>
        <v>1631508</v>
      </c>
      <c r="BU38" s="7"/>
      <c r="BV38" s="7">
        <f>BT38-'Gov Fd BS'!AC38</f>
        <v>0</v>
      </c>
      <c r="BW38" s="7"/>
    </row>
    <row r="39" spans="1:75" hidden="1">
      <c r="A39" s="11" t="s">
        <v>671</v>
      </c>
      <c r="B39" s="11"/>
      <c r="C39" s="11" t="s">
        <v>10</v>
      </c>
      <c r="AJ39" s="11" t="s">
        <v>671</v>
      </c>
      <c r="AK39" s="11"/>
      <c r="AL39" s="11" t="s">
        <v>10</v>
      </c>
      <c r="AZ39" s="7">
        <f t="shared" si="9"/>
        <v>0</v>
      </c>
      <c r="BD39" s="6">
        <v>0</v>
      </c>
      <c r="BF39" s="6">
        <v>0</v>
      </c>
      <c r="BJ39" s="7">
        <f t="shared" si="1"/>
        <v>0</v>
      </c>
      <c r="BL39" s="7">
        <f>'Gov Fd Rev'!AO39-'Gov Fd Exp'!BJ39</f>
        <v>0</v>
      </c>
      <c r="BR39" s="6">
        <v>0</v>
      </c>
      <c r="BT39" s="7">
        <f t="shared" si="5"/>
        <v>0</v>
      </c>
      <c r="BU39" s="7"/>
      <c r="BV39" s="7">
        <f>BT39-'Gov Fd BS'!AC39</f>
        <v>0</v>
      </c>
      <c r="BW39" s="7"/>
    </row>
    <row r="40" spans="1:75">
      <c r="A40" s="11" t="s">
        <v>634</v>
      </c>
      <c r="B40" s="11"/>
      <c r="C40" s="11" t="s">
        <v>20</v>
      </c>
      <c r="E40" s="6">
        <v>12951799</v>
      </c>
      <c r="G40" s="6">
        <v>2151496</v>
      </c>
      <c r="I40" s="6">
        <v>353679</v>
      </c>
      <c r="K40" s="6">
        <v>0</v>
      </c>
      <c r="M40" s="6">
        <v>1029457</v>
      </c>
      <c r="O40" s="6">
        <v>2849023</v>
      </c>
      <c r="Q40" s="6">
        <v>806350</v>
      </c>
      <c r="S40" s="6">
        <v>29549</v>
      </c>
      <c r="U40" s="6">
        <v>2170160</v>
      </c>
      <c r="W40" s="6">
        <v>772375</v>
      </c>
      <c r="Y40" s="6">
        <v>393580</v>
      </c>
      <c r="AA40" s="6">
        <v>2827576</v>
      </c>
      <c r="AC40" s="6">
        <v>755761</v>
      </c>
      <c r="AE40" s="6">
        <v>387270</v>
      </c>
      <c r="AG40" s="6">
        <v>830928</v>
      </c>
      <c r="AI40" s="6">
        <f>680058+857126</f>
        <v>1537184</v>
      </c>
      <c r="AJ40" s="11" t="s">
        <v>634</v>
      </c>
      <c r="AK40" s="11"/>
      <c r="AL40" s="11" t="s">
        <v>20</v>
      </c>
      <c r="AN40" s="6">
        <f>347562+730971</f>
        <v>1078533</v>
      </c>
      <c r="AP40" s="6">
        <v>348224</v>
      </c>
      <c r="AR40" s="6">
        <v>0</v>
      </c>
      <c r="AT40" s="6">
        <v>905000</v>
      </c>
      <c r="AV40" s="6">
        <v>656067</v>
      </c>
      <c r="AX40" s="6">
        <v>0</v>
      </c>
      <c r="AZ40" s="7">
        <f t="shared" si="9"/>
        <v>32834011</v>
      </c>
      <c r="BB40" s="6">
        <v>90555</v>
      </c>
      <c r="BD40" s="6">
        <v>0</v>
      </c>
      <c r="BF40" s="6">
        <v>0</v>
      </c>
      <c r="BH40" s="6">
        <v>0</v>
      </c>
      <c r="BJ40" s="7">
        <f t="shared" si="1"/>
        <v>32924566</v>
      </c>
      <c r="BL40" s="7">
        <f>'Gov Fd Rev'!AO40-'Gov Fd Exp'!BJ40</f>
        <v>1824059</v>
      </c>
      <c r="BN40" s="6">
        <v>10506144</v>
      </c>
      <c r="BP40" s="6">
        <v>0</v>
      </c>
      <c r="BR40" s="6">
        <v>0</v>
      </c>
      <c r="BT40" s="7">
        <f t="shared" si="5"/>
        <v>12330203</v>
      </c>
      <c r="BU40" s="7"/>
      <c r="BV40" s="7">
        <f>BT40-'Gov Fd BS'!AC40</f>
        <v>0</v>
      </c>
      <c r="BW40" s="7"/>
    </row>
    <row r="41" spans="1:75">
      <c r="A41" s="11" t="s">
        <v>261</v>
      </c>
      <c r="B41" s="11"/>
      <c r="C41" s="11" t="s">
        <v>20</v>
      </c>
      <c r="E41" s="6">
        <v>11725199</v>
      </c>
      <c r="G41" s="6">
        <v>6713962</v>
      </c>
      <c r="I41" s="6">
        <v>756923</v>
      </c>
      <c r="K41" s="6">
        <v>98279</v>
      </c>
      <c r="M41" s="6">
        <v>238069</v>
      </c>
      <c r="O41" s="6">
        <v>3046113</v>
      </c>
      <c r="Q41" s="6">
        <v>1054135</v>
      </c>
      <c r="S41" s="6">
        <v>337438</v>
      </c>
      <c r="U41" s="6">
        <v>2367983</v>
      </c>
      <c r="W41" s="6">
        <v>1106852</v>
      </c>
      <c r="Y41" s="6">
        <v>479569</v>
      </c>
      <c r="AA41" s="6">
        <v>2948024</v>
      </c>
      <c r="AC41" s="6">
        <v>1665516</v>
      </c>
      <c r="AE41" s="6">
        <v>1124218</v>
      </c>
      <c r="AG41" s="6">
        <v>501174</v>
      </c>
      <c r="AI41" s="6">
        <v>987142</v>
      </c>
      <c r="AJ41" s="11" t="s">
        <v>261</v>
      </c>
      <c r="AK41" s="11"/>
      <c r="AL41" s="11" t="s">
        <v>20</v>
      </c>
      <c r="AN41" s="6">
        <v>1217815</v>
      </c>
      <c r="AP41" s="6">
        <v>16076522</v>
      </c>
      <c r="AR41" s="6">
        <v>0</v>
      </c>
      <c r="AT41" s="6">
        <v>2230000</v>
      </c>
      <c r="AV41" s="6">
        <v>2036195</v>
      </c>
      <c r="AX41" s="6">
        <v>0</v>
      </c>
      <c r="AZ41" s="7">
        <f t="shared" si="9"/>
        <v>56711128</v>
      </c>
      <c r="BB41" s="6">
        <v>233540</v>
      </c>
      <c r="BD41" s="6">
        <v>0</v>
      </c>
      <c r="BF41" s="6">
        <v>0</v>
      </c>
      <c r="BH41" s="6">
        <v>0</v>
      </c>
      <c r="BJ41" s="7">
        <f t="shared" si="1"/>
        <v>56944668</v>
      </c>
      <c r="BL41" s="7">
        <f>'Gov Fd Rev'!AO41-'Gov Fd Exp'!BJ41</f>
        <v>-14488347</v>
      </c>
      <c r="BN41" s="6">
        <v>54940088</v>
      </c>
      <c r="BP41" s="6">
        <v>0</v>
      </c>
      <c r="BR41" s="6">
        <v>0</v>
      </c>
      <c r="BT41" s="7">
        <f t="shared" si="5"/>
        <v>40451741</v>
      </c>
      <c r="BU41" s="7"/>
      <c r="BV41" s="7">
        <f>BT41-'Gov Fd BS'!AC41</f>
        <v>0</v>
      </c>
      <c r="BW41" s="7"/>
    </row>
    <row r="42" spans="1:75">
      <c r="A42" s="11" t="s">
        <v>246</v>
      </c>
      <c r="B42" s="11"/>
      <c r="C42" s="11" t="s">
        <v>112</v>
      </c>
      <c r="E42" s="6">
        <v>9826401</v>
      </c>
      <c r="G42" s="6">
        <v>1943308</v>
      </c>
      <c r="I42" s="6">
        <v>6518</v>
      </c>
      <c r="K42" s="6">
        <v>0</v>
      </c>
      <c r="M42" s="6">
        <v>14961</v>
      </c>
      <c r="O42" s="6">
        <v>568889</v>
      </c>
      <c r="Q42" s="6">
        <v>744783</v>
      </c>
      <c r="S42" s="6">
        <v>30506</v>
      </c>
      <c r="U42" s="6">
        <v>1475940</v>
      </c>
      <c r="W42" s="6">
        <v>444403</v>
      </c>
      <c r="Y42" s="6">
        <v>0</v>
      </c>
      <c r="AA42" s="6">
        <v>1383905</v>
      </c>
      <c r="AC42" s="6">
        <v>1347093</v>
      </c>
      <c r="AE42" s="6">
        <v>65040</v>
      </c>
      <c r="AG42" s="6">
        <v>0</v>
      </c>
      <c r="AI42" s="6">
        <v>820565</v>
      </c>
      <c r="AJ42" s="11" t="s">
        <v>246</v>
      </c>
      <c r="AK42" s="11"/>
      <c r="AL42" s="11" t="s">
        <v>112</v>
      </c>
      <c r="AN42" s="6">
        <v>511670</v>
      </c>
      <c r="AP42" s="6">
        <v>0</v>
      </c>
      <c r="AR42" s="6">
        <v>0</v>
      </c>
      <c r="AT42" s="6">
        <v>457942</v>
      </c>
      <c r="AV42" s="6">
        <v>3042</v>
      </c>
      <c r="AX42" s="6">
        <v>0</v>
      </c>
      <c r="AZ42" s="7">
        <f t="shared" si="9"/>
        <v>19644966</v>
      </c>
      <c r="BB42" s="6">
        <v>0</v>
      </c>
      <c r="BD42" s="6">
        <v>0</v>
      </c>
      <c r="BF42" s="6">
        <v>0</v>
      </c>
      <c r="BH42" s="6">
        <v>0</v>
      </c>
      <c r="BJ42" s="7">
        <f t="shared" si="1"/>
        <v>19644966</v>
      </c>
      <c r="BL42" s="7">
        <f>'Gov Fd Rev'!AO42-'Gov Fd Exp'!BJ42</f>
        <v>799116</v>
      </c>
      <c r="BN42" s="6">
        <v>-1087450</v>
      </c>
      <c r="BP42" s="6">
        <v>0</v>
      </c>
      <c r="BR42" s="6">
        <v>0</v>
      </c>
      <c r="BT42" s="7">
        <f t="shared" si="5"/>
        <v>-288334</v>
      </c>
      <c r="BU42" s="7"/>
      <c r="BV42" s="7">
        <f>BT42-'Gov Fd BS'!AC42</f>
        <v>0</v>
      </c>
      <c r="BW42" s="7"/>
    </row>
    <row r="43" spans="1:75">
      <c r="A43" s="11" t="s">
        <v>317</v>
      </c>
      <c r="B43" s="11"/>
      <c r="C43" s="11" t="s">
        <v>114</v>
      </c>
      <c r="E43" s="6">
        <v>35034299</v>
      </c>
      <c r="G43" s="6">
        <v>10506941</v>
      </c>
      <c r="I43" s="6">
        <v>354058</v>
      </c>
      <c r="K43" s="6">
        <v>0</v>
      </c>
      <c r="M43" s="6">
        <f>886644+1190219</f>
        <v>2076863</v>
      </c>
      <c r="O43" s="6">
        <v>5155015</v>
      </c>
      <c r="Q43" s="6">
        <v>6177291</v>
      </c>
      <c r="S43" s="6">
        <v>51215</v>
      </c>
      <c r="U43" s="6">
        <v>4676723</v>
      </c>
      <c r="W43" s="6">
        <v>1740231</v>
      </c>
      <c r="Y43" s="6">
        <v>519206</v>
      </c>
      <c r="AA43" s="6">
        <v>6277819</v>
      </c>
      <c r="AC43" s="6">
        <v>5985280</v>
      </c>
      <c r="AE43" s="6">
        <v>1521368</v>
      </c>
      <c r="AG43" s="6">
        <v>2620082</v>
      </c>
      <c r="AI43" s="6">
        <v>1016169</v>
      </c>
      <c r="AJ43" s="11" t="s">
        <v>317</v>
      </c>
      <c r="AK43" s="11"/>
      <c r="AL43" s="11" t="s">
        <v>114</v>
      </c>
      <c r="AN43" s="6">
        <f>466710+1082060+30165</f>
        <v>1578935</v>
      </c>
      <c r="AP43" s="6">
        <f>1235+2712369+3879988+659486+7298915+444671</f>
        <v>14996664</v>
      </c>
      <c r="AR43" s="6">
        <v>0</v>
      </c>
      <c r="AT43" s="6">
        <v>3130000</v>
      </c>
      <c r="AV43" s="6">
        <v>5286979</v>
      </c>
      <c r="AX43" s="6">
        <v>0</v>
      </c>
      <c r="AZ43" s="7">
        <f t="shared" si="9"/>
        <v>108705138</v>
      </c>
      <c r="BB43" s="6">
        <v>0</v>
      </c>
      <c r="BD43" s="6">
        <v>0</v>
      </c>
      <c r="BF43" s="6">
        <v>0</v>
      </c>
      <c r="BH43" s="6">
        <v>0</v>
      </c>
      <c r="BJ43" s="7">
        <f t="shared" si="1"/>
        <v>108705138</v>
      </c>
      <c r="BL43" s="7">
        <f>'Gov Fd Rev'!AO43-'Gov Fd Exp'!BJ43</f>
        <v>-19047036</v>
      </c>
      <c r="BN43" s="6">
        <v>114674712</v>
      </c>
      <c r="BP43" s="6">
        <v>0</v>
      </c>
      <c r="BR43" s="6">
        <v>0</v>
      </c>
      <c r="BT43" s="7">
        <f t="shared" si="5"/>
        <v>95627676</v>
      </c>
      <c r="BU43" s="7"/>
      <c r="BV43" s="7">
        <f>BT43-'Gov Fd BS'!AC43</f>
        <v>0</v>
      </c>
      <c r="BW43" s="7"/>
    </row>
    <row r="44" spans="1:75">
      <c r="A44" s="11" t="s">
        <v>262</v>
      </c>
      <c r="B44" s="11"/>
      <c r="C44" s="11" t="s">
        <v>20</v>
      </c>
      <c r="E44" s="6">
        <v>18529964</v>
      </c>
      <c r="G44" s="6">
        <v>5231755</v>
      </c>
      <c r="I44" s="6">
        <v>895815</v>
      </c>
      <c r="K44" s="6">
        <v>0</v>
      </c>
      <c r="M44" s="6">
        <v>21548</v>
      </c>
      <c r="O44" s="6">
        <v>3014361</v>
      </c>
      <c r="Q44" s="6">
        <v>2647904</v>
      </c>
      <c r="S44" s="6">
        <v>98729</v>
      </c>
      <c r="U44" s="6">
        <v>3924347</v>
      </c>
      <c r="W44" s="6">
        <v>1471701</v>
      </c>
      <c r="Y44" s="6">
        <v>673193</v>
      </c>
      <c r="AA44" s="6">
        <v>5700942</v>
      </c>
      <c r="AC44" s="6">
        <v>3594296</v>
      </c>
      <c r="AE44" s="6">
        <v>210786</v>
      </c>
      <c r="AG44" s="6">
        <v>1766973</v>
      </c>
      <c r="AI44" s="6">
        <v>334491</v>
      </c>
      <c r="AJ44" s="11" t="s">
        <v>262</v>
      </c>
      <c r="AK44" s="11"/>
      <c r="AL44" s="11" t="s">
        <v>20</v>
      </c>
      <c r="AN44" s="6">
        <v>744770</v>
      </c>
      <c r="AP44" s="6">
        <v>712729</v>
      </c>
      <c r="AR44" s="6">
        <v>0</v>
      </c>
      <c r="AT44" s="6">
        <v>1669411</v>
      </c>
      <c r="AV44" s="6">
        <v>155354</v>
      </c>
      <c r="AX44" s="6">
        <v>0</v>
      </c>
      <c r="AZ44" s="7">
        <f t="shared" si="9"/>
        <v>51399069</v>
      </c>
      <c r="BB44" s="6">
        <v>390230</v>
      </c>
      <c r="BD44" s="6">
        <v>0</v>
      </c>
      <c r="BF44" s="6">
        <v>0</v>
      </c>
      <c r="BH44" s="6">
        <v>0</v>
      </c>
      <c r="BJ44" s="7">
        <f t="shared" si="1"/>
        <v>51789299</v>
      </c>
      <c r="BL44" s="7">
        <f>'Gov Fd Rev'!AO44-'Gov Fd Exp'!BJ44</f>
        <v>1228907</v>
      </c>
      <c r="BN44" s="6">
        <v>20396317</v>
      </c>
      <c r="BP44" s="6">
        <v>0</v>
      </c>
      <c r="BR44" s="6">
        <v>0</v>
      </c>
      <c r="BT44" s="7">
        <f t="shared" si="5"/>
        <v>21625224</v>
      </c>
      <c r="BU44" s="7"/>
      <c r="BV44" s="7">
        <f>BT44-'Gov Fd BS'!AC44</f>
        <v>0</v>
      </c>
      <c r="BW44" s="7"/>
    </row>
    <row r="45" spans="1:75">
      <c r="A45" s="11" t="s">
        <v>215</v>
      </c>
      <c r="B45" s="11"/>
      <c r="C45" s="11" t="s">
        <v>15</v>
      </c>
      <c r="E45" s="6">
        <v>5467280</v>
      </c>
      <c r="G45" s="6">
        <v>1853438</v>
      </c>
      <c r="I45" s="6">
        <v>24063</v>
      </c>
      <c r="K45" s="6">
        <v>0</v>
      </c>
      <c r="M45" s="6">
        <v>171463</v>
      </c>
      <c r="O45" s="6">
        <v>1203701</v>
      </c>
      <c r="Q45" s="6">
        <v>461949</v>
      </c>
      <c r="S45" s="6">
        <v>17414</v>
      </c>
      <c r="U45" s="6">
        <v>1080616</v>
      </c>
      <c r="W45" s="6">
        <v>498501</v>
      </c>
      <c r="Y45" s="6">
        <v>0</v>
      </c>
      <c r="AA45" s="6">
        <v>1367435</v>
      </c>
      <c r="AC45" s="6">
        <v>1025752</v>
      </c>
      <c r="AE45" s="6">
        <v>3990</v>
      </c>
      <c r="AG45" s="6">
        <v>590480</v>
      </c>
      <c r="AI45" s="6">
        <v>125077</v>
      </c>
      <c r="AJ45" s="11" t="s">
        <v>215</v>
      </c>
      <c r="AK45" s="11"/>
      <c r="AL45" s="11" t="s">
        <v>15</v>
      </c>
      <c r="AN45" s="6">
        <v>245461</v>
      </c>
      <c r="AP45" s="6">
        <v>19720</v>
      </c>
      <c r="AR45" s="6">
        <v>0</v>
      </c>
      <c r="AT45" s="6">
        <v>241561</v>
      </c>
      <c r="AV45" s="6">
        <v>104257</v>
      </c>
      <c r="AX45" s="6">
        <v>0</v>
      </c>
      <c r="AZ45" s="7">
        <f t="shared" si="9"/>
        <v>14502158</v>
      </c>
      <c r="BB45" s="6">
        <v>0</v>
      </c>
      <c r="BD45" s="6">
        <v>0</v>
      </c>
      <c r="BF45" s="6">
        <v>0</v>
      </c>
      <c r="BH45" s="6">
        <v>0</v>
      </c>
      <c r="BJ45" s="7">
        <f t="shared" si="1"/>
        <v>14502158</v>
      </c>
      <c r="BL45" s="7">
        <f>'Gov Fd Rev'!AO45-'Gov Fd Exp'!BJ45</f>
        <v>1348208</v>
      </c>
      <c r="BN45" s="6">
        <v>-1930378</v>
      </c>
      <c r="BP45" s="6">
        <v>0</v>
      </c>
      <c r="BR45" s="6">
        <v>0</v>
      </c>
      <c r="BT45" s="7">
        <f t="shared" si="5"/>
        <v>-582170</v>
      </c>
      <c r="BU45" s="7"/>
      <c r="BV45" s="7">
        <f>BT45-'Gov Fd BS'!AC45</f>
        <v>0</v>
      </c>
      <c r="BW45" s="7"/>
    </row>
    <row r="46" spans="1:75">
      <c r="A46" s="11" t="s">
        <v>735</v>
      </c>
      <c r="B46" s="11"/>
      <c r="C46" s="11" t="s">
        <v>114</v>
      </c>
      <c r="E46" s="6">
        <v>11159689</v>
      </c>
      <c r="G46" s="6">
        <v>3141817</v>
      </c>
      <c r="I46" s="6">
        <v>7045</v>
      </c>
      <c r="K46" s="6">
        <v>0</v>
      </c>
      <c r="M46" s="6">
        <v>0</v>
      </c>
      <c r="O46" s="6">
        <v>1262539</v>
      </c>
      <c r="Q46" s="6">
        <v>796923</v>
      </c>
      <c r="S46" s="6">
        <v>71064</v>
      </c>
      <c r="U46" s="6">
        <v>1847896</v>
      </c>
      <c r="W46" s="6">
        <v>716631</v>
      </c>
      <c r="Y46" s="6">
        <v>84980</v>
      </c>
      <c r="AA46" s="6">
        <v>4421520</v>
      </c>
      <c r="AC46" s="6">
        <v>1433727</v>
      </c>
      <c r="AE46" s="6">
        <v>105375</v>
      </c>
      <c r="AG46" s="6">
        <v>0</v>
      </c>
      <c r="AI46" s="6">
        <v>752068</v>
      </c>
      <c r="AJ46" s="11" t="s">
        <v>735</v>
      </c>
      <c r="AK46" s="11"/>
      <c r="AL46" s="11" t="s">
        <v>114</v>
      </c>
      <c r="AN46" s="6">
        <v>1301070</v>
      </c>
      <c r="AP46" s="6">
        <v>4950</v>
      </c>
      <c r="AR46" s="6">
        <v>0</v>
      </c>
      <c r="AT46" s="6">
        <v>1789499</v>
      </c>
      <c r="AV46" s="6">
        <v>1886755</v>
      </c>
      <c r="AX46" s="6">
        <v>0</v>
      </c>
      <c r="AZ46" s="7">
        <f t="shared" si="9"/>
        <v>30783548</v>
      </c>
      <c r="BB46" s="6">
        <v>0</v>
      </c>
      <c r="BD46" s="6">
        <v>0</v>
      </c>
      <c r="BF46" s="6">
        <v>0</v>
      </c>
      <c r="BH46" s="6">
        <v>0</v>
      </c>
      <c r="BJ46" s="7">
        <f t="shared" si="1"/>
        <v>30783548</v>
      </c>
      <c r="BL46" s="7">
        <f>'Gov Fd Rev'!AO46-'Gov Fd Exp'!BJ46</f>
        <v>930950</v>
      </c>
      <c r="BN46" s="6">
        <v>2095739</v>
      </c>
      <c r="BP46" s="6">
        <v>0</v>
      </c>
      <c r="BR46" s="6">
        <v>0</v>
      </c>
      <c r="BT46" s="7">
        <f t="shared" ref="BT46:BT47" si="10">BL46+BN46+BP46+BR46</f>
        <v>3026689</v>
      </c>
      <c r="BU46" s="7"/>
      <c r="BV46" s="7">
        <f>BT46-'Gov Fd BS'!AC46</f>
        <v>0</v>
      </c>
      <c r="BW46" s="7"/>
    </row>
    <row r="47" spans="1:75" hidden="1">
      <c r="A47" s="11" t="s">
        <v>885</v>
      </c>
      <c r="B47" s="11"/>
      <c r="C47" s="11" t="s">
        <v>43</v>
      </c>
      <c r="AJ47" s="11" t="s">
        <v>885</v>
      </c>
      <c r="AK47" s="11"/>
      <c r="AL47" s="11" t="s">
        <v>43</v>
      </c>
      <c r="AZ47" s="7">
        <f t="shared" ref="AZ47" si="11">SUM(E47:AX47)</f>
        <v>0</v>
      </c>
      <c r="BD47" s="6">
        <v>0</v>
      </c>
      <c r="BF47" s="6">
        <v>0</v>
      </c>
      <c r="BJ47" s="7">
        <f t="shared" ref="BJ47" si="12">AZ47+BB47+BH47</f>
        <v>0</v>
      </c>
      <c r="BL47" s="7">
        <f>'Gov Fd Rev'!AO47-'Gov Fd Exp'!BJ47</f>
        <v>0</v>
      </c>
      <c r="BR47" s="6">
        <v>0</v>
      </c>
      <c r="BT47" s="7">
        <f t="shared" si="10"/>
        <v>0</v>
      </c>
      <c r="BU47" s="7"/>
      <c r="BV47" s="7">
        <f>BT47-'Gov Fd BS'!AC47</f>
        <v>0</v>
      </c>
      <c r="BW47" s="7"/>
    </row>
    <row r="48" spans="1:75">
      <c r="A48" s="11" t="s">
        <v>355</v>
      </c>
      <c r="B48" s="11"/>
      <c r="C48" s="11" t="s">
        <v>37</v>
      </c>
      <c r="E48" s="6">
        <v>7338541</v>
      </c>
      <c r="G48" s="6">
        <v>3149151</v>
      </c>
      <c r="I48" s="6">
        <v>380958</v>
      </c>
      <c r="K48" s="6">
        <v>10119</v>
      </c>
      <c r="M48" s="6">
        <v>1058857</v>
      </c>
      <c r="O48" s="6">
        <v>1137624</v>
      </c>
      <c r="Q48" s="6">
        <v>1121381</v>
      </c>
      <c r="S48" s="6">
        <v>21706</v>
      </c>
      <c r="U48" s="6">
        <v>1470436</v>
      </c>
      <c r="W48" s="6">
        <v>558048</v>
      </c>
      <c r="Y48" s="6">
        <v>11435</v>
      </c>
      <c r="AA48" s="6">
        <v>1662395</v>
      </c>
      <c r="AC48" s="6">
        <v>1002964</v>
      </c>
      <c r="AE48" s="6">
        <v>60644</v>
      </c>
      <c r="AG48" s="6">
        <v>844463</v>
      </c>
      <c r="AI48" s="6">
        <v>184817</v>
      </c>
      <c r="AJ48" s="11" t="s">
        <v>355</v>
      </c>
      <c r="AK48" s="11"/>
      <c r="AL48" s="11" t="s">
        <v>37</v>
      </c>
      <c r="AN48" s="6">
        <v>756548</v>
      </c>
      <c r="AP48" s="6">
        <f>25742485+324198</f>
        <v>26066683</v>
      </c>
      <c r="AR48" s="6">
        <v>0</v>
      </c>
      <c r="AT48" s="6">
        <v>650529</v>
      </c>
      <c r="AV48" s="6">
        <v>993797</v>
      </c>
      <c r="AX48" s="6">
        <v>0</v>
      </c>
      <c r="AZ48" s="7">
        <f t="shared" si="9"/>
        <v>48481096</v>
      </c>
      <c r="BB48" s="6">
        <v>209412</v>
      </c>
      <c r="BD48" s="6">
        <v>0</v>
      </c>
      <c r="BF48" s="6">
        <v>0</v>
      </c>
      <c r="BH48" s="6">
        <v>0</v>
      </c>
      <c r="BJ48" s="7">
        <f t="shared" si="1"/>
        <v>48690508</v>
      </c>
      <c r="BL48" s="7">
        <f>'Gov Fd Rev'!AO48-'Gov Fd Exp'!BJ48</f>
        <v>-21373129</v>
      </c>
      <c r="BN48" s="6">
        <v>37312444</v>
      </c>
      <c r="BP48" s="6">
        <v>-85451</v>
      </c>
      <c r="BR48" s="6">
        <v>0</v>
      </c>
      <c r="BT48" s="7">
        <f t="shared" si="5"/>
        <v>15853864</v>
      </c>
      <c r="BU48" s="7"/>
      <c r="BV48" s="7">
        <f>BT48-'Gov Fd BS'!AC48</f>
        <v>0</v>
      </c>
      <c r="BW48" s="7"/>
    </row>
    <row r="49" spans="1:75">
      <c r="A49" s="11" t="s">
        <v>547</v>
      </c>
      <c r="B49" s="11"/>
      <c r="C49" s="11" t="s">
        <v>70</v>
      </c>
      <c r="E49" s="6">
        <v>3282239</v>
      </c>
      <c r="G49" s="6">
        <v>1777777</v>
      </c>
      <c r="I49" s="6">
        <v>0</v>
      </c>
      <c r="K49" s="6">
        <v>0</v>
      </c>
      <c r="M49" s="6">
        <v>819230</v>
      </c>
      <c r="O49" s="6">
        <v>1069172</v>
      </c>
      <c r="Q49" s="6">
        <v>508457</v>
      </c>
      <c r="S49" s="6">
        <v>55646</v>
      </c>
      <c r="U49" s="6">
        <v>803408</v>
      </c>
      <c r="W49" s="6">
        <v>371949</v>
      </c>
      <c r="Y49" s="6">
        <v>2244</v>
      </c>
      <c r="AA49" s="6">
        <v>992682</v>
      </c>
      <c r="AC49" s="6">
        <v>385487</v>
      </c>
      <c r="AE49" s="6">
        <v>1380</v>
      </c>
      <c r="AG49" s="6">
        <v>458872</v>
      </c>
      <c r="AI49" s="6">
        <v>0</v>
      </c>
      <c r="AJ49" s="11" t="s">
        <v>547</v>
      </c>
      <c r="AK49" s="11"/>
      <c r="AL49" s="11" t="s">
        <v>70</v>
      </c>
      <c r="AN49" s="6">
        <v>263577</v>
      </c>
      <c r="AP49" s="6">
        <v>21214</v>
      </c>
      <c r="AR49" s="6">
        <v>0</v>
      </c>
      <c r="AT49" s="6">
        <v>0</v>
      </c>
      <c r="AV49" s="6">
        <v>0</v>
      </c>
      <c r="AX49" s="6">
        <v>0</v>
      </c>
      <c r="AZ49" s="7">
        <f t="shared" si="9"/>
        <v>10813334</v>
      </c>
      <c r="BB49" s="6">
        <v>0</v>
      </c>
      <c r="BD49" s="6">
        <v>0</v>
      </c>
      <c r="BF49" s="6">
        <v>0</v>
      </c>
      <c r="BH49" s="6">
        <v>0</v>
      </c>
      <c r="BJ49" s="7">
        <f t="shared" si="1"/>
        <v>10813334</v>
      </c>
      <c r="BL49" s="7">
        <f>'Gov Fd Rev'!AO49-'Gov Fd Exp'!BJ49</f>
        <v>245154</v>
      </c>
      <c r="BN49" s="6">
        <v>629739</v>
      </c>
      <c r="BP49" s="6">
        <v>0</v>
      </c>
      <c r="BR49" s="6">
        <v>0</v>
      </c>
      <c r="BT49" s="7">
        <f t="shared" si="5"/>
        <v>874893</v>
      </c>
      <c r="BU49" s="7"/>
      <c r="BV49" s="7">
        <f>BT49-'Gov Fd BS'!AC49</f>
        <v>0</v>
      </c>
      <c r="BW49" s="7"/>
    </row>
    <row r="50" spans="1:75" hidden="1">
      <c r="A50" s="11" t="s">
        <v>886</v>
      </c>
      <c r="B50" s="11"/>
      <c r="C50" s="11" t="s">
        <v>43</v>
      </c>
      <c r="AJ50" s="11" t="s">
        <v>886</v>
      </c>
      <c r="AK50" s="11"/>
      <c r="AL50" s="11" t="s">
        <v>43</v>
      </c>
      <c r="AR50" s="6">
        <v>0</v>
      </c>
      <c r="AX50" s="6">
        <v>0</v>
      </c>
      <c r="AZ50" s="7">
        <f t="shared" ref="AZ50" si="13">SUM(E50:AX50)</f>
        <v>0</v>
      </c>
      <c r="BB50" s="6">
        <v>0</v>
      </c>
      <c r="BD50" s="6">
        <v>0</v>
      </c>
      <c r="BF50" s="6">
        <v>0</v>
      </c>
      <c r="BH50" s="6">
        <v>0</v>
      </c>
      <c r="BJ50" s="7">
        <f t="shared" ref="BJ50" si="14">AZ50+BB50+BH50</f>
        <v>0</v>
      </c>
      <c r="BL50" s="7">
        <f>'Gov Fd Rev'!AO50-'Gov Fd Exp'!BJ50</f>
        <v>0</v>
      </c>
      <c r="BP50" s="6">
        <v>0</v>
      </c>
      <c r="BR50" s="6">
        <v>0</v>
      </c>
      <c r="BT50" s="7">
        <f t="shared" ref="BT50" si="15">BL50+BN50+BP50+BR50</f>
        <v>0</v>
      </c>
      <c r="BU50" s="7"/>
      <c r="BV50" s="7">
        <f>BT50-'Gov Fd BS'!AC50</f>
        <v>0</v>
      </c>
      <c r="BW50" s="7"/>
    </row>
    <row r="51" spans="1:75" hidden="1">
      <c r="A51" s="11" t="s">
        <v>869</v>
      </c>
      <c r="B51" s="11"/>
      <c r="C51" s="11" t="s">
        <v>53</v>
      </c>
      <c r="AJ51" s="11" t="s">
        <v>869</v>
      </c>
      <c r="AK51" s="11"/>
      <c r="AL51" s="11" t="s">
        <v>53</v>
      </c>
      <c r="AR51" s="6">
        <v>0</v>
      </c>
      <c r="AX51" s="6">
        <v>0</v>
      </c>
      <c r="AZ51" s="7">
        <f t="shared" si="9"/>
        <v>0</v>
      </c>
      <c r="BB51" s="6">
        <v>0</v>
      </c>
      <c r="BD51" s="6">
        <v>0</v>
      </c>
      <c r="BF51" s="6">
        <v>0</v>
      </c>
      <c r="BH51" s="6">
        <v>0</v>
      </c>
      <c r="BJ51" s="7">
        <f t="shared" si="1"/>
        <v>0</v>
      </c>
      <c r="BL51" s="7">
        <f>'Gov Fd Rev'!AO51-'Gov Fd Exp'!BJ51</f>
        <v>0</v>
      </c>
      <c r="BP51" s="6">
        <v>0</v>
      </c>
      <c r="BR51" s="6">
        <v>0</v>
      </c>
      <c r="BT51" s="7">
        <f t="shared" si="5"/>
        <v>0</v>
      </c>
      <c r="BU51" s="7"/>
      <c r="BV51" s="7">
        <f>BT51-'Gov Fd BS'!AC51</f>
        <v>0</v>
      </c>
      <c r="BW51" s="7"/>
    </row>
    <row r="52" spans="1:75">
      <c r="A52" s="11" t="s">
        <v>263</v>
      </c>
      <c r="B52" s="11"/>
      <c r="C52" s="11" t="s">
        <v>20</v>
      </c>
      <c r="E52" s="6">
        <v>38236513</v>
      </c>
      <c r="G52" s="6">
        <v>10350252</v>
      </c>
      <c r="I52" s="6">
        <v>768027</v>
      </c>
      <c r="K52" s="6">
        <v>0</v>
      </c>
      <c r="M52" s="6">
        <v>0</v>
      </c>
      <c r="O52" s="6">
        <v>5680392</v>
      </c>
      <c r="Q52" s="6">
        <v>6645875</v>
      </c>
      <c r="S52" s="6">
        <v>33962</v>
      </c>
      <c r="U52" s="6">
        <v>4949479</v>
      </c>
      <c r="W52" s="6">
        <v>2017012</v>
      </c>
      <c r="Y52" s="6">
        <v>780589</v>
      </c>
      <c r="AA52" s="6">
        <v>7547015</v>
      </c>
      <c r="AC52" s="6">
        <v>4610385</v>
      </c>
      <c r="AE52" s="6">
        <v>3015167</v>
      </c>
      <c r="AG52" s="6">
        <v>0</v>
      </c>
      <c r="AI52" s="6">
        <v>3490834</v>
      </c>
      <c r="AJ52" s="11" t="s">
        <v>263</v>
      </c>
      <c r="AK52" s="11"/>
      <c r="AL52" s="11" t="s">
        <v>20</v>
      </c>
      <c r="AN52" s="6">
        <v>1745513</v>
      </c>
      <c r="AP52" s="6">
        <v>3305605</v>
      </c>
      <c r="AR52" s="6">
        <v>0</v>
      </c>
      <c r="AT52" s="6">
        <v>1375000</v>
      </c>
      <c r="AV52" s="6">
        <v>2083398</v>
      </c>
      <c r="AX52" s="6">
        <v>0</v>
      </c>
      <c r="AZ52" s="7">
        <f t="shared" si="9"/>
        <v>96635018</v>
      </c>
      <c r="BB52" s="6">
        <v>570437</v>
      </c>
      <c r="BD52" s="6">
        <v>0</v>
      </c>
      <c r="BF52" s="6">
        <v>0</v>
      </c>
      <c r="BH52" s="6">
        <v>0</v>
      </c>
      <c r="BJ52" s="7">
        <f t="shared" si="1"/>
        <v>97205455</v>
      </c>
      <c r="BL52" s="7">
        <f>'Gov Fd Rev'!AO52-'Gov Fd Exp'!BJ52</f>
        <v>-8557975</v>
      </c>
      <c r="BN52" s="6">
        <v>24259635</v>
      </c>
      <c r="BP52" s="6">
        <v>0</v>
      </c>
      <c r="BR52" s="6">
        <v>0</v>
      </c>
      <c r="BT52" s="7">
        <f t="shared" si="5"/>
        <v>15701660</v>
      </c>
      <c r="BU52" s="7"/>
      <c r="BV52" s="7">
        <f>BT52-'Gov Fd BS'!AC52</f>
        <v>0</v>
      </c>
      <c r="BW52" s="7"/>
    </row>
    <row r="53" spans="1:75">
      <c r="A53" s="11" t="s">
        <v>639</v>
      </c>
      <c r="B53" s="11"/>
      <c r="C53" s="11" t="s">
        <v>30</v>
      </c>
      <c r="E53" s="6">
        <v>5000387</v>
      </c>
      <c r="G53" s="6">
        <v>1489364</v>
      </c>
      <c r="I53" s="6">
        <v>75001</v>
      </c>
      <c r="K53" s="6">
        <v>0</v>
      </c>
      <c r="M53" s="6">
        <v>165196</v>
      </c>
      <c r="O53" s="6">
        <v>699224</v>
      </c>
      <c r="Q53" s="6">
        <v>320881</v>
      </c>
      <c r="S53" s="6">
        <v>83794</v>
      </c>
      <c r="U53" s="6">
        <v>1132616</v>
      </c>
      <c r="W53" s="6">
        <v>325331</v>
      </c>
      <c r="Y53" s="6">
        <v>21999</v>
      </c>
      <c r="AA53" s="6">
        <v>1001524</v>
      </c>
      <c r="AC53" s="6">
        <v>688329</v>
      </c>
      <c r="AE53" s="6">
        <v>0</v>
      </c>
      <c r="AG53" s="6">
        <v>243726</v>
      </c>
      <c r="AI53" s="6">
        <v>0</v>
      </c>
      <c r="AJ53" s="11" t="s">
        <v>639</v>
      </c>
      <c r="AK53" s="11"/>
      <c r="AL53" s="11" t="s">
        <v>30</v>
      </c>
      <c r="AN53" s="6">
        <v>376503</v>
      </c>
      <c r="AP53" s="6">
        <v>49839</v>
      </c>
      <c r="AR53" s="6">
        <v>0</v>
      </c>
      <c r="AT53" s="6">
        <v>26603</v>
      </c>
      <c r="AV53" s="6">
        <v>447</v>
      </c>
      <c r="AX53" s="6">
        <v>0</v>
      </c>
      <c r="AZ53" s="7">
        <f t="shared" si="9"/>
        <v>11700764</v>
      </c>
      <c r="BB53" s="6">
        <v>286000</v>
      </c>
      <c r="BD53" s="6">
        <v>0</v>
      </c>
      <c r="BF53" s="6">
        <v>0</v>
      </c>
      <c r="BH53" s="6">
        <v>0</v>
      </c>
      <c r="BJ53" s="7">
        <f t="shared" si="1"/>
        <v>11986764</v>
      </c>
      <c r="BL53" s="7">
        <f>'Gov Fd Rev'!AO53-'Gov Fd Exp'!BJ53</f>
        <v>-228595</v>
      </c>
      <c r="BN53" s="6">
        <v>2335582</v>
      </c>
      <c r="BP53" s="6">
        <v>0</v>
      </c>
      <c r="BR53" s="6">
        <v>0</v>
      </c>
      <c r="BT53" s="7">
        <f t="shared" si="5"/>
        <v>2106987</v>
      </c>
      <c r="BU53" s="7"/>
      <c r="BV53" s="7">
        <f>BT53-'Gov Fd BS'!AC53</f>
        <v>0</v>
      </c>
      <c r="BW53" s="7"/>
    </row>
    <row r="54" spans="1:75" hidden="1">
      <c r="A54" s="11" t="s">
        <v>285</v>
      </c>
      <c r="B54" s="11"/>
      <c r="C54" s="11" t="s">
        <v>24</v>
      </c>
      <c r="AJ54" s="11" t="s">
        <v>285</v>
      </c>
      <c r="AK54" s="11"/>
      <c r="AL54" s="11" t="s">
        <v>24</v>
      </c>
      <c r="AR54" s="6">
        <v>0</v>
      </c>
      <c r="AX54" s="6">
        <v>0</v>
      </c>
      <c r="AZ54" s="7">
        <f t="shared" si="9"/>
        <v>0</v>
      </c>
      <c r="BB54" s="6">
        <v>0</v>
      </c>
      <c r="BD54" s="6">
        <v>0</v>
      </c>
      <c r="BF54" s="6">
        <v>0</v>
      </c>
      <c r="BH54" s="6">
        <v>0</v>
      </c>
      <c r="BJ54" s="7">
        <f t="shared" si="1"/>
        <v>0</v>
      </c>
      <c r="BL54" s="7">
        <f>'Gov Fd Rev'!AO54-'Gov Fd Exp'!BJ54</f>
        <v>0</v>
      </c>
      <c r="BP54" s="6">
        <v>0</v>
      </c>
      <c r="BR54" s="6">
        <v>0</v>
      </c>
      <c r="BT54" s="7">
        <f t="shared" si="5"/>
        <v>0</v>
      </c>
      <c r="BU54" s="7"/>
      <c r="BV54" s="7">
        <f>BT54-'Gov Fd BS'!AC54</f>
        <v>0</v>
      </c>
      <c r="BW54" s="7"/>
    </row>
    <row r="55" spans="1:75" hidden="1">
      <c r="A55" s="11" t="s">
        <v>792</v>
      </c>
      <c r="B55" s="11"/>
      <c r="C55" s="11" t="s">
        <v>25</v>
      </c>
      <c r="AJ55" s="11" t="s">
        <v>792</v>
      </c>
      <c r="AK55" s="11"/>
      <c r="AL55" s="11" t="s">
        <v>25</v>
      </c>
      <c r="AZ55" s="7">
        <f t="shared" ref="AZ55:AZ87" si="16">SUM(E55:AX55)</f>
        <v>0</v>
      </c>
      <c r="BD55" s="6">
        <v>0</v>
      </c>
      <c r="BF55" s="6">
        <v>0</v>
      </c>
      <c r="BJ55" s="7">
        <f t="shared" si="1"/>
        <v>0</v>
      </c>
      <c r="BL55" s="7">
        <f>'Gov Fd Rev'!AO55-'Gov Fd Exp'!BJ55</f>
        <v>0</v>
      </c>
      <c r="BR55" s="6">
        <v>0</v>
      </c>
      <c r="BT55" s="7">
        <f t="shared" si="5"/>
        <v>0</v>
      </c>
      <c r="BU55" s="7"/>
      <c r="BV55" s="7">
        <f>BT55-'Gov Fd BS'!AC55</f>
        <v>0</v>
      </c>
      <c r="BW55" s="7"/>
    </row>
    <row r="56" spans="1:75">
      <c r="A56" s="11" t="s">
        <v>423</v>
      </c>
      <c r="B56" s="11"/>
      <c r="C56" s="11" t="s">
        <v>48</v>
      </c>
      <c r="E56" s="6">
        <v>3338172</v>
      </c>
      <c r="G56" s="6">
        <v>1138568</v>
      </c>
      <c r="I56" s="6">
        <v>0</v>
      </c>
      <c r="K56" s="6">
        <v>0</v>
      </c>
      <c r="M56" s="6">
        <v>682652</v>
      </c>
      <c r="O56" s="6">
        <v>221441</v>
      </c>
      <c r="Q56" s="6">
        <v>231997</v>
      </c>
      <c r="S56" s="6">
        <v>51641</v>
      </c>
      <c r="U56" s="6">
        <v>607481</v>
      </c>
      <c r="W56" s="6">
        <v>335285</v>
      </c>
      <c r="Y56" s="6">
        <v>10134</v>
      </c>
      <c r="AA56" s="6">
        <v>506173</v>
      </c>
      <c r="AC56" s="6">
        <v>698155</v>
      </c>
      <c r="AE56" s="6">
        <v>139996</v>
      </c>
      <c r="AG56" s="6">
        <v>0</v>
      </c>
      <c r="AI56" s="6">
        <v>858048</v>
      </c>
      <c r="AJ56" s="11" t="s">
        <v>423</v>
      </c>
      <c r="AK56" s="11"/>
      <c r="AL56" s="11" t="s">
        <v>48</v>
      </c>
      <c r="AN56" s="6">
        <v>225294</v>
      </c>
      <c r="AP56" s="6">
        <v>0</v>
      </c>
      <c r="AR56" s="6">
        <v>0</v>
      </c>
      <c r="AT56" s="6">
        <v>138350</v>
      </c>
      <c r="AV56" s="6">
        <v>62221</v>
      </c>
      <c r="AX56" s="6">
        <v>0</v>
      </c>
      <c r="AZ56" s="7">
        <f t="shared" si="16"/>
        <v>9245608</v>
      </c>
      <c r="BB56" s="6">
        <v>34000</v>
      </c>
      <c r="BD56" s="6">
        <v>0</v>
      </c>
      <c r="BF56" s="6">
        <v>0</v>
      </c>
      <c r="BH56" s="6">
        <v>0</v>
      </c>
      <c r="BJ56" s="7">
        <f t="shared" si="1"/>
        <v>9279608</v>
      </c>
      <c r="BL56" s="7">
        <f>'Gov Fd Rev'!AO56-'Gov Fd Exp'!BJ56</f>
        <v>342793</v>
      </c>
      <c r="BN56" s="6">
        <v>1284809</v>
      </c>
      <c r="BP56" s="6">
        <v>0</v>
      </c>
      <c r="BR56" s="6">
        <v>0</v>
      </c>
      <c r="BT56" s="7">
        <f t="shared" si="5"/>
        <v>1627602</v>
      </c>
      <c r="BU56" s="7"/>
      <c r="BV56" s="7">
        <f>BT56-'Gov Fd BS'!AC56</f>
        <v>0</v>
      </c>
      <c r="BW56" s="7"/>
    </row>
    <row r="57" spans="1:75">
      <c r="A57" s="11" t="s">
        <v>238</v>
      </c>
      <c r="B57" s="11"/>
      <c r="C57" s="11" t="s">
        <v>113</v>
      </c>
      <c r="E57" s="6">
        <v>7711975</v>
      </c>
      <c r="G57" s="6">
        <v>1628098</v>
      </c>
      <c r="I57" s="6">
        <v>117736</v>
      </c>
      <c r="K57" s="6">
        <v>0</v>
      </c>
      <c r="M57" s="6">
        <v>18374</v>
      </c>
      <c r="O57" s="6">
        <v>595016</v>
      </c>
      <c r="Q57" s="6">
        <v>706057</v>
      </c>
      <c r="S57" s="6">
        <v>27383</v>
      </c>
      <c r="U57" s="6">
        <v>1066715</v>
      </c>
      <c r="W57" s="6">
        <v>334970</v>
      </c>
      <c r="Y57" s="6">
        <v>0</v>
      </c>
      <c r="AA57" s="6">
        <v>1375739</v>
      </c>
      <c r="AC57" s="6">
        <v>755313</v>
      </c>
      <c r="AE57" s="6">
        <v>150015</v>
      </c>
      <c r="AG57" s="6">
        <v>0</v>
      </c>
      <c r="AI57" s="6">
        <v>568836</v>
      </c>
      <c r="AJ57" s="11" t="s">
        <v>238</v>
      </c>
      <c r="AK57" s="11"/>
      <c r="AL57" s="11" t="s">
        <v>113</v>
      </c>
      <c r="AN57" s="6">
        <v>375038</v>
      </c>
      <c r="AP57" s="6">
        <v>167596</v>
      </c>
      <c r="AR57" s="6">
        <v>0</v>
      </c>
      <c r="AT57" s="6">
        <v>409944</v>
      </c>
      <c r="AV57" s="6">
        <v>322519</v>
      </c>
      <c r="AX57" s="6">
        <v>0</v>
      </c>
      <c r="AZ57" s="7">
        <f t="shared" si="16"/>
        <v>16331324</v>
      </c>
      <c r="BB57" s="6">
        <v>413515</v>
      </c>
      <c r="BD57" s="6">
        <v>0</v>
      </c>
      <c r="BF57" s="6">
        <v>0</v>
      </c>
      <c r="BH57" s="6">
        <v>0</v>
      </c>
      <c r="BJ57" s="7">
        <f t="shared" si="1"/>
        <v>16744839</v>
      </c>
      <c r="BL57" s="7">
        <f>'Gov Fd Rev'!AO57-'Gov Fd Exp'!BJ57</f>
        <v>341834</v>
      </c>
      <c r="BN57" s="6">
        <v>3751071</v>
      </c>
      <c r="BP57" s="6">
        <v>0</v>
      </c>
      <c r="BR57" s="6">
        <v>0</v>
      </c>
      <c r="BT57" s="7">
        <f t="shared" si="5"/>
        <v>4092905</v>
      </c>
      <c r="BU57" s="7"/>
      <c r="BV57" s="7">
        <f>BT57-'Gov Fd BS'!AC57</f>
        <v>0</v>
      </c>
      <c r="BW57" s="7"/>
    </row>
    <row r="58" spans="1:75" hidden="1">
      <c r="A58" s="11" t="s">
        <v>672</v>
      </c>
      <c r="B58" s="11"/>
      <c r="C58" s="11" t="s">
        <v>60</v>
      </c>
      <c r="AJ58" s="11" t="s">
        <v>672</v>
      </c>
      <c r="AK58" s="11"/>
      <c r="AL58" s="11" t="s">
        <v>60</v>
      </c>
      <c r="AZ58" s="7">
        <f t="shared" si="16"/>
        <v>0</v>
      </c>
      <c r="BD58" s="6">
        <v>0</v>
      </c>
      <c r="BF58" s="6">
        <v>0</v>
      </c>
      <c r="BJ58" s="7">
        <f t="shared" si="1"/>
        <v>0</v>
      </c>
      <c r="BL58" s="7">
        <f>'Gov Fd Rev'!AO58-'Gov Fd Exp'!BJ58</f>
        <v>0</v>
      </c>
      <c r="BR58" s="6">
        <v>0</v>
      </c>
      <c r="BT58" s="7">
        <f t="shared" si="5"/>
        <v>0</v>
      </c>
      <c r="BU58" s="7"/>
      <c r="BV58" s="7">
        <f>BT58-'Gov Fd BS'!AC58</f>
        <v>0</v>
      </c>
      <c r="BW58" s="7"/>
    </row>
    <row r="59" spans="1:75">
      <c r="A59" s="11" t="s">
        <v>299</v>
      </c>
      <c r="B59" s="11"/>
      <c r="C59" s="11" t="s">
        <v>27</v>
      </c>
      <c r="E59" s="6">
        <v>15511642</v>
      </c>
      <c r="G59" s="6">
        <v>3975617</v>
      </c>
      <c r="I59" s="6">
        <v>342153</v>
      </c>
      <c r="K59" s="6">
        <v>0</v>
      </c>
      <c r="M59" s="6">
        <v>0</v>
      </c>
      <c r="O59" s="6">
        <v>1616403</v>
      </c>
      <c r="Q59" s="6">
        <v>2265215</v>
      </c>
      <c r="S59" s="6">
        <v>55106</v>
      </c>
      <c r="U59" s="6">
        <v>1832818</v>
      </c>
      <c r="W59" s="6">
        <v>1311217</v>
      </c>
      <c r="Y59" s="6">
        <v>0</v>
      </c>
      <c r="AA59" s="6">
        <v>3544964</v>
      </c>
      <c r="AC59" s="6">
        <v>599494</v>
      </c>
      <c r="AE59" s="6">
        <v>130750</v>
      </c>
      <c r="AG59" s="6">
        <v>600331</v>
      </c>
      <c r="AI59" s="6">
        <v>752135</v>
      </c>
      <c r="AJ59" s="11" t="s">
        <v>299</v>
      </c>
      <c r="AK59" s="11"/>
      <c r="AL59" s="11" t="s">
        <v>27</v>
      </c>
      <c r="AN59" s="6">
        <v>1069272</v>
      </c>
      <c r="AP59" s="6">
        <v>797435</v>
      </c>
      <c r="AR59" s="6">
        <v>0</v>
      </c>
      <c r="AT59" s="6">
        <v>1990000</v>
      </c>
      <c r="AV59" s="6">
        <v>936843</v>
      </c>
      <c r="AX59" s="6">
        <v>0</v>
      </c>
      <c r="AZ59" s="7">
        <f t="shared" si="16"/>
        <v>37331395</v>
      </c>
      <c r="BB59" s="6">
        <v>200442</v>
      </c>
      <c r="BD59" s="6">
        <v>0</v>
      </c>
      <c r="BF59" s="6">
        <v>0</v>
      </c>
      <c r="BH59" s="6">
        <v>0</v>
      </c>
      <c r="BJ59" s="7">
        <f t="shared" si="1"/>
        <v>37531837</v>
      </c>
      <c r="BL59" s="7">
        <f>'Gov Fd Rev'!AO59-'Gov Fd Exp'!BJ59</f>
        <v>698951</v>
      </c>
      <c r="BN59" s="6">
        <v>26632392</v>
      </c>
      <c r="BP59" s="6">
        <v>0</v>
      </c>
      <c r="BR59" s="6">
        <v>0</v>
      </c>
      <c r="BT59" s="7">
        <f t="shared" si="5"/>
        <v>27331343</v>
      </c>
      <c r="BU59" s="7"/>
      <c r="BV59" s="7">
        <f>BT59-'Gov Fd BS'!AC59</f>
        <v>0</v>
      </c>
      <c r="BW59" s="7"/>
    </row>
    <row r="60" spans="1:75">
      <c r="A60" s="11" t="s">
        <v>635</v>
      </c>
      <c r="B60" s="11"/>
      <c r="C60" s="11" t="s">
        <v>23</v>
      </c>
      <c r="E60" s="6">
        <v>14481761</v>
      </c>
      <c r="G60" s="6">
        <v>1443636</v>
      </c>
      <c r="I60" s="6">
        <v>185958</v>
      </c>
      <c r="K60" s="6">
        <v>0</v>
      </c>
      <c r="M60" s="6">
        <v>0</v>
      </c>
      <c r="O60" s="6">
        <v>1672659</v>
      </c>
      <c r="Q60" s="6">
        <v>1801761</v>
      </c>
      <c r="S60" s="6">
        <v>159274</v>
      </c>
      <c r="U60" s="6">
        <v>2354153</v>
      </c>
      <c r="W60" s="6">
        <v>946287</v>
      </c>
      <c r="Y60" s="6">
        <v>44401</v>
      </c>
      <c r="AA60" s="6">
        <v>2528691</v>
      </c>
      <c r="AC60" s="6">
        <v>1992844</v>
      </c>
      <c r="AE60" s="6">
        <v>10382</v>
      </c>
      <c r="AG60" s="6">
        <v>0</v>
      </c>
      <c r="AI60" s="6">
        <v>1222866</v>
      </c>
      <c r="AJ60" s="11" t="s">
        <v>635</v>
      </c>
      <c r="AK60" s="11"/>
      <c r="AL60" s="11" t="s">
        <v>23</v>
      </c>
      <c r="AN60" s="6">
        <v>670937</v>
      </c>
      <c r="AP60" s="6">
        <v>2605952</v>
      </c>
      <c r="AR60" s="6">
        <v>0</v>
      </c>
      <c r="AT60" s="6">
        <v>954968</v>
      </c>
      <c r="AV60" s="6">
        <f>1801292+441043</f>
        <v>2242335</v>
      </c>
      <c r="AX60" s="6">
        <v>0</v>
      </c>
      <c r="AZ60" s="7">
        <f t="shared" si="16"/>
        <v>35318865</v>
      </c>
      <c r="BB60" s="6">
        <v>321377</v>
      </c>
      <c r="BD60" s="6">
        <v>0</v>
      </c>
      <c r="BF60" s="6">
        <v>0</v>
      </c>
      <c r="BH60" s="6">
        <v>9855873</v>
      </c>
      <c r="BJ60" s="7">
        <f>AZ60+BB60+BH60</f>
        <v>45496115</v>
      </c>
      <c r="BL60" s="7">
        <f>'Gov Fd Rev'!AO60-'Gov Fd Exp'!BJ60</f>
        <v>94213</v>
      </c>
      <c r="BN60" s="6">
        <v>12347356</v>
      </c>
      <c r="BP60" s="6">
        <v>0</v>
      </c>
      <c r="BR60" s="6">
        <v>0</v>
      </c>
      <c r="BT60" s="7">
        <f t="shared" si="5"/>
        <v>12441569</v>
      </c>
      <c r="BU60" s="7"/>
      <c r="BV60" s="7">
        <f>BT60-'Gov Fd BS'!AC60</f>
        <v>0</v>
      </c>
      <c r="BW60" s="7"/>
    </row>
    <row r="61" spans="1:75">
      <c r="A61" s="11" t="s">
        <v>414</v>
      </c>
      <c r="B61" s="11"/>
      <c r="C61" s="11" t="s">
        <v>47</v>
      </c>
      <c r="E61" s="6">
        <v>6388375</v>
      </c>
      <c r="G61" s="6">
        <v>1743666</v>
      </c>
      <c r="I61" s="6">
        <v>148348</v>
      </c>
      <c r="K61" s="6">
        <v>0</v>
      </c>
      <c r="M61" s="6">
        <v>41034</v>
      </c>
      <c r="O61" s="6">
        <v>534001</v>
      </c>
      <c r="Q61" s="6">
        <v>707735</v>
      </c>
      <c r="S61" s="6">
        <v>50890</v>
      </c>
      <c r="U61" s="6">
        <v>979922</v>
      </c>
      <c r="W61" s="6">
        <v>372171</v>
      </c>
      <c r="Y61" s="6">
        <v>22579</v>
      </c>
      <c r="AA61" s="6">
        <v>866356</v>
      </c>
      <c r="AC61" s="6">
        <v>840617</v>
      </c>
      <c r="AE61" s="6">
        <v>48334</v>
      </c>
      <c r="AG61" s="6">
        <v>395959</v>
      </c>
      <c r="AI61" s="6">
        <v>11082</v>
      </c>
      <c r="AJ61" s="11" t="s">
        <v>414</v>
      </c>
      <c r="AK61" s="11"/>
      <c r="AL61" s="11" t="s">
        <v>47</v>
      </c>
      <c r="AN61" s="6">
        <v>461930</v>
      </c>
      <c r="AP61" s="6">
        <v>0</v>
      </c>
      <c r="AR61" s="6">
        <v>0</v>
      </c>
      <c r="AT61" s="6">
        <v>339256</v>
      </c>
      <c r="AV61" s="6">
        <v>92865</v>
      </c>
      <c r="AX61" s="6">
        <v>0</v>
      </c>
      <c r="AZ61" s="7">
        <f t="shared" si="16"/>
        <v>14045120</v>
      </c>
      <c r="BB61" s="6">
        <v>160259</v>
      </c>
      <c r="BD61" s="6">
        <v>0</v>
      </c>
      <c r="BF61" s="6">
        <v>0</v>
      </c>
      <c r="BH61" s="6">
        <v>0</v>
      </c>
      <c r="BJ61" s="7">
        <f>AZ61+BB61+BH61</f>
        <v>14205379</v>
      </c>
      <c r="BL61" s="7">
        <f>'Gov Fd Rev'!AO61-'Gov Fd Exp'!BJ61</f>
        <v>838160</v>
      </c>
      <c r="BN61" s="6">
        <v>-561205</v>
      </c>
      <c r="BP61" s="6">
        <v>0</v>
      </c>
      <c r="BR61" s="6">
        <v>0</v>
      </c>
      <c r="BT61" s="7">
        <f t="shared" si="5"/>
        <v>276955</v>
      </c>
      <c r="BU61" s="7"/>
      <c r="BV61" s="7">
        <f>BT61-'Gov Fd BS'!AC61</f>
        <v>0</v>
      </c>
      <c r="BW61" s="7"/>
    </row>
    <row r="62" spans="1:75">
      <c r="A62" s="11" t="s">
        <v>242</v>
      </c>
      <c r="B62" s="11"/>
      <c r="C62" s="11" t="s">
        <v>18</v>
      </c>
      <c r="E62" s="6">
        <v>5688637</v>
      </c>
      <c r="G62" s="6">
        <v>855768</v>
      </c>
      <c r="I62" s="6">
        <v>326468</v>
      </c>
      <c r="K62" s="6">
        <v>0</v>
      </c>
      <c r="M62" s="6">
        <v>742524</v>
      </c>
      <c r="O62" s="6">
        <v>477690</v>
      </c>
      <c r="Q62" s="6">
        <v>1462064</v>
      </c>
      <c r="S62" s="6">
        <v>28729</v>
      </c>
      <c r="U62" s="6">
        <v>1448265</v>
      </c>
      <c r="W62" s="6">
        <v>399836</v>
      </c>
      <c r="Y62" s="6">
        <v>7788</v>
      </c>
      <c r="AA62" s="6">
        <v>1289718</v>
      </c>
      <c r="AC62" s="6">
        <v>881688</v>
      </c>
      <c r="AE62" s="6">
        <v>11521</v>
      </c>
      <c r="AG62" s="6">
        <v>0</v>
      </c>
      <c r="AI62" s="6">
        <v>892511</v>
      </c>
      <c r="AJ62" s="11" t="s">
        <v>242</v>
      </c>
      <c r="AK62" s="11"/>
      <c r="AL62" s="11" t="s">
        <v>18</v>
      </c>
      <c r="AN62" s="6">
        <v>409205</v>
      </c>
      <c r="AP62" s="6">
        <v>62505</v>
      </c>
      <c r="AR62" s="6">
        <v>0</v>
      </c>
      <c r="AT62" s="6">
        <v>200000</v>
      </c>
      <c r="AV62" s="6">
        <v>123706</v>
      </c>
      <c r="AX62" s="6">
        <v>0</v>
      </c>
      <c r="AZ62" s="7">
        <f t="shared" si="16"/>
        <v>15308623</v>
      </c>
      <c r="BB62" s="6">
        <v>0</v>
      </c>
      <c r="BD62" s="6">
        <v>0</v>
      </c>
      <c r="BF62" s="6">
        <v>0</v>
      </c>
      <c r="BH62" s="6">
        <v>0</v>
      </c>
      <c r="BJ62" s="7">
        <f t="shared" si="1"/>
        <v>15308623</v>
      </c>
      <c r="BL62" s="7">
        <f>'Gov Fd Rev'!AO62-'Gov Fd Exp'!BJ62</f>
        <v>1221835</v>
      </c>
      <c r="BN62" s="6">
        <v>1928862</v>
      </c>
      <c r="BP62" s="6">
        <v>0</v>
      </c>
      <c r="BR62" s="6">
        <v>0</v>
      </c>
      <c r="BT62" s="7">
        <f t="shared" si="5"/>
        <v>3150697</v>
      </c>
      <c r="BU62" s="7"/>
      <c r="BV62" s="7">
        <f>BT62-'Gov Fd BS'!AC62</f>
        <v>0</v>
      </c>
      <c r="BW62" s="7"/>
    </row>
    <row r="63" spans="1:75">
      <c r="A63" s="11" t="s">
        <v>293</v>
      </c>
      <c r="B63" s="11"/>
      <c r="C63" s="11" t="s">
        <v>25</v>
      </c>
      <c r="E63" s="6">
        <v>6011612</v>
      </c>
      <c r="G63" s="6">
        <v>1744358</v>
      </c>
      <c r="I63" s="6">
        <v>256881</v>
      </c>
      <c r="K63" s="6">
        <v>0</v>
      </c>
      <c r="M63" s="6">
        <f>66222+580835</f>
        <v>647057</v>
      </c>
      <c r="O63" s="6">
        <v>839521</v>
      </c>
      <c r="Q63" s="6">
        <v>798153</v>
      </c>
      <c r="S63" s="6">
        <v>208666</v>
      </c>
      <c r="U63" s="6">
        <v>1845935</v>
      </c>
      <c r="W63" s="6">
        <v>219957</v>
      </c>
      <c r="Y63" s="6">
        <v>0</v>
      </c>
      <c r="AA63" s="6">
        <v>1354633</v>
      </c>
      <c r="AC63" s="6">
        <v>1352931</v>
      </c>
      <c r="AE63" s="6">
        <v>51019</v>
      </c>
      <c r="AG63" s="6">
        <v>583491</v>
      </c>
      <c r="AI63" s="6">
        <v>3000</v>
      </c>
      <c r="AJ63" s="11" t="s">
        <v>293</v>
      </c>
      <c r="AK63" s="11"/>
      <c r="AL63" s="11" t="s">
        <v>25</v>
      </c>
      <c r="AN63" s="6">
        <v>571907</v>
      </c>
      <c r="AP63" s="6">
        <v>17313395</v>
      </c>
      <c r="AR63" s="6">
        <v>0</v>
      </c>
      <c r="AT63" s="6">
        <v>795000</v>
      </c>
      <c r="AV63" s="6">
        <f>1574850+17000</f>
        <v>1591850</v>
      </c>
      <c r="AX63" s="6">
        <v>0</v>
      </c>
      <c r="AZ63" s="7">
        <f t="shared" si="16"/>
        <v>36189366</v>
      </c>
      <c r="BB63" s="6">
        <v>0</v>
      </c>
      <c r="BD63" s="6">
        <v>0</v>
      </c>
      <c r="BF63" s="6">
        <v>0</v>
      </c>
      <c r="BH63" s="6">
        <v>0</v>
      </c>
      <c r="BJ63" s="7">
        <f t="shared" si="1"/>
        <v>36189366</v>
      </c>
      <c r="BL63" s="7">
        <f>'Gov Fd Rev'!AO63-'Gov Fd Exp'!BJ63</f>
        <v>-16838242</v>
      </c>
      <c r="BN63" s="6">
        <v>25550614</v>
      </c>
      <c r="BP63" s="6">
        <v>0</v>
      </c>
      <c r="BR63" s="6">
        <v>0</v>
      </c>
      <c r="BT63" s="7">
        <f t="shared" si="5"/>
        <v>8712372</v>
      </c>
      <c r="BU63" s="7"/>
      <c r="BV63" s="7">
        <f>BT63-'Gov Fd BS'!AC63</f>
        <v>0</v>
      </c>
      <c r="BW63" s="7"/>
    </row>
    <row r="64" spans="1:75">
      <c r="A64" s="11" t="s">
        <v>518</v>
      </c>
      <c r="B64" s="11"/>
      <c r="C64" s="11" t="s">
        <v>64</v>
      </c>
      <c r="E64" s="6">
        <v>1396732</v>
      </c>
      <c r="G64" s="6">
        <v>654329</v>
      </c>
      <c r="I64" s="6">
        <v>54458</v>
      </c>
      <c r="K64" s="6">
        <v>0</v>
      </c>
      <c r="M64" s="6">
        <v>0</v>
      </c>
      <c r="O64" s="6">
        <v>159240</v>
      </c>
      <c r="Q64" s="6">
        <v>211120</v>
      </c>
      <c r="S64" s="6">
        <v>18669</v>
      </c>
      <c r="U64" s="6">
        <v>441057</v>
      </c>
      <c r="W64" s="6">
        <v>229947</v>
      </c>
      <c r="Y64" s="6">
        <v>0</v>
      </c>
      <c r="AA64" s="6">
        <v>387054</v>
      </c>
      <c r="AC64" s="6">
        <v>247432</v>
      </c>
      <c r="AE64" s="6">
        <v>7791</v>
      </c>
      <c r="AG64" s="6">
        <v>125829</v>
      </c>
      <c r="AI64" s="6">
        <v>0</v>
      </c>
      <c r="AJ64" s="11" t="s">
        <v>518</v>
      </c>
      <c r="AK64" s="11"/>
      <c r="AL64" s="11" t="s">
        <v>64</v>
      </c>
      <c r="AN64" s="6">
        <v>90481</v>
      </c>
      <c r="AP64" s="6">
        <v>44880</v>
      </c>
      <c r="AR64" s="6">
        <v>0</v>
      </c>
      <c r="AT64" s="6">
        <v>41074</v>
      </c>
      <c r="AV64" s="6">
        <v>5910</v>
      </c>
      <c r="AX64" s="6">
        <v>0</v>
      </c>
      <c r="AZ64" s="7">
        <f t="shared" si="16"/>
        <v>4116003</v>
      </c>
      <c r="BB64" s="6">
        <v>0</v>
      </c>
      <c r="BD64" s="6">
        <v>0</v>
      </c>
      <c r="BF64" s="6">
        <v>0</v>
      </c>
      <c r="BH64" s="6">
        <v>0</v>
      </c>
      <c r="BJ64" s="7">
        <f t="shared" si="1"/>
        <v>4116003</v>
      </c>
      <c r="BL64" s="7">
        <f>'Gov Fd Rev'!AO64-'Gov Fd Exp'!BJ64</f>
        <v>7416</v>
      </c>
      <c r="BN64" s="6">
        <v>411019</v>
      </c>
      <c r="BP64" s="6">
        <v>0</v>
      </c>
      <c r="BR64" s="6">
        <v>0</v>
      </c>
      <c r="BT64" s="7">
        <f t="shared" si="5"/>
        <v>418435</v>
      </c>
      <c r="BU64" s="7"/>
      <c r="BV64" s="7">
        <f>BT64-'Gov Fd BS'!AC64</f>
        <v>0</v>
      </c>
      <c r="BW64" s="7"/>
    </row>
    <row r="65" spans="1:75">
      <c r="A65" s="11" t="s">
        <v>479</v>
      </c>
      <c r="B65" s="11"/>
      <c r="C65" s="11" t="s">
        <v>59</v>
      </c>
      <c r="E65" s="6">
        <v>4512329</v>
      </c>
      <c r="G65" s="6">
        <v>1122719</v>
      </c>
      <c r="I65" s="6">
        <v>8695</v>
      </c>
      <c r="K65" s="6">
        <v>0</v>
      </c>
      <c r="M65" s="6">
        <v>182208</v>
      </c>
      <c r="O65" s="6">
        <v>329632</v>
      </c>
      <c r="Q65" s="6">
        <v>490363</v>
      </c>
      <c r="S65" s="6">
        <v>25604</v>
      </c>
      <c r="U65" s="6">
        <v>783927</v>
      </c>
      <c r="W65" s="6">
        <v>177704</v>
      </c>
      <c r="Y65" s="6">
        <v>19666</v>
      </c>
      <c r="AA65" s="6">
        <v>889627</v>
      </c>
      <c r="AC65" s="6">
        <v>797854</v>
      </c>
      <c r="AE65" s="6">
        <v>9661</v>
      </c>
      <c r="AG65" s="6">
        <v>526060</v>
      </c>
      <c r="AI65" s="6">
        <v>134</v>
      </c>
      <c r="AJ65" s="11" t="s">
        <v>479</v>
      </c>
      <c r="AK65" s="11"/>
      <c r="AL65" s="11" t="s">
        <v>59</v>
      </c>
      <c r="AN65" s="6">
        <v>175306</v>
      </c>
      <c r="AP65" s="6">
        <v>22145</v>
      </c>
      <c r="AR65" s="6">
        <v>0</v>
      </c>
      <c r="AT65" s="6">
        <v>90000</v>
      </c>
      <c r="AV65" s="6">
        <f>43630+15671</f>
        <v>59301</v>
      </c>
      <c r="AX65" s="6">
        <v>0</v>
      </c>
      <c r="AZ65" s="7">
        <f>SUM(E65:AX65)</f>
        <v>10222935</v>
      </c>
      <c r="BB65" s="6">
        <v>52591</v>
      </c>
      <c r="BD65" s="6">
        <v>0</v>
      </c>
      <c r="BF65" s="6">
        <v>0</v>
      </c>
      <c r="BH65" s="6">
        <v>244957</v>
      </c>
      <c r="BJ65" s="7">
        <f>AZ65+BB65+BH65</f>
        <v>10520483</v>
      </c>
      <c r="BL65" s="7">
        <f>'Gov Fd Rev'!AO65-'Gov Fd Exp'!BJ65</f>
        <v>380477</v>
      </c>
      <c r="BN65" s="6">
        <v>1305283</v>
      </c>
      <c r="BP65" s="6">
        <v>0</v>
      </c>
      <c r="BR65" s="6">
        <v>0</v>
      </c>
      <c r="BT65" s="7">
        <f>BL65+BN65+BP65+BR65</f>
        <v>1685760</v>
      </c>
      <c r="BU65" s="7"/>
      <c r="BV65" s="7">
        <f>BT65-'Gov Fd BS'!AC65</f>
        <v>0</v>
      </c>
      <c r="BW65" s="7"/>
    </row>
    <row r="66" spans="1:75" hidden="1">
      <c r="A66" s="11" t="s">
        <v>887</v>
      </c>
      <c r="B66" s="11"/>
      <c r="C66" s="11" t="s">
        <v>10</v>
      </c>
      <c r="AJ66" s="11" t="s">
        <v>887</v>
      </c>
      <c r="AK66" s="11"/>
      <c r="AL66" s="11" t="s">
        <v>10</v>
      </c>
      <c r="AZ66" s="7">
        <f t="shared" si="16"/>
        <v>0</v>
      </c>
      <c r="BD66" s="6">
        <v>0</v>
      </c>
      <c r="BF66" s="6">
        <v>0</v>
      </c>
      <c r="BJ66" s="7">
        <f t="shared" si="1"/>
        <v>0</v>
      </c>
      <c r="BL66" s="7">
        <f>'Gov Fd Rev'!AO66-'Gov Fd Exp'!BJ66</f>
        <v>0</v>
      </c>
      <c r="BR66" s="6">
        <v>0</v>
      </c>
      <c r="BT66" s="7">
        <f t="shared" si="5"/>
        <v>0</v>
      </c>
      <c r="BU66" s="7"/>
      <c r="BV66" s="7">
        <f>BT66-'Gov Fd BS'!AC66</f>
        <v>0</v>
      </c>
      <c r="BW66" s="7"/>
    </row>
    <row r="67" spans="1:75">
      <c r="A67" s="11" t="s">
        <v>402</v>
      </c>
      <c r="B67" s="11"/>
      <c r="C67" s="11" t="s">
        <v>45</v>
      </c>
      <c r="E67" s="6">
        <v>22644803</v>
      </c>
      <c r="G67" s="6">
        <v>5354022</v>
      </c>
      <c r="I67" s="6">
        <v>0</v>
      </c>
      <c r="K67" s="6">
        <v>6174</v>
      </c>
      <c r="M67" s="6">
        <v>149855</v>
      </c>
      <c r="O67" s="6">
        <v>2024406</v>
      </c>
      <c r="Q67" s="6">
        <v>2483531</v>
      </c>
      <c r="S67" s="6">
        <v>159712</v>
      </c>
      <c r="U67" s="6">
        <v>2801781</v>
      </c>
      <c r="W67" s="6">
        <v>1012161</v>
      </c>
      <c r="Y67" s="6">
        <v>149724</v>
      </c>
      <c r="AA67" s="6">
        <v>4417837</v>
      </c>
      <c r="AC67" s="6">
        <v>2911344</v>
      </c>
      <c r="AE67" s="6">
        <v>49214</v>
      </c>
      <c r="AG67" s="6">
        <v>1430092</v>
      </c>
      <c r="AI67" s="6">
        <v>815043</v>
      </c>
      <c r="AJ67" s="11" t="s">
        <v>402</v>
      </c>
      <c r="AK67" s="11"/>
      <c r="AL67" s="11" t="s">
        <v>45</v>
      </c>
      <c r="AN67" s="6">
        <v>1069244</v>
      </c>
      <c r="AP67" s="6">
        <v>1214769</v>
      </c>
      <c r="AR67" s="6">
        <v>0</v>
      </c>
      <c r="AT67" s="6">
        <v>582628</v>
      </c>
      <c r="AV67" s="6">
        <v>413516</v>
      </c>
      <c r="AX67" s="6">
        <v>0</v>
      </c>
      <c r="AZ67" s="7">
        <f t="shared" si="16"/>
        <v>49689856</v>
      </c>
      <c r="BB67" s="6">
        <v>467671</v>
      </c>
      <c r="BD67" s="6">
        <v>0</v>
      </c>
      <c r="BF67" s="6">
        <v>0</v>
      </c>
      <c r="BH67" s="6">
        <v>0</v>
      </c>
      <c r="BJ67" s="7">
        <f t="shared" si="1"/>
        <v>50157527</v>
      </c>
      <c r="BL67" s="7">
        <f>'Gov Fd Rev'!AO67-'Gov Fd Exp'!BJ67</f>
        <v>-3371879</v>
      </c>
      <c r="BN67" s="6">
        <v>7205165</v>
      </c>
      <c r="BP67" s="6">
        <v>0</v>
      </c>
      <c r="BR67" s="6">
        <v>0</v>
      </c>
      <c r="BT67" s="7">
        <f t="shared" si="5"/>
        <v>3833286</v>
      </c>
      <c r="BU67" s="7"/>
      <c r="BV67" s="7">
        <f>BT67-'Gov Fd BS'!AC67</f>
        <v>0</v>
      </c>
      <c r="BW67" s="7"/>
    </row>
    <row r="68" spans="1:75">
      <c r="A68" s="11" t="s">
        <v>489</v>
      </c>
      <c r="B68" s="11"/>
      <c r="C68" s="11" t="s">
        <v>61</v>
      </c>
      <c r="E68" s="6">
        <v>2322134</v>
      </c>
      <c r="G68" s="6">
        <v>436599</v>
      </c>
      <c r="I68" s="6">
        <v>161792</v>
      </c>
      <c r="K68" s="6">
        <v>267</v>
      </c>
      <c r="M68" s="6">
        <f>23907+26886</f>
        <v>50793</v>
      </c>
      <c r="O68" s="6">
        <v>165351</v>
      </c>
      <c r="Q68" s="6">
        <v>285779</v>
      </c>
      <c r="S68" s="6">
        <v>13913</v>
      </c>
      <c r="U68" s="6">
        <v>409978</v>
      </c>
      <c r="W68" s="6">
        <v>224751</v>
      </c>
      <c r="Y68" s="6">
        <v>0</v>
      </c>
      <c r="AA68" s="6">
        <v>375813</v>
      </c>
      <c r="AC68" s="6">
        <v>234930</v>
      </c>
      <c r="AE68" s="6">
        <v>3555</v>
      </c>
      <c r="AG68" s="6">
        <v>0</v>
      </c>
      <c r="AI68" s="6">
        <v>233030</v>
      </c>
      <c r="AJ68" s="11" t="s">
        <v>489</v>
      </c>
      <c r="AK68" s="11"/>
      <c r="AL68" s="11" t="s">
        <v>61</v>
      </c>
      <c r="AN68" s="6">
        <v>267937</v>
      </c>
      <c r="AP68" s="6">
        <v>592838</v>
      </c>
      <c r="AR68" s="6">
        <v>0</v>
      </c>
      <c r="AT68" s="6">
        <v>53832</v>
      </c>
      <c r="AV68" s="6">
        <f>72837+107139</f>
        <v>179976</v>
      </c>
      <c r="AX68" s="6">
        <v>0</v>
      </c>
      <c r="AZ68" s="7">
        <f t="shared" si="16"/>
        <v>6013268</v>
      </c>
      <c r="BB68" s="6">
        <v>4389</v>
      </c>
      <c r="BD68" s="6">
        <v>0</v>
      </c>
      <c r="BF68" s="6">
        <v>0</v>
      </c>
      <c r="BH68" s="6">
        <v>0</v>
      </c>
      <c r="BJ68" s="7">
        <f t="shared" si="1"/>
        <v>6017657</v>
      </c>
      <c r="BL68" s="7">
        <f>'Gov Fd Rev'!AO68-'Gov Fd Exp'!BJ68</f>
        <v>7967285</v>
      </c>
      <c r="BN68" s="6">
        <v>2634144</v>
      </c>
      <c r="BP68" s="6">
        <v>0</v>
      </c>
      <c r="BR68" s="6">
        <v>0</v>
      </c>
      <c r="BT68" s="7">
        <f t="shared" si="5"/>
        <v>10601429</v>
      </c>
      <c r="BU68" s="7"/>
      <c r="BV68" s="7">
        <f>BT68-'Gov Fd BS'!AC68</f>
        <v>0</v>
      </c>
      <c r="BW68" s="7"/>
    </row>
    <row r="69" spans="1:75">
      <c r="A69" s="11" t="s">
        <v>554</v>
      </c>
      <c r="B69" s="11"/>
      <c r="C69" s="11" t="s">
        <v>72</v>
      </c>
      <c r="E69" s="6">
        <v>19774772</v>
      </c>
      <c r="G69" s="6">
        <v>0</v>
      </c>
      <c r="I69" s="6">
        <v>0</v>
      </c>
      <c r="K69" s="6">
        <v>0</v>
      </c>
      <c r="M69" s="6">
        <v>0</v>
      </c>
      <c r="O69" s="6">
        <v>11191741</v>
      </c>
      <c r="Q69" s="6">
        <v>0</v>
      </c>
      <c r="S69" s="6">
        <v>0</v>
      </c>
      <c r="U69" s="6">
        <v>0</v>
      </c>
      <c r="W69" s="6">
        <v>0</v>
      </c>
      <c r="Y69" s="6">
        <v>0</v>
      </c>
      <c r="AA69" s="6">
        <v>0</v>
      </c>
      <c r="AC69" s="6">
        <v>0</v>
      </c>
      <c r="AE69" s="6">
        <v>0</v>
      </c>
      <c r="AG69" s="6">
        <v>0</v>
      </c>
      <c r="AI69" s="6">
        <v>345274</v>
      </c>
      <c r="AJ69" s="11" t="s">
        <v>554</v>
      </c>
      <c r="AK69" s="11"/>
      <c r="AL69" s="11" t="s">
        <v>72</v>
      </c>
      <c r="AN69" s="6">
        <v>913073</v>
      </c>
      <c r="AP69" s="6">
        <v>3328047</v>
      </c>
      <c r="AR69" s="6">
        <v>0</v>
      </c>
      <c r="AT69" s="6">
        <v>340000</v>
      </c>
      <c r="AV69" s="6">
        <v>1233014</v>
      </c>
      <c r="AX69" s="6">
        <v>0</v>
      </c>
      <c r="AZ69" s="7">
        <f t="shared" si="16"/>
        <v>37125921</v>
      </c>
      <c r="BB69" s="6">
        <v>30000</v>
      </c>
      <c r="BD69" s="6">
        <v>0</v>
      </c>
      <c r="BF69" s="6">
        <v>0</v>
      </c>
      <c r="BH69" s="6">
        <v>1208</v>
      </c>
      <c r="BJ69" s="7">
        <f t="shared" si="1"/>
        <v>37157129</v>
      </c>
      <c r="BL69" s="7">
        <f>'Gov Fd Rev'!AO69-'Gov Fd Exp'!BJ69</f>
        <v>-3881311</v>
      </c>
      <c r="BN69" s="6">
        <v>14620163</v>
      </c>
      <c r="BP69" s="6">
        <v>0</v>
      </c>
      <c r="BR69" s="6">
        <v>0</v>
      </c>
      <c r="BT69" s="7">
        <f t="shared" si="5"/>
        <v>10738852</v>
      </c>
      <c r="BU69" s="7"/>
      <c r="BV69" s="7">
        <f>BT69-'Gov Fd BS'!AC69</f>
        <v>0</v>
      </c>
      <c r="BW69" s="7"/>
    </row>
    <row r="70" spans="1:75" hidden="1">
      <c r="A70" s="11" t="s">
        <v>888</v>
      </c>
      <c r="B70" s="11"/>
      <c r="C70" s="11" t="s">
        <v>48</v>
      </c>
      <c r="AJ70" s="11" t="s">
        <v>888</v>
      </c>
      <c r="AK70" s="11"/>
      <c r="AL70" s="11" t="s">
        <v>48</v>
      </c>
      <c r="AZ70" s="7">
        <f>SUM(E70:AX70)</f>
        <v>0</v>
      </c>
      <c r="BD70" s="6">
        <v>0</v>
      </c>
      <c r="BF70" s="6">
        <v>0</v>
      </c>
      <c r="BJ70" s="7">
        <f>AZ70+BB70+BH70</f>
        <v>0</v>
      </c>
      <c r="BL70" s="7">
        <f>'Gov Fd Rev'!AO70-'Gov Fd Exp'!BJ70</f>
        <v>0</v>
      </c>
      <c r="BR70" s="6">
        <v>0</v>
      </c>
      <c r="BT70" s="7">
        <f>BL70+BN70+BP70+BR70</f>
        <v>0</v>
      </c>
      <c r="BU70" s="7"/>
      <c r="BV70" s="7">
        <f>BT70-'Gov Fd BS'!AC70</f>
        <v>0</v>
      </c>
      <c r="BW70" s="7"/>
    </row>
    <row r="71" spans="1:75">
      <c r="A71" s="11" t="s">
        <v>785</v>
      </c>
      <c r="B71" s="11"/>
      <c r="C71" s="11" t="s">
        <v>20</v>
      </c>
      <c r="E71" s="6">
        <v>21067003</v>
      </c>
      <c r="G71" s="6">
        <v>6179590</v>
      </c>
      <c r="I71" s="6">
        <v>113343</v>
      </c>
      <c r="K71" s="6">
        <v>528865</v>
      </c>
      <c r="M71" s="6">
        <v>368663</v>
      </c>
      <c r="O71" s="6">
        <v>3852552</v>
      </c>
      <c r="Q71" s="6">
        <v>2920319</v>
      </c>
      <c r="S71" s="6">
        <v>200571</v>
      </c>
      <c r="U71" s="6">
        <v>2829127</v>
      </c>
      <c r="W71" s="6">
        <v>1222404</v>
      </c>
      <c r="Y71" s="6">
        <v>444328</v>
      </c>
      <c r="AA71" s="6">
        <v>3933002</v>
      </c>
      <c r="AC71" s="6">
        <v>3170739</v>
      </c>
      <c r="AE71" s="6">
        <v>250612</v>
      </c>
      <c r="AG71" s="6">
        <v>1651208</v>
      </c>
      <c r="AI71" s="6">
        <f>630245+423051</f>
        <v>1053296</v>
      </c>
      <c r="AJ71" s="11" t="s">
        <v>785</v>
      </c>
      <c r="AK71" s="11"/>
      <c r="AL71" s="11" t="s">
        <v>20</v>
      </c>
      <c r="AN71" s="6">
        <v>1064217</v>
      </c>
      <c r="AP71" s="6">
        <v>731349</v>
      </c>
      <c r="AR71" s="6">
        <v>0</v>
      </c>
      <c r="AT71" s="6">
        <v>1510000</v>
      </c>
      <c r="AV71" s="6">
        <v>1132547</v>
      </c>
      <c r="AX71" s="6">
        <v>0</v>
      </c>
      <c r="AZ71" s="7">
        <f t="shared" si="16"/>
        <v>54223735</v>
      </c>
      <c r="BB71" s="6">
        <v>270817</v>
      </c>
      <c r="BD71" s="6">
        <v>0</v>
      </c>
      <c r="BF71" s="6">
        <v>0</v>
      </c>
      <c r="BH71" s="6">
        <v>0</v>
      </c>
      <c r="BJ71" s="7">
        <f t="shared" si="1"/>
        <v>54494552</v>
      </c>
      <c r="BL71" s="7">
        <f>'Gov Fd Rev'!AO71-'Gov Fd Exp'!BJ71</f>
        <v>422912</v>
      </c>
      <c r="BN71" s="6">
        <v>16310372</v>
      </c>
      <c r="BP71" s="6">
        <v>0</v>
      </c>
      <c r="BR71" s="6">
        <v>0</v>
      </c>
      <c r="BT71" s="7">
        <f t="shared" si="5"/>
        <v>16733284</v>
      </c>
      <c r="BU71" s="7"/>
      <c r="BV71" s="7">
        <f>BT71-'Gov Fd BS'!AC71</f>
        <v>0</v>
      </c>
      <c r="BW71" s="7"/>
    </row>
    <row r="72" spans="1:75">
      <c r="A72" s="11" t="s">
        <v>751</v>
      </c>
      <c r="B72" s="11"/>
      <c r="C72" s="11" t="s">
        <v>15</v>
      </c>
      <c r="E72" s="6">
        <v>3520284</v>
      </c>
      <c r="G72" s="6">
        <v>1025655</v>
      </c>
      <c r="I72" s="6">
        <v>51167</v>
      </c>
      <c r="K72" s="6">
        <v>0</v>
      </c>
      <c r="M72" s="6">
        <v>60041</v>
      </c>
      <c r="O72" s="6">
        <v>233648</v>
      </c>
      <c r="Q72" s="6">
        <v>414720</v>
      </c>
      <c r="S72" s="6">
        <v>29096</v>
      </c>
      <c r="U72" s="6">
        <v>560858</v>
      </c>
      <c r="W72" s="6">
        <v>278400</v>
      </c>
      <c r="Y72" s="6">
        <v>45649</v>
      </c>
      <c r="AA72" s="6">
        <v>860392</v>
      </c>
      <c r="AC72" s="6">
        <v>322520</v>
      </c>
      <c r="AE72" s="6">
        <v>5408</v>
      </c>
      <c r="AG72" s="6">
        <v>350349</v>
      </c>
      <c r="AI72" s="6">
        <v>12358</v>
      </c>
      <c r="AJ72" s="11" t="s">
        <v>751</v>
      </c>
      <c r="AK72" s="11"/>
      <c r="AL72" s="11" t="s">
        <v>15</v>
      </c>
      <c r="AN72" s="6">
        <v>176922</v>
      </c>
      <c r="AP72" s="6">
        <v>1143</v>
      </c>
      <c r="AR72" s="6">
        <v>0</v>
      </c>
      <c r="AT72" s="6">
        <v>131569</v>
      </c>
      <c r="AV72" s="6">
        <f>108121+93271</f>
        <v>201392</v>
      </c>
      <c r="AX72" s="6">
        <v>0</v>
      </c>
      <c r="AZ72" s="7">
        <f t="shared" si="16"/>
        <v>8281571</v>
      </c>
      <c r="BB72" s="6">
        <v>3826</v>
      </c>
      <c r="BD72" s="6">
        <v>0</v>
      </c>
      <c r="BF72" s="6">
        <v>0</v>
      </c>
      <c r="BH72" s="6">
        <v>4234292</v>
      </c>
      <c r="BJ72" s="7">
        <f t="shared" si="1"/>
        <v>12519689</v>
      </c>
      <c r="BL72" s="7">
        <f>'Gov Fd Rev'!AO72-'Gov Fd Exp'!BJ72</f>
        <v>517304</v>
      </c>
      <c r="BN72" s="6">
        <v>1071409</v>
      </c>
      <c r="BP72" s="6">
        <v>0</v>
      </c>
      <c r="BR72" s="6">
        <v>0</v>
      </c>
      <c r="BT72" s="7">
        <f t="shared" si="5"/>
        <v>1588713</v>
      </c>
      <c r="BU72" s="7"/>
      <c r="BV72" s="7">
        <f>BT72-'Gov Fd BS'!AC72</f>
        <v>0</v>
      </c>
      <c r="BW72" s="7"/>
    </row>
    <row r="73" spans="1:75" hidden="1">
      <c r="A73" s="11" t="s">
        <v>793</v>
      </c>
      <c r="B73" s="11"/>
      <c r="C73" s="11" t="s">
        <v>348</v>
      </c>
      <c r="AJ73" s="11" t="s">
        <v>793</v>
      </c>
      <c r="AK73" s="11"/>
      <c r="AL73" s="11" t="s">
        <v>348</v>
      </c>
      <c r="AZ73" s="7">
        <f t="shared" si="16"/>
        <v>0</v>
      </c>
      <c r="BD73" s="6">
        <v>0</v>
      </c>
      <c r="BF73" s="6">
        <v>0</v>
      </c>
      <c r="BJ73" s="7">
        <f t="shared" si="1"/>
        <v>0</v>
      </c>
      <c r="BL73" s="7">
        <f>'Gov Fd Rev'!AO73-'Gov Fd Exp'!BJ73</f>
        <v>0</v>
      </c>
      <c r="BR73" s="6">
        <v>0</v>
      </c>
      <c r="BT73" s="7">
        <f t="shared" si="5"/>
        <v>0</v>
      </c>
      <c r="BU73" s="7"/>
      <c r="BV73" s="7">
        <f>BT73-'Gov Fd BS'!AC73</f>
        <v>0</v>
      </c>
      <c r="BW73" s="7"/>
    </row>
    <row r="74" spans="1:75">
      <c r="A74" s="11" t="s">
        <v>519</v>
      </c>
      <c r="B74" s="11"/>
      <c r="C74" s="11" t="s">
        <v>64</v>
      </c>
      <c r="E74" s="6">
        <v>3725960</v>
      </c>
      <c r="G74" s="6">
        <v>898480</v>
      </c>
      <c r="I74" s="6">
        <v>57283</v>
      </c>
      <c r="K74" s="6">
        <v>0</v>
      </c>
      <c r="M74" s="6">
        <v>7927</v>
      </c>
      <c r="O74" s="6">
        <v>236816</v>
      </c>
      <c r="Q74" s="6">
        <v>92813</v>
      </c>
      <c r="S74" s="6">
        <v>38465</v>
      </c>
      <c r="U74" s="6">
        <v>642232</v>
      </c>
      <c r="W74" s="6">
        <v>250397</v>
      </c>
      <c r="Y74" s="6">
        <v>25397</v>
      </c>
      <c r="AA74" s="6">
        <v>653486</v>
      </c>
      <c r="AC74" s="6">
        <v>570032</v>
      </c>
      <c r="AE74" s="6">
        <v>13503</v>
      </c>
      <c r="AG74" s="6">
        <v>287688</v>
      </c>
      <c r="AI74" s="6">
        <v>0</v>
      </c>
      <c r="AJ74" s="11" t="s">
        <v>519</v>
      </c>
      <c r="AK74" s="11"/>
      <c r="AL74" s="11" t="s">
        <v>64</v>
      </c>
      <c r="AN74" s="6">
        <v>189952</v>
      </c>
      <c r="AP74" s="6">
        <v>62546</v>
      </c>
      <c r="AR74" s="6">
        <v>0</v>
      </c>
      <c r="AT74" s="6">
        <v>141039</v>
      </c>
      <c r="AV74" s="6">
        <f>29840+15842</f>
        <v>45682</v>
      </c>
      <c r="AX74" s="6">
        <v>0</v>
      </c>
      <c r="AZ74" s="7">
        <f t="shared" si="16"/>
        <v>7939698</v>
      </c>
      <c r="BB74" s="6">
        <v>207495</v>
      </c>
      <c r="BD74" s="6">
        <v>0</v>
      </c>
      <c r="BF74" s="6">
        <v>0</v>
      </c>
      <c r="BH74" s="6">
        <v>2009</v>
      </c>
      <c r="BJ74" s="7">
        <f t="shared" si="1"/>
        <v>8149202</v>
      </c>
      <c r="BL74" s="7">
        <f>'Gov Fd Rev'!AO74-'Gov Fd Exp'!BJ74</f>
        <v>-12453</v>
      </c>
      <c r="BN74" s="6">
        <v>2424977</v>
      </c>
      <c r="BP74" s="6">
        <v>-659</v>
      </c>
      <c r="BR74" s="6">
        <v>0</v>
      </c>
      <c r="BT74" s="7">
        <f t="shared" si="5"/>
        <v>2411865</v>
      </c>
      <c r="BU74" s="7"/>
      <c r="BV74" s="7">
        <f>BT74-'Gov Fd BS'!AC74</f>
        <v>0</v>
      </c>
      <c r="BW74" s="7"/>
    </row>
    <row r="75" spans="1:75">
      <c r="A75" s="11" t="s">
        <v>673</v>
      </c>
      <c r="B75" s="11"/>
      <c r="C75" s="11" t="s">
        <v>64</v>
      </c>
      <c r="E75" s="6">
        <v>5183348</v>
      </c>
      <c r="G75" s="6">
        <v>1439412</v>
      </c>
      <c r="I75" s="6">
        <v>140664</v>
      </c>
      <c r="K75" s="6">
        <v>0</v>
      </c>
      <c r="M75" s="6">
        <v>0</v>
      </c>
      <c r="O75" s="6">
        <v>569830</v>
      </c>
      <c r="Q75" s="6">
        <v>419971</v>
      </c>
      <c r="S75" s="6">
        <v>13337</v>
      </c>
      <c r="U75" s="6">
        <v>881552</v>
      </c>
      <c r="W75" s="6">
        <v>392647</v>
      </c>
      <c r="Y75" s="6">
        <v>66968</v>
      </c>
      <c r="AA75" s="6">
        <v>1249471</v>
      </c>
      <c r="AC75" s="6">
        <v>616707</v>
      </c>
      <c r="AE75" s="6">
        <v>6015</v>
      </c>
      <c r="AG75" s="6">
        <v>560088</v>
      </c>
      <c r="AI75" s="6">
        <v>0</v>
      </c>
      <c r="AJ75" s="11" t="s">
        <v>673</v>
      </c>
      <c r="AK75" s="11"/>
      <c r="AL75" s="11" t="s">
        <v>64</v>
      </c>
      <c r="AN75" s="6">
        <v>393898</v>
      </c>
      <c r="AP75" s="6">
        <v>3888440</v>
      </c>
      <c r="AR75" s="6">
        <v>0</v>
      </c>
      <c r="AT75" s="6">
        <v>210539</v>
      </c>
      <c r="AV75" s="6">
        <v>689328</v>
      </c>
      <c r="AX75" s="6">
        <v>0</v>
      </c>
      <c r="AZ75" s="7">
        <f t="shared" si="16"/>
        <v>16722215</v>
      </c>
      <c r="BB75" s="6">
        <v>520000</v>
      </c>
      <c r="BD75" s="6">
        <v>0</v>
      </c>
      <c r="BF75" s="6">
        <v>0</v>
      </c>
      <c r="BH75" s="6">
        <v>0</v>
      </c>
      <c r="BJ75" s="7">
        <f t="shared" si="1"/>
        <v>17242215</v>
      </c>
      <c r="BL75" s="7">
        <f>'Gov Fd Rev'!AO75-'Gov Fd Exp'!BJ75</f>
        <v>-4418163</v>
      </c>
      <c r="BN75" s="6">
        <v>4776863</v>
      </c>
      <c r="BP75" s="6">
        <v>0</v>
      </c>
      <c r="BR75" s="6">
        <v>0</v>
      </c>
      <c r="BT75" s="7">
        <f t="shared" si="5"/>
        <v>358700</v>
      </c>
      <c r="BU75" s="7"/>
      <c r="BV75" s="7">
        <f>BT75-'Gov Fd BS'!AC75</f>
        <v>0</v>
      </c>
      <c r="BW75" s="7"/>
    </row>
    <row r="76" spans="1:75">
      <c r="A76" s="11" t="s">
        <v>264</v>
      </c>
      <c r="B76" s="11"/>
      <c r="C76" s="11" t="s">
        <v>20</v>
      </c>
      <c r="E76" s="6">
        <v>7098398</v>
      </c>
      <c r="G76" s="6">
        <v>2406830</v>
      </c>
      <c r="I76" s="6">
        <v>121585</v>
      </c>
      <c r="K76" s="6">
        <v>0</v>
      </c>
      <c r="M76" s="6">
        <v>0</v>
      </c>
      <c r="O76" s="6">
        <v>1768398</v>
      </c>
      <c r="Q76" s="6">
        <v>157100</v>
      </c>
      <c r="S76" s="6">
        <v>38774</v>
      </c>
      <c r="U76" s="6">
        <v>1524799</v>
      </c>
      <c r="W76" s="6">
        <v>690504</v>
      </c>
      <c r="Y76" s="6">
        <v>87688</v>
      </c>
      <c r="AA76" s="6">
        <v>1327571</v>
      </c>
      <c r="AC76" s="6">
        <v>320210</v>
      </c>
      <c r="AE76" s="6">
        <v>230191</v>
      </c>
      <c r="AG76" s="6">
        <v>447474</v>
      </c>
      <c r="AI76" s="6">
        <v>283528</v>
      </c>
      <c r="AJ76" s="11" t="s">
        <v>264</v>
      </c>
      <c r="AK76" s="11"/>
      <c r="AL76" s="11" t="s">
        <v>20</v>
      </c>
      <c r="AN76" s="6">
        <v>425593</v>
      </c>
      <c r="AP76" s="6">
        <v>54102</v>
      </c>
      <c r="AR76" s="6">
        <v>0</v>
      </c>
      <c r="AT76" s="6">
        <v>0</v>
      </c>
      <c r="AV76" s="6">
        <v>0</v>
      </c>
      <c r="AX76" s="6">
        <v>0</v>
      </c>
      <c r="AZ76" s="7">
        <f t="shared" si="16"/>
        <v>16982745</v>
      </c>
      <c r="BB76" s="6">
        <v>0</v>
      </c>
      <c r="BD76" s="6">
        <v>0</v>
      </c>
      <c r="BF76" s="6">
        <v>0</v>
      </c>
      <c r="BH76" s="6">
        <v>0</v>
      </c>
      <c r="BJ76" s="7">
        <f t="shared" si="1"/>
        <v>16982745</v>
      </c>
      <c r="BL76" s="7">
        <f>'Gov Fd Rev'!AO76-'Gov Fd Exp'!BJ76</f>
        <v>746268</v>
      </c>
      <c r="BN76" s="6">
        <v>4245554</v>
      </c>
      <c r="BP76" s="6">
        <v>0</v>
      </c>
      <c r="BR76" s="6">
        <v>0</v>
      </c>
      <c r="BT76" s="7">
        <f t="shared" si="5"/>
        <v>4991822</v>
      </c>
      <c r="BU76" s="7"/>
      <c r="BV76" s="7">
        <f>BT76-'Gov Fd BS'!AC76</f>
        <v>0</v>
      </c>
      <c r="BW76" s="7"/>
    </row>
    <row r="77" spans="1:75">
      <c r="A77" s="11" t="s">
        <v>428</v>
      </c>
      <c r="B77" s="11"/>
      <c r="C77" s="11" t="s">
        <v>50</v>
      </c>
      <c r="E77" s="6">
        <v>5866382</v>
      </c>
      <c r="G77" s="6">
        <v>1290160</v>
      </c>
      <c r="I77" s="6">
        <v>173867</v>
      </c>
      <c r="K77" s="6">
        <v>0</v>
      </c>
      <c r="M77" s="6">
        <v>110095</v>
      </c>
      <c r="O77" s="6">
        <v>852404</v>
      </c>
      <c r="Q77" s="6">
        <v>845208</v>
      </c>
      <c r="S77" s="6">
        <v>23222</v>
      </c>
      <c r="U77" s="6">
        <v>1378603</v>
      </c>
      <c r="W77" s="6">
        <v>357076</v>
      </c>
      <c r="Y77" s="6">
        <v>728</v>
      </c>
      <c r="AA77" s="6">
        <v>1379374</v>
      </c>
      <c r="AC77" s="6">
        <v>875923</v>
      </c>
      <c r="AE77" s="6">
        <v>30764</v>
      </c>
      <c r="AG77" s="6">
        <v>0</v>
      </c>
      <c r="AI77" s="6">
        <v>737713</v>
      </c>
      <c r="AJ77" s="11" t="s">
        <v>428</v>
      </c>
      <c r="AK77" s="11"/>
      <c r="AL77" s="11" t="s">
        <v>50</v>
      </c>
      <c r="AN77" s="6">
        <v>571590</v>
      </c>
      <c r="AP77" s="6">
        <v>1808808</v>
      </c>
      <c r="AR77" s="6">
        <v>0</v>
      </c>
      <c r="AT77" s="6">
        <v>660000</v>
      </c>
      <c r="AV77" s="6">
        <v>776439</v>
      </c>
      <c r="AX77" s="6">
        <v>0</v>
      </c>
      <c r="AZ77" s="7">
        <f t="shared" si="16"/>
        <v>17738356</v>
      </c>
      <c r="BB77" s="6">
        <v>1290000</v>
      </c>
      <c r="BD77" s="6">
        <v>0</v>
      </c>
      <c r="BF77" s="6">
        <v>0</v>
      </c>
      <c r="BH77" s="6">
        <v>0</v>
      </c>
      <c r="BJ77" s="7">
        <f t="shared" si="1"/>
        <v>19028356</v>
      </c>
      <c r="BL77" s="7">
        <f>'Gov Fd Rev'!AO77-'Gov Fd Exp'!BJ77</f>
        <v>-1610551</v>
      </c>
      <c r="BN77" s="6">
        <v>11503020</v>
      </c>
      <c r="BP77" s="6">
        <v>0</v>
      </c>
      <c r="BR77" s="6">
        <v>0</v>
      </c>
      <c r="BT77" s="7">
        <f t="shared" si="5"/>
        <v>9892469</v>
      </c>
      <c r="BU77" s="7"/>
      <c r="BV77" s="7">
        <f>BT77-'Gov Fd BS'!AC77</f>
        <v>0</v>
      </c>
      <c r="BW77" s="7"/>
    </row>
    <row r="78" spans="1:75">
      <c r="A78" s="11" t="s">
        <v>227</v>
      </c>
      <c r="B78" s="11"/>
      <c r="C78" s="11" t="s">
        <v>16</v>
      </c>
      <c r="E78" s="6">
        <v>3813332</v>
      </c>
      <c r="G78" s="6">
        <v>570311</v>
      </c>
      <c r="I78" s="6">
        <v>68004</v>
      </c>
      <c r="K78" s="6">
        <v>0</v>
      </c>
      <c r="M78" s="6">
        <v>0</v>
      </c>
      <c r="O78" s="6">
        <v>254924</v>
      </c>
      <c r="Q78" s="6">
        <v>387667</v>
      </c>
      <c r="S78" s="6">
        <v>197541</v>
      </c>
      <c r="U78" s="6">
        <v>604611</v>
      </c>
      <c r="W78" s="6">
        <v>166284</v>
      </c>
      <c r="Y78" s="6">
        <v>0</v>
      </c>
      <c r="AA78" s="6">
        <v>577634</v>
      </c>
      <c r="AC78" s="6">
        <v>339926</v>
      </c>
      <c r="AE78" s="6">
        <v>29496</v>
      </c>
      <c r="AG78" s="6">
        <v>388196</v>
      </c>
      <c r="AI78" s="6">
        <v>0</v>
      </c>
      <c r="AJ78" s="11" t="s">
        <v>227</v>
      </c>
      <c r="AK78" s="11"/>
      <c r="AL78" s="11" t="s">
        <v>16</v>
      </c>
      <c r="AN78" s="6">
        <v>327230</v>
      </c>
      <c r="AP78" s="6">
        <v>0</v>
      </c>
      <c r="AR78" s="6">
        <v>0</v>
      </c>
      <c r="AT78" s="6">
        <v>14653</v>
      </c>
      <c r="AV78" s="6">
        <v>1620</v>
      </c>
      <c r="AX78" s="6">
        <v>0</v>
      </c>
      <c r="AZ78" s="7">
        <f t="shared" si="16"/>
        <v>7741429</v>
      </c>
      <c r="BB78" s="6">
        <v>0</v>
      </c>
      <c r="BD78" s="6">
        <v>0</v>
      </c>
      <c r="BF78" s="6">
        <v>0</v>
      </c>
      <c r="BH78" s="6">
        <v>0</v>
      </c>
      <c r="BJ78" s="7">
        <f t="shared" si="1"/>
        <v>7741429</v>
      </c>
      <c r="BL78" s="7">
        <f>'Gov Fd Rev'!AO78-'Gov Fd Exp'!BJ78</f>
        <v>228372</v>
      </c>
      <c r="BN78" s="6">
        <v>3608054</v>
      </c>
      <c r="BP78" s="6">
        <v>0</v>
      </c>
      <c r="BR78" s="6">
        <v>0</v>
      </c>
      <c r="BT78" s="7">
        <f t="shared" si="5"/>
        <v>3836426</v>
      </c>
      <c r="BU78" s="7"/>
      <c r="BV78" s="7">
        <f>BT78-'Gov Fd BS'!AC78</f>
        <v>0</v>
      </c>
      <c r="BW78" s="7"/>
    </row>
    <row r="79" spans="1:75">
      <c r="A79" s="11" t="s">
        <v>415</v>
      </c>
      <c r="B79" s="11"/>
      <c r="C79" s="11" t="s">
        <v>47</v>
      </c>
      <c r="E79" s="6">
        <v>32450397</v>
      </c>
      <c r="G79" s="6">
        <v>7964433</v>
      </c>
      <c r="I79" s="6">
        <v>204002</v>
      </c>
      <c r="K79" s="6">
        <v>0</v>
      </c>
      <c r="M79" s="6">
        <v>2064516</v>
      </c>
      <c r="O79" s="6">
        <v>5891765</v>
      </c>
      <c r="Q79" s="6">
        <v>3509171</v>
      </c>
      <c r="S79" s="6">
        <v>612242</v>
      </c>
      <c r="U79" s="6">
        <v>4687403</v>
      </c>
      <c r="W79" s="6">
        <v>1439111</v>
      </c>
      <c r="Y79" s="6">
        <v>434870</v>
      </c>
      <c r="AA79" s="6">
        <v>6820663</v>
      </c>
      <c r="AC79" s="6">
        <v>4387910</v>
      </c>
      <c r="AE79" s="6">
        <v>343888</v>
      </c>
      <c r="AG79" s="6">
        <v>2153356</v>
      </c>
      <c r="AI79" s="6">
        <v>475008</v>
      </c>
      <c r="AJ79" s="11" t="s">
        <v>415</v>
      </c>
      <c r="AK79" s="11"/>
      <c r="AL79" s="11" t="s">
        <v>47</v>
      </c>
      <c r="AN79" s="6">
        <v>2128329</v>
      </c>
      <c r="AP79" s="6">
        <v>7556324</v>
      </c>
      <c r="AR79" s="6">
        <v>0</v>
      </c>
      <c r="AT79" s="6">
        <v>2029330</v>
      </c>
      <c r="AV79" s="6">
        <v>2214779</v>
      </c>
      <c r="AX79" s="6">
        <v>0</v>
      </c>
      <c r="AZ79" s="7">
        <f t="shared" si="16"/>
        <v>87367497</v>
      </c>
      <c r="BB79" s="6">
        <v>0</v>
      </c>
      <c r="BD79" s="6">
        <v>0</v>
      </c>
      <c r="BF79" s="6">
        <v>0</v>
      </c>
      <c r="BH79" s="6">
        <v>0</v>
      </c>
      <c r="BJ79" s="7">
        <f t="shared" si="1"/>
        <v>87367497</v>
      </c>
      <c r="BL79" s="7">
        <f>'Gov Fd Rev'!AO79-'Gov Fd Exp'!BJ79</f>
        <v>-11677049</v>
      </c>
      <c r="BN79" s="6">
        <v>21319941</v>
      </c>
      <c r="BP79" s="6">
        <v>0</v>
      </c>
      <c r="BR79" s="6">
        <v>0</v>
      </c>
      <c r="BT79" s="7">
        <f t="shared" si="5"/>
        <v>9642892</v>
      </c>
      <c r="BU79" s="7"/>
      <c r="BV79" s="7">
        <f>BT79-'Gov Fd BS'!AC79</f>
        <v>0</v>
      </c>
      <c r="BW79" s="7"/>
    </row>
    <row r="80" spans="1:75" hidden="1">
      <c r="A80" s="11" t="s">
        <v>674</v>
      </c>
      <c r="B80" s="11"/>
      <c r="C80" s="11" t="s">
        <v>552</v>
      </c>
      <c r="AJ80" s="11" t="s">
        <v>674</v>
      </c>
      <c r="AK80" s="11"/>
      <c r="AL80" s="11" t="s">
        <v>552</v>
      </c>
      <c r="AZ80" s="7">
        <f t="shared" si="16"/>
        <v>0</v>
      </c>
      <c r="BB80" s="23"/>
      <c r="BD80" s="6">
        <v>0</v>
      </c>
      <c r="BF80" s="6">
        <v>0</v>
      </c>
      <c r="BJ80" s="7">
        <f t="shared" si="1"/>
        <v>0</v>
      </c>
      <c r="BL80" s="7">
        <f>'Gov Fd Rev'!AO80-'Gov Fd Exp'!BJ80</f>
        <v>0</v>
      </c>
      <c r="BR80" s="6">
        <v>0</v>
      </c>
      <c r="BT80" s="7">
        <f t="shared" si="5"/>
        <v>0</v>
      </c>
      <c r="BU80" s="7"/>
      <c r="BV80" s="7">
        <f>BT80-'Gov Fd BS'!AC80</f>
        <v>0</v>
      </c>
      <c r="BW80" s="7"/>
    </row>
    <row r="81" spans="1:75">
      <c r="A81" s="11" t="s">
        <v>256</v>
      </c>
      <c r="B81" s="11"/>
      <c r="C81" s="11" t="s">
        <v>111</v>
      </c>
      <c r="E81" s="6">
        <v>4527229</v>
      </c>
      <c r="G81" s="6">
        <v>804674</v>
      </c>
      <c r="I81" s="6">
        <v>144586</v>
      </c>
      <c r="K81" s="6">
        <v>0</v>
      </c>
      <c r="M81" s="6">
        <v>75</v>
      </c>
      <c r="O81" s="6">
        <v>277118</v>
      </c>
      <c r="Q81" s="6">
        <v>190940</v>
      </c>
      <c r="S81" s="6">
        <v>20795</v>
      </c>
      <c r="U81" s="6">
        <v>759798</v>
      </c>
      <c r="W81" s="6">
        <v>278929</v>
      </c>
      <c r="Y81" s="6">
        <v>0</v>
      </c>
      <c r="AA81" s="6">
        <v>551650</v>
      </c>
      <c r="AC81" s="6">
        <v>612788</v>
      </c>
      <c r="AE81" s="6">
        <v>60326</v>
      </c>
      <c r="AG81" s="6">
        <v>344265</v>
      </c>
      <c r="AI81" s="6">
        <v>92096</v>
      </c>
      <c r="AJ81" s="11" t="s">
        <v>256</v>
      </c>
      <c r="AK81" s="11"/>
      <c r="AL81" s="11" t="s">
        <v>111</v>
      </c>
      <c r="AN81" s="6">
        <v>404239</v>
      </c>
      <c r="AP81" s="6">
        <v>89498</v>
      </c>
      <c r="AR81" s="6">
        <v>0</v>
      </c>
      <c r="AT81" s="6">
        <v>261998</v>
      </c>
      <c r="AV81" s="6">
        <v>343322</v>
      </c>
      <c r="AX81" s="6">
        <v>0</v>
      </c>
      <c r="AZ81" s="7">
        <f t="shared" si="16"/>
        <v>9764326</v>
      </c>
      <c r="BB81" s="6">
        <v>50000</v>
      </c>
      <c r="BD81" s="6">
        <v>0</v>
      </c>
      <c r="BF81" s="6">
        <v>0</v>
      </c>
      <c r="BH81" s="6">
        <v>0</v>
      </c>
      <c r="BJ81" s="7">
        <f t="shared" si="1"/>
        <v>9814326</v>
      </c>
      <c r="BL81" s="7">
        <f>'Gov Fd Rev'!AO81-'Gov Fd Exp'!BJ81</f>
        <v>-348023</v>
      </c>
      <c r="BN81" s="6">
        <v>5742245</v>
      </c>
      <c r="BP81" s="6">
        <v>0</v>
      </c>
      <c r="BR81" s="6">
        <v>0</v>
      </c>
      <c r="BT81" s="7">
        <f t="shared" si="5"/>
        <v>5394222</v>
      </c>
      <c r="BU81" s="7"/>
      <c r="BV81" s="7">
        <f>BT81-'Gov Fd BS'!AC81</f>
        <v>0</v>
      </c>
      <c r="BW81" s="7"/>
    </row>
    <row r="82" spans="1:75">
      <c r="A82" s="11" t="s">
        <v>206</v>
      </c>
      <c r="B82" s="11"/>
      <c r="C82" s="11" t="s">
        <v>12</v>
      </c>
      <c r="E82" s="6">
        <v>8828527</v>
      </c>
      <c r="G82" s="6">
        <v>2177474</v>
      </c>
      <c r="I82" s="6">
        <v>212577</v>
      </c>
      <c r="K82" s="6">
        <v>2300</v>
      </c>
      <c r="M82" s="6">
        <v>0</v>
      </c>
      <c r="O82" s="6">
        <v>512799</v>
      </c>
      <c r="Q82" s="6">
        <v>257968</v>
      </c>
      <c r="S82" s="6">
        <v>29219</v>
      </c>
      <c r="U82" s="6">
        <v>1324594</v>
      </c>
      <c r="W82" s="6">
        <v>509340</v>
      </c>
      <c r="Y82" s="6">
        <v>82365</v>
      </c>
      <c r="AA82" s="6">
        <v>1651716</v>
      </c>
      <c r="AC82" s="6">
        <v>898752</v>
      </c>
      <c r="AE82" s="6">
        <v>36733</v>
      </c>
      <c r="AG82" s="6">
        <v>848603</v>
      </c>
      <c r="AI82" s="6">
        <v>0</v>
      </c>
      <c r="AJ82" s="11" t="s">
        <v>206</v>
      </c>
      <c r="AK82" s="11"/>
      <c r="AL82" s="11" t="s">
        <v>12</v>
      </c>
      <c r="AN82" s="6">
        <v>462921</v>
      </c>
      <c r="AP82" s="6">
        <v>498089</v>
      </c>
      <c r="AR82" s="6">
        <v>0</v>
      </c>
      <c r="AT82" s="6">
        <v>83618</v>
      </c>
      <c r="AV82" s="6">
        <v>4516</v>
      </c>
      <c r="AX82" s="6">
        <v>0</v>
      </c>
      <c r="AZ82" s="7">
        <f t="shared" si="16"/>
        <v>18422111</v>
      </c>
      <c r="BB82" s="6">
        <v>0</v>
      </c>
      <c r="BD82" s="6">
        <v>0</v>
      </c>
      <c r="BF82" s="6">
        <v>0</v>
      </c>
      <c r="BH82" s="6">
        <v>0</v>
      </c>
      <c r="BJ82" s="7">
        <f t="shared" si="1"/>
        <v>18422111</v>
      </c>
      <c r="BL82" s="7">
        <f>'Gov Fd Rev'!AO82-'Gov Fd Exp'!BJ82</f>
        <v>400340</v>
      </c>
      <c r="BN82" s="6">
        <v>7222452</v>
      </c>
      <c r="BP82" s="6">
        <v>0</v>
      </c>
      <c r="BR82" s="6">
        <v>0</v>
      </c>
      <c r="BT82" s="7">
        <f t="shared" si="5"/>
        <v>7622792</v>
      </c>
      <c r="BU82" s="7"/>
      <c r="BV82" s="7">
        <f>BT82-'Gov Fd BS'!AC82</f>
        <v>0</v>
      </c>
      <c r="BW82" s="7"/>
    </row>
    <row r="83" spans="1:75">
      <c r="A83" s="11" t="s">
        <v>206</v>
      </c>
      <c r="B83" s="11"/>
      <c r="C83" s="11" t="s">
        <v>39</v>
      </c>
      <c r="E83" s="6">
        <v>8780032</v>
      </c>
      <c r="G83" s="6">
        <v>2625460</v>
      </c>
      <c r="I83" s="6">
        <v>464834</v>
      </c>
      <c r="K83" s="6">
        <v>0</v>
      </c>
      <c r="M83" s="6">
        <v>122717</v>
      </c>
      <c r="O83" s="6">
        <v>906911</v>
      </c>
      <c r="Q83" s="6">
        <v>606447</v>
      </c>
      <c r="S83" s="6">
        <v>115277</v>
      </c>
      <c r="U83" s="6">
        <v>2077994</v>
      </c>
      <c r="W83" s="6">
        <v>453087</v>
      </c>
      <c r="Y83" s="6">
        <v>57664</v>
      </c>
      <c r="AA83" s="6">
        <v>2127124</v>
      </c>
      <c r="AC83" s="6">
        <v>1707024</v>
      </c>
      <c r="AE83" s="6">
        <v>0</v>
      </c>
      <c r="AG83" s="6">
        <v>661401</v>
      </c>
      <c r="AI83" s="6">
        <v>7757</v>
      </c>
      <c r="AJ83" s="11" t="s">
        <v>206</v>
      </c>
      <c r="AK83" s="11"/>
      <c r="AL83" s="11" t="s">
        <v>39</v>
      </c>
      <c r="AN83" s="6">
        <v>409910</v>
      </c>
      <c r="AP83" s="6">
        <v>31830</v>
      </c>
      <c r="AR83" s="6">
        <v>0</v>
      </c>
      <c r="AT83" s="6">
        <v>748579</v>
      </c>
      <c r="AV83" s="6">
        <v>15013</v>
      </c>
      <c r="AX83" s="6">
        <v>0</v>
      </c>
      <c r="AZ83" s="7">
        <f t="shared" si="16"/>
        <v>21919061</v>
      </c>
      <c r="BB83" s="6">
        <v>123811</v>
      </c>
      <c r="BD83" s="6">
        <v>0</v>
      </c>
      <c r="BF83" s="6">
        <v>0</v>
      </c>
      <c r="BH83" s="6">
        <v>0</v>
      </c>
      <c r="BJ83" s="7">
        <f t="shared" si="1"/>
        <v>22042872</v>
      </c>
      <c r="BL83" s="7">
        <f>'Gov Fd Rev'!AO83-'Gov Fd Exp'!BJ83</f>
        <v>-756940</v>
      </c>
      <c r="BN83" s="6">
        <v>710367</v>
      </c>
      <c r="BP83" s="6">
        <v>0</v>
      </c>
      <c r="BR83" s="6">
        <v>0</v>
      </c>
      <c r="BT83" s="7">
        <f t="shared" si="5"/>
        <v>-46573</v>
      </c>
      <c r="BU83" s="7"/>
      <c r="BV83" s="7">
        <f>BT83-'Gov Fd BS'!AC83</f>
        <v>0</v>
      </c>
      <c r="BW83" s="7"/>
    </row>
    <row r="84" spans="1:75">
      <c r="A84" s="11" t="s">
        <v>675</v>
      </c>
      <c r="B84" s="11"/>
      <c r="C84" s="11" t="s">
        <v>47</v>
      </c>
      <c r="E84" s="6">
        <v>9018054</v>
      </c>
      <c r="G84" s="6">
        <v>1915975</v>
      </c>
      <c r="I84" s="6">
        <v>131201</v>
      </c>
      <c r="K84" s="6">
        <v>0</v>
      </c>
      <c r="M84" s="6">
        <v>895799</v>
      </c>
      <c r="O84" s="6">
        <v>840394</v>
      </c>
      <c r="Q84" s="6">
        <v>1254361</v>
      </c>
      <c r="S84" s="6">
        <v>34741</v>
      </c>
      <c r="U84" s="6">
        <v>1388219</v>
      </c>
      <c r="W84" s="6">
        <v>649287</v>
      </c>
      <c r="Y84" s="6">
        <v>26883</v>
      </c>
      <c r="AA84" s="6">
        <v>1262259</v>
      </c>
      <c r="AC84" s="6">
        <v>983097</v>
      </c>
      <c r="AE84" s="6">
        <v>24815</v>
      </c>
      <c r="AG84" s="6">
        <v>539829</v>
      </c>
      <c r="AI84" s="6">
        <v>101385</v>
      </c>
      <c r="AJ84" s="11" t="s">
        <v>675</v>
      </c>
      <c r="AK84" s="11"/>
      <c r="AL84" s="11" t="s">
        <v>47</v>
      </c>
      <c r="AN84" s="6">
        <v>627825</v>
      </c>
      <c r="AP84" s="6">
        <v>514354</v>
      </c>
      <c r="AR84" s="6">
        <v>0</v>
      </c>
      <c r="AT84" s="6">
        <v>1203070</v>
      </c>
      <c r="AV84" s="6">
        <v>806966</v>
      </c>
      <c r="AX84" s="6">
        <v>0</v>
      </c>
      <c r="AZ84" s="7">
        <f t="shared" si="16"/>
        <v>22218514</v>
      </c>
      <c r="BB84" s="6">
        <v>176903</v>
      </c>
      <c r="BD84" s="6">
        <v>0</v>
      </c>
      <c r="BF84" s="6">
        <v>0</v>
      </c>
      <c r="BH84" s="6">
        <v>0</v>
      </c>
      <c r="BJ84" s="7">
        <f t="shared" si="1"/>
        <v>22395417</v>
      </c>
      <c r="BL84" s="7">
        <f>'Gov Fd Rev'!AO84-'Gov Fd Exp'!BJ84</f>
        <v>-155015</v>
      </c>
      <c r="BN84" s="6">
        <v>1692520</v>
      </c>
      <c r="BP84" s="6">
        <v>0</v>
      </c>
      <c r="BR84" s="6">
        <v>0</v>
      </c>
      <c r="BT84" s="7">
        <f t="shared" si="5"/>
        <v>1537505</v>
      </c>
      <c r="BU84" s="7"/>
      <c r="BV84" s="7">
        <f>BT84-'Gov Fd BS'!AC84</f>
        <v>0</v>
      </c>
      <c r="BW84" s="7"/>
    </row>
    <row r="85" spans="1:75" hidden="1">
      <c r="A85" s="42" t="s">
        <v>794</v>
      </c>
      <c r="B85" s="11"/>
      <c r="C85" s="11" t="s">
        <v>112</v>
      </c>
      <c r="AJ85" s="42" t="s">
        <v>794</v>
      </c>
      <c r="AK85" s="11"/>
      <c r="AL85" s="11" t="s">
        <v>112</v>
      </c>
      <c r="AZ85" s="7">
        <f>SUM(E85:AX85)</f>
        <v>0</v>
      </c>
      <c r="BD85" s="6">
        <v>0</v>
      </c>
      <c r="BF85" s="6">
        <v>0</v>
      </c>
      <c r="BJ85" s="7">
        <f>AZ85+BB85+BH85</f>
        <v>0</v>
      </c>
      <c r="BL85" s="7">
        <f>'Gov Fd Rev'!AO85-'Gov Fd Exp'!BJ85</f>
        <v>0</v>
      </c>
      <c r="BR85" s="6">
        <v>0</v>
      </c>
      <c r="BT85" s="7">
        <f>BL85+BN85+BP85+BR85</f>
        <v>0</v>
      </c>
      <c r="BU85" s="7"/>
      <c r="BV85" s="7">
        <f>BT85-'Gov Fd BS'!AC85</f>
        <v>0</v>
      </c>
      <c r="BW85" s="7"/>
    </row>
    <row r="86" spans="1:75">
      <c r="A86" s="11" t="s">
        <v>636</v>
      </c>
      <c r="B86" s="11"/>
      <c r="C86" s="11" t="s">
        <v>23</v>
      </c>
      <c r="E86" s="6">
        <v>10770796</v>
      </c>
      <c r="G86" s="6">
        <v>1870976</v>
      </c>
      <c r="I86" s="6">
        <v>227001</v>
      </c>
      <c r="K86" s="6">
        <v>0</v>
      </c>
      <c r="M86" s="6">
        <v>16729</v>
      </c>
      <c r="O86" s="6">
        <v>2235837</v>
      </c>
      <c r="Q86" s="6">
        <v>500233</v>
      </c>
      <c r="S86" s="6">
        <v>173506</v>
      </c>
      <c r="U86" s="6">
        <v>2125696</v>
      </c>
      <c r="W86" s="6">
        <v>615130</v>
      </c>
      <c r="Y86" s="6">
        <v>0</v>
      </c>
      <c r="AA86" s="6">
        <v>2303113</v>
      </c>
      <c r="AC86" s="6">
        <v>1769796</v>
      </c>
      <c r="AE86" s="6">
        <v>39265</v>
      </c>
      <c r="AG86" s="6">
        <v>860892</v>
      </c>
      <c r="AI86" s="6">
        <v>16984</v>
      </c>
      <c r="AJ86" s="11" t="s">
        <v>636</v>
      </c>
      <c r="AK86" s="11"/>
      <c r="AL86" s="11" t="s">
        <v>23</v>
      </c>
      <c r="AN86" s="6">
        <v>495981</v>
      </c>
      <c r="AP86" s="6">
        <v>3797399</v>
      </c>
      <c r="AR86" s="6">
        <v>0</v>
      </c>
      <c r="AT86" s="6">
        <v>1087643</v>
      </c>
      <c r="AV86" s="6">
        <v>1005280</v>
      </c>
      <c r="AX86" s="6">
        <v>0</v>
      </c>
      <c r="AZ86" s="7">
        <f t="shared" si="16"/>
        <v>29912257</v>
      </c>
      <c r="BB86" s="6">
        <v>0</v>
      </c>
      <c r="BD86" s="6">
        <v>0</v>
      </c>
      <c r="BF86" s="6">
        <v>0</v>
      </c>
      <c r="BH86" s="6">
        <v>0</v>
      </c>
      <c r="BJ86" s="7">
        <f>AZ86+BB86+BH86</f>
        <v>29912257</v>
      </c>
      <c r="BL86" s="7">
        <f>'Gov Fd Rev'!AO86-'Gov Fd Exp'!BJ86</f>
        <v>-2870000</v>
      </c>
      <c r="BN86" s="6">
        <v>12054032</v>
      </c>
      <c r="BP86" s="6">
        <v>0</v>
      </c>
      <c r="BR86" s="6">
        <v>0</v>
      </c>
      <c r="BT86" s="7">
        <f t="shared" si="5"/>
        <v>9184032</v>
      </c>
      <c r="BU86" s="7"/>
      <c r="BV86" s="7">
        <f>BT86-'Gov Fd BS'!AC86</f>
        <v>0</v>
      </c>
      <c r="BW86" s="7"/>
    </row>
    <row r="87" spans="1:75">
      <c r="A87" s="11" t="s">
        <v>257</v>
      </c>
      <c r="B87" s="11"/>
      <c r="C87" s="11" t="s">
        <v>111</v>
      </c>
      <c r="E87" s="6">
        <v>7866199</v>
      </c>
      <c r="G87" s="6">
        <v>2378262</v>
      </c>
      <c r="I87" s="6">
        <v>34555</v>
      </c>
      <c r="K87" s="6">
        <v>0</v>
      </c>
      <c r="M87" s="6">
        <v>0</v>
      </c>
      <c r="O87" s="6">
        <v>840708</v>
      </c>
      <c r="Q87" s="6">
        <v>1353537</v>
      </c>
      <c r="S87" s="6">
        <v>72403</v>
      </c>
      <c r="U87" s="6">
        <v>1506377</v>
      </c>
      <c r="W87" s="6">
        <v>494109</v>
      </c>
      <c r="Y87" s="6">
        <v>142987</v>
      </c>
      <c r="AA87" s="6">
        <v>1172607</v>
      </c>
      <c r="AC87" s="6">
        <v>287611</v>
      </c>
      <c r="AE87" s="6">
        <v>230590</v>
      </c>
      <c r="AG87" s="6">
        <v>0</v>
      </c>
      <c r="AI87" s="6">
        <v>1224387</v>
      </c>
      <c r="AJ87" s="11" t="s">
        <v>257</v>
      </c>
      <c r="AK87" s="11"/>
      <c r="AL87" s="11" t="s">
        <v>111</v>
      </c>
      <c r="AN87" s="6">
        <v>428804</v>
      </c>
      <c r="AP87" s="6">
        <v>26182</v>
      </c>
      <c r="AR87" s="6">
        <v>0</v>
      </c>
      <c r="AT87" s="6">
        <v>255000</v>
      </c>
      <c r="AV87" s="6">
        <v>560669</v>
      </c>
      <c r="AX87" s="6">
        <v>0</v>
      </c>
      <c r="AZ87" s="7">
        <f t="shared" si="16"/>
        <v>18874987</v>
      </c>
      <c r="BB87" s="6">
        <v>0</v>
      </c>
      <c r="BD87" s="6">
        <v>0</v>
      </c>
      <c r="BF87" s="6">
        <v>0</v>
      </c>
      <c r="BH87" s="6">
        <v>0</v>
      </c>
      <c r="BJ87" s="7">
        <f>AZ87+BB87+BH87</f>
        <v>18874987</v>
      </c>
      <c r="BL87" s="7">
        <f>'Gov Fd Rev'!AO87-'Gov Fd Exp'!BJ87</f>
        <v>-488289</v>
      </c>
      <c r="BN87" s="6">
        <v>9185235</v>
      </c>
      <c r="BP87" s="6">
        <v>0</v>
      </c>
      <c r="BR87" s="6">
        <v>0</v>
      </c>
      <c r="BT87" s="7">
        <f t="shared" si="5"/>
        <v>8696946</v>
      </c>
      <c r="BU87" s="7"/>
      <c r="BV87" s="7">
        <f>BT87-'Gov Fd BS'!AC87</f>
        <v>0</v>
      </c>
      <c r="BW87" s="7"/>
    </row>
    <row r="88" spans="1:75">
      <c r="A88" s="11" t="s">
        <v>752</v>
      </c>
      <c r="B88" s="11"/>
      <c r="C88" s="11" t="s">
        <v>52</v>
      </c>
      <c r="E88" s="6">
        <v>3947833</v>
      </c>
      <c r="G88" s="6">
        <v>655600</v>
      </c>
      <c r="I88" s="6">
        <v>74210</v>
      </c>
      <c r="K88" s="6">
        <v>5553</v>
      </c>
      <c r="M88" s="6">
        <v>927</v>
      </c>
      <c r="O88" s="6">
        <v>485080</v>
      </c>
      <c r="Q88" s="6">
        <v>540316</v>
      </c>
      <c r="S88" s="6">
        <v>41527</v>
      </c>
      <c r="U88" s="6">
        <v>674702</v>
      </c>
      <c r="W88" s="6">
        <v>337176</v>
      </c>
      <c r="Y88" s="6">
        <v>0</v>
      </c>
      <c r="AA88" s="6">
        <v>521542</v>
      </c>
      <c r="AC88" s="6">
        <v>555053</v>
      </c>
      <c r="AE88" s="6">
        <v>592</v>
      </c>
      <c r="AG88" s="6">
        <v>0</v>
      </c>
      <c r="AI88" s="6">
        <v>344963</v>
      </c>
      <c r="AJ88" s="11" t="s">
        <v>752</v>
      </c>
      <c r="AK88" s="11"/>
      <c r="AL88" s="11" t="s">
        <v>52</v>
      </c>
      <c r="AN88" s="6">
        <v>268295</v>
      </c>
      <c r="AP88" s="6">
        <v>0</v>
      </c>
      <c r="AR88" s="6">
        <v>0</v>
      </c>
      <c r="AT88" s="6">
        <v>4659</v>
      </c>
      <c r="AV88" s="6">
        <v>3481</v>
      </c>
      <c r="AX88" s="6">
        <v>0</v>
      </c>
      <c r="AZ88" s="7">
        <f t="shared" ref="AZ88" si="17">SUM(E88:AX88)</f>
        <v>8461509</v>
      </c>
      <c r="BB88" s="6">
        <v>55537</v>
      </c>
      <c r="BD88" s="6">
        <v>0</v>
      </c>
      <c r="BF88" s="6">
        <v>0</v>
      </c>
      <c r="BH88" s="6">
        <v>0</v>
      </c>
      <c r="BJ88" s="7">
        <f t="shared" ref="BJ88:BJ154" si="18">AZ88+BB88+BH88</f>
        <v>8517046</v>
      </c>
      <c r="BL88" s="7">
        <f>'Gov Fd Rev'!AO88-'Gov Fd Exp'!BJ88</f>
        <v>-402288</v>
      </c>
      <c r="BN88" s="6">
        <v>820674</v>
      </c>
      <c r="BP88" s="6">
        <v>0</v>
      </c>
      <c r="BR88" s="6">
        <v>0</v>
      </c>
      <c r="BT88" s="7">
        <f t="shared" si="5"/>
        <v>418386</v>
      </c>
      <c r="BU88" s="7"/>
      <c r="BV88" s="7">
        <f>BT88-'Gov Fd BS'!AC88</f>
        <v>0</v>
      </c>
      <c r="BW88" s="7"/>
    </row>
    <row r="89" spans="1:75">
      <c r="A89" s="11" t="s">
        <v>319</v>
      </c>
      <c r="B89" s="11"/>
      <c r="C89" s="11" t="s">
        <v>31</v>
      </c>
      <c r="E89" s="6">
        <v>11232876</v>
      </c>
      <c r="G89" s="6">
        <v>2747783</v>
      </c>
      <c r="I89" s="6">
        <v>281498</v>
      </c>
      <c r="K89" s="6">
        <v>14117</v>
      </c>
      <c r="M89" s="6">
        <v>6851</v>
      </c>
      <c r="O89" s="6">
        <v>1208646</v>
      </c>
      <c r="Q89" s="6">
        <v>1337161</v>
      </c>
      <c r="S89" s="6">
        <v>90295</v>
      </c>
      <c r="U89" s="6">
        <v>1442408</v>
      </c>
      <c r="W89" s="6">
        <v>500405</v>
      </c>
      <c r="Y89" s="6">
        <v>34671</v>
      </c>
      <c r="AA89" s="6">
        <v>2176452</v>
      </c>
      <c r="AC89" s="6">
        <v>1246646</v>
      </c>
      <c r="AE89" s="6">
        <v>196551</v>
      </c>
      <c r="AG89" s="6">
        <v>939259</v>
      </c>
      <c r="AI89" s="6">
        <v>105711</v>
      </c>
      <c r="AJ89" s="11" t="s">
        <v>319</v>
      </c>
      <c r="AK89" s="11"/>
      <c r="AL89" s="11" t="s">
        <v>31</v>
      </c>
      <c r="AN89" s="6">
        <v>540521</v>
      </c>
      <c r="AP89" s="6">
        <v>24463</v>
      </c>
      <c r="AR89" s="6">
        <v>0</v>
      </c>
      <c r="AT89" s="6">
        <v>436228</v>
      </c>
      <c r="AV89" s="6">
        <v>212017</v>
      </c>
      <c r="AX89" s="6">
        <v>0</v>
      </c>
      <c r="AZ89" s="7">
        <f t="shared" ref="AZ89:AZ146" si="19">SUM(E89:AX89)</f>
        <v>24774559</v>
      </c>
      <c r="BB89" s="6">
        <v>1087164</v>
      </c>
      <c r="BD89" s="6">
        <v>0</v>
      </c>
      <c r="BF89" s="6">
        <v>0</v>
      </c>
      <c r="BH89" s="6">
        <v>0</v>
      </c>
      <c r="BJ89" s="7">
        <f t="shared" si="18"/>
        <v>25861723</v>
      </c>
      <c r="BL89" s="7">
        <f>'Gov Fd Rev'!AO89-'Gov Fd Exp'!BJ89</f>
        <v>506281</v>
      </c>
      <c r="BN89" s="6">
        <v>5145437</v>
      </c>
      <c r="BP89" s="6">
        <v>0</v>
      </c>
      <c r="BR89" s="6">
        <v>0</v>
      </c>
      <c r="BT89" s="7">
        <f t="shared" si="5"/>
        <v>5651718</v>
      </c>
      <c r="BU89" s="7"/>
      <c r="BV89" s="7">
        <f>BT89-'Gov Fd BS'!AC89</f>
        <v>0</v>
      </c>
      <c r="BW89" s="7"/>
    </row>
    <row r="90" spans="1:75">
      <c r="A90" s="11" t="s">
        <v>647</v>
      </c>
      <c r="B90" s="11"/>
      <c r="C90" s="11" t="s">
        <v>45</v>
      </c>
      <c r="E90" s="6">
        <v>6929729</v>
      </c>
      <c r="G90" s="6">
        <v>2201053</v>
      </c>
      <c r="I90" s="6">
        <v>233391</v>
      </c>
      <c r="K90" s="6">
        <v>0</v>
      </c>
      <c r="M90" s="6">
        <v>222049</v>
      </c>
      <c r="O90" s="6">
        <v>387643</v>
      </c>
      <c r="Q90" s="6">
        <v>596153</v>
      </c>
      <c r="S90" s="6">
        <v>20127</v>
      </c>
      <c r="U90" s="6">
        <v>855793</v>
      </c>
      <c r="W90" s="6">
        <v>297208</v>
      </c>
      <c r="Y90" s="6">
        <v>0</v>
      </c>
      <c r="AA90" s="6">
        <v>1789821</v>
      </c>
      <c r="AC90" s="6">
        <v>405699</v>
      </c>
      <c r="AE90" s="6">
        <v>0</v>
      </c>
      <c r="AG90" s="6">
        <v>617192</v>
      </c>
      <c r="AI90" s="6">
        <v>53041</v>
      </c>
      <c r="AJ90" s="11" t="s">
        <v>647</v>
      </c>
      <c r="AK90" s="11"/>
      <c r="AL90" s="11" t="s">
        <v>45</v>
      </c>
      <c r="AN90" s="6">
        <v>356979</v>
      </c>
      <c r="AP90" s="6">
        <v>26577</v>
      </c>
      <c r="AR90" s="6">
        <v>0</v>
      </c>
      <c r="AT90" s="6">
        <v>311000</v>
      </c>
      <c r="AV90" s="6">
        <v>150670</v>
      </c>
      <c r="AX90" s="6">
        <v>0</v>
      </c>
      <c r="AZ90" s="7">
        <f t="shared" si="19"/>
        <v>15454125</v>
      </c>
      <c r="BB90" s="6">
        <v>0</v>
      </c>
      <c r="BD90" s="6">
        <v>0</v>
      </c>
      <c r="BF90" s="6">
        <v>0</v>
      </c>
      <c r="BH90" s="6">
        <v>0</v>
      </c>
      <c r="BJ90" s="7">
        <f t="shared" si="18"/>
        <v>15454125</v>
      </c>
      <c r="BL90" s="7">
        <f>'Gov Fd Rev'!AO90-'Gov Fd Exp'!BJ90</f>
        <v>-186744</v>
      </c>
      <c r="BN90" s="6">
        <v>367835</v>
      </c>
      <c r="BP90" s="6">
        <v>0</v>
      </c>
      <c r="BR90" s="6">
        <v>0</v>
      </c>
      <c r="BT90" s="7">
        <f t="shared" ref="BT90:BT156" si="20">BL90+BN90+BP90+BR90</f>
        <v>181091</v>
      </c>
      <c r="BU90" s="7"/>
      <c r="BV90" s="7">
        <f>BT90-'Gov Fd BS'!AC90</f>
        <v>0</v>
      </c>
      <c r="BW90" s="7"/>
    </row>
    <row r="91" spans="1:75">
      <c r="A91" s="11" t="s">
        <v>300</v>
      </c>
      <c r="B91" s="11"/>
      <c r="C91" s="11" t="s">
        <v>27</v>
      </c>
      <c r="E91" s="6">
        <v>15131664</v>
      </c>
      <c r="G91" s="6">
        <v>3662751</v>
      </c>
      <c r="I91" s="6">
        <v>399043</v>
      </c>
      <c r="K91" s="6">
        <v>0</v>
      </c>
      <c r="M91" s="6">
        <v>315296</v>
      </c>
      <c r="O91" s="6">
        <v>1853681</v>
      </c>
      <c r="Q91" s="6">
        <v>1246547</v>
      </c>
      <c r="S91" s="6">
        <v>148401</v>
      </c>
      <c r="U91" s="6">
        <v>2720670</v>
      </c>
      <c r="W91" s="6">
        <v>896941</v>
      </c>
      <c r="Y91" s="6">
        <v>0</v>
      </c>
      <c r="AA91" s="6">
        <v>3973373</v>
      </c>
      <c r="AC91" s="6">
        <v>2515817</v>
      </c>
      <c r="AE91" s="6">
        <v>263352</v>
      </c>
      <c r="AG91" s="6">
        <v>1149568</v>
      </c>
      <c r="AI91" s="6">
        <v>219495</v>
      </c>
      <c r="AJ91" s="11" t="s">
        <v>300</v>
      </c>
      <c r="AK91" s="11"/>
      <c r="AL91" s="11" t="s">
        <v>27</v>
      </c>
      <c r="AN91" s="6">
        <v>827321</v>
      </c>
      <c r="AP91" s="6">
        <v>1318446</v>
      </c>
      <c r="AR91" s="6">
        <v>0</v>
      </c>
      <c r="AT91" s="6">
        <v>3988978</v>
      </c>
      <c r="AV91" s="6">
        <f>2630277+143215</f>
        <v>2773492</v>
      </c>
      <c r="AX91" s="6">
        <v>0</v>
      </c>
      <c r="AZ91" s="7">
        <f t="shared" si="19"/>
        <v>43404836</v>
      </c>
      <c r="BB91" s="6">
        <v>34200</v>
      </c>
      <c r="BD91" s="6">
        <v>0</v>
      </c>
      <c r="BF91" s="6">
        <v>0</v>
      </c>
      <c r="BH91" s="6">
        <v>0</v>
      </c>
      <c r="BJ91" s="7">
        <f t="shared" si="18"/>
        <v>43439036</v>
      </c>
      <c r="BL91" s="7">
        <f>'Gov Fd Rev'!AO91-'Gov Fd Exp'!BJ91</f>
        <v>3846898</v>
      </c>
      <c r="BN91" s="6">
        <v>11316119</v>
      </c>
      <c r="BP91" s="6">
        <v>0</v>
      </c>
      <c r="BR91" s="6">
        <v>0</v>
      </c>
      <c r="BT91" s="7">
        <f t="shared" si="20"/>
        <v>15163017</v>
      </c>
      <c r="BU91" s="7"/>
      <c r="BV91" s="7">
        <f>BT91-'Gov Fd BS'!AC91</f>
        <v>0</v>
      </c>
      <c r="BW91" s="7"/>
    </row>
    <row r="92" spans="1:75">
      <c r="A92" s="11" t="s">
        <v>403</v>
      </c>
      <c r="B92" s="11"/>
      <c r="C92" s="11" t="s">
        <v>45</v>
      </c>
      <c r="E92" s="6">
        <v>13642935</v>
      </c>
      <c r="G92" s="6">
        <v>2163261</v>
      </c>
      <c r="I92" s="6">
        <v>295694</v>
      </c>
      <c r="K92" s="6">
        <v>0</v>
      </c>
      <c r="M92" s="6">
        <v>0</v>
      </c>
      <c r="O92" s="6">
        <v>1275878</v>
      </c>
      <c r="Q92" s="6">
        <v>1282342</v>
      </c>
      <c r="S92" s="6">
        <v>36668</v>
      </c>
      <c r="U92" s="6">
        <v>1551748</v>
      </c>
      <c r="W92" s="6">
        <v>591673</v>
      </c>
      <c r="Y92" s="6">
        <v>203139</v>
      </c>
      <c r="AA92" s="6">
        <v>1952055</v>
      </c>
      <c r="AC92" s="6">
        <v>1677486</v>
      </c>
      <c r="AE92" s="6">
        <v>118673</v>
      </c>
      <c r="AG92" s="6">
        <v>950213</v>
      </c>
      <c r="AI92" s="6">
        <v>30863</v>
      </c>
      <c r="AJ92" s="11" t="s">
        <v>403</v>
      </c>
      <c r="AK92" s="11"/>
      <c r="AL92" s="11" t="s">
        <v>45</v>
      </c>
      <c r="AN92" s="6">
        <v>797254</v>
      </c>
      <c r="AP92" s="6">
        <v>168958</v>
      </c>
      <c r="AR92" s="6">
        <v>0</v>
      </c>
      <c r="AT92" s="6">
        <v>2313185</v>
      </c>
      <c r="AV92" s="6">
        <v>45582</v>
      </c>
      <c r="AX92" s="6">
        <v>0</v>
      </c>
      <c r="AZ92" s="7">
        <f t="shared" si="19"/>
        <v>29097607</v>
      </c>
      <c r="BB92" s="6">
        <v>85000</v>
      </c>
      <c r="BD92" s="6">
        <v>0</v>
      </c>
      <c r="BF92" s="6">
        <v>0</v>
      </c>
      <c r="BH92" s="6">
        <v>0</v>
      </c>
      <c r="BJ92" s="7">
        <f t="shared" si="18"/>
        <v>29182607</v>
      </c>
      <c r="BL92" s="7">
        <f>'Gov Fd Rev'!AO92-'Gov Fd Exp'!BJ92</f>
        <v>-570211</v>
      </c>
      <c r="BN92" s="6">
        <v>6834250</v>
      </c>
      <c r="BP92" s="6">
        <v>0</v>
      </c>
      <c r="BR92" s="6">
        <v>0</v>
      </c>
      <c r="BT92" s="7">
        <f t="shared" si="20"/>
        <v>6264039</v>
      </c>
      <c r="BU92" s="7"/>
      <c r="BV92" s="7">
        <f>BT92-'Gov Fd BS'!AC92</f>
        <v>0</v>
      </c>
      <c r="BW92" s="7"/>
    </row>
    <row r="93" spans="1:75">
      <c r="A93" s="11" t="s">
        <v>494</v>
      </c>
      <c r="B93" s="11"/>
      <c r="C93" s="11" t="s">
        <v>62</v>
      </c>
      <c r="E93" s="6">
        <v>41326000</v>
      </c>
      <c r="G93" s="6">
        <v>16104000</v>
      </c>
      <c r="I93" s="6">
        <v>2336000</v>
      </c>
      <c r="K93" s="6">
        <v>1529000</v>
      </c>
      <c r="M93" s="6">
        <v>12157000</v>
      </c>
      <c r="O93" s="6">
        <v>6864000</v>
      </c>
      <c r="Q93" s="6">
        <v>7050000</v>
      </c>
      <c r="S93" s="6">
        <v>35000</v>
      </c>
      <c r="U93" s="6">
        <v>8342000</v>
      </c>
      <c r="W93" s="6">
        <v>1808000</v>
      </c>
      <c r="Y93" s="6">
        <v>493000</v>
      </c>
      <c r="AA93" s="6">
        <v>10802000</v>
      </c>
      <c r="AC93" s="6">
        <v>4021000</v>
      </c>
      <c r="AE93" s="6">
        <v>3372000</v>
      </c>
      <c r="AG93" s="6">
        <v>4097000</v>
      </c>
      <c r="AI93" s="6">
        <v>1445000</v>
      </c>
      <c r="AJ93" s="11" t="s">
        <v>494</v>
      </c>
      <c r="AK93" s="11"/>
      <c r="AL93" s="11" t="s">
        <v>62</v>
      </c>
      <c r="AN93" s="6">
        <v>2223000</v>
      </c>
      <c r="AP93" s="6">
        <v>2393000</v>
      </c>
      <c r="AR93" s="6">
        <v>0</v>
      </c>
      <c r="AT93" s="6">
        <v>1570000</v>
      </c>
      <c r="AV93" s="6">
        <v>1693000</v>
      </c>
      <c r="AX93" s="6">
        <v>0</v>
      </c>
      <c r="AZ93" s="7">
        <f>SUM(E93:AX93)</f>
        <v>129660000</v>
      </c>
      <c r="BB93" s="6">
        <v>1391000</v>
      </c>
      <c r="BD93" s="6">
        <v>0</v>
      </c>
      <c r="BF93" s="6">
        <v>0</v>
      </c>
      <c r="BH93" s="6">
        <v>0</v>
      </c>
      <c r="BJ93" s="7">
        <f t="shared" si="18"/>
        <v>131051000</v>
      </c>
      <c r="BL93" s="7">
        <f>'Gov Fd Rev'!AO93-'Gov Fd Exp'!BJ93</f>
        <v>3881000</v>
      </c>
      <c r="BN93" s="6">
        <v>32279000</v>
      </c>
      <c r="BP93" s="6">
        <v>355000</v>
      </c>
      <c r="BR93" s="6">
        <v>0</v>
      </c>
      <c r="BT93" s="7">
        <f t="shared" si="20"/>
        <v>36515000</v>
      </c>
      <c r="BU93" s="7"/>
      <c r="BV93" s="7">
        <f>BT93-'Gov Fd BS'!AC93</f>
        <v>0</v>
      </c>
      <c r="BW93" s="7"/>
    </row>
    <row r="94" spans="1:75">
      <c r="A94" s="11" t="s">
        <v>495</v>
      </c>
      <c r="B94" s="11"/>
      <c r="C94" s="11" t="s">
        <v>62</v>
      </c>
      <c r="E94" s="6">
        <v>9425847</v>
      </c>
      <c r="G94" s="6">
        <v>2575901</v>
      </c>
      <c r="I94" s="6">
        <v>1438196</v>
      </c>
      <c r="K94" s="6">
        <v>4460</v>
      </c>
      <c r="M94" s="6">
        <v>663626</v>
      </c>
      <c r="O94" s="6">
        <v>1213822</v>
      </c>
      <c r="Q94" s="6">
        <v>950084</v>
      </c>
      <c r="S94" s="6">
        <v>41651</v>
      </c>
      <c r="U94" s="6">
        <v>1731744</v>
      </c>
      <c r="W94" s="6">
        <v>367757</v>
      </c>
      <c r="Y94" s="6">
        <v>286878</v>
      </c>
      <c r="AA94" s="6">
        <v>2366632</v>
      </c>
      <c r="AC94" s="6">
        <v>1008074</v>
      </c>
      <c r="AE94" s="6">
        <v>331587</v>
      </c>
      <c r="AG94" s="6">
        <v>1094823</v>
      </c>
      <c r="AI94" s="6">
        <v>33038</v>
      </c>
      <c r="AJ94" s="11" t="s">
        <v>495</v>
      </c>
      <c r="AK94" s="11"/>
      <c r="AL94" s="11" t="s">
        <v>62</v>
      </c>
      <c r="AN94" s="6">
        <v>737693</v>
      </c>
      <c r="AP94" s="6">
        <f>769086+1188435</f>
        <v>1957521</v>
      </c>
      <c r="AR94" s="6">
        <v>0</v>
      </c>
      <c r="AT94" s="6">
        <v>256849</v>
      </c>
      <c r="AV94" s="6">
        <v>65359</v>
      </c>
      <c r="AX94" s="6">
        <v>0</v>
      </c>
      <c r="AZ94" s="7">
        <f t="shared" ref="AZ94" si="21">SUM(E94:AX94)</f>
        <v>26551542</v>
      </c>
      <c r="BB94" s="6">
        <v>0</v>
      </c>
      <c r="BD94" s="6">
        <v>0</v>
      </c>
      <c r="BF94" s="6">
        <v>0</v>
      </c>
      <c r="BH94" s="6">
        <v>0</v>
      </c>
      <c r="BJ94" s="7">
        <f t="shared" si="18"/>
        <v>26551542</v>
      </c>
      <c r="BL94" s="7">
        <f>'Gov Fd Rev'!AO94-'Gov Fd Exp'!BJ94</f>
        <v>445567</v>
      </c>
      <c r="BN94" s="6">
        <v>-85642</v>
      </c>
      <c r="BP94" s="6">
        <v>0</v>
      </c>
      <c r="BR94" s="6">
        <v>0</v>
      </c>
      <c r="BT94" s="7">
        <f t="shared" si="20"/>
        <v>359925</v>
      </c>
      <c r="BU94" s="7"/>
      <c r="BV94" s="7">
        <f>BT94-'Gov Fd BS'!AC94</f>
        <v>0</v>
      </c>
      <c r="BW94" s="7"/>
    </row>
    <row r="95" spans="1:75">
      <c r="A95" s="11" t="s">
        <v>648</v>
      </c>
      <c r="B95" s="11"/>
      <c r="C95" s="11" t="s">
        <v>30</v>
      </c>
      <c r="E95" s="6">
        <v>5847322</v>
      </c>
      <c r="G95" s="6">
        <v>3831526</v>
      </c>
      <c r="I95" s="6">
        <v>0</v>
      </c>
      <c r="K95" s="6">
        <v>0</v>
      </c>
      <c r="M95" s="6">
        <v>0</v>
      </c>
      <c r="O95" s="6">
        <v>418510</v>
      </c>
      <c r="Q95" s="6">
        <v>549480</v>
      </c>
      <c r="S95" s="6">
        <v>27158</v>
      </c>
      <c r="U95" s="6">
        <v>1083572</v>
      </c>
      <c r="W95" s="6">
        <v>412996</v>
      </c>
      <c r="Y95" s="6">
        <v>69061</v>
      </c>
      <c r="AA95" s="6">
        <v>1187136</v>
      </c>
      <c r="AC95" s="6">
        <v>1355102</v>
      </c>
      <c r="AE95" s="6">
        <v>256289</v>
      </c>
      <c r="AG95" s="6">
        <v>540558</v>
      </c>
      <c r="AI95" s="6">
        <v>6614</v>
      </c>
      <c r="AJ95" s="11" t="s">
        <v>648</v>
      </c>
      <c r="AK95" s="11"/>
      <c r="AL95" s="11" t="s">
        <v>30</v>
      </c>
      <c r="AN95" s="6">
        <v>320188</v>
      </c>
      <c r="AP95" s="6">
        <v>270192</v>
      </c>
      <c r="AR95" s="6">
        <v>0</v>
      </c>
      <c r="AT95" s="6">
        <v>655000</v>
      </c>
      <c r="AV95" s="6">
        <v>365532</v>
      </c>
      <c r="AX95" s="6">
        <v>0</v>
      </c>
      <c r="AZ95" s="7">
        <f t="shared" si="19"/>
        <v>17196236</v>
      </c>
      <c r="BB95" s="6">
        <v>128500</v>
      </c>
      <c r="BD95" s="6">
        <v>0</v>
      </c>
      <c r="BF95" s="6">
        <v>0</v>
      </c>
      <c r="BH95" s="6">
        <v>0</v>
      </c>
      <c r="BJ95" s="7">
        <f t="shared" si="18"/>
        <v>17324736</v>
      </c>
      <c r="BL95" s="7">
        <f>'Gov Fd Rev'!AO95-'Gov Fd Exp'!BJ95</f>
        <v>-320045</v>
      </c>
      <c r="BN95" s="6">
        <v>1928165</v>
      </c>
      <c r="BP95" s="6">
        <v>0</v>
      </c>
      <c r="BR95" s="6">
        <v>0</v>
      </c>
      <c r="BT95" s="7">
        <f t="shared" si="20"/>
        <v>1608120</v>
      </c>
      <c r="BU95" s="7"/>
      <c r="BV95" s="7">
        <f>BT95-'Gov Fd BS'!AC95</f>
        <v>0</v>
      </c>
      <c r="BW95" s="7"/>
    </row>
    <row r="96" spans="1:75">
      <c r="A96" s="11" t="s">
        <v>441</v>
      </c>
      <c r="B96" s="11"/>
      <c r="C96" s="11" t="s">
        <v>78</v>
      </c>
      <c r="E96" s="6">
        <v>4546503</v>
      </c>
      <c r="G96" s="6">
        <v>1382243</v>
      </c>
      <c r="I96" s="6">
        <v>224504</v>
      </c>
      <c r="K96" s="6">
        <v>0</v>
      </c>
      <c r="M96" s="6">
        <v>1632626</v>
      </c>
      <c r="O96" s="6">
        <v>295598</v>
      </c>
      <c r="Q96" s="6">
        <v>383157</v>
      </c>
      <c r="S96" s="6">
        <v>18758</v>
      </c>
      <c r="U96" s="6">
        <v>948631</v>
      </c>
      <c r="W96" s="6">
        <v>241009</v>
      </c>
      <c r="Y96" s="6">
        <v>0</v>
      </c>
      <c r="AA96" s="6">
        <v>1251356</v>
      </c>
      <c r="AC96" s="6">
        <v>610015</v>
      </c>
      <c r="AE96" s="6">
        <v>29950</v>
      </c>
      <c r="AG96" s="6">
        <v>458047</v>
      </c>
      <c r="AI96" s="6">
        <v>3515</v>
      </c>
      <c r="AJ96" s="11" t="s">
        <v>441</v>
      </c>
      <c r="AK96" s="11"/>
      <c r="AL96" s="11" t="s">
        <v>78</v>
      </c>
      <c r="AN96" s="6">
        <v>235664</v>
      </c>
      <c r="AP96" s="6">
        <v>0</v>
      </c>
      <c r="AR96" s="6">
        <v>0</v>
      </c>
      <c r="AT96" s="6">
        <v>370000</v>
      </c>
      <c r="AV96" s="6">
        <v>152985</v>
      </c>
      <c r="AX96" s="6">
        <v>0</v>
      </c>
      <c r="AZ96" s="7">
        <f t="shared" si="19"/>
        <v>12784561</v>
      </c>
      <c r="BB96" s="6">
        <v>0</v>
      </c>
      <c r="BD96" s="6">
        <v>0</v>
      </c>
      <c r="BF96" s="6">
        <v>0</v>
      </c>
      <c r="BH96" s="6">
        <v>0</v>
      </c>
      <c r="BJ96" s="7">
        <f t="shared" si="18"/>
        <v>12784561</v>
      </c>
      <c r="BL96" s="7">
        <f>'Gov Fd Rev'!AO96-'Gov Fd Exp'!BJ96</f>
        <v>-859736</v>
      </c>
      <c r="BN96" s="6">
        <v>2067568</v>
      </c>
      <c r="BP96" s="6">
        <v>0</v>
      </c>
      <c r="BR96" s="6">
        <v>0</v>
      </c>
      <c r="BT96" s="7">
        <f t="shared" si="20"/>
        <v>1207832</v>
      </c>
      <c r="BU96" s="7"/>
      <c r="BV96" s="7">
        <f>BT96-'Gov Fd BS'!AC96</f>
        <v>0</v>
      </c>
      <c r="BW96" s="7"/>
    </row>
    <row r="97" spans="1:75" hidden="1">
      <c r="A97" s="11" t="s">
        <v>867</v>
      </c>
      <c r="B97" s="11"/>
      <c r="C97" s="11" t="s">
        <v>558</v>
      </c>
      <c r="AJ97" s="11" t="s">
        <v>867</v>
      </c>
      <c r="AK97" s="11"/>
      <c r="AL97" s="11" t="s">
        <v>558</v>
      </c>
      <c r="AZ97" s="7">
        <f t="shared" si="19"/>
        <v>0</v>
      </c>
      <c r="BD97" s="6">
        <v>0</v>
      </c>
      <c r="BF97" s="6">
        <v>0</v>
      </c>
      <c r="BJ97" s="7">
        <f t="shared" si="18"/>
        <v>0</v>
      </c>
      <c r="BL97" s="7">
        <f>'Gov Fd Rev'!AO97-'Gov Fd Exp'!BJ97</f>
        <v>0</v>
      </c>
      <c r="BR97" s="6">
        <v>0</v>
      </c>
      <c r="BT97" s="7">
        <f t="shared" si="20"/>
        <v>0</v>
      </c>
      <c r="BU97" s="7"/>
      <c r="BV97" s="7">
        <f>BT97-'Gov Fd BS'!AC97</f>
        <v>0</v>
      </c>
      <c r="BW97" s="7"/>
    </row>
    <row r="98" spans="1:75">
      <c r="A98" s="11" t="s">
        <v>543</v>
      </c>
      <c r="B98" s="11"/>
      <c r="C98" s="11" t="s">
        <v>69</v>
      </c>
      <c r="E98" s="6">
        <v>8135876</v>
      </c>
      <c r="G98" s="6">
        <v>2204001</v>
      </c>
      <c r="I98" s="6">
        <v>218227</v>
      </c>
      <c r="K98" s="6">
        <v>0</v>
      </c>
      <c r="M98" s="6">
        <v>84706</v>
      </c>
      <c r="O98" s="6">
        <v>755808</v>
      </c>
      <c r="Q98" s="6">
        <v>994741</v>
      </c>
      <c r="S98" s="6">
        <v>32635</v>
      </c>
      <c r="U98" s="6">
        <v>991940</v>
      </c>
      <c r="W98" s="6">
        <v>618486</v>
      </c>
      <c r="Y98" s="6">
        <v>15403</v>
      </c>
      <c r="AA98" s="6">
        <v>1258654</v>
      </c>
      <c r="AC98" s="6">
        <v>899085</v>
      </c>
      <c r="AE98" s="6">
        <v>46495</v>
      </c>
      <c r="AG98" s="6">
        <v>0</v>
      </c>
      <c r="AI98" s="6">
        <v>637634</v>
      </c>
      <c r="AJ98" s="11" t="s">
        <v>543</v>
      </c>
      <c r="AK98" s="11"/>
      <c r="AL98" s="11" t="s">
        <v>69</v>
      </c>
      <c r="AN98" s="6">
        <v>565661</v>
      </c>
      <c r="AP98" s="6">
        <v>0</v>
      </c>
      <c r="AR98" s="6">
        <v>0</v>
      </c>
      <c r="AT98" s="6">
        <v>81331</v>
      </c>
      <c r="AV98" s="6">
        <v>8166</v>
      </c>
      <c r="AX98" s="6">
        <v>0</v>
      </c>
      <c r="AZ98" s="7">
        <f t="shared" si="19"/>
        <v>17548849</v>
      </c>
      <c r="BB98" s="6">
        <v>0</v>
      </c>
      <c r="BD98" s="6">
        <v>0</v>
      </c>
      <c r="BF98" s="6">
        <v>0</v>
      </c>
      <c r="BH98" s="6">
        <v>0</v>
      </c>
      <c r="BJ98" s="7">
        <f t="shared" si="18"/>
        <v>17548849</v>
      </c>
      <c r="BL98" s="7">
        <f>'Gov Fd Rev'!AO98-'Gov Fd Exp'!BJ98</f>
        <v>-918649</v>
      </c>
      <c r="BN98" s="6">
        <v>299859</v>
      </c>
      <c r="BP98" s="6">
        <v>0</v>
      </c>
      <c r="BR98" s="6">
        <v>0</v>
      </c>
      <c r="BT98" s="7">
        <f t="shared" si="20"/>
        <v>-618790</v>
      </c>
      <c r="BU98" s="7"/>
      <c r="BV98" s="7">
        <f>BT98-'Gov Fd BS'!AC98</f>
        <v>0</v>
      </c>
      <c r="BW98" s="7"/>
    </row>
    <row r="99" spans="1:75" s="28" customFormat="1">
      <c r="A99" s="27" t="s">
        <v>753</v>
      </c>
      <c r="B99" s="27"/>
      <c r="C99" s="27" t="s">
        <v>16</v>
      </c>
      <c r="E99" s="28">
        <v>9346939</v>
      </c>
      <c r="G99" s="28">
        <v>2026619</v>
      </c>
      <c r="I99" s="28">
        <v>279188</v>
      </c>
      <c r="K99" s="28">
        <v>0</v>
      </c>
      <c r="M99" s="28">
        <f>19072+348975</f>
        <v>368047</v>
      </c>
      <c r="O99" s="28">
        <v>1424542</v>
      </c>
      <c r="Q99" s="28">
        <v>931304</v>
      </c>
      <c r="S99" s="28">
        <v>23793</v>
      </c>
      <c r="U99" s="28">
        <v>1631113</v>
      </c>
      <c r="W99" s="28">
        <v>631190</v>
      </c>
      <c r="Y99" s="28">
        <v>55150</v>
      </c>
      <c r="AA99" s="28">
        <v>2412130</v>
      </c>
      <c r="AC99" s="28">
        <v>1663894</v>
      </c>
      <c r="AE99" s="28">
        <v>42818</v>
      </c>
      <c r="AG99" s="28">
        <v>689878</v>
      </c>
      <c r="AI99" s="28">
        <v>66209</v>
      </c>
      <c r="AJ99" s="27" t="s">
        <v>753</v>
      </c>
      <c r="AK99" s="27"/>
      <c r="AL99" s="27" t="s">
        <v>16</v>
      </c>
      <c r="AN99" s="28">
        <v>561635</v>
      </c>
      <c r="AP99" s="28">
        <v>142369</v>
      </c>
      <c r="AR99" s="28">
        <v>0</v>
      </c>
      <c r="AT99" s="28">
        <v>0</v>
      </c>
      <c r="AV99" s="28">
        <v>0</v>
      </c>
      <c r="AX99" s="28">
        <v>0</v>
      </c>
      <c r="AZ99" s="32">
        <f t="shared" si="19"/>
        <v>22296818</v>
      </c>
      <c r="BB99" s="28">
        <v>125902</v>
      </c>
      <c r="BD99" s="28">
        <v>0</v>
      </c>
      <c r="BF99" s="28">
        <v>0</v>
      </c>
      <c r="BH99" s="28">
        <v>0</v>
      </c>
      <c r="BJ99" s="32">
        <f t="shared" si="18"/>
        <v>22422720</v>
      </c>
      <c r="BL99" s="32">
        <f>'Gov Fd Rev'!AO99-'Gov Fd Exp'!BJ99</f>
        <v>-1030385</v>
      </c>
      <c r="BN99" s="28">
        <v>5589208</v>
      </c>
      <c r="BP99" s="28">
        <v>0</v>
      </c>
      <c r="BR99" s="28">
        <v>0</v>
      </c>
      <c r="BT99" s="32">
        <f t="shared" si="20"/>
        <v>4558823</v>
      </c>
      <c r="BU99" s="32"/>
      <c r="BV99" s="32">
        <f>BT99-'Gov Fd BS'!AC99</f>
        <v>0</v>
      </c>
      <c r="BW99" s="32"/>
    </row>
    <row r="100" spans="1:75">
      <c r="A100" s="11" t="s">
        <v>649</v>
      </c>
      <c r="B100" s="11"/>
      <c r="C100" s="11" t="s">
        <v>114</v>
      </c>
      <c r="E100" s="6">
        <v>2531723</v>
      </c>
      <c r="G100" s="6">
        <v>481007</v>
      </c>
      <c r="I100" s="6">
        <v>5535</v>
      </c>
      <c r="K100" s="6">
        <v>0</v>
      </c>
      <c r="M100" s="6">
        <f>5349+330887</f>
        <v>336236</v>
      </c>
      <c r="O100" s="6">
        <v>480539</v>
      </c>
      <c r="Q100" s="6">
        <v>391817</v>
      </c>
      <c r="S100" s="6">
        <v>34693</v>
      </c>
      <c r="U100" s="6">
        <v>662433</v>
      </c>
      <c r="W100" s="6">
        <v>334066</v>
      </c>
      <c r="Y100" s="6">
        <v>380</v>
      </c>
      <c r="AA100" s="6">
        <v>461031</v>
      </c>
      <c r="AC100" s="6">
        <v>197711</v>
      </c>
      <c r="AE100" s="6">
        <v>-2265</v>
      </c>
      <c r="AG100" s="6">
        <v>0</v>
      </c>
      <c r="AI100" s="6">
        <v>143401</v>
      </c>
      <c r="AJ100" s="11" t="s">
        <v>649</v>
      </c>
      <c r="AK100" s="11"/>
      <c r="AL100" s="11" t="s">
        <v>114</v>
      </c>
      <c r="AN100" s="6">
        <v>278311</v>
      </c>
      <c r="AP100" s="6">
        <v>13605354</v>
      </c>
      <c r="AR100" s="6">
        <v>0</v>
      </c>
      <c r="AT100" s="6">
        <v>70000</v>
      </c>
      <c r="AV100" s="6">
        <v>787244</v>
      </c>
      <c r="AX100" s="6">
        <v>0</v>
      </c>
      <c r="AZ100" s="7">
        <f t="shared" si="19"/>
        <v>20799216</v>
      </c>
      <c r="BB100" s="6">
        <v>0</v>
      </c>
      <c r="BD100" s="6">
        <v>0</v>
      </c>
      <c r="BF100" s="6">
        <v>0</v>
      </c>
      <c r="BH100" s="6">
        <v>0</v>
      </c>
      <c r="BJ100" s="7">
        <f t="shared" si="18"/>
        <v>20799216</v>
      </c>
      <c r="BL100" s="7">
        <f>'Gov Fd Rev'!AO100-'Gov Fd Exp'!BJ100</f>
        <v>-8710871</v>
      </c>
      <c r="BN100" s="6">
        <v>20505112</v>
      </c>
      <c r="BP100" s="6">
        <v>0</v>
      </c>
      <c r="BR100" s="6">
        <v>0</v>
      </c>
      <c r="BT100" s="7">
        <f t="shared" si="20"/>
        <v>11794241</v>
      </c>
      <c r="BU100" s="7"/>
      <c r="BV100" s="7">
        <f>BT100-'Gov Fd BS'!AC100</f>
        <v>0</v>
      </c>
      <c r="BW100" s="7"/>
    </row>
    <row r="101" spans="1:75" hidden="1">
      <c r="A101" s="11" t="s">
        <v>618</v>
      </c>
      <c r="B101" s="11"/>
      <c r="C101" s="11" t="s">
        <v>422</v>
      </c>
      <c r="AJ101" s="11" t="s">
        <v>618</v>
      </c>
      <c r="AK101" s="11"/>
      <c r="AL101" s="11" t="s">
        <v>422</v>
      </c>
      <c r="AZ101" s="7">
        <f t="shared" si="19"/>
        <v>0</v>
      </c>
      <c r="BD101" s="6">
        <v>0</v>
      </c>
      <c r="BF101" s="6">
        <v>0</v>
      </c>
      <c r="BJ101" s="7">
        <f t="shared" si="18"/>
        <v>0</v>
      </c>
      <c r="BL101" s="7">
        <f>'Gov Fd Rev'!AO101-'Gov Fd Exp'!BJ101</f>
        <v>0</v>
      </c>
      <c r="BR101" s="6">
        <v>0</v>
      </c>
      <c r="BT101" s="7">
        <f t="shared" si="20"/>
        <v>0</v>
      </c>
      <c r="BU101" s="7"/>
      <c r="BV101" s="7">
        <f>BT101-'Gov Fd BS'!AC101</f>
        <v>0</v>
      </c>
      <c r="BW101" s="7"/>
    </row>
    <row r="102" spans="1:75" hidden="1">
      <c r="A102" s="11" t="s">
        <v>868</v>
      </c>
      <c r="B102" s="11"/>
      <c r="C102" s="11" t="s">
        <v>40</v>
      </c>
      <c r="E102" s="6">
        <v>0</v>
      </c>
      <c r="G102" s="6">
        <v>0</v>
      </c>
      <c r="I102" s="6">
        <v>0</v>
      </c>
      <c r="K102" s="6">
        <v>0</v>
      </c>
      <c r="M102" s="6">
        <v>0</v>
      </c>
      <c r="O102" s="6">
        <v>0</v>
      </c>
      <c r="Q102" s="6">
        <v>0</v>
      </c>
      <c r="S102" s="6">
        <v>0</v>
      </c>
      <c r="U102" s="6">
        <v>0</v>
      </c>
      <c r="W102" s="6">
        <v>0</v>
      </c>
      <c r="Y102" s="6">
        <v>0</v>
      </c>
      <c r="AA102" s="6">
        <v>0</v>
      </c>
      <c r="AC102" s="6">
        <v>0</v>
      </c>
      <c r="AE102" s="6">
        <v>0</v>
      </c>
      <c r="AG102" s="6">
        <v>0</v>
      </c>
      <c r="AI102" s="6">
        <v>0</v>
      </c>
      <c r="AJ102" s="11" t="s">
        <v>868</v>
      </c>
      <c r="AK102" s="11"/>
      <c r="AL102" s="11" t="s">
        <v>40</v>
      </c>
      <c r="AN102" s="6">
        <v>0</v>
      </c>
      <c r="AP102" s="6">
        <v>0</v>
      </c>
      <c r="AR102" s="6">
        <v>0</v>
      </c>
      <c r="AT102" s="6">
        <v>0</v>
      </c>
      <c r="AV102" s="6">
        <v>0</v>
      </c>
      <c r="AX102" s="6">
        <v>0</v>
      </c>
      <c r="AZ102" s="7">
        <f t="shared" si="19"/>
        <v>0</v>
      </c>
      <c r="BB102" s="6">
        <v>0</v>
      </c>
      <c r="BD102" s="6">
        <v>0</v>
      </c>
      <c r="BF102" s="6">
        <v>0</v>
      </c>
      <c r="BH102" s="6">
        <v>0</v>
      </c>
      <c r="BJ102" s="7">
        <f t="shared" si="18"/>
        <v>0</v>
      </c>
      <c r="BL102" s="7">
        <f>'Gov Fd Rev'!AO102-'Gov Fd Exp'!BJ102</f>
        <v>0</v>
      </c>
      <c r="BP102" s="6">
        <v>0</v>
      </c>
      <c r="BR102" s="6">
        <v>0</v>
      </c>
      <c r="BT102" s="7">
        <f t="shared" si="20"/>
        <v>0</v>
      </c>
      <c r="BU102" s="7"/>
      <c r="BV102" s="7">
        <f>BT102-'Gov Fd BS'!AC102</f>
        <v>0</v>
      </c>
      <c r="BW102" s="7"/>
    </row>
    <row r="103" spans="1:75">
      <c r="A103" s="11" t="s">
        <v>650</v>
      </c>
      <c r="B103" s="11"/>
      <c r="C103" s="11" t="s">
        <v>50</v>
      </c>
      <c r="E103" s="6">
        <v>40136788</v>
      </c>
      <c r="G103" s="6">
        <v>9478539</v>
      </c>
      <c r="I103" s="6">
        <v>2699808</v>
      </c>
      <c r="K103" s="6">
        <v>0</v>
      </c>
      <c r="M103" s="6">
        <v>1067118</v>
      </c>
      <c r="O103" s="6">
        <v>4846446</v>
      </c>
      <c r="Q103" s="6">
        <v>6892354</v>
      </c>
      <c r="S103" s="6">
        <v>21396</v>
      </c>
      <c r="U103" s="6">
        <v>4988421</v>
      </c>
      <c r="W103" s="6">
        <v>1582201</v>
      </c>
      <c r="Y103" s="6">
        <v>540334</v>
      </c>
      <c r="AA103" s="6">
        <v>6164381</v>
      </c>
      <c r="AC103" s="6">
        <v>7534125</v>
      </c>
      <c r="AE103" s="6">
        <v>57117</v>
      </c>
      <c r="AG103" s="6">
        <v>0</v>
      </c>
      <c r="AI103" s="6">
        <v>3715033</v>
      </c>
      <c r="AJ103" s="11" t="s">
        <v>650</v>
      </c>
      <c r="AK103" s="11"/>
      <c r="AL103" s="11" t="s">
        <v>50</v>
      </c>
      <c r="AN103" s="6">
        <v>778288</v>
      </c>
      <c r="AP103" s="6">
        <v>3315960</v>
      </c>
      <c r="AR103" s="6">
        <v>0</v>
      </c>
      <c r="AT103" s="6">
        <v>3715000</v>
      </c>
      <c r="AV103" s="6">
        <v>2826001</v>
      </c>
      <c r="AX103" s="6">
        <v>0</v>
      </c>
      <c r="AZ103" s="7">
        <f t="shared" si="19"/>
        <v>100359310</v>
      </c>
      <c r="BB103" s="6">
        <v>132431</v>
      </c>
      <c r="BD103" s="6">
        <v>0</v>
      </c>
      <c r="BF103" s="6">
        <v>0</v>
      </c>
      <c r="BH103" s="6">
        <v>0</v>
      </c>
      <c r="BJ103" s="7">
        <f t="shared" si="18"/>
        <v>100491741</v>
      </c>
      <c r="BL103" s="7">
        <f>'Gov Fd Rev'!AO103-'Gov Fd Exp'!BJ103</f>
        <v>1399751</v>
      </c>
      <c r="BN103" s="6">
        <v>31508518</v>
      </c>
      <c r="BP103" s="6">
        <v>0</v>
      </c>
      <c r="BR103" s="6">
        <v>0</v>
      </c>
      <c r="BT103" s="7">
        <f t="shared" si="20"/>
        <v>32908269</v>
      </c>
      <c r="BU103" s="7"/>
      <c r="BV103" s="7">
        <f>BT103-'Gov Fd BS'!AC103</f>
        <v>0</v>
      </c>
      <c r="BW103" s="7"/>
    </row>
    <row r="104" spans="1:75" hidden="1">
      <c r="A104" s="11" t="s">
        <v>736</v>
      </c>
      <c r="B104" s="11"/>
      <c r="C104" s="11" t="s">
        <v>22</v>
      </c>
      <c r="AJ104" s="11" t="s">
        <v>736</v>
      </c>
      <c r="AK104" s="11"/>
      <c r="AL104" s="11" t="s">
        <v>22</v>
      </c>
      <c r="AZ104" s="7">
        <f t="shared" si="19"/>
        <v>0</v>
      </c>
      <c r="BD104" s="6">
        <v>0</v>
      </c>
      <c r="BF104" s="6">
        <v>0</v>
      </c>
      <c r="BJ104" s="7">
        <f t="shared" si="18"/>
        <v>0</v>
      </c>
      <c r="BL104" s="7">
        <f>'Gov Fd Rev'!AO104-'Gov Fd Exp'!BJ104</f>
        <v>0</v>
      </c>
      <c r="BR104" s="6">
        <v>0</v>
      </c>
      <c r="BT104" s="7">
        <f t="shared" si="20"/>
        <v>0</v>
      </c>
      <c r="BU104" s="7"/>
      <c r="BV104" s="7">
        <f>BT104-'Gov Fd BS'!AC104</f>
        <v>0</v>
      </c>
      <c r="BW104" s="7"/>
    </row>
    <row r="105" spans="1:75">
      <c r="A105" s="11" t="s">
        <v>754</v>
      </c>
      <c r="B105" s="11"/>
      <c r="C105" s="11" t="s">
        <v>20</v>
      </c>
      <c r="E105" s="6">
        <v>12170595</v>
      </c>
      <c r="G105" s="6">
        <v>2406039</v>
      </c>
      <c r="I105" s="6">
        <v>657097</v>
      </c>
      <c r="K105" s="6">
        <v>0</v>
      </c>
      <c r="M105" s="6">
        <v>17778</v>
      </c>
      <c r="O105" s="6">
        <v>1240528</v>
      </c>
      <c r="Q105" s="6">
        <v>1421094</v>
      </c>
      <c r="S105" s="6">
        <v>79204</v>
      </c>
      <c r="U105" s="6">
        <v>2053193</v>
      </c>
      <c r="W105" s="6">
        <v>936094</v>
      </c>
      <c r="Y105" s="6">
        <v>400</v>
      </c>
      <c r="AA105" s="6">
        <v>2395654</v>
      </c>
      <c r="AC105" s="6">
        <v>1136568</v>
      </c>
      <c r="AE105" s="6">
        <v>15564</v>
      </c>
      <c r="AG105" s="6">
        <v>628225</v>
      </c>
      <c r="AI105" s="6">
        <v>126911</v>
      </c>
      <c r="AJ105" s="11" t="s">
        <v>754</v>
      </c>
      <c r="AK105" s="11"/>
      <c r="AL105" s="11" t="s">
        <v>20</v>
      </c>
      <c r="AN105" s="6">
        <v>887157</v>
      </c>
      <c r="AP105" s="6">
        <v>2807005</v>
      </c>
      <c r="AR105" s="6">
        <v>0</v>
      </c>
      <c r="AT105" s="6">
        <v>505974</v>
      </c>
      <c r="AV105" s="6">
        <f>1932860+32165</f>
        <v>1965025</v>
      </c>
      <c r="AX105" s="6">
        <v>0</v>
      </c>
      <c r="AZ105" s="7">
        <f t="shared" si="19"/>
        <v>31450105</v>
      </c>
      <c r="BB105" s="6">
        <v>495100</v>
      </c>
      <c r="BD105" s="6">
        <v>0</v>
      </c>
      <c r="BF105" s="6">
        <v>0</v>
      </c>
      <c r="BH105" s="6">
        <v>0</v>
      </c>
      <c r="BJ105" s="7">
        <f t="shared" si="18"/>
        <v>31945205</v>
      </c>
      <c r="BL105" s="7">
        <f>'Gov Fd Rev'!AO105-'Gov Fd Exp'!BJ105</f>
        <v>-1073786</v>
      </c>
      <c r="BN105" s="6">
        <v>11539038</v>
      </c>
      <c r="BP105" s="6">
        <v>0</v>
      </c>
      <c r="BR105" s="6">
        <v>0</v>
      </c>
      <c r="BT105" s="7">
        <f t="shared" si="20"/>
        <v>10465252</v>
      </c>
      <c r="BU105" s="7"/>
      <c r="BV105" s="7">
        <f>BT105-'Gov Fd BS'!AC105</f>
        <v>0</v>
      </c>
      <c r="BW105" s="7"/>
    </row>
    <row r="106" spans="1:75">
      <c r="A106" s="11" t="s">
        <v>520</v>
      </c>
      <c r="B106" s="11"/>
      <c r="C106" s="11" t="s">
        <v>64</v>
      </c>
      <c r="E106" s="6">
        <v>5417482</v>
      </c>
      <c r="G106" s="6">
        <v>1519831</v>
      </c>
      <c r="I106" s="6">
        <v>121910</v>
      </c>
      <c r="K106" s="6">
        <v>0</v>
      </c>
      <c r="M106" s="6">
        <v>462189</v>
      </c>
      <c r="O106" s="6">
        <v>564117</v>
      </c>
      <c r="Q106" s="6">
        <v>1040377</v>
      </c>
      <c r="S106" s="6">
        <v>30686</v>
      </c>
      <c r="U106" s="6">
        <v>1117646</v>
      </c>
      <c r="W106" s="6">
        <v>377063</v>
      </c>
      <c r="Y106" s="6">
        <v>0</v>
      </c>
      <c r="AA106" s="6">
        <v>1510972</v>
      </c>
      <c r="AC106" s="6">
        <v>806235</v>
      </c>
      <c r="AE106" s="6">
        <v>4013</v>
      </c>
      <c r="AG106" s="6">
        <v>460877</v>
      </c>
      <c r="AI106" s="6">
        <v>0</v>
      </c>
      <c r="AJ106" s="11" t="s">
        <v>520</v>
      </c>
      <c r="AK106" s="11"/>
      <c r="AL106" s="11" t="s">
        <v>64</v>
      </c>
      <c r="AN106" s="6">
        <v>459111</v>
      </c>
      <c r="AP106" s="6">
        <v>4890</v>
      </c>
      <c r="AR106" s="6">
        <v>0</v>
      </c>
      <c r="AT106" s="6">
        <v>237822</v>
      </c>
      <c r="AV106" s="6">
        <v>89551</v>
      </c>
      <c r="AX106" s="6">
        <v>0</v>
      </c>
      <c r="AZ106" s="7">
        <f t="shared" si="19"/>
        <v>14224772</v>
      </c>
      <c r="BB106" s="6">
        <v>55717</v>
      </c>
      <c r="BD106" s="6">
        <v>0</v>
      </c>
      <c r="BF106" s="6">
        <v>0</v>
      </c>
      <c r="BH106" s="6">
        <v>0</v>
      </c>
      <c r="BJ106" s="7">
        <f t="shared" si="18"/>
        <v>14280489</v>
      </c>
      <c r="BL106" s="7">
        <f>'Gov Fd Rev'!AO106-'Gov Fd Exp'!BJ106</f>
        <v>134563</v>
      </c>
      <c r="BN106" s="6">
        <v>-476468</v>
      </c>
      <c r="BP106" s="6">
        <v>3774</v>
      </c>
      <c r="BR106" s="6">
        <v>0</v>
      </c>
      <c r="BT106" s="7">
        <f t="shared" si="20"/>
        <v>-338131</v>
      </c>
      <c r="BU106" s="7"/>
      <c r="BV106" s="7">
        <f>BT106-'Gov Fd BS'!AC106</f>
        <v>0</v>
      </c>
      <c r="BW106" s="7"/>
    </row>
    <row r="107" spans="1:75" hidden="1">
      <c r="A107" s="11" t="s">
        <v>737</v>
      </c>
      <c r="B107" s="11"/>
      <c r="C107" s="11" t="s">
        <v>30</v>
      </c>
      <c r="AJ107" s="11" t="s">
        <v>737</v>
      </c>
      <c r="AK107" s="11"/>
      <c r="AL107" s="11" t="s">
        <v>30</v>
      </c>
      <c r="AZ107" s="7">
        <f t="shared" si="19"/>
        <v>0</v>
      </c>
      <c r="BD107" s="6">
        <v>0</v>
      </c>
      <c r="BF107" s="6">
        <v>0</v>
      </c>
      <c r="BJ107" s="7">
        <f t="shared" si="18"/>
        <v>0</v>
      </c>
      <c r="BL107" s="7">
        <f>'Gov Fd Rev'!AO107-'Gov Fd Exp'!BJ107</f>
        <v>0</v>
      </c>
      <c r="BR107" s="6">
        <v>0</v>
      </c>
      <c r="BT107" s="7">
        <f t="shared" si="20"/>
        <v>0</v>
      </c>
      <c r="BU107" s="7"/>
      <c r="BV107" s="7">
        <f>BT107-'Gov Fd BS'!AC107</f>
        <v>0</v>
      </c>
      <c r="BW107" s="7"/>
    </row>
    <row r="108" spans="1:75">
      <c r="A108" s="11" t="s">
        <v>755</v>
      </c>
      <c r="B108" s="11"/>
      <c r="C108" s="11" t="s">
        <v>366</v>
      </c>
      <c r="E108" s="6">
        <v>6421291</v>
      </c>
      <c r="G108" s="6">
        <v>1138428</v>
      </c>
      <c r="I108" s="6">
        <v>0</v>
      </c>
      <c r="K108" s="6">
        <v>0</v>
      </c>
      <c r="M108" s="6">
        <v>431650</v>
      </c>
      <c r="O108" s="6">
        <v>531243</v>
      </c>
      <c r="Q108" s="6">
        <v>704664</v>
      </c>
      <c r="S108" s="6">
        <v>74339</v>
      </c>
      <c r="U108" s="6">
        <v>1069092</v>
      </c>
      <c r="W108" s="6">
        <v>308004</v>
      </c>
      <c r="Y108" s="6">
        <v>0</v>
      </c>
      <c r="AA108" s="6">
        <v>1168457</v>
      </c>
      <c r="AC108" s="6">
        <v>756351</v>
      </c>
      <c r="AE108" s="6">
        <v>212986</v>
      </c>
      <c r="AG108" s="6">
        <v>0</v>
      </c>
      <c r="AI108" s="6">
        <v>549021</v>
      </c>
      <c r="AJ108" s="11" t="s">
        <v>755</v>
      </c>
      <c r="AK108" s="11"/>
      <c r="AL108" s="11" t="s">
        <v>366</v>
      </c>
      <c r="AN108" s="6">
        <v>280622</v>
      </c>
      <c r="AP108" s="6">
        <v>581911</v>
      </c>
      <c r="AR108" s="6">
        <v>0</v>
      </c>
      <c r="AT108" s="6">
        <v>148705</v>
      </c>
      <c r="AV108" s="6">
        <v>51723</v>
      </c>
      <c r="AX108" s="6">
        <v>0</v>
      </c>
      <c r="AZ108" s="7">
        <f t="shared" si="19"/>
        <v>14428487</v>
      </c>
      <c r="BB108" s="6">
        <v>522149</v>
      </c>
      <c r="BD108" s="6">
        <v>0</v>
      </c>
      <c r="BF108" s="6">
        <v>0</v>
      </c>
      <c r="BH108" s="6">
        <v>0</v>
      </c>
      <c r="BJ108" s="7">
        <f t="shared" si="18"/>
        <v>14950636</v>
      </c>
      <c r="BL108" s="7">
        <f>'Gov Fd Rev'!AO108-'Gov Fd Exp'!BJ108</f>
        <v>438055</v>
      </c>
      <c r="BN108" s="6">
        <v>1883884</v>
      </c>
      <c r="BP108" s="6">
        <v>0</v>
      </c>
      <c r="BR108" s="6">
        <v>0</v>
      </c>
      <c r="BT108" s="7">
        <f t="shared" si="20"/>
        <v>2321939</v>
      </c>
      <c r="BU108" s="7"/>
      <c r="BV108" s="7">
        <f>BT108-'Gov Fd BS'!AC108</f>
        <v>0</v>
      </c>
      <c r="BW108" s="7"/>
    </row>
    <row r="109" spans="1:75">
      <c r="A109" s="11" t="s">
        <v>473</v>
      </c>
      <c r="B109" s="11"/>
      <c r="C109" s="11" t="s">
        <v>58</v>
      </c>
      <c r="E109" s="6">
        <v>16481111</v>
      </c>
      <c r="G109" s="6">
        <v>2929162</v>
      </c>
      <c r="I109" s="6">
        <v>1625</v>
      </c>
      <c r="K109" s="6">
        <v>0</v>
      </c>
      <c r="M109" s="6">
        <v>349797</v>
      </c>
      <c r="O109" s="6">
        <v>1850252</v>
      </c>
      <c r="Q109" s="6">
        <v>1297668</v>
      </c>
      <c r="S109" s="6">
        <v>75602</v>
      </c>
      <c r="U109" s="6">
        <v>2764992</v>
      </c>
      <c r="W109" s="6">
        <v>922708</v>
      </c>
      <c r="Y109" s="6">
        <v>89004</v>
      </c>
      <c r="AA109" s="6">
        <v>2492004</v>
      </c>
      <c r="AC109" s="6">
        <v>900979</v>
      </c>
      <c r="AE109" s="6">
        <v>219382</v>
      </c>
      <c r="AG109" s="6">
        <v>0</v>
      </c>
      <c r="AI109" s="6">
        <v>1529753</v>
      </c>
      <c r="AJ109" s="11" t="s">
        <v>473</v>
      </c>
      <c r="AK109" s="11"/>
      <c r="AL109" s="11" t="s">
        <v>58</v>
      </c>
      <c r="AN109" s="6">
        <v>665419</v>
      </c>
      <c r="AP109" s="6">
        <v>299386</v>
      </c>
      <c r="AR109" s="6">
        <v>0</v>
      </c>
      <c r="AT109" s="6">
        <v>2126000</v>
      </c>
      <c r="AV109" s="6">
        <v>1212851</v>
      </c>
      <c r="AX109" s="6">
        <v>0</v>
      </c>
      <c r="AZ109" s="7">
        <f t="shared" si="19"/>
        <v>36207695</v>
      </c>
      <c r="BB109" s="6">
        <v>0</v>
      </c>
      <c r="BD109" s="6">
        <v>0</v>
      </c>
      <c r="BF109" s="6">
        <v>0</v>
      </c>
      <c r="BH109" s="6">
        <v>0</v>
      </c>
      <c r="BJ109" s="7">
        <f t="shared" si="18"/>
        <v>36207695</v>
      </c>
      <c r="BL109" s="7">
        <f>'Gov Fd Rev'!AO109-'Gov Fd Exp'!BJ109</f>
        <v>-3046233</v>
      </c>
      <c r="BN109" s="6">
        <v>6358189</v>
      </c>
      <c r="BP109" s="6">
        <v>0</v>
      </c>
      <c r="BR109" s="6">
        <v>0</v>
      </c>
      <c r="BT109" s="7">
        <f t="shared" si="20"/>
        <v>3311956</v>
      </c>
      <c r="BU109" s="7"/>
      <c r="BV109" s="7">
        <f>BT109-'Gov Fd BS'!AC109</f>
        <v>0</v>
      </c>
      <c r="BW109" s="7"/>
    </row>
    <row r="110" spans="1:75">
      <c r="A110" s="11" t="s">
        <v>551</v>
      </c>
      <c r="B110" s="11"/>
      <c r="C110" s="11" t="s">
        <v>71</v>
      </c>
      <c r="E110" s="6">
        <v>5508296</v>
      </c>
      <c r="G110" s="6">
        <v>1108751</v>
      </c>
      <c r="I110" s="6">
        <v>14807</v>
      </c>
      <c r="K110" s="6">
        <v>0</v>
      </c>
      <c r="M110" s="6">
        <v>290074</v>
      </c>
      <c r="O110" s="6">
        <v>144052</v>
      </c>
      <c r="Q110" s="6">
        <v>490479</v>
      </c>
      <c r="S110" s="6">
        <v>31910</v>
      </c>
      <c r="U110" s="6">
        <v>1321290</v>
      </c>
      <c r="W110" s="6">
        <v>378083</v>
      </c>
      <c r="Y110" s="6">
        <v>0</v>
      </c>
      <c r="AA110" s="6">
        <v>1284702</v>
      </c>
      <c r="AC110" s="6">
        <v>626816</v>
      </c>
      <c r="AE110" s="6">
        <v>192708</v>
      </c>
      <c r="AG110" s="6">
        <v>465540</v>
      </c>
      <c r="AI110" s="6">
        <v>119027</v>
      </c>
      <c r="AJ110" s="11" t="s">
        <v>551</v>
      </c>
      <c r="AK110" s="11"/>
      <c r="AL110" s="11" t="s">
        <v>71</v>
      </c>
      <c r="AN110" s="6">
        <v>521696</v>
      </c>
      <c r="AP110" s="6">
        <v>0</v>
      </c>
      <c r="AR110" s="6">
        <v>0</v>
      </c>
      <c r="AT110" s="6">
        <v>0</v>
      </c>
      <c r="AV110" s="6">
        <v>0</v>
      </c>
      <c r="AX110" s="6">
        <v>0</v>
      </c>
      <c r="AZ110" s="7">
        <f t="shared" si="19"/>
        <v>12498231</v>
      </c>
      <c r="BB110" s="6">
        <v>125000</v>
      </c>
      <c r="BD110" s="6">
        <v>0</v>
      </c>
      <c r="BF110" s="6">
        <v>0</v>
      </c>
      <c r="BH110" s="6">
        <v>0</v>
      </c>
      <c r="BJ110" s="7">
        <f t="shared" si="18"/>
        <v>12623231</v>
      </c>
      <c r="BL110" s="7">
        <f>'Gov Fd Rev'!AO110-'Gov Fd Exp'!BJ110</f>
        <v>663300</v>
      </c>
      <c r="BN110" s="6">
        <v>5997289</v>
      </c>
      <c r="BP110" s="6">
        <v>0</v>
      </c>
      <c r="BR110" s="6">
        <v>0</v>
      </c>
      <c r="BT110" s="7">
        <f t="shared" si="20"/>
        <v>6660589</v>
      </c>
      <c r="BU110" s="7"/>
      <c r="BV110" s="7">
        <f>BT110-'Gov Fd BS'!AC110</f>
        <v>0</v>
      </c>
      <c r="BW110" s="7"/>
    </row>
    <row r="111" spans="1:75">
      <c r="A111" s="11" t="s">
        <v>652</v>
      </c>
      <c r="B111" s="11"/>
      <c r="C111" s="11" t="s">
        <v>32</v>
      </c>
      <c r="E111" s="6">
        <v>214253633</v>
      </c>
      <c r="G111" s="6">
        <v>74082237</v>
      </c>
      <c r="I111" s="6">
        <v>4113849</v>
      </c>
      <c r="K111" s="6">
        <v>0</v>
      </c>
      <c r="M111" s="6">
        <v>558733</v>
      </c>
      <c r="O111" s="6">
        <v>27954618</v>
      </c>
      <c r="Q111" s="6">
        <v>46617867</v>
      </c>
      <c r="S111" s="6">
        <v>393684</v>
      </c>
      <c r="U111" s="6">
        <v>29336439</v>
      </c>
      <c r="W111" s="6">
        <v>7189097</v>
      </c>
      <c r="Y111" s="6">
        <v>1558587</v>
      </c>
      <c r="AA111" s="6">
        <v>47192721</v>
      </c>
      <c r="AC111" s="6">
        <v>29814983</v>
      </c>
      <c r="AE111" s="6">
        <v>18885518</v>
      </c>
      <c r="AG111" s="6">
        <v>0</v>
      </c>
      <c r="AI111" s="6">
        <v>27961989</v>
      </c>
      <c r="AJ111" s="11" t="s">
        <v>652</v>
      </c>
      <c r="AK111" s="11"/>
      <c r="AL111" s="11" t="s">
        <v>32</v>
      </c>
      <c r="AN111" s="6">
        <v>7139576</v>
      </c>
      <c r="AP111" s="6">
        <v>136262738</v>
      </c>
      <c r="AR111" s="6">
        <v>0</v>
      </c>
      <c r="AT111" s="6">
        <v>19715000</v>
      </c>
      <c r="AV111" s="6">
        <v>35923014</v>
      </c>
      <c r="AX111" s="6">
        <v>0</v>
      </c>
      <c r="AZ111" s="7">
        <f t="shared" si="19"/>
        <v>728954283</v>
      </c>
      <c r="BB111" s="6">
        <v>185798244</v>
      </c>
      <c r="BD111" s="6">
        <v>0</v>
      </c>
      <c r="BF111" s="6">
        <v>0</v>
      </c>
      <c r="BH111" s="6">
        <v>0</v>
      </c>
      <c r="BJ111" s="7">
        <f t="shared" si="18"/>
        <v>914752527</v>
      </c>
      <c r="BL111" s="7">
        <f>'Gov Fd Rev'!AO111-'Gov Fd Exp'!BJ111</f>
        <v>-96901076</v>
      </c>
      <c r="BN111" s="6">
        <v>413221192</v>
      </c>
      <c r="BP111" s="6">
        <v>0</v>
      </c>
      <c r="BR111" s="6">
        <v>0</v>
      </c>
      <c r="BT111" s="7">
        <f t="shared" si="20"/>
        <v>316320116</v>
      </c>
      <c r="BU111" s="7"/>
      <c r="BV111" s="7">
        <f>BT111-'Gov Fd BS'!AC111</f>
        <v>0</v>
      </c>
      <c r="BW111" s="7"/>
    </row>
    <row r="112" spans="1:75">
      <c r="A112" s="11" t="s">
        <v>452</v>
      </c>
      <c r="B112" s="11"/>
      <c r="C112" s="11" t="s">
        <v>54</v>
      </c>
      <c r="E112" s="6">
        <v>10871878</v>
      </c>
      <c r="G112" s="6">
        <v>2996624</v>
      </c>
      <c r="I112" s="6">
        <v>101856</v>
      </c>
      <c r="K112" s="6">
        <v>0</v>
      </c>
      <c r="M112" s="6">
        <v>1759</v>
      </c>
      <c r="O112" s="6">
        <v>1214229</v>
      </c>
      <c r="Q112" s="6">
        <v>2066773</v>
      </c>
      <c r="S112" s="6">
        <v>110203</v>
      </c>
      <c r="U112" s="6">
        <v>2052344</v>
      </c>
      <c r="W112" s="6">
        <v>616550</v>
      </c>
      <c r="Y112" s="6">
        <v>0</v>
      </c>
      <c r="AA112" s="6">
        <v>1762676</v>
      </c>
      <c r="AC112" s="6">
        <v>893275</v>
      </c>
      <c r="AE112" s="6">
        <v>18372</v>
      </c>
      <c r="AG112" s="6">
        <v>1022185</v>
      </c>
      <c r="AI112" s="6">
        <v>122490</v>
      </c>
      <c r="AJ112" s="11" t="s">
        <v>452</v>
      </c>
      <c r="AK112" s="11"/>
      <c r="AL112" s="11" t="s">
        <v>54</v>
      </c>
      <c r="AN112" s="6">
        <v>453664</v>
      </c>
      <c r="AP112" s="6">
        <v>5418520</v>
      </c>
      <c r="AR112" s="6">
        <v>0</v>
      </c>
      <c r="AT112" s="6">
        <v>381472</v>
      </c>
      <c r="AV112" s="6">
        <v>2680856</v>
      </c>
      <c r="AX112" s="6">
        <v>0</v>
      </c>
      <c r="AZ112" s="7">
        <f t="shared" si="19"/>
        <v>32785726</v>
      </c>
      <c r="BB112" s="6">
        <v>363905</v>
      </c>
      <c r="BD112" s="6">
        <v>0</v>
      </c>
      <c r="BF112" s="6">
        <v>0</v>
      </c>
      <c r="BH112" s="6">
        <v>0</v>
      </c>
      <c r="BJ112" s="7">
        <f t="shared" si="18"/>
        <v>33149631</v>
      </c>
      <c r="BL112" s="7">
        <f>'Gov Fd Rev'!AO112-'Gov Fd Exp'!BJ112</f>
        <v>-578429</v>
      </c>
      <c r="BN112" s="6">
        <v>64371745</v>
      </c>
      <c r="BP112" s="6">
        <v>22996</v>
      </c>
      <c r="BR112" s="6">
        <v>0</v>
      </c>
      <c r="BT112" s="7">
        <f t="shared" si="20"/>
        <v>63816312</v>
      </c>
      <c r="BU112" s="7"/>
      <c r="BV112" s="7">
        <f>BT112-'Gov Fd BS'!AC112</f>
        <v>0</v>
      </c>
      <c r="BW112" s="7"/>
    </row>
    <row r="113" spans="1:75">
      <c r="A113" s="11" t="s">
        <v>231</v>
      </c>
      <c r="B113" s="11"/>
      <c r="C113" s="11" t="s">
        <v>17</v>
      </c>
      <c r="E113" s="6">
        <v>9420150</v>
      </c>
      <c r="G113" s="6">
        <v>2109891</v>
      </c>
      <c r="I113" s="6">
        <v>207754</v>
      </c>
      <c r="K113" s="6">
        <v>11236</v>
      </c>
      <c r="M113" s="6">
        <v>342409</v>
      </c>
      <c r="O113" s="6">
        <v>724295</v>
      </c>
      <c r="Q113" s="6">
        <v>730602</v>
      </c>
      <c r="S113" s="6">
        <v>103948</v>
      </c>
      <c r="U113" s="6">
        <v>1628749</v>
      </c>
      <c r="W113" s="6">
        <v>434990</v>
      </c>
      <c r="Y113" s="6">
        <v>8615</v>
      </c>
      <c r="AA113" s="6">
        <v>1506141</v>
      </c>
      <c r="AC113" s="6">
        <v>1129564</v>
      </c>
      <c r="AE113" s="6">
        <v>29809</v>
      </c>
      <c r="AG113" s="6">
        <v>0</v>
      </c>
      <c r="AI113" s="6">
        <v>956270</v>
      </c>
      <c r="AJ113" s="11" t="s">
        <v>231</v>
      </c>
      <c r="AK113" s="11"/>
      <c r="AL113" s="11" t="s">
        <v>17</v>
      </c>
      <c r="AN113" s="6">
        <v>952434</v>
      </c>
      <c r="AP113" s="6">
        <v>79022</v>
      </c>
      <c r="AR113" s="6">
        <v>0</v>
      </c>
      <c r="AT113" s="6">
        <v>3286</v>
      </c>
      <c r="AV113" s="6">
        <v>119</v>
      </c>
      <c r="AX113" s="6">
        <v>0</v>
      </c>
      <c r="AZ113" s="7">
        <f t="shared" si="19"/>
        <v>20379284</v>
      </c>
      <c r="BB113" s="6">
        <v>0</v>
      </c>
      <c r="BD113" s="6">
        <v>0</v>
      </c>
      <c r="BF113" s="6">
        <v>0</v>
      </c>
      <c r="BH113" s="6">
        <v>0</v>
      </c>
      <c r="BJ113" s="7">
        <f t="shared" si="18"/>
        <v>20379284</v>
      </c>
      <c r="BL113" s="7">
        <f>'Gov Fd Rev'!AO113-'Gov Fd Exp'!BJ113</f>
        <v>-831761</v>
      </c>
      <c r="BN113" s="6">
        <v>2624720</v>
      </c>
      <c r="BP113" s="6">
        <v>0</v>
      </c>
      <c r="BR113" s="6">
        <v>0</v>
      </c>
      <c r="BT113" s="7">
        <f t="shared" si="20"/>
        <v>1792959</v>
      </c>
      <c r="BU113" s="7"/>
      <c r="BV113" s="7">
        <f>BT113-'Gov Fd BS'!AC113</f>
        <v>0</v>
      </c>
      <c r="BW113" s="7"/>
    </row>
    <row r="114" spans="1:75">
      <c r="A114" s="11" t="s">
        <v>480</v>
      </c>
      <c r="B114" s="11"/>
      <c r="C114" s="11" t="s">
        <v>59</v>
      </c>
      <c r="E114" s="6">
        <v>3172520</v>
      </c>
      <c r="G114" s="6">
        <v>509326</v>
      </c>
      <c r="I114" s="6">
        <v>464</v>
      </c>
      <c r="K114" s="6">
        <v>0</v>
      </c>
      <c r="M114" s="6">
        <v>81134</v>
      </c>
      <c r="O114" s="6">
        <v>335503</v>
      </c>
      <c r="Q114" s="6">
        <v>363639</v>
      </c>
      <c r="S114" s="6">
        <v>39316</v>
      </c>
      <c r="U114" s="6">
        <v>535228</v>
      </c>
      <c r="W114" s="6">
        <v>139245</v>
      </c>
      <c r="Y114" s="6">
        <v>0</v>
      </c>
      <c r="AA114" s="6">
        <v>723582</v>
      </c>
      <c r="AC114" s="6">
        <v>260536</v>
      </c>
      <c r="AE114" s="6">
        <v>15432</v>
      </c>
      <c r="AG114" s="6">
        <v>345717</v>
      </c>
      <c r="AI114" s="6">
        <v>0</v>
      </c>
      <c r="AJ114" s="11" t="s">
        <v>480</v>
      </c>
      <c r="AK114" s="11"/>
      <c r="AL114" s="11" t="s">
        <v>59</v>
      </c>
      <c r="AN114" s="6">
        <v>147106</v>
      </c>
      <c r="AP114" s="6">
        <v>5071880</v>
      </c>
      <c r="AR114" s="6">
        <v>0</v>
      </c>
      <c r="AT114" s="6">
        <v>211683</v>
      </c>
      <c r="AV114" s="6">
        <v>243983</v>
      </c>
      <c r="AX114" s="6">
        <v>0</v>
      </c>
      <c r="AZ114" s="7">
        <f t="shared" si="19"/>
        <v>12196294</v>
      </c>
      <c r="BB114" s="6">
        <v>43940</v>
      </c>
      <c r="BD114" s="6">
        <v>0</v>
      </c>
      <c r="BF114" s="6">
        <v>0</v>
      </c>
      <c r="BH114" s="6">
        <v>0</v>
      </c>
      <c r="BJ114" s="7">
        <f t="shared" si="18"/>
        <v>12240234</v>
      </c>
      <c r="BL114" s="7">
        <f>'Gov Fd Rev'!AO114-'Gov Fd Exp'!BJ114</f>
        <v>-5067221</v>
      </c>
      <c r="BN114" s="6">
        <v>5708389</v>
      </c>
      <c r="BP114" s="6">
        <v>0</v>
      </c>
      <c r="BR114" s="6">
        <v>0</v>
      </c>
      <c r="BT114" s="7">
        <f t="shared" si="20"/>
        <v>641168</v>
      </c>
      <c r="BU114" s="7"/>
      <c r="BV114" s="7">
        <f>BT114-'Gov Fd BS'!AC114</f>
        <v>0</v>
      </c>
      <c r="BW114" s="7"/>
    </row>
    <row r="115" spans="1:75">
      <c r="A115" s="11" t="s">
        <v>533</v>
      </c>
      <c r="B115" s="11"/>
      <c r="C115" s="11" t="s">
        <v>65</v>
      </c>
      <c r="E115" s="6">
        <v>9354443</v>
      </c>
      <c r="G115" s="6">
        <v>2785255</v>
      </c>
      <c r="I115" s="6">
        <v>76890</v>
      </c>
      <c r="K115" s="6">
        <v>0</v>
      </c>
      <c r="M115" s="6">
        <v>30611</v>
      </c>
      <c r="O115" s="6">
        <v>1023222</v>
      </c>
      <c r="Q115" s="6">
        <v>1519909</v>
      </c>
      <c r="S115" s="6">
        <v>22178</v>
      </c>
      <c r="U115" s="6">
        <v>1441966</v>
      </c>
      <c r="W115" s="6">
        <v>376843</v>
      </c>
      <c r="Y115" s="6">
        <v>58348</v>
      </c>
      <c r="AA115" s="6">
        <v>2068348</v>
      </c>
      <c r="AC115" s="6">
        <v>714912</v>
      </c>
      <c r="AE115" s="6">
        <v>35758</v>
      </c>
      <c r="AG115" s="6">
        <v>797541</v>
      </c>
      <c r="AI115" s="6">
        <v>97839</v>
      </c>
      <c r="AJ115" s="11" t="s">
        <v>533</v>
      </c>
      <c r="AK115" s="11"/>
      <c r="AL115" s="11" t="s">
        <v>65</v>
      </c>
      <c r="AN115" s="6">
        <v>572175</v>
      </c>
      <c r="AP115" s="6">
        <v>0</v>
      </c>
      <c r="AR115" s="6">
        <v>0</v>
      </c>
      <c r="AT115" s="6">
        <v>361947</v>
      </c>
      <c r="AV115" s="6">
        <v>99726</v>
      </c>
      <c r="AX115" s="6">
        <v>0</v>
      </c>
      <c r="AZ115" s="7">
        <f t="shared" si="19"/>
        <v>21437911</v>
      </c>
      <c r="BB115" s="6">
        <v>0</v>
      </c>
      <c r="BD115" s="6">
        <v>0</v>
      </c>
      <c r="BF115" s="6">
        <v>0</v>
      </c>
      <c r="BH115" s="6">
        <v>0</v>
      </c>
      <c r="BJ115" s="7">
        <f t="shared" si="18"/>
        <v>21437911</v>
      </c>
      <c r="BL115" s="7">
        <f>'Gov Fd Rev'!AO115-'Gov Fd Exp'!BJ115</f>
        <v>356775</v>
      </c>
      <c r="BN115" s="6">
        <v>2510730</v>
      </c>
      <c r="BP115" s="6">
        <v>917</v>
      </c>
      <c r="BR115" s="6">
        <v>0</v>
      </c>
      <c r="BT115" s="7">
        <f t="shared" si="20"/>
        <v>2868422</v>
      </c>
      <c r="BU115" s="7"/>
      <c r="BV115" s="7">
        <f>BT115-'Gov Fd BS'!AC115</f>
        <v>0</v>
      </c>
      <c r="BW115" s="7"/>
    </row>
    <row r="116" spans="1:75">
      <c r="A116" s="11" t="s">
        <v>468</v>
      </c>
      <c r="B116" s="11"/>
      <c r="C116" s="11" t="s">
        <v>110</v>
      </c>
      <c r="E116" s="6">
        <v>6579169</v>
      </c>
      <c r="G116" s="6">
        <v>1701987</v>
      </c>
      <c r="I116" s="6">
        <v>181355</v>
      </c>
      <c r="K116" s="6">
        <v>0</v>
      </c>
      <c r="M116" s="6">
        <v>540722</v>
      </c>
      <c r="O116" s="6">
        <v>550242</v>
      </c>
      <c r="Q116" s="6">
        <v>805457</v>
      </c>
      <c r="S116" s="6">
        <v>51484</v>
      </c>
      <c r="U116" s="6">
        <v>1085014</v>
      </c>
      <c r="W116" s="6">
        <v>354359</v>
      </c>
      <c r="Y116" s="6">
        <v>0</v>
      </c>
      <c r="AA116" s="6">
        <v>1500334</v>
      </c>
      <c r="AC116" s="6">
        <v>1372722</v>
      </c>
      <c r="AE116" s="6">
        <v>22113</v>
      </c>
      <c r="AG116" s="6">
        <v>823096</v>
      </c>
      <c r="AI116" s="6">
        <v>0</v>
      </c>
      <c r="AJ116" s="11" t="s">
        <v>468</v>
      </c>
      <c r="AK116" s="11"/>
      <c r="AL116" s="11" t="s">
        <v>110</v>
      </c>
      <c r="AN116" s="6">
        <v>452134</v>
      </c>
      <c r="AP116" s="6">
        <v>297892</v>
      </c>
      <c r="AR116" s="6">
        <v>0</v>
      </c>
      <c r="AT116" s="6">
        <v>410000</v>
      </c>
      <c r="AV116" s="6">
        <v>233200</v>
      </c>
      <c r="AX116" s="6">
        <v>0</v>
      </c>
      <c r="AZ116" s="7">
        <f t="shared" si="19"/>
        <v>16961280</v>
      </c>
      <c r="BB116" s="6">
        <v>276541</v>
      </c>
      <c r="BD116" s="6">
        <v>0</v>
      </c>
      <c r="BF116" s="6">
        <v>0</v>
      </c>
      <c r="BH116" s="6">
        <v>0</v>
      </c>
      <c r="BJ116" s="7">
        <f t="shared" si="18"/>
        <v>17237821</v>
      </c>
      <c r="BL116" s="7">
        <f>'Gov Fd Rev'!AO116-'Gov Fd Exp'!BJ116</f>
        <v>-465067</v>
      </c>
      <c r="BN116" s="6">
        <v>7610400</v>
      </c>
      <c r="BP116" s="6">
        <v>10259</v>
      </c>
      <c r="BR116" s="6">
        <v>0</v>
      </c>
      <c r="BT116" s="7">
        <f t="shared" si="20"/>
        <v>7155592</v>
      </c>
      <c r="BU116" s="7"/>
      <c r="BV116" s="7">
        <f>BT116-'Gov Fd BS'!AC116</f>
        <v>0</v>
      </c>
      <c r="BW116" s="7"/>
    </row>
    <row r="117" spans="1:75">
      <c r="A117" s="11" t="s">
        <v>382</v>
      </c>
      <c r="B117" s="11"/>
      <c r="C117" s="11" t="s">
        <v>44</v>
      </c>
      <c r="E117" s="6">
        <v>7435887</v>
      </c>
      <c r="G117" s="6">
        <v>1471993</v>
      </c>
      <c r="I117" s="6">
        <v>183278</v>
      </c>
      <c r="K117" s="6">
        <v>0</v>
      </c>
      <c r="M117" s="6">
        <v>0</v>
      </c>
      <c r="O117" s="6">
        <v>1107869</v>
      </c>
      <c r="Q117" s="6">
        <v>534162</v>
      </c>
      <c r="S117" s="6">
        <v>56980</v>
      </c>
      <c r="U117" s="6">
        <v>1194749</v>
      </c>
      <c r="W117" s="6">
        <v>407262</v>
      </c>
      <c r="Y117" s="6">
        <v>346848</v>
      </c>
      <c r="AA117" s="6">
        <v>1672316</v>
      </c>
      <c r="AC117" s="6">
        <v>431428</v>
      </c>
      <c r="AE117" s="6">
        <v>187285</v>
      </c>
      <c r="AG117" s="6">
        <v>936424</v>
      </c>
      <c r="AI117" s="6">
        <f>9034+62427</f>
        <v>71461</v>
      </c>
      <c r="AJ117" s="11" t="s">
        <v>382</v>
      </c>
      <c r="AK117" s="11"/>
      <c r="AL117" s="11" t="s">
        <v>44</v>
      </c>
      <c r="AN117" s="6">
        <v>448153</v>
      </c>
      <c r="AP117" s="6">
        <v>71982</v>
      </c>
      <c r="AR117" s="6">
        <v>0</v>
      </c>
      <c r="AT117" s="6">
        <v>328266</v>
      </c>
      <c r="AV117" s="6">
        <v>241389</v>
      </c>
      <c r="AX117" s="6">
        <v>0</v>
      </c>
      <c r="AZ117" s="7">
        <f t="shared" si="19"/>
        <v>17127732</v>
      </c>
      <c r="BB117" s="6">
        <v>62000</v>
      </c>
      <c r="BD117" s="6">
        <v>0</v>
      </c>
      <c r="BF117" s="6">
        <v>0</v>
      </c>
      <c r="BH117" s="6">
        <v>0</v>
      </c>
      <c r="BJ117" s="7">
        <f t="shared" si="18"/>
        <v>17189732</v>
      </c>
      <c r="BL117" s="7">
        <f>'Gov Fd Rev'!AO117-'Gov Fd Exp'!BJ117</f>
        <v>-1247598</v>
      </c>
      <c r="BN117" s="6">
        <v>221640</v>
      </c>
      <c r="BP117" s="6">
        <v>0</v>
      </c>
      <c r="BR117" s="6">
        <v>0</v>
      </c>
      <c r="BT117" s="7">
        <f>BL117+BN117+BP117+BR117</f>
        <v>-1025958</v>
      </c>
      <c r="BU117" s="7"/>
      <c r="BV117" s="7">
        <f>BT117-'Gov Fd BS'!AC117</f>
        <v>0</v>
      </c>
      <c r="BW117" s="7"/>
    </row>
    <row r="118" spans="1:75">
      <c r="A118" s="11" t="s">
        <v>653</v>
      </c>
      <c r="B118" s="11"/>
      <c r="C118" s="11" t="s">
        <v>113</v>
      </c>
      <c r="E118" s="6">
        <v>7119756</v>
      </c>
      <c r="G118" s="6">
        <v>1953589</v>
      </c>
      <c r="I118" s="6">
        <v>0</v>
      </c>
      <c r="K118" s="6">
        <v>0</v>
      </c>
      <c r="M118" s="6">
        <v>347182</v>
      </c>
      <c r="O118" s="6">
        <v>807380</v>
      </c>
      <c r="Q118" s="6">
        <v>689559</v>
      </c>
      <c r="S118" s="6">
        <v>39502</v>
      </c>
      <c r="U118" s="6">
        <v>1317187</v>
      </c>
      <c r="W118" s="6">
        <v>508635</v>
      </c>
      <c r="Y118" s="6">
        <v>65722</v>
      </c>
      <c r="AA118" s="6">
        <v>1580400</v>
      </c>
      <c r="AC118" s="6">
        <v>1899364</v>
      </c>
      <c r="AE118" s="6">
        <v>281347</v>
      </c>
      <c r="AG118" s="6">
        <v>826067</v>
      </c>
      <c r="AI118" s="6">
        <v>199162</v>
      </c>
      <c r="AJ118" s="11" t="s">
        <v>653</v>
      </c>
      <c r="AK118" s="11"/>
      <c r="AL118" s="11" t="s">
        <v>113</v>
      </c>
      <c r="AN118" s="6">
        <v>261251</v>
      </c>
      <c r="AP118" s="6">
        <v>0</v>
      </c>
      <c r="AR118" s="6">
        <v>0</v>
      </c>
      <c r="AT118" s="6">
        <v>201406</v>
      </c>
      <c r="AV118" s="6">
        <v>318594</v>
      </c>
      <c r="AX118" s="6">
        <v>0</v>
      </c>
      <c r="AZ118" s="7">
        <f t="shared" si="19"/>
        <v>18416103</v>
      </c>
      <c r="BB118" s="6">
        <v>299200</v>
      </c>
      <c r="BD118" s="6">
        <v>0</v>
      </c>
      <c r="BF118" s="6">
        <v>0</v>
      </c>
      <c r="BH118" s="6">
        <v>0</v>
      </c>
      <c r="BJ118" s="7">
        <f t="shared" si="18"/>
        <v>18715303</v>
      </c>
      <c r="BL118" s="7">
        <f>'Gov Fd Rev'!AO118-'Gov Fd Exp'!BJ118</f>
        <v>-622116</v>
      </c>
      <c r="BN118" s="6">
        <v>2807549</v>
      </c>
      <c r="BP118" s="6">
        <v>0</v>
      </c>
      <c r="BR118" s="6">
        <v>0</v>
      </c>
      <c r="BT118" s="7">
        <f>BL118+BN118+BP118+BR118</f>
        <v>2185433</v>
      </c>
      <c r="BU118" s="7"/>
      <c r="BV118" s="7">
        <f>BT118-'Gov Fd BS'!AC118</f>
        <v>0</v>
      </c>
      <c r="BW118" s="7"/>
    </row>
    <row r="119" spans="1:75">
      <c r="A119" s="11" t="s">
        <v>651</v>
      </c>
      <c r="B119" s="11"/>
      <c r="C119" s="11" t="s">
        <v>20</v>
      </c>
      <c r="E119" s="6">
        <v>41695365</v>
      </c>
      <c r="G119" s="6">
        <v>12894222</v>
      </c>
      <c r="I119" s="6">
        <v>2259077</v>
      </c>
      <c r="K119" s="6">
        <v>360054</v>
      </c>
      <c r="M119" s="6">
        <v>7131642</v>
      </c>
      <c r="O119" s="6">
        <v>9775335</v>
      </c>
      <c r="Q119" s="6">
        <v>5784489</v>
      </c>
      <c r="S119" s="6">
        <v>586707</v>
      </c>
      <c r="U119" s="6">
        <v>6118862</v>
      </c>
      <c r="W119" s="6">
        <v>2600598</v>
      </c>
      <c r="Y119" s="6">
        <v>1426698</v>
      </c>
      <c r="AA119" s="6">
        <v>13890417</v>
      </c>
      <c r="AC119" s="6">
        <v>5025692</v>
      </c>
      <c r="AE119" s="6">
        <v>5459466</v>
      </c>
      <c r="AG119" s="6">
        <v>3067</v>
      </c>
      <c r="AI119" s="6">
        <f>1965704+120967</f>
        <v>2086671</v>
      </c>
      <c r="AJ119" s="11" t="s">
        <v>651</v>
      </c>
      <c r="AK119" s="11"/>
      <c r="AL119" s="11" t="s">
        <v>20</v>
      </c>
      <c r="AN119" s="6">
        <v>1747747</v>
      </c>
      <c r="AP119" s="6">
        <v>0</v>
      </c>
      <c r="AR119" s="6">
        <v>0</v>
      </c>
      <c r="AT119" s="6">
        <v>1721314</v>
      </c>
      <c r="AV119" s="6">
        <v>474274</v>
      </c>
      <c r="AX119" s="6">
        <v>0</v>
      </c>
      <c r="AZ119" s="7">
        <f t="shared" si="19"/>
        <v>121041697</v>
      </c>
      <c r="BB119" s="6">
        <v>914388</v>
      </c>
      <c r="BD119" s="6">
        <v>0</v>
      </c>
      <c r="BF119" s="6">
        <v>0</v>
      </c>
      <c r="BH119" s="6">
        <v>0</v>
      </c>
      <c r="BJ119" s="7">
        <f t="shared" si="18"/>
        <v>121956085</v>
      </c>
      <c r="BL119" s="7">
        <f>'Gov Fd Rev'!AO119-'Gov Fd Exp'!BJ119</f>
        <v>-8282700</v>
      </c>
      <c r="BN119" s="6">
        <v>58494595</v>
      </c>
      <c r="BP119" s="6">
        <v>0</v>
      </c>
      <c r="BR119" s="6">
        <v>0</v>
      </c>
      <c r="BT119" s="7">
        <f>BL119+BN119+BP119+BR119</f>
        <v>50211895</v>
      </c>
      <c r="BU119" s="7"/>
      <c r="BV119" s="7">
        <f>BT119-'Gov Fd BS'!AC119</f>
        <v>0</v>
      </c>
      <c r="BW119" s="7"/>
    </row>
    <row r="120" spans="1:75">
      <c r="A120" s="11" t="s">
        <v>265</v>
      </c>
      <c r="B120" s="11"/>
      <c r="C120" s="11" t="s">
        <v>20</v>
      </c>
      <c r="E120" s="6">
        <v>296589788</v>
      </c>
      <c r="G120" s="6">
        <v>174268968</v>
      </c>
      <c r="I120" s="6">
        <v>11317046</v>
      </c>
      <c r="K120" s="6">
        <v>0</v>
      </c>
      <c r="M120" s="6">
        <v>4565662</v>
      </c>
      <c r="O120" s="6">
        <v>36685082</v>
      </c>
      <c r="Q120" s="6">
        <v>50661878</v>
      </c>
      <c r="S120" s="6">
        <v>274705</v>
      </c>
      <c r="U120" s="6">
        <v>32974897</v>
      </c>
      <c r="W120" s="6">
        <v>12788220</v>
      </c>
      <c r="Y120" s="6">
        <v>1689243</v>
      </c>
      <c r="AA120" s="6">
        <v>55268800</v>
      </c>
      <c r="AC120" s="6">
        <v>27339459</v>
      </c>
      <c r="AE120" s="6">
        <v>12018833</v>
      </c>
      <c r="AG120" s="6">
        <v>0</v>
      </c>
      <c r="AI120" s="6">
        <v>37955918</v>
      </c>
      <c r="AJ120" s="11" t="s">
        <v>265</v>
      </c>
      <c r="AK120" s="11"/>
      <c r="AL120" s="11" t="s">
        <v>20</v>
      </c>
      <c r="AN120" s="6">
        <v>5856800</v>
      </c>
      <c r="AP120" s="6">
        <v>25129584</v>
      </c>
      <c r="AR120" s="6">
        <v>0</v>
      </c>
      <c r="AT120" s="6">
        <v>37540082</v>
      </c>
      <c r="AV120" s="6">
        <v>10357440</v>
      </c>
      <c r="AX120" s="6">
        <v>0</v>
      </c>
      <c r="AZ120" s="7">
        <f t="shared" si="19"/>
        <v>833282405</v>
      </c>
      <c r="BB120" s="6">
        <v>16390182</v>
      </c>
      <c r="BD120" s="6">
        <v>0</v>
      </c>
      <c r="BF120" s="6">
        <v>0</v>
      </c>
      <c r="BH120" s="6">
        <v>0</v>
      </c>
      <c r="BJ120" s="7">
        <f t="shared" si="18"/>
        <v>849672587</v>
      </c>
      <c r="BL120" s="7">
        <f>'Gov Fd Rev'!AO120-'Gov Fd Exp'!BJ120</f>
        <v>46828437</v>
      </c>
      <c r="BN120" s="6">
        <v>186932473</v>
      </c>
      <c r="BP120" s="6">
        <v>0</v>
      </c>
      <c r="BR120" s="6">
        <v>0</v>
      </c>
      <c r="BT120" s="7">
        <f t="shared" si="20"/>
        <v>233760910</v>
      </c>
      <c r="BU120" s="7"/>
      <c r="BV120" s="7">
        <f>BT120-'Gov Fd BS'!AC120</f>
        <v>0</v>
      </c>
      <c r="BW120" s="7"/>
    </row>
    <row r="121" spans="1:75">
      <c r="A121" s="11" t="s">
        <v>243</v>
      </c>
      <c r="B121" s="11"/>
      <c r="C121" s="11" t="s">
        <v>18</v>
      </c>
      <c r="E121" s="6">
        <v>7831693</v>
      </c>
      <c r="G121" s="6">
        <v>1003684</v>
      </c>
      <c r="I121" s="6">
        <v>0</v>
      </c>
      <c r="K121" s="6">
        <v>0</v>
      </c>
      <c r="M121" s="6">
        <v>1158233</v>
      </c>
      <c r="O121" s="6">
        <v>982003</v>
      </c>
      <c r="Q121" s="6">
        <v>1025672</v>
      </c>
      <c r="S121" s="6">
        <v>37537</v>
      </c>
      <c r="U121" s="6">
        <v>1113732</v>
      </c>
      <c r="W121" s="6">
        <v>413012</v>
      </c>
      <c r="Y121" s="6">
        <v>0</v>
      </c>
      <c r="AA121" s="6">
        <v>1663392</v>
      </c>
      <c r="AC121" s="6">
        <v>992553</v>
      </c>
      <c r="AE121" s="6">
        <v>87</v>
      </c>
      <c r="AG121" s="6">
        <v>0</v>
      </c>
      <c r="AI121" s="6">
        <v>1694054</v>
      </c>
      <c r="AJ121" s="11" t="s">
        <v>243</v>
      </c>
      <c r="AK121" s="11"/>
      <c r="AL121" s="11" t="s">
        <v>18</v>
      </c>
      <c r="AN121" s="6">
        <v>578031</v>
      </c>
      <c r="AP121" s="6">
        <v>42690</v>
      </c>
      <c r="AR121" s="6">
        <v>0</v>
      </c>
      <c r="AT121" s="6">
        <v>686219</v>
      </c>
      <c r="AV121" s="6">
        <v>412626</v>
      </c>
      <c r="AX121" s="6">
        <v>0</v>
      </c>
      <c r="AZ121" s="7">
        <f t="shared" si="19"/>
        <v>19635218</v>
      </c>
      <c r="BB121" s="6">
        <v>382972</v>
      </c>
      <c r="BD121" s="6">
        <v>0</v>
      </c>
      <c r="BF121" s="6">
        <v>0</v>
      </c>
      <c r="BH121" s="6">
        <v>0</v>
      </c>
      <c r="BJ121" s="7">
        <f t="shared" si="18"/>
        <v>20018190</v>
      </c>
      <c r="BL121" s="7">
        <f>'Gov Fd Rev'!AO121-'Gov Fd Exp'!BJ121</f>
        <v>-876988</v>
      </c>
      <c r="BN121" s="6">
        <v>4850076</v>
      </c>
      <c r="BP121" s="6">
        <v>0</v>
      </c>
      <c r="BR121" s="6">
        <v>0</v>
      </c>
      <c r="BT121" s="7">
        <f>BL121+BN121+BP121+BR121</f>
        <v>3973088</v>
      </c>
      <c r="BU121" s="7"/>
      <c r="BV121" s="7">
        <f>BT121-'Gov Fd BS'!AC121</f>
        <v>0</v>
      </c>
      <c r="BW121" s="7"/>
    </row>
    <row r="122" spans="1:75">
      <c r="A122" s="11" t="s">
        <v>416</v>
      </c>
      <c r="B122" s="11"/>
      <c r="C122" s="11" t="s">
        <v>47</v>
      </c>
      <c r="E122" s="6">
        <v>11940190</v>
      </c>
      <c r="G122" s="6">
        <v>2257956</v>
      </c>
      <c r="I122" s="6">
        <v>80322</v>
      </c>
      <c r="K122" s="6">
        <v>0</v>
      </c>
      <c r="M122" s="6">
        <v>2022101</v>
      </c>
      <c r="O122" s="6">
        <v>1457785</v>
      </c>
      <c r="Q122" s="6">
        <v>1855878</v>
      </c>
      <c r="S122" s="6">
        <v>26315</v>
      </c>
      <c r="U122" s="6">
        <v>1571666</v>
      </c>
      <c r="W122" s="6">
        <v>587150</v>
      </c>
      <c r="Y122" s="6">
        <v>285492</v>
      </c>
      <c r="AA122" s="6">
        <v>1939080</v>
      </c>
      <c r="AC122" s="6">
        <v>2386272</v>
      </c>
      <c r="AE122" s="6">
        <v>314390</v>
      </c>
      <c r="AG122" s="6">
        <v>1008408</v>
      </c>
      <c r="AI122" s="6">
        <v>389787</v>
      </c>
      <c r="AJ122" s="11" t="s">
        <v>416</v>
      </c>
      <c r="AK122" s="11"/>
      <c r="AL122" s="11" t="s">
        <v>47</v>
      </c>
      <c r="AN122" s="6">
        <v>702066</v>
      </c>
      <c r="AP122" s="6">
        <v>8527401</v>
      </c>
      <c r="AR122" s="6">
        <v>0</v>
      </c>
      <c r="AT122" s="6">
        <v>1839481</v>
      </c>
      <c r="AV122" s="6">
        <v>20000</v>
      </c>
      <c r="AX122" s="6">
        <v>0</v>
      </c>
      <c r="AZ122" s="7">
        <f t="shared" si="19"/>
        <v>39211740</v>
      </c>
      <c r="BB122" s="6">
        <v>85175</v>
      </c>
      <c r="BD122" s="6">
        <v>0</v>
      </c>
      <c r="BF122" s="6">
        <v>0</v>
      </c>
      <c r="BH122" s="6">
        <v>0</v>
      </c>
      <c r="BJ122" s="7">
        <f t="shared" si="18"/>
        <v>39296915</v>
      </c>
      <c r="BL122" s="7">
        <f>'Gov Fd Rev'!AO122-'Gov Fd Exp'!BJ122</f>
        <v>-6528957</v>
      </c>
      <c r="BN122" s="6">
        <v>11700320</v>
      </c>
      <c r="BP122" s="6">
        <v>0</v>
      </c>
      <c r="BR122" s="6">
        <v>0</v>
      </c>
      <c r="BT122" s="7">
        <f>BL122+BN122+BP122+BR122</f>
        <v>5171363</v>
      </c>
      <c r="BU122" s="7"/>
      <c r="BV122" s="7">
        <f>BT122-'Gov Fd BS'!AC122</f>
        <v>0</v>
      </c>
      <c r="BW122" s="7"/>
    </row>
    <row r="123" spans="1:75">
      <c r="A123" s="11" t="s">
        <v>756</v>
      </c>
      <c r="B123" s="11"/>
      <c r="C123" s="11" t="s">
        <v>79</v>
      </c>
      <c r="E123" s="6">
        <v>9443096</v>
      </c>
      <c r="G123" s="6">
        <v>2343861</v>
      </c>
      <c r="I123" s="6">
        <v>1471</v>
      </c>
      <c r="K123" s="6">
        <v>0</v>
      </c>
      <c r="M123" s="6">
        <v>742512</v>
      </c>
      <c r="O123" s="6">
        <v>1248031</v>
      </c>
      <c r="Q123" s="6">
        <v>589643</v>
      </c>
      <c r="S123" s="6">
        <v>20870</v>
      </c>
      <c r="U123" s="6">
        <v>1575631</v>
      </c>
      <c r="W123" s="6">
        <v>483728</v>
      </c>
      <c r="Y123" s="6">
        <v>8650</v>
      </c>
      <c r="AA123" s="6">
        <v>1727876</v>
      </c>
      <c r="AC123" s="6">
        <v>929099</v>
      </c>
      <c r="AE123" s="6">
        <v>64759</v>
      </c>
      <c r="AG123" s="6">
        <v>1050937</v>
      </c>
      <c r="AI123" s="6">
        <v>2605</v>
      </c>
      <c r="AJ123" s="11" t="s">
        <v>756</v>
      </c>
      <c r="AK123" s="11"/>
      <c r="AL123" s="11" t="s">
        <v>79</v>
      </c>
      <c r="AN123" s="6">
        <v>682916</v>
      </c>
      <c r="AP123" s="6">
        <v>376114</v>
      </c>
      <c r="AR123" s="6">
        <v>0</v>
      </c>
      <c r="AT123" s="6">
        <v>1182358</v>
      </c>
      <c r="AV123" s="6">
        <v>1186099</v>
      </c>
      <c r="AX123" s="6">
        <v>0</v>
      </c>
      <c r="AZ123" s="7">
        <f t="shared" si="19"/>
        <v>23660256</v>
      </c>
      <c r="BB123" s="6">
        <v>1804717</v>
      </c>
      <c r="BD123" s="6">
        <v>0</v>
      </c>
      <c r="BF123" s="6">
        <v>0</v>
      </c>
      <c r="BH123" s="6">
        <v>0</v>
      </c>
      <c r="BJ123" s="7">
        <f t="shared" si="18"/>
        <v>25464973</v>
      </c>
      <c r="BL123" s="7">
        <f>'Gov Fd Rev'!AO123-'Gov Fd Exp'!BJ123</f>
        <v>-301082</v>
      </c>
      <c r="BN123" s="6">
        <v>13235968</v>
      </c>
      <c r="BP123" s="6">
        <v>-118</v>
      </c>
      <c r="BR123" s="6">
        <v>0</v>
      </c>
      <c r="BT123" s="7">
        <f t="shared" si="20"/>
        <v>12934768</v>
      </c>
      <c r="BU123" s="7"/>
      <c r="BV123" s="7">
        <f>BT123-'Gov Fd BS'!AC123</f>
        <v>0</v>
      </c>
      <c r="BW123" s="7"/>
    </row>
    <row r="124" spans="1:75" hidden="1">
      <c r="A124" s="11" t="s">
        <v>654</v>
      </c>
      <c r="B124" s="11"/>
      <c r="C124" s="11" t="s">
        <v>422</v>
      </c>
      <c r="AJ124" s="11" t="s">
        <v>654</v>
      </c>
      <c r="AK124" s="11"/>
      <c r="AL124" s="11" t="s">
        <v>422</v>
      </c>
      <c r="AZ124" s="7">
        <f t="shared" si="19"/>
        <v>0</v>
      </c>
      <c r="BD124" s="6">
        <v>0</v>
      </c>
      <c r="BF124" s="6">
        <v>0</v>
      </c>
      <c r="BJ124" s="7">
        <f t="shared" si="18"/>
        <v>0</v>
      </c>
      <c r="BL124" s="7">
        <f>'Gov Fd Rev'!AO124-'Gov Fd Exp'!BJ124</f>
        <v>0</v>
      </c>
      <c r="BR124" s="6">
        <v>0</v>
      </c>
      <c r="BT124" s="7">
        <f t="shared" si="20"/>
        <v>0</v>
      </c>
      <c r="BU124" s="7"/>
      <c r="BV124" s="7">
        <f>BT124-'Gov Fd BS'!AC124</f>
        <v>0</v>
      </c>
      <c r="BW124" s="7"/>
    </row>
    <row r="125" spans="1:75" hidden="1">
      <c r="A125" s="11" t="s">
        <v>610</v>
      </c>
      <c r="B125" s="11"/>
      <c r="C125" s="11" t="s">
        <v>57</v>
      </c>
      <c r="AJ125" s="11" t="s">
        <v>610</v>
      </c>
      <c r="AK125" s="11"/>
      <c r="AL125" s="11" t="s">
        <v>57</v>
      </c>
      <c r="AZ125" s="7">
        <f t="shared" si="19"/>
        <v>0</v>
      </c>
      <c r="BD125" s="6">
        <v>0</v>
      </c>
      <c r="BF125" s="6">
        <v>0</v>
      </c>
      <c r="BJ125" s="7">
        <f t="shared" si="18"/>
        <v>0</v>
      </c>
      <c r="BL125" s="7">
        <f>'Gov Fd Rev'!AO125-'Gov Fd Exp'!BJ125</f>
        <v>0</v>
      </c>
      <c r="BR125" s="6">
        <v>0</v>
      </c>
      <c r="BT125" s="7">
        <f t="shared" si="20"/>
        <v>0</v>
      </c>
      <c r="BU125" s="7"/>
      <c r="BV125" s="7">
        <f>BT125-'Gov Fd BS'!AC125</f>
        <v>0</v>
      </c>
      <c r="BW125" s="7"/>
    </row>
    <row r="126" spans="1:75">
      <c r="A126" s="11" t="s">
        <v>258</v>
      </c>
      <c r="B126" s="11"/>
      <c r="C126" s="11" t="s">
        <v>111</v>
      </c>
      <c r="E126" s="6">
        <v>4027058</v>
      </c>
      <c r="G126" s="6">
        <v>1271428</v>
      </c>
      <c r="I126" s="6">
        <v>20460</v>
      </c>
      <c r="K126" s="6">
        <v>0</v>
      </c>
      <c r="M126" s="6">
        <v>1175</v>
      </c>
      <c r="O126" s="6">
        <v>694180</v>
      </c>
      <c r="Q126" s="6">
        <v>242593</v>
      </c>
      <c r="S126" s="6">
        <v>23027</v>
      </c>
      <c r="U126" s="6">
        <v>635424</v>
      </c>
      <c r="W126" s="6">
        <v>338319</v>
      </c>
      <c r="Y126" s="6">
        <v>2461</v>
      </c>
      <c r="AA126" s="6">
        <v>906007</v>
      </c>
      <c r="AC126" s="6">
        <v>591297</v>
      </c>
      <c r="AE126" s="6">
        <v>53545</v>
      </c>
      <c r="AG126" s="6">
        <v>318387</v>
      </c>
      <c r="AI126" s="6">
        <v>50888</v>
      </c>
      <c r="AJ126" s="11" t="s">
        <v>258</v>
      </c>
      <c r="AK126" s="11"/>
      <c r="AL126" s="11" t="s">
        <v>111</v>
      </c>
      <c r="AN126" s="6">
        <v>387564</v>
      </c>
      <c r="AP126" s="6">
        <v>44086</v>
      </c>
      <c r="AR126" s="6">
        <v>0</v>
      </c>
      <c r="AT126" s="6">
        <v>446350</v>
      </c>
      <c r="AV126" s="6">
        <v>496108</v>
      </c>
      <c r="AX126" s="6">
        <v>0</v>
      </c>
      <c r="AZ126" s="7">
        <f t="shared" si="19"/>
        <v>10550357</v>
      </c>
      <c r="BB126" s="6">
        <v>0</v>
      </c>
      <c r="BD126" s="6">
        <v>0</v>
      </c>
      <c r="BF126" s="6">
        <v>0</v>
      </c>
      <c r="BH126" s="6">
        <v>0</v>
      </c>
      <c r="BJ126" s="7">
        <f t="shared" si="18"/>
        <v>10550357</v>
      </c>
      <c r="BL126" s="7">
        <f>'Gov Fd Rev'!AO126-'Gov Fd Exp'!BJ126</f>
        <v>200726</v>
      </c>
      <c r="BN126" s="6">
        <v>3458312</v>
      </c>
      <c r="BP126" s="6">
        <v>0</v>
      </c>
      <c r="BR126" s="6">
        <v>0</v>
      </c>
      <c r="BT126" s="7">
        <f t="shared" si="20"/>
        <v>3659038</v>
      </c>
      <c r="BU126" s="7"/>
      <c r="BV126" s="7">
        <f>BT126-'Gov Fd BS'!AC126</f>
        <v>0</v>
      </c>
      <c r="BW126" s="7"/>
    </row>
    <row r="127" spans="1:75">
      <c r="A127" s="11" t="s">
        <v>383</v>
      </c>
      <c r="B127" s="11"/>
      <c r="C127" s="11" t="s">
        <v>44</v>
      </c>
      <c r="E127" s="6">
        <v>4534185</v>
      </c>
      <c r="G127" s="6">
        <v>1150008</v>
      </c>
      <c r="I127" s="6">
        <v>167763</v>
      </c>
      <c r="K127" s="6">
        <v>0</v>
      </c>
      <c r="M127" s="6">
        <v>389210</v>
      </c>
      <c r="O127" s="6">
        <v>707125</v>
      </c>
      <c r="Q127" s="6">
        <v>426899</v>
      </c>
      <c r="S127" s="6">
        <v>34816</v>
      </c>
      <c r="U127" s="6">
        <v>1060011</v>
      </c>
      <c r="W127" s="6">
        <v>374110</v>
      </c>
      <c r="Y127" s="6">
        <v>0</v>
      </c>
      <c r="AA127" s="6">
        <v>989652</v>
      </c>
      <c r="AC127" s="6">
        <v>646750</v>
      </c>
      <c r="AE127" s="6">
        <v>120969</v>
      </c>
      <c r="AG127" s="6">
        <v>374718</v>
      </c>
      <c r="AI127" s="6">
        <v>0</v>
      </c>
      <c r="AJ127" s="11" t="s">
        <v>383</v>
      </c>
      <c r="AK127" s="11"/>
      <c r="AL127" s="11" t="s">
        <v>44</v>
      </c>
      <c r="AN127" s="6">
        <v>449792</v>
      </c>
      <c r="AP127" s="6">
        <f>6033037+30003</f>
        <v>6063040</v>
      </c>
      <c r="AR127" s="6">
        <v>0</v>
      </c>
      <c r="AT127" s="6">
        <v>24928</v>
      </c>
      <c r="AV127" s="6">
        <f>198914+196208</f>
        <v>395122</v>
      </c>
      <c r="AX127" s="6">
        <v>0</v>
      </c>
      <c r="AZ127" s="7">
        <f t="shared" si="19"/>
        <v>17909098</v>
      </c>
      <c r="BB127" s="6">
        <v>6180686</v>
      </c>
      <c r="BD127" s="6">
        <v>0</v>
      </c>
      <c r="BF127" s="6">
        <v>0</v>
      </c>
      <c r="BH127" s="6">
        <v>0</v>
      </c>
      <c r="BJ127" s="7">
        <f t="shared" si="18"/>
        <v>24089784</v>
      </c>
      <c r="BL127" s="7">
        <f>'Gov Fd Rev'!AO127-'Gov Fd Exp'!BJ127</f>
        <v>667040</v>
      </c>
      <c r="BN127" s="6">
        <v>638444</v>
      </c>
      <c r="BP127" s="6">
        <v>0</v>
      </c>
      <c r="BR127" s="6">
        <v>0</v>
      </c>
      <c r="BT127" s="7">
        <f t="shared" si="20"/>
        <v>1305484</v>
      </c>
      <c r="BU127" s="7"/>
      <c r="BV127" s="7">
        <f>BT127-'Gov Fd BS'!AC127</f>
        <v>0</v>
      </c>
      <c r="BW127" s="7"/>
    </row>
    <row r="128" spans="1:75">
      <c r="A128" s="11" t="s">
        <v>757</v>
      </c>
      <c r="B128" s="11"/>
      <c r="C128" s="11" t="s">
        <v>112</v>
      </c>
      <c r="E128" s="6">
        <v>4912381</v>
      </c>
      <c r="G128" s="6">
        <v>1272511</v>
      </c>
      <c r="I128" s="6">
        <v>0</v>
      </c>
      <c r="K128" s="6">
        <v>0</v>
      </c>
      <c r="M128" s="6">
        <v>0</v>
      </c>
      <c r="O128" s="6">
        <v>405202</v>
      </c>
      <c r="Q128" s="6">
        <v>325778</v>
      </c>
      <c r="S128" s="6">
        <v>25785</v>
      </c>
      <c r="U128" s="6">
        <v>782201</v>
      </c>
      <c r="W128" s="6">
        <v>353360</v>
      </c>
      <c r="Y128" s="6">
        <v>0</v>
      </c>
      <c r="AA128" s="6">
        <v>612047</v>
      </c>
      <c r="AC128" s="6">
        <v>303646</v>
      </c>
      <c r="AE128" s="6">
        <v>25646</v>
      </c>
      <c r="AG128" s="6">
        <v>335609</v>
      </c>
      <c r="AI128" s="6">
        <v>0</v>
      </c>
      <c r="AJ128" s="11" t="s">
        <v>757</v>
      </c>
      <c r="AK128" s="11"/>
      <c r="AL128" s="11" t="s">
        <v>112</v>
      </c>
      <c r="AN128" s="6">
        <v>392883</v>
      </c>
      <c r="AP128" s="6">
        <v>2014910</v>
      </c>
      <c r="AR128" s="6">
        <v>0</v>
      </c>
      <c r="AT128" s="6">
        <v>313064</v>
      </c>
      <c r="AV128" s="6">
        <v>799920</v>
      </c>
      <c r="AX128" s="6">
        <v>0</v>
      </c>
      <c r="AZ128" s="7">
        <f t="shared" si="19"/>
        <v>12874943</v>
      </c>
      <c r="BB128" s="6">
        <v>0</v>
      </c>
      <c r="BD128" s="6">
        <v>0</v>
      </c>
      <c r="BF128" s="6">
        <v>0</v>
      </c>
      <c r="BH128" s="6">
        <v>0</v>
      </c>
      <c r="BJ128" s="7">
        <f t="shared" si="18"/>
        <v>12874943</v>
      </c>
      <c r="BL128" s="7">
        <f>'Gov Fd Rev'!AO128-'Gov Fd Exp'!BJ128</f>
        <v>-1322962</v>
      </c>
      <c r="BN128" s="6">
        <v>4729137</v>
      </c>
      <c r="BP128" s="6">
        <v>0</v>
      </c>
      <c r="BR128" s="6">
        <v>0</v>
      </c>
      <c r="BT128" s="7">
        <f t="shared" si="20"/>
        <v>3406175</v>
      </c>
      <c r="BU128" s="7"/>
      <c r="BV128" s="7">
        <f>BT128-'Gov Fd BS'!AC128</f>
        <v>0</v>
      </c>
      <c r="BW128" s="7"/>
    </row>
    <row r="129" spans="1:75">
      <c r="A129" s="11" t="s">
        <v>301</v>
      </c>
      <c r="B129" s="11"/>
      <c r="C129" s="11" t="s">
        <v>27</v>
      </c>
      <c r="E129" s="6">
        <v>353736209</v>
      </c>
      <c r="G129" s="6">
        <v>116063585</v>
      </c>
      <c r="I129" s="6">
        <v>7496622</v>
      </c>
      <c r="K129" s="6">
        <v>2398240</v>
      </c>
      <c r="M129" s="6">
        <v>1924364</v>
      </c>
      <c r="O129" s="6">
        <v>59257006</v>
      </c>
      <c r="Q129" s="6">
        <v>70262893</v>
      </c>
      <c r="S129" s="6">
        <v>165212</v>
      </c>
      <c r="U129" s="6">
        <v>63261434</v>
      </c>
      <c r="W129" s="6">
        <v>11262541</v>
      </c>
      <c r="Y129" s="6">
        <v>3795795</v>
      </c>
      <c r="AA129" s="6">
        <v>61068986</v>
      </c>
      <c r="AC129" s="6">
        <v>57650503</v>
      </c>
      <c r="AE129" s="6">
        <v>9875717</v>
      </c>
      <c r="AG129" s="6">
        <v>0</v>
      </c>
      <c r="AI129" s="6">
        <v>38572302</v>
      </c>
      <c r="AJ129" s="11" t="s">
        <v>301</v>
      </c>
      <c r="AK129" s="11"/>
      <c r="AL129" s="11" t="s">
        <v>27</v>
      </c>
      <c r="AN129" s="6">
        <v>8744737</v>
      </c>
      <c r="AP129" s="6">
        <v>72774593</v>
      </c>
      <c r="AR129" s="6">
        <v>0</v>
      </c>
      <c r="AT129" s="6">
        <v>32483650</v>
      </c>
      <c r="AV129" s="6">
        <f>22648744+360325+2946350</f>
        <v>25955419</v>
      </c>
      <c r="AX129" s="6">
        <v>893357</v>
      </c>
      <c r="AZ129" s="7">
        <f t="shared" si="19"/>
        <v>997643165</v>
      </c>
      <c r="BB129" s="6">
        <v>4871887</v>
      </c>
      <c r="BD129" s="6">
        <v>0</v>
      </c>
      <c r="BF129" s="6">
        <v>0</v>
      </c>
      <c r="BH129" s="6">
        <v>12066122</v>
      </c>
      <c r="BJ129" s="7">
        <f t="shared" si="18"/>
        <v>1014581174</v>
      </c>
      <c r="BL129" s="7">
        <f>'Gov Fd Rev'!AO129-'Gov Fd Exp'!BJ129</f>
        <v>-70297357</v>
      </c>
      <c r="BN129" s="6">
        <v>504769543</v>
      </c>
      <c r="BP129" s="6">
        <v>0</v>
      </c>
      <c r="BR129" s="6">
        <v>0</v>
      </c>
      <c r="BT129" s="7">
        <f t="shared" si="20"/>
        <v>434472186</v>
      </c>
      <c r="BU129" s="7"/>
      <c r="BV129" s="7">
        <f>BT129-'Gov Fd BS'!AC129</f>
        <v>0</v>
      </c>
      <c r="BW129" s="7"/>
    </row>
    <row r="130" spans="1:75" hidden="1">
      <c r="A130" s="11" t="s">
        <v>611</v>
      </c>
      <c r="B130" s="11"/>
      <c r="C130" s="11" t="s">
        <v>467</v>
      </c>
      <c r="AJ130" s="11" t="s">
        <v>611</v>
      </c>
      <c r="AK130" s="11"/>
      <c r="AL130" s="11" t="s">
        <v>467</v>
      </c>
      <c r="AZ130" s="7">
        <f t="shared" si="19"/>
        <v>0</v>
      </c>
      <c r="BD130" s="6">
        <v>0</v>
      </c>
      <c r="BF130" s="6">
        <v>0</v>
      </c>
      <c r="BJ130" s="7">
        <f t="shared" si="18"/>
        <v>0</v>
      </c>
      <c r="BL130" s="7">
        <f>'Gov Fd Rev'!AO130-'Gov Fd Exp'!BJ130</f>
        <v>0</v>
      </c>
      <c r="BR130" s="6">
        <v>0</v>
      </c>
      <c r="BT130" s="7">
        <f t="shared" si="20"/>
        <v>0</v>
      </c>
      <c r="BU130" s="7"/>
      <c r="BV130" s="7">
        <f>BT130-'Gov Fd BS'!AC130</f>
        <v>0</v>
      </c>
      <c r="BW130" s="7"/>
    </row>
    <row r="131" spans="1:75">
      <c r="A131" s="11" t="s">
        <v>207</v>
      </c>
      <c r="B131" s="11"/>
      <c r="C131" s="11" t="s">
        <v>12</v>
      </c>
      <c r="E131" s="6">
        <v>7551061</v>
      </c>
      <c r="G131" s="6">
        <v>2091494</v>
      </c>
      <c r="I131" s="6">
        <v>144096</v>
      </c>
      <c r="K131" s="6">
        <v>0</v>
      </c>
      <c r="M131" s="6">
        <v>1451992</v>
      </c>
      <c r="O131" s="6">
        <v>1037904</v>
      </c>
      <c r="Q131" s="6">
        <v>1310336</v>
      </c>
      <c r="S131" s="6">
        <v>26070</v>
      </c>
      <c r="U131" s="6">
        <v>1686901</v>
      </c>
      <c r="W131" s="6">
        <v>426444</v>
      </c>
      <c r="Y131" s="6">
        <v>172</v>
      </c>
      <c r="AA131" s="6">
        <v>1819295</v>
      </c>
      <c r="AC131" s="6">
        <v>680292</v>
      </c>
      <c r="AE131" s="6">
        <v>50169</v>
      </c>
      <c r="AG131" s="6">
        <v>797008</v>
      </c>
      <c r="AI131" s="6">
        <v>0</v>
      </c>
      <c r="AJ131" s="11" t="s">
        <v>207</v>
      </c>
      <c r="AK131" s="11"/>
      <c r="AL131" s="11" t="s">
        <v>12</v>
      </c>
      <c r="AN131" s="6">
        <v>313179</v>
      </c>
      <c r="AP131" s="6">
        <v>140130</v>
      </c>
      <c r="AR131" s="6">
        <v>0</v>
      </c>
      <c r="AT131" s="6">
        <v>498161</v>
      </c>
      <c r="AV131" s="6">
        <v>136009</v>
      </c>
      <c r="AX131" s="6">
        <v>0</v>
      </c>
      <c r="AZ131" s="7">
        <f t="shared" si="19"/>
        <v>20160713</v>
      </c>
      <c r="BB131" s="6">
        <v>0</v>
      </c>
      <c r="BD131" s="6">
        <v>0</v>
      </c>
      <c r="BF131" s="6">
        <v>0</v>
      </c>
      <c r="BH131" s="6">
        <v>0</v>
      </c>
      <c r="BJ131" s="7">
        <f t="shared" si="18"/>
        <v>20160713</v>
      </c>
      <c r="BL131" s="7">
        <f>'Gov Fd Rev'!AO131-'Gov Fd Exp'!BJ131</f>
        <v>636938</v>
      </c>
      <c r="BN131" s="6">
        <v>8179670</v>
      </c>
      <c r="BP131" s="6">
        <v>0</v>
      </c>
      <c r="BR131" s="6">
        <v>0</v>
      </c>
      <c r="BT131" s="7">
        <f t="shared" si="20"/>
        <v>8816608</v>
      </c>
      <c r="BU131" s="7"/>
      <c r="BV131" s="7">
        <f>BT131-'Gov Fd BS'!AC131</f>
        <v>0</v>
      </c>
      <c r="BW131" s="7"/>
    </row>
    <row r="132" spans="1:75">
      <c r="A132" s="11" t="s">
        <v>342</v>
      </c>
      <c r="B132" s="11"/>
      <c r="C132" s="11" t="s">
        <v>343</v>
      </c>
      <c r="E132" s="6">
        <v>2913631</v>
      </c>
      <c r="G132" s="6">
        <v>569290</v>
      </c>
      <c r="I132" s="6">
        <v>71448</v>
      </c>
      <c r="K132" s="6">
        <v>0</v>
      </c>
      <c r="M132" s="6">
        <v>8936</v>
      </c>
      <c r="O132" s="6">
        <v>197448</v>
      </c>
      <c r="Q132" s="6">
        <v>202713</v>
      </c>
      <c r="S132" s="6">
        <v>13664</v>
      </c>
      <c r="U132" s="6">
        <v>509878</v>
      </c>
      <c r="W132" s="6">
        <v>237894</v>
      </c>
      <c r="Y132" s="6">
        <v>37</v>
      </c>
      <c r="AA132" s="6">
        <v>474055</v>
      </c>
      <c r="AC132" s="6">
        <v>416290</v>
      </c>
      <c r="AE132" s="6">
        <v>14378</v>
      </c>
      <c r="AG132" s="6">
        <v>240851</v>
      </c>
      <c r="AI132" s="6">
        <v>0</v>
      </c>
      <c r="AJ132" s="11" t="s">
        <v>342</v>
      </c>
      <c r="AK132" s="11"/>
      <c r="AL132" s="11" t="s">
        <v>343</v>
      </c>
      <c r="AN132" s="6">
        <v>137311</v>
      </c>
      <c r="AP132" s="6">
        <v>28051</v>
      </c>
      <c r="AR132" s="6">
        <v>0</v>
      </c>
      <c r="AT132" s="6">
        <v>13731</v>
      </c>
      <c r="AV132" s="6">
        <v>979</v>
      </c>
      <c r="AX132" s="6">
        <v>0</v>
      </c>
      <c r="AZ132" s="7">
        <f t="shared" si="19"/>
        <v>6050585</v>
      </c>
      <c r="BB132" s="6">
        <v>25000</v>
      </c>
      <c r="BD132" s="6">
        <v>0</v>
      </c>
      <c r="BF132" s="6">
        <v>0</v>
      </c>
      <c r="BH132" s="6">
        <v>0</v>
      </c>
      <c r="BJ132" s="7">
        <f t="shared" si="18"/>
        <v>6075585</v>
      </c>
      <c r="BL132" s="7">
        <f>'Gov Fd Rev'!AO132-'Gov Fd Exp'!BJ132</f>
        <v>-461071</v>
      </c>
      <c r="BN132" s="6">
        <v>899261</v>
      </c>
      <c r="BP132" s="6">
        <v>0</v>
      </c>
      <c r="BR132" s="6">
        <v>0</v>
      </c>
      <c r="BT132" s="7">
        <f t="shared" si="20"/>
        <v>438190</v>
      </c>
      <c r="BU132" s="7"/>
      <c r="BV132" s="7">
        <f>BT132-'Gov Fd BS'!AC132</f>
        <v>0</v>
      </c>
      <c r="BW132" s="7"/>
    </row>
    <row r="133" spans="1:75" hidden="1">
      <c r="A133" s="11" t="s">
        <v>676</v>
      </c>
      <c r="B133" s="11"/>
      <c r="C133" s="11" t="s">
        <v>467</v>
      </c>
      <c r="AJ133" s="11" t="s">
        <v>676</v>
      </c>
      <c r="AK133" s="11"/>
      <c r="AL133" s="11" t="s">
        <v>467</v>
      </c>
      <c r="AZ133" s="7">
        <f t="shared" si="19"/>
        <v>0</v>
      </c>
      <c r="BD133" s="6">
        <v>0</v>
      </c>
      <c r="BF133" s="6">
        <v>0</v>
      </c>
      <c r="BJ133" s="7">
        <f t="shared" si="18"/>
        <v>0</v>
      </c>
      <c r="BL133" s="7">
        <f>'Gov Fd Rev'!AO133-'Gov Fd Exp'!BJ133</f>
        <v>0</v>
      </c>
      <c r="BR133" s="6">
        <v>0</v>
      </c>
      <c r="BT133" s="7">
        <f t="shared" si="20"/>
        <v>0</v>
      </c>
      <c r="BU133" s="7"/>
      <c r="BV133" s="7">
        <f>BT133-'Gov Fd BS'!AC133</f>
        <v>0</v>
      </c>
      <c r="BW133" s="7"/>
    </row>
    <row r="134" spans="1:75">
      <c r="A134" s="11" t="s">
        <v>508</v>
      </c>
      <c r="B134" s="11"/>
      <c r="C134" s="11" t="s">
        <v>63</v>
      </c>
      <c r="E134" s="6">
        <v>16691012</v>
      </c>
      <c r="G134" s="6">
        <v>3171396</v>
      </c>
      <c r="I134" s="6">
        <v>588230</v>
      </c>
      <c r="K134" s="6">
        <v>0</v>
      </c>
      <c r="M134" s="6">
        <v>0</v>
      </c>
      <c r="O134" s="6">
        <v>1790722</v>
      </c>
      <c r="Q134" s="6">
        <v>1668111</v>
      </c>
      <c r="S134" s="6">
        <v>97180</v>
      </c>
      <c r="U134" s="6">
        <v>1877274</v>
      </c>
      <c r="W134" s="6">
        <v>1049681</v>
      </c>
      <c r="Y134" s="6">
        <v>123654</v>
      </c>
      <c r="AA134" s="6">
        <v>3178445</v>
      </c>
      <c r="AC134" s="6">
        <v>1565619</v>
      </c>
      <c r="AE134" s="6">
        <v>223786</v>
      </c>
      <c r="AG134" s="6">
        <v>785022</v>
      </c>
      <c r="AI134" s="6">
        <v>601064</v>
      </c>
      <c r="AJ134" s="11" t="s">
        <v>508</v>
      </c>
      <c r="AK134" s="11"/>
      <c r="AL134" s="11" t="s">
        <v>63</v>
      </c>
      <c r="AN134" s="6">
        <v>1120059</v>
      </c>
      <c r="AP134" s="6">
        <v>776673</v>
      </c>
      <c r="AR134" s="6">
        <v>0</v>
      </c>
      <c r="AT134" s="6">
        <v>1554114</v>
      </c>
      <c r="AV134" s="6">
        <v>136587</v>
      </c>
      <c r="AX134" s="6">
        <v>0</v>
      </c>
      <c r="AZ134" s="7">
        <f t="shared" si="19"/>
        <v>36998629</v>
      </c>
      <c r="BB134" s="6">
        <v>30000</v>
      </c>
      <c r="BD134" s="6">
        <v>0</v>
      </c>
      <c r="BF134" s="6">
        <v>0</v>
      </c>
      <c r="BH134" s="6">
        <v>0</v>
      </c>
      <c r="BJ134" s="7">
        <f t="shared" si="18"/>
        <v>37028629</v>
      </c>
      <c r="BL134" s="7">
        <f>'Gov Fd Rev'!AO134-'Gov Fd Exp'!BJ134</f>
        <v>1702452</v>
      </c>
      <c r="BN134" s="6">
        <v>10552535</v>
      </c>
      <c r="BP134" s="6">
        <v>0</v>
      </c>
      <c r="BR134" s="6">
        <v>0</v>
      </c>
      <c r="BT134" s="7">
        <f t="shared" si="20"/>
        <v>12254987</v>
      </c>
      <c r="BU134" s="7"/>
      <c r="BV134" s="7">
        <f>BT134-'Gov Fd BS'!AC134</f>
        <v>0</v>
      </c>
      <c r="BW134" s="7"/>
    </row>
    <row r="135" spans="1:75">
      <c r="A135" s="11" t="s">
        <v>336</v>
      </c>
      <c r="B135" s="11"/>
      <c r="C135" s="11" t="s">
        <v>33</v>
      </c>
      <c r="E135" s="6">
        <v>3165167</v>
      </c>
      <c r="G135" s="6">
        <v>601115</v>
      </c>
      <c r="I135" s="6">
        <v>242182</v>
      </c>
      <c r="K135" s="6">
        <v>0</v>
      </c>
      <c r="M135" s="6">
        <v>0</v>
      </c>
      <c r="O135" s="6">
        <v>273365</v>
      </c>
      <c r="Q135" s="6">
        <v>314750</v>
      </c>
      <c r="S135" s="6">
        <v>34949</v>
      </c>
      <c r="U135" s="6">
        <v>871712</v>
      </c>
      <c r="W135" s="6">
        <v>239609</v>
      </c>
      <c r="Y135" s="6">
        <v>0</v>
      </c>
      <c r="AA135" s="6">
        <v>664648</v>
      </c>
      <c r="AC135" s="6">
        <v>511142</v>
      </c>
      <c r="AE135" s="6">
        <v>9429</v>
      </c>
      <c r="AG135" s="6">
        <v>0</v>
      </c>
      <c r="AI135" s="6">
        <v>292003</v>
      </c>
      <c r="AJ135" s="11" t="s">
        <v>336</v>
      </c>
      <c r="AK135" s="11"/>
      <c r="AL135" s="11" t="s">
        <v>33</v>
      </c>
      <c r="AN135" s="6">
        <v>282298</v>
      </c>
      <c r="AP135" s="6">
        <v>4173479</v>
      </c>
      <c r="AR135" s="6">
        <v>0</v>
      </c>
      <c r="AT135" s="6">
        <v>161441</v>
      </c>
      <c r="AV135" s="6">
        <v>350189</v>
      </c>
      <c r="AX135" s="6">
        <v>0</v>
      </c>
      <c r="AZ135" s="7">
        <f t="shared" si="19"/>
        <v>12187478</v>
      </c>
      <c r="BB135" s="6">
        <v>18136</v>
      </c>
      <c r="BD135" s="6">
        <v>0</v>
      </c>
      <c r="BF135" s="6">
        <v>0</v>
      </c>
      <c r="BH135" s="6">
        <v>0</v>
      </c>
      <c r="BJ135" s="7">
        <f t="shared" si="18"/>
        <v>12205614</v>
      </c>
      <c r="BL135" s="7">
        <f>'Gov Fd Rev'!AO135-'Gov Fd Exp'!BJ135</f>
        <v>-1828780</v>
      </c>
      <c r="BN135" s="6">
        <v>9806778</v>
      </c>
      <c r="BP135" s="6">
        <v>0</v>
      </c>
      <c r="BR135" s="6">
        <v>0</v>
      </c>
      <c r="BT135" s="7">
        <f t="shared" si="20"/>
        <v>7977998</v>
      </c>
      <c r="BU135" s="7"/>
      <c r="BV135" s="7">
        <f>BT135-'Gov Fd BS'!AC135</f>
        <v>0</v>
      </c>
      <c r="BW135" s="7"/>
    </row>
    <row r="136" spans="1:75">
      <c r="A136" s="11" t="s">
        <v>253</v>
      </c>
      <c r="B136" s="11"/>
      <c r="C136" s="11" t="s">
        <v>19</v>
      </c>
      <c r="E136" s="6">
        <v>11600756</v>
      </c>
      <c r="G136" s="6">
        <v>0</v>
      </c>
      <c r="I136" s="6">
        <v>0</v>
      </c>
      <c r="K136" s="6">
        <v>0</v>
      </c>
      <c r="M136" s="6">
        <v>0</v>
      </c>
      <c r="O136" s="6">
        <v>735005</v>
      </c>
      <c r="Q136" s="6">
        <v>824983</v>
      </c>
      <c r="S136" s="6">
        <v>25740</v>
      </c>
      <c r="U136" s="6">
        <v>1396204</v>
      </c>
      <c r="W136" s="6">
        <v>498027</v>
      </c>
      <c r="Y136" s="6">
        <v>299176</v>
      </c>
      <c r="AA136" s="6">
        <v>1525463</v>
      </c>
      <c r="AC136" s="6">
        <v>286929</v>
      </c>
      <c r="AE136" s="6">
        <v>37274</v>
      </c>
      <c r="AG136" s="6">
        <v>781951</v>
      </c>
      <c r="AI136" s="6">
        <v>36514</v>
      </c>
      <c r="AJ136" s="11" t="s">
        <v>253</v>
      </c>
      <c r="AK136" s="11"/>
      <c r="AL136" s="11" t="s">
        <v>19</v>
      </c>
      <c r="AN136" s="6">
        <v>377097</v>
      </c>
      <c r="AP136" s="6">
        <v>3013617</v>
      </c>
      <c r="AR136" s="6">
        <v>0</v>
      </c>
      <c r="AT136" s="6">
        <v>245000</v>
      </c>
      <c r="AV136" s="6">
        <v>495339</v>
      </c>
      <c r="AX136" s="6">
        <v>0</v>
      </c>
      <c r="AZ136" s="7">
        <f t="shared" si="19"/>
        <v>22179075</v>
      </c>
      <c r="BB136" s="6">
        <v>22337</v>
      </c>
      <c r="BD136" s="6">
        <v>0</v>
      </c>
      <c r="BF136" s="6">
        <v>0</v>
      </c>
      <c r="BH136" s="6">
        <v>0</v>
      </c>
      <c r="BJ136" s="7">
        <f t="shared" si="18"/>
        <v>22201412</v>
      </c>
      <c r="BL136" s="7">
        <f>'Gov Fd Rev'!AO136-'Gov Fd Exp'!BJ136</f>
        <v>5756833</v>
      </c>
      <c r="BN136" s="6">
        <v>13934584</v>
      </c>
      <c r="BP136" s="6">
        <v>-461</v>
      </c>
      <c r="BR136" s="6">
        <v>0</v>
      </c>
      <c r="BT136" s="7">
        <f t="shared" si="20"/>
        <v>19690956</v>
      </c>
      <c r="BU136" s="7"/>
      <c r="BV136" s="7">
        <f>BT136-'Gov Fd BS'!AC136</f>
        <v>0</v>
      </c>
      <c r="BW136" s="7"/>
    </row>
    <row r="137" spans="1:75">
      <c r="A137" s="11" t="s">
        <v>604</v>
      </c>
      <c r="B137" s="11"/>
      <c r="C137" s="11" t="s">
        <v>63</v>
      </c>
      <c r="E137" s="6">
        <v>9761027</v>
      </c>
      <c r="G137" s="6">
        <v>2624245</v>
      </c>
      <c r="I137" s="6">
        <v>85375</v>
      </c>
      <c r="K137" s="6">
        <v>0</v>
      </c>
      <c r="M137" s="6">
        <v>822718</v>
      </c>
      <c r="O137" s="6">
        <v>1081409</v>
      </c>
      <c r="Q137" s="6">
        <v>1247225</v>
      </c>
      <c r="S137" s="6">
        <v>53233</v>
      </c>
      <c r="U137" s="6">
        <v>1726669</v>
      </c>
      <c r="W137" s="6">
        <v>435686</v>
      </c>
      <c r="Y137" s="6">
        <v>47539</v>
      </c>
      <c r="AA137" s="6">
        <v>2262215</v>
      </c>
      <c r="AC137" s="6">
        <v>1278067</v>
      </c>
      <c r="AE137" s="6">
        <v>219882</v>
      </c>
      <c r="AG137" s="6">
        <v>813736</v>
      </c>
      <c r="AI137" s="6">
        <v>248074</v>
      </c>
      <c r="AJ137" s="11" t="s">
        <v>604</v>
      </c>
      <c r="AK137" s="11"/>
      <c r="AL137" s="11" t="s">
        <v>63</v>
      </c>
      <c r="AN137" s="6">
        <v>391267</v>
      </c>
      <c r="AP137" s="6">
        <v>808694</v>
      </c>
      <c r="AR137" s="6">
        <v>0</v>
      </c>
      <c r="AT137" s="6">
        <v>621760</v>
      </c>
      <c r="AV137" s="6">
        <v>176931</v>
      </c>
      <c r="AX137" s="6">
        <v>0</v>
      </c>
      <c r="AZ137" s="7">
        <f t="shared" si="19"/>
        <v>24705752</v>
      </c>
      <c r="BB137" s="6">
        <v>0</v>
      </c>
      <c r="BD137" s="6">
        <v>0</v>
      </c>
      <c r="BF137" s="6">
        <v>0</v>
      </c>
      <c r="BH137" s="6">
        <v>0</v>
      </c>
      <c r="BJ137" s="7">
        <f t="shared" si="18"/>
        <v>24705752</v>
      </c>
      <c r="BL137" s="7">
        <f>'Gov Fd Rev'!AO137-'Gov Fd Exp'!BJ137</f>
        <v>397317</v>
      </c>
      <c r="BN137" s="6">
        <v>-2860229</v>
      </c>
      <c r="BP137" s="6">
        <v>0</v>
      </c>
      <c r="BR137" s="6">
        <v>0</v>
      </c>
      <c r="BT137" s="7">
        <f t="shared" si="20"/>
        <v>-2462912</v>
      </c>
      <c r="BU137" s="7"/>
      <c r="BV137" s="7">
        <f>BT137-'Gov Fd BS'!AC137</f>
        <v>0</v>
      </c>
      <c r="BW137" s="7"/>
    </row>
    <row r="138" spans="1:75">
      <c r="A138" s="11" t="s">
        <v>758</v>
      </c>
      <c r="B138" s="11"/>
      <c r="C138" s="11" t="s">
        <v>48</v>
      </c>
      <c r="E138" s="6">
        <v>3584675</v>
      </c>
      <c r="G138" s="6">
        <v>929629</v>
      </c>
      <c r="I138" s="6">
        <v>0</v>
      </c>
      <c r="K138" s="6">
        <v>0</v>
      </c>
      <c r="M138" s="6">
        <v>4949</v>
      </c>
      <c r="O138" s="6">
        <v>394220</v>
      </c>
      <c r="Q138" s="6">
        <v>365748</v>
      </c>
      <c r="S138" s="6">
        <v>10297</v>
      </c>
      <c r="U138" s="6">
        <v>757380</v>
      </c>
      <c r="W138" s="6">
        <v>255312</v>
      </c>
      <c r="Y138" s="6">
        <v>0</v>
      </c>
      <c r="AA138" s="6">
        <v>816333</v>
      </c>
      <c r="AC138" s="6">
        <v>423000</v>
      </c>
      <c r="AE138" s="6">
        <v>141158</v>
      </c>
      <c r="AG138" s="6">
        <v>341506</v>
      </c>
      <c r="AI138" s="6">
        <v>119031</v>
      </c>
      <c r="AJ138" s="11" t="s">
        <v>758</v>
      </c>
      <c r="AK138" s="11"/>
      <c r="AL138" s="11" t="s">
        <v>48</v>
      </c>
      <c r="AN138" s="6">
        <v>462027</v>
      </c>
      <c r="AP138" s="6">
        <f>72590+46290</f>
        <v>118880</v>
      </c>
      <c r="AR138" s="6">
        <v>0</v>
      </c>
      <c r="AT138" s="6">
        <v>91240</v>
      </c>
      <c r="AV138" s="6">
        <v>8613</v>
      </c>
      <c r="AX138" s="6">
        <v>0</v>
      </c>
      <c r="AZ138" s="7">
        <f t="shared" si="19"/>
        <v>8823998</v>
      </c>
      <c r="BB138" s="6">
        <v>0</v>
      </c>
      <c r="BD138" s="6">
        <v>0</v>
      </c>
      <c r="BF138" s="6">
        <v>0</v>
      </c>
      <c r="BH138" s="6">
        <v>0</v>
      </c>
      <c r="BJ138" s="7">
        <f t="shared" si="18"/>
        <v>8823998</v>
      </c>
      <c r="BL138" s="7">
        <f>'Gov Fd Rev'!AO138-'Gov Fd Exp'!BJ138</f>
        <v>121739</v>
      </c>
      <c r="BN138" s="6">
        <v>1632016</v>
      </c>
      <c r="BP138" s="6">
        <v>0</v>
      </c>
      <c r="BR138" s="6">
        <v>0</v>
      </c>
      <c r="BT138" s="7">
        <f t="shared" si="20"/>
        <v>1753755</v>
      </c>
      <c r="BU138" s="7"/>
      <c r="BV138" s="7">
        <f>BT138-'Gov Fd BS'!AC138</f>
        <v>0</v>
      </c>
      <c r="BW138" s="7"/>
    </row>
    <row r="139" spans="1:75" hidden="1">
      <c r="A139" s="11" t="s">
        <v>831</v>
      </c>
      <c r="B139" s="11"/>
      <c r="C139" s="11" t="s">
        <v>111</v>
      </c>
      <c r="AJ139" s="11" t="s">
        <v>831</v>
      </c>
      <c r="AK139" s="11"/>
      <c r="AL139" s="11" t="s">
        <v>111</v>
      </c>
      <c r="AZ139" s="7">
        <f t="shared" si="19"/>
        <v>0</v>
      </c>
      <c r="BD139" s="6">
        <v>0</v>
      </c>
      <c r="BF139" s="6">
        <v>0</v>
      </c>
      <c r="BJ139" s="7">
        <f t="shared" si="18"/>
        <v>0</v>
      </c>
      <c r="BL139" s="7">
        <f>'Gov Fd Rev'!AO139-'Gov Fd Exp'!BJ139</f>
        <v>0</v>
      </c>
      <c r="BR139" s="6">
        <v>0</v>
      </c>
      <c r="BT139" s="7">
        <f t="shared" si="20"/>
        <v>0</v>
      </c>
      <c r="BU139" s="7"/>
      <c r="BV139" s="7">
        <f>BT139-'Gov Fd BS'!AC139</f>
        <v>0</v>
      </c>
      <c r="BW139" s="7"/>
    </row>
    <row r="140" spans="1:75">
      <c r="A140" s="11" t="s">
        <v>247</v>
      </c>
      <c r="B140" s="11"/>
      <c r="C140" s="11" t="s">
        <v>112</v>
      </c>
      <c r="E140" s="6">
        <v>5647016</v>
      </c>
      <c r="G140" s="6">
        <v>1086859</v>
      </c>
      <c r="I140" s="6">
        <v>85539</v>
      </c>
      <c r="K140" s="6">
        <v>0</v>
      </c>
      <c r="M140" s="6">
        <v>99912</v>
      </c>
      <c r="O140" s="6">
        <v>552635</v>
      </c>
      <c r="Q140" s="6">
        <v>409737</v>
      </c>
      <c r="S140" s="6">
        <v>22588</v>
      </c>
      <c r="U140" s="6">
        <v>929004</v>
      </c>
      <c r="W140" s="6">
        <v>350395</v>
      </c>
      <c r="Y140" s="6">
        <v>0</v>
      </c>
      <c r="AA140" s="6">
        <v>1239034</v>
      </c>
      <c r="AC140" s="6">
        <v>665219</v>
      </c>
      <c r="AE140" s="6">
        <v>26245</v>
      </c>
      <c r="AG140" s="6">
        <v>570562</v>
      </c>
      <c r="AI140" s="6">
        <v>1585</v>
      </c>
      <c r="AJ140" s="11" t="s">
        <v>247</v>
      </c>
      <c r="AK140" s="11"/>
      <c r="AL140" s="11" t="s">
        <v>112</v>
      </c>
      <c r="AN140" s="6">
        <v>361367</v>
      </c>
      <c r="AP140" s="6">
        <v>2557162</v>
      </c>
      <c r="AR140" s="6">
        <v>0</v>
      </c>
      <c r="AT140" s="6">
        <v>618030</v>
      </c>
      <c r="AV140" s="6">
        <v>286621</v>
      </c>
      <c r="AX140" s="6">
        <v>0</v>
      </c>
      <c r="AZ140" s="7">
        <f t="shared" si="19"/>
        <v>15509510</v>
      </c>
      <c r="BB140" s="6">
        <v>15000</v>
      </c>
      <c r="BD140" s="6">
        <v>0</v>
      </c>
      <c r="BF140" s="6">
        <v>0</v>
      </c>
      <c r="BH140" s="6">
        <v>0</v>
      </c>
      <c r="BJ140" s="7">
        <f t="shared" si="18"/>
        <v>15524510</v>
      </c>
      <c r="BL140" s="7">
        <f>'Gov Fd Rev'!AO140-'Gov Fd Exp'!BJ140</f>
        <v>-1976829</v>
      </c>
      <c r="BN140" s="6">
        <v>3789032</v>
      </c>
      <c r="BP140" s="6">
        <v>0</v>
      </c>
      <c r="BR140" s="6">
        <v>0</v>
      </c>
      <c r="BT140" s="7">
        <f t="shared" si="20"/>
        <v>1812203</v>
      </c>
      <c r="BU140" s="7"/>
      <c r="BV140" s="7">
        <f>BT140-'Gov Fd BS'!AC140</f>
        <v>0</v>
      </c>
      <c r="BW140" s="7"/>
    </row>
    <row r="141" spans="1:75">
      <c r="A141" s="11" t="s">
        <v>247</v>
      </c>
      <c r="B141" s="11"/>
      <c r="C141" s="11" t="s">
        <v>110</v>
      </c>
      <c r="E141" s="6">
        <v>5484604</v>
      </c>
      <c r="G141" s="6">
        <v>1186596</v>
      </c>
      <c r="I141" s="6">
        <v>249756</v>
      </c>
      <c r="K141" s="6">
        <v>0</v>
      </c>
      <c r="M141" s="6">
        <v>0</v>
      </c>
      <c r="O141" s="6">
        <v>561194</v>
      </c>
      <c r="Q141" s="6">
        <v>629719</v>
      </c>
      <c r="S141" s="6">
        <v>99459</v>
      </c>
      <c r="U141" s="6">
        <v>761250</v>
      </c>
      <c r="W141" s="6">
        <v>278098</v>
      </c>
      <c r="Y141" s="6">
        <v>720</v>
      </c>
      <c r="AA141" s="6">
        <v>1082693</v>
      </c>
      <c r="AC141" s="6">
        <v>778725</v>
      </c>
      <c r="AE141" s="6">
        <v>21524</v>
      </c>
      <c r="AG141" s="6">
        <v>460378</v>
      </c>
      <c r="AI141" s="6">
        <v>0</v>
      </c>
      <c r="AJ141" s="11" t="s">
        <v>247</v>
      </c>
      <c r="AK141" s="11"/>
      <c r="AL141" s="11" t="s">
        <v>110</v>
      </c>
      <c r="AN141" s="6">
        <v>480154</v>
      </c>
      <c r="AP141" s="6">
        <v>124129</v>
      </c>
      <c r="AR141" s="6">
        <v>0</v>
      </c>
      <c r="AT141" s="6">
        <v>1100000</v>
      </c>
      <c r="AV141" s="6">
        <f>88491+32480</f>
        <v>120971</v>
      </c>
      <c r="AX141" s="6">
        <v>0</v>
      </c>
      <c r="AZ141" s="7">
        <f t="shared" si="19"/>
        <v>13419970</v>
      </c>
      <c r="BB141" s="6">
        <v>465000</v>
      </c>
      <c r="BD141" s="6">
        <v>0</v>
      </c>
      <c r="BF141" s="6">
        <v>0</v>
      </c>
      <c r="BH141" s="6">
        <v>2238691</v>
      </c>
      <c r="BJ141" s="7">
        <f t="shared" si="18"/>
        <v>16123661</v>
      </c>
      <c r="BL141" s="7">
        <f>'Gov Fd Rev'!AO141-'Gov Fd Exp'!BJ141</f>
        <v>-908670</v>
      </c>
      <c r="BN141" s="6">
        <v>7539664</v>
      </c>
      <c r="BP141" s="6">
        <v>0</v>
      </c>
      <c r="BR141" s="6">
        <v>0</v>
      </c>
      <c r="BT141" s="7">
        <f t="shared" si="20"/>
        <v>6630994</v>
      </c>
      <c r="BU141" s="7"/>
      <c r="BV141" s="7">
        <f>BT141-'Gov Fd BS'!AC141</f>
        <v>0</v>
      </c>
      <c r="BW141" s="7"/>
    </row>
    <row r="142" spans="1:75" hidden="1">
      <c r="A142" s="11" t="s">
        <v>655</v>
      </c>
      <c r="B142" s="11"/>
      <c r="C142" s="11" t="s">
        <v>67</v>
      </c>
      <c r="AJ142" s="11" t="s">
        <v>655</v>
      </c>
      <c r="AK142" s="11"/>
      <c r="AL142" s="11" t="s">
        <v>67</v>
      </c>
      <c r="AZ142" s="7">
        <f t="shared" si="19"/>
        <v>0</v>
      </c>
      <c r="BD142" s="6">
        <v>0</v>
      </c>
      <c r="BF142" s="6">
        <v>0</v>
      </c>
      <c r="BJ142" s="7">
        <f t="shared" si="18"/>
        <v>0</v>
      </c>
      <c r="BL142" s="7">
        <f>'Gov Fd Rev'!AO142-'Gov Fd Exp'!BJ142</f>
        <v>0</v>
      </c>
      <c r="BR142" s="6">
        <v>0</v>
      </c>
      <c r="BT142" s="7">
        <f t="shared" si="20"/>
        <v>0</v>
      </c>
      <c r="BU142" s="7"/>
      <c r="BV142" s="7">
        <f>BT142-'Gov Fd BS'!AC142</f>
        <v>0</v>
      </c>
      <c r="BW142" s="7"/>
    </row>
    <row r="143" spans="1:75">
      <c r="A143" s="11" t="s">
        <v>718</v>
      </c>
      <c r="B143" s="11"/>
      <c r="C143" s="11" t="s">
        <v>56</v>
      </c>
      <c r="E143" s="6">
        <v>8964578</v>
      </c>
      <c r="G143" s="6">
        <v>2051692</v>
      </c>
      <c r="I143" s="6">
        <v>108114</v>
      </c>
      <c r="K143" s="6">
        <v>64</v>
      </c>
      <c r="M143" s="6">
        <f>77684+1154201</f>
        <v>1231885</v>
      </c>
      <c r="O143" s="6">
        <v>943184</v>
      </c>
      <c r="Q143" s="6">
        <v>990146</v>
      </c>
      <c r="S143" s="6">
        <v>20410</v>
      </c>
      <c r="U143" s="6">
        <v>2310246</v>
      </c>
      <c r="W143" s="6">
        <v>532125</v>
      </c>
      <c r="Y143" s="6">
        <v>21731</v>
      </c>
      <c r="AA143" s="6">
        <v>2105288</v>
      </c>
      <c r="AC143" s="6">
        <v>1385224</v>
      </c>
      <c r="AE143" s="6">
        <v>400750</v>
      </c>
      <c r="AG143" s="6">
        <v>607187</v>
      </c>
      <c r="AI143" s="6">
        <v>19982</v>
      </c>
      <c r="AJ143" s="11" t="s">
        <v>718</v>
      </c>
      <c r="AK143" s="11"/>
      <c r="AL143" s="11" t="s">
        <v>56</v>
      </c>
      <c r="AN143" s="6">
        <v>593924</v>
      </c>
      <c r="AP143" s="6">
        <v>135455</v>
      </c>
      <c r="AR143" s="6">
        <v>0</v>
      </c>
      <c r="AT143" s="6">
        <v>361901</v>
      </c>
      <c r="AV143" s="6">
        <v>201164</v>
      </c>
      <c r="AX143" s="6">
        <v>0</v>
      </c>
      <c r="AZ143" s="7">
        <f t="shared" si="19"/>
        <v>22985050</v>
      </c>
      <c r="BB143" s="6">
        <v>6902</v>
      </c>
      <c r="BD143" s="6">
        <v>0</v>
      </c>
      <c r="BF143" s="6">
        <v>0</v>
      </c>
      <c r="BH143" s="6">
        <v>0</v>
      </c>
      <c r="BJ143" s="7">
        <f t="shared" si="18"/>
        <v>22991952</v>
      </c>
      <c r="BL143" s="7">
        <f>'Gov Fd Rev'!AO143-'Gov Fd Exp'!BJ143</f>
        <v>-1152990</v>
      </c>
      <c r="BN143" s="6">
        <v>5775065</v>
      </c>
      <c r="BP143" s="6">
        <v>0</v>
      </c>
      <c r="BR143" s="6">
        <v>0</v>
      </c>
      <c r="BT143" s="7">
        <f t="shared" si="20"/>
        <v>4622075</v>
      </c>
      <c r="BU143" s="7"/>
      <c r="BV143" s="7">
        <f>BT143-'Gov Fd BS'!AC143</f>
        <v>0</v>
      </c>
      <c r="BW143" s="7"/>
    </row>
    <row r="144" spans="1:75">
      <c r="A144" s="11" t="s">
        <v>759</v>
      </c>
      <c r="B144" s="11"/>
      <c r="C144" s="11" t="s">
        <v>451</v>
      </c>
      <c r="E144" s="6">
        <v>6450939</v>
      </c>
      <c r="G144" s="6">
        <v>0</v>
      </c>
      <c r="I144" s="6">
        <v>0</v>
      </c>
      <c r="K144" s="6">
        <v>0</v>
      </c>
      <c r="M144" s="6">
        <v>0</v>
      </c>
      <c r="O144" s="6">
        <v>857855</v>
      </c>
      <c r="Q144" s="6">
        <v>418367</v>
      </c>
      <c r="S144" s="6">
        <v>47184</v>
      </c>
      <c r="U144" s="6">
        <v>1005059</v>
      </c>
      <c r="W144" s="6">
        <v>291447</v>
      </c>
      <c r="Y144" s="6">
        <v>0</v>
      </c>
      <c r="AA144" s="6">
        <v>1035746</v>
      </c>
      <c r="AC144" s="6">
        <v>622564</v>
      </c>
      <c r="AE144" s="6">
        <v>4824</v>
      </c>
      <c r="AG144" s="6">
        <v>0</v>
      </c>
      <c r="AI144" s="6">
        <v>564667</v>
      </c>
      <c r="AJ144" s="11" t="s">
        <v>759</v>
      </c>
      <c r="AK144" s="11"/>
      <c r="AL144" s="11" t="s">
        <v>451</v>
      </c>
      <c r="AN144" s="6">
        <v>314990</v>
      </c>
      <c r="AP144" s="6">
        <v>477739</v>
      </c>
      <c r="AR144" s="6">
        <v>0</v>
      </c>
      <c r="AT144" s="6">
        <v>139063</v>
      </c>
      <c r="AV144" s="6">
        <v>63590</v>
      </c>
      <c r="AX144" s="6">
        <v>0</v>
      </c>
      <c r="AZ144" s="7">
        <f t="shared" si="19"/>
        <v>12294034</v>
      </c>
      <c r="BB144" s="6">
        <v>4092</v>
      </c>
      <c r="BD144" s="6">
        <v>0</v>
      </c>
      <c r="BF144" s="6">
        <v>0</v>
      </c>
      <c r="BH144" s="6">
        <v>18800</v>
      </c>
      <c r="BJ144" s="7">
        <f t="shared" si="18"/>
        <v>12316926</v>
      </c>
      <c r="BL144" s="7">
        <f>'Gov Fd Rev'!AO144-'Gov Fd Exp'!BJ144</f>
        <v>-90094</v>
      </c>
      <c r="BN144" s="6">
        <v>711052</v>
      </c>
      <c r="BP144" s="6">
        <v>3760</v>
      </c>
      <c r="BR144" s="6">
        <v>0</v>
      </c>
      <c r="BT144" s="7">
        <f t="shared" si="20"/>
        <v>624718</v>
      </c>
      <c r="BU144" s="7"/>
      <c r="BV144" s="7">
        <f>BT144-'Gov Fd BS'!AC144</f>
        <v>0</v>
      </c>
      <c r="BW144" s="7"/>
    </row>
    <row r="145" spans="1:75">
      <c r="A145" s="11" t="s">
        <v>656</v>
      </c>
      <c r="B145" s="11"/>
      <c r="C145" s="11" t="s">
        <v>63</v>
      </c>
      <c r="E145" s="6">
        <v>21450761</v>
      </c>
      <c r="G145" s="6">
        <v>4994297</v>
      </c>
      <c r="I145" s="6">
        <v>1056453</v>
      </c>
      <c r="K145" s="6">
        <v>0</v>
      </c>
      <c r="M145" s="6">
        <v>5445636</v>
      </c>
      <c r="O145" s="6">
        <v>2794926</v>
      </c>
      <c r="Q145" s="6">
        <v>1794627</v>
      </c>
      <c r="S145" s="6">
        <v>65051</v>
      </c>
      <c r="U145" s="6">
        <v>2723285</v>
      </c>
      <c r="W145" s="6">
        <v>968979</v>
      </c>
      <c r="Y145" s="6">
        <v>389038</v>
      </c>
      <c r="AA145" s="6">
        <v>4543492</v>
      </c>
      <c r="AC145" s="6">
        <v>1333773</v>
      </c>
      <c r="AE145" s="6">
        <v>409950</v>
      </c>
      <c r="AG145" s="6">
        <v>1586111</v>
      </c>
      <c r="AI145" s="6">
        <v>1012793</v>
      </c>
      <c r="AJ145" s="11" t="s">
        <v>656</v>
      </c>
      <c r="AK145" s="11"/>
      <c r="AL145" s="11" t="s">
        <v>63</v>
      </c>
      <c r="AN145" s="6">
        <v>1154766</v>
      </c>
      <c r="AP145" s="6">
        <v>0</v>
      </c>
      <c r="AR145" s="6">
        <v>0</v>
      </c>
      <c r="AT145" s="6">
        <v>557586</v>
      </c>
      <c r="AV145" s="6">
        <v>171850</v>
      </c>
      <c r="AX145" s="6">
        <v>0</v>
      </c>
      <c r="AZ145" s="7">
        <f t="shared" si="19"/>
        <v>52453374</v>
      </c>
      <c r="BB145" s="6">
        <v>26364</v>
      </c>
      <c r="BD145" s="6">
        <v>0</v>
      </c>
      <c r="BF145" s="6">
        <v>0</v>
      </c>
      <c r="BH145" s="6">
        <v>0</v>
      </c>
      <c r="BJ145" s="7">
        <f t="shared" si="18"/>
        <v>52479738</v>
      </c>
      <c r="BL145" s="7">
        <f>'Gov Fd Rev'!AO145-'Gov Fd Exp'!BJ145</f>
        <v>-463892</v>
      </c>
      <c r="BN145" s="6">
        <v>4368633</v>
      </c>
      <c r="BP145" s="6">
        <v>0</v>
      </c>
      <c r="BR145" s="6">
        <v>0</v>
      </c>
      <c r="BT145" s="7">
        <f t="shared" si="20"/>
        <v>3904741</v>
      </c>
      <c r="BU145" s="7"/>
      <c r="BV145" s="7">
        <f>BT145-'Gov Fd BS'!AC145</f>
        <v>0</v>
      </c>
      <c r="BW145" s="7"/>
    </row>
    <row r="146" spans="1:75">
      <c r="A146" s="11" t="s">
        <v>719</v>
      </c>
      <c r="B146" s="11"/>
      <c r="C146" s="11" t="s">
        <v>20</v>
      </c>
      <c r="E146" s="6">
        <v>6233793</v>
      </c>
      <c r="G146" s="6">
        <v>1399743</v>
      </c>
      <c r="I146" s="6">
        <v>6980</v>
      </c>
      <c r="K146" s="6">
        <v>0</v>
      </c>
      <c r="M146" s="6">
        <v>0</v>
      </c>
      <c r="O146" s="6">
        <v>793778</v>
      </c>
      <c r="Q146" s="6">
        <v>559885</v>
      </c>
      <c r="S146" s="6">
        <v>55651</v>
      </c>
      <c r="U146" s="6">
        <v>1340763</v>
      </c>
      <c r="W146" s="6">
        <v>605320</v>
      </c>
      <c r="Y146" s="6">
        <v>103325</v>
      </c>
      <c r="AA146" s="6">
        <v>1349957</v>
      </c>
      <c r="AC146" s="6">
        <v>759808</v>
      </c>
      <c r="AE146" s="6">
        <v>271952</v>
      </c>
      <c r="AG146" s="6">
        <v>378610</v>
      </c>
      <c r="AI146" s="6">
        <v>90649</v>
      </c>
      <c r="AJ146" s="11" t="s">
        <v>719</v>
      </c>
      <c r="AK146" s="11"/>
      <c r="AL146" s="11" t="s">
        <v>20</v>
      </c>
      <c r="AN146" s="6">
        <v>778986</v>
      </c>
      <c r="AP146" s="6">
        <v>0</v>
      </c>
      <c r="AR146" s="6">
        <v>0</v>
      </c>
      <c r="AT146" s="6">
        <v>544071</v>
      </c>
      <c r="AV146" s="6">
        <v>74953</v>
      </c>
      <c r="AX146" s="6">
        <v>0</v>
      </c>
      <c r="AZ146" s="7">
        <f t="shared" si="19"/>
        <v>15348224</v>
      </c>
      <c r="BB146" s="6">
        <v>127000</v>
      </c>
      <c r="BD146" s="6">
        <v>0</v>
      </c>
      <c r="BF146" s="6">
        <v>0</v>
      </c>
      <c r="BH146" s="6">
        <v>0</v>
      </c>
      <c r="BJ146" s="7">
        <f t="shared" si="18"/>
        <v>15475224</v>
      </c>
      <c r="BL146" s="7">
        <f>'Gov Fd Rev'!AO146-'Gov Fd Exp'!BJ146</f>
        <v>-610766</v>
      </c>
      <c r="BN146" s="6">
        <v>2466625</v>
      </c>
      <c r="BP146" s="6">
        <v>0</v>
      </c>
      <c r="BR146" s="6">
        <v>0</v>
      </c>
      <c r="BT146" s="7">
        <f t="shared" si="20"/>
        <v>1855859</v>
      </c>
      <c r="BU146" s="7"/>
      <c r="BV146" s="7">
        <f>BT146-'Gov Fd BS'!AC146</f>
        <v>0</v>
      </c>
      <c r="BW146" s="7"/>
    </row>
    <row r="147" spans="1:75">
      <c r="A147" s="11" t="s">
        <v>609</v>
      </c>
      <c r="B147" s="11"/>
      <c r="C147" s="11" t="s">
        <v>71</v>
      </c>
      <c r="E147" s="6">
        <v>3181339</v>
      </c>
      <c r="G147" s="6">
        <v>917119</v>
      </c>
      <c r="I147" s="6">
        <v>223514</v>
      </c>
      <c r="K147" s="6">
        <v>0</v>
      </c>
      <c r="M147" s="6">
        <v>331263</v>
      </c>
      <c r="O147" s="6">
        <v>407195</v>
      </c>
      <c r="Q147" s="6">
        <v>670466</v>
      </c>
      <c r="S147" s="6">
        <v>25159</v>
      </c>
      <c r="U147" s="6">
        <v>689019</v>
      </c>
      <c r="W147" s="6">
        <v>296124</v>
      </c>
      <c r="Y147" s="6">
        <v>0</v>
      </c>
      <c r="AA147" s="6">
        <v>699793</v>
      </c>
      <c r="AC147" s="6">
        <v>443422</v>
      </c>
      <c r="AE147" s="6">
        <v>25677</v>
      </c>
      <c r="AG147" s="6">
        <v>241652</v>
      </c>
      <c r="AI147" s="6">
        <v>135582</v>
      </c>
      <c r="AJ147" s="11" t="s">
        <v>609</v>
      </c>
      <c r="AK147" s="11"/>
      <c r="AL147" s="11" t="s">
        <v>71</v>
      </c>
      <c r="AN147" s="6">
        <v>353254</v>
      </c>
      <c r="AP147" s="6">
        <v>1425727</v>
      </c>
      <c r="AR147" s="6">
        <v>0</v>
      </c>
      <c r="AT147" s="6">
        <v>18555</v>
      </c>
      <c r="AV147" s="6">
        <f>1204+275092</f>
        <v>276296</v>
      </c>
      <c r="AX147" s="6">
        <v>0</v>
      </c>
      <c r="AZ147" s="7">
        <f t="shared" ref="AZ147:AZ148" si="22">SUM(E147:AX147)</f>
        <v>10361156</v>
      </c>
      <c r="BB147" s="6">
        <v>12854</v>
      </c>
      <c r="BD147" s="6">
        <v>0</v>
      </c>
      <c r="BF147" s="6">
        <v>0</v>
      </c>
      <c r="BH147" s="6">
        <v>0</v>
      </c>
      <c r="BJ147" s="7">
        <f t="shared" si="18"/>
        <v>10374010</v>
      </c>
      <c r="BL147" s="7">
        <f>'Gov Fd Rev'!AO147-'Gov Fd Exp'!BJ147</f>
        <v>14562125</v>
      </c>
      <c r="BN147" s="6">
        <v>386372</v>
      </c>
      <c r="BP147" s="6">
        <v>0</v>
      </c>
      <c r="BR147" s="6">
        <v>0</v>
      </c>
      <c r="BT147" s="7">
        <f t="shared" si="20"/>
        <v>14948497</v>
      </c>
      <c r="BU147" s="7"/>
      <c r="BV147" s="7">
        <f>BT147-'Gov Fd BS'!AC147</f>
        <v>0</v>
      </c>
      <c r="BW147" s="7"/>
    </row>
    <row r="148" spans="1:75" hidden="1">
      <c r="A148" s="11" t="s">
        <v>741</v>
      </c>
      <c r="B148" s="11"/>
      <c r="C148" s="11" t="s">
        <v>53</v>
      </c>
      <c r="AJ148" s="11" t="s">
        <v>741</v>
      </c>
      <c r="AK148" s="11"/>
      <c r="AL148" s="11" t="s">
        <v>53</v>
      </c>
      <c r="AZ148" s="7">
        <f t="shared" si="22"/>
        <v>0</v>
      </c>
      <c r="BB148" s="23"/>
      <c r="BJ148" s="7">
        <f t="shared" si="18"/>
        <v>0</v>
      </c>
      <c r="BL148" s="7">
        <f>'Gov Fd Rev'!AO148-'Gov Fd Exp'!BJ148</f>
        <v>0</v>
      </c>
      <c r="BR148" s="6">
        <v>0</v>
      </c>
      <c r="BT148" s="7">
        <f t="shared" si="20"/>
        <v>0</v>
      </c>
      <c r="BU148" s="7"/>
      <c r="BV148" s="7">
        <f>BT148-'Gov Fd BS'!AC148</f>
        <v>0</v>
      </c>
      <c r="BW148" s="7"/>
    </row>
    <row r="149" spans="1:75" hidden="1">
      <c r="A149" s="11" t="s">
        <v>657</v>
      </c>
      <c r="B149" s="11"/>
      <c r="C149" s="11" t="s">
        <v>40</v>
      </c>
      <c r="AJ149" s="11" t="s">
        <v>657</v>
      </c>
      <c r="AK149" s="11"/>
      <c r="AL149" s="11" t="s">
        <v>40</v>
      </c>
      <c r="AZ149" s="7">
        <f t="shared" ref="AZ149:AZ159" si="23">SUM(E149:AX149)</f>
        <v>0</v>
      </c>
      <c r="BJ149" s="7">
        <f t="shared" si="18"/>
        <v>0</v>
      </c>
      <c r="BL149" s="7">
        <f>'Gov Fd Rev'!AO149-'Gov Fd Exp'!BJ149</f>
        <v>0</v>
      </c>
      <c r="BR149" s="6">
        <v>0</v>
      </c>
      <c r="BT149" s="7">
        <f t="shared" si="20"/>
        <v>0</v>
      </c>
      <c r="BU149" s="7"/>
      <c r="BV149" s="7">
        <f>BT149-'Gov Fd BS'!AC149</f>
        <v>0</v>
      </c>
      <c r="BW149" s="7"/>
    </row>
    <row r="150" spans="1:75">
      <c r="A150" s="11" t="s">
        <v>367</v>
      </c>
      <c r="B150" s="11"/>
      <c r="C150" s="11" t="s">
        <v>366</v>
      </c>
      <c r="E150" s="6">
        <v>6992591</v>
      </c>
      <c r="G150" s="6">
        <v>501631</v>
      </c>
      <c r="I150" s="6">
        <v>207852</v>
      </c>
      <c r="K150" s="6">
        <v>0</v>
      </c>
      <c r="M150" s="6">
        <v>0</v>
      </c>
      <c r="O150" s="6">
        <v>591715</v>
      </c>
      <c r="Q150" s="6">
        <v>260619</v>
      </c>
      <c r="S150" s="6">
        <v>31733</v>
      </c>
      <c r="U150" s="6">
        <v>786292</v>
      </c>
      <c r="W150" s="6">
        <v>531777</v>
      </c>
      <c r="Y150" s="6">
        <v>56363</v>
      </c>
      <c r="AA150" s="6">
        <v>1098994</v>
      </c>
      <c r="AC150" s="6">
        <v>657191</v>
      </c>
      <c r="AE150" s="6">
        <v>240112</v>
      </c>
      <c r="AG150" s="6">
        <v>558437</v>
      </c>
      <c r="AI150" s="6">
        <v>13379</v>
      </c>
      <c r="AJ150" s="11" t="s">
        <v>367</v>
      </c>
      <c r="AK150" s="11"/>
      <c r="AL150" s="11" t="s">
        <v>366</v>
      </c>
      <c r="AN150" s="6">
        <v>383869</v>
      </c>
      <c r="AP150" s="6">
        <v>984582</v>
      </c>
      <c r="AR150" s="6">
        <v>0</v>
      </c>
      <c r="AT150" s="6">
        <v>240000</v>
      </c>
      <c r="AV150" s="6">
        <v>163718</v>
      </c>
      <c r="AX150" s="6">
        <v>0</v>
      </c>
      <c r="AZ150" s="7">
        <f t="shared" si="23"/>
        <v>14300855</v>
      </c>
      <c r="BB150" s="6">
        <v>652764</v>
      </c>
      <c r="BD150" s="6">
        <v>0</v>
      </c>
      <c r="BF150" s="6">
        <v>0</v>
      </c>
      <c r="BH150" s="6">
        <v>0</v>
      </c>
      <c r="BJ150" s="7">
        <f t="shared" si="18"/>
        <v>14953619</v>
      </c>
      <c r="BL150" s="7">
        <f>'Gov Fd Rev'!AO150-'Gov Fd Exp'!BJ150</f>
        <v>-589343</v>
      </c>
      <c r="BN150" s="6">
        <v>5683599</v>
      </c>
      <c r="BP150" s="6">
        <v>0</v>
      </c>
      <c r="BR150" s="6">
        <v>0</v>
      </c>
      <c r="BT150" s="7">
        <f t="shared" si="20"/>
        <v>5094256</v>
      </c>
      <c r="BU150" s="7"/>
      <c r="BV150" s="7">
        <f>BT150-'Gov Fd BS'!AC150</f>
        <v>0</v>
      </c>
      <c r="BW150" s="7"/>
    </row>
    <row r="151" spans="1:75">
      <c r="A151" s="11" t="s">
        <v>429</v>
      </c>
      <c r="B151" s="11"/>
      <c r="C151" s="11" t="s">
        <v>50</v>
      </c>
      <c r="E151" s="6">
        <v>57117036</v>
      </c>
      <c r="G151" s="6">
        <v>27635891</v>
      </c>
      <c r="I151" s="6">
        <v>2971300</v>
      </c>
      <c r="K151" s="6">
        <v>20221</v>
      </c>
      <c r="M151" s="6">
        <v>3467519</v>
      </c>
      <c r="O151" s="6">
        <v>11282269</v>
      </c>
      <c r="Q151" s="6">
        <v>18516548</v>
      </c>
      <c r="S151" s="6">
        <v>629222</v>
      </c>
      <c r="U151" s="6">
        <v>18434096</v>
      </c>
      <c r="W151" s="6">
        <v>4583653</v>
      </c>
      <c r="Y151" s="6">
        <v>2554132</v>
      </c>
      <c r="AA151" s="6">
        <v>20812849</v>
      </c>
      <c r="AC151" s="6">
        <v>18317466</v>
      </c>
      <c r="AE151" s="6">
        <v>10532374</v>
      </c>
      <c r="AG151" s="6">
        <v>0</v>
      </c>
      <c r="AI151" s="6">
        <v>69737428</v>
      </c>
      <c r="AJ151" s="11" t="s">
        <v>429</v>
      </c>
      <c r="AK151" s="11"/>
      <c r="AL151" s="11" t="s">
        <v>50</v>
      </c>
      <c r="AN151" s="6">
        <v>1732629</v>
      </c>
      <c r="AP151" s="6">
        <v>24089932</v>
      </c>
      <c r="AR151" s="6">
        <v>0</v>
      </c>
      <c r="AT151" s="6">
        <v>9582257</v>
      </c>
      <c r="AV151" s="6">
        <f>10384326+292498</f>
        <v>10676824</v>
      </c>
      <c r="AX151" s="6">
        <v>0</v>
      </c>
      <c r="AZ151" s="7">
        <f t="shared" si="23"/>
        <v>312693646</v>
      </c>
      <c r="BB151" s="6">
        <v>16179663</v>
      </c>
      <c r="BD151" s="6">
        <v>0</v>
      </c>
      <c r="BF151" s="6">
        <v>0</v>
      </c>
      <c r="BH151" s="6">
        <v>15130769</v>
      </c>
      <c r="BJ151" s="7">
        <f t="shared" si="18"/>
        <v>344004078</v>
      </c>
      <c r="BL151" s="7">
        <f>'Gov Fd Rev'!AO151-'Gov Fd Exp'!BJ151</f>
        <v>-24227065</v>
      </c>
      <c r="BN151" s="6">
        <v>101603435</v>
      </c>
      <c r="BP151" s="6">
        <v>0</v>
      </c>
      <c r="BR151" s="6">
        <v>0</v>
      </c>
      <c r="BT151" s="7">
        <f t="shared" si="20"/>
        <v>77376370</v>
      </c>
      <c r="BU151" s="7"/>
      <c r="BV151" s="7">
        <f>BT151-'Gov Fd BS'!AC151</f>
        <v>0</v>
      </c>
      <c r="BW151" s="7"/>
    </row>
    <row r="152" spans="1:75">
      <c r="A152" s="11" t="s">
        <v>889</v>
      </c>
      <c r="B152" s="11"/>
      <c r="C152" s="11" t="s">
        <v>32</v>
      </c>
      <c r="E152" s="6">
        <v>6247153</v>
      </c>
      <c r="G152" s="6">
        <v>1594986</v>
      </c>
      <c r="I152" s="6">
        <v>191581</v>
      </c>
      <c r="K152" s="6">
        <v>0</v>
      </c>
      <c r="M152" s="6">
        <v>0</v>
      </c>
      <c r="O152" s="6">
        <v>873762</v>
      </c>
      <c r="Q152" s="6">
        <v>855733</v>
      </c>
      <c r="S152" s="6">
        <v>83330</v>
      </c>
      <c r="U152" s="6">
        <v>1100676</v>
      </c>
      <c r="W152" s="6">
        <v>605730</v>
      </c>
      <c r="Y152" s="6">
        <v>125134</v>
      </c>
      <c r="AA152" s="6">
        <v>1462590</v>
      </c>
      <c r="AC152" s="6">
        <v>314391</v>
      </c>
      <c r="AE152" s="6">
        <v>155951</v>
      </c>
      <c r="AG152" s="6">
        <v>0</v>
      </c>
      <c r="AI152" s="6">
        <v>553562</v>
      </c>
      <c r="AJ152" s="11" t="s">
        <v>889</v>
      </c>
      <c r="AK152" s="11"/>
      <c r="AL152" s="11" t="s">
        <v>32</v>
      </c>
      <c r="AN152" s="6">
        <v>506908</v>
      </c>
      <c r="AP152" s="6">
        <v>0</v>
      </c>
      <c r="AR152" s="6">
        <v>0</v>
      </c>
      <c r="AT152" s="6">
        <v>132212</v>
      </c>
      <c r="AV152" s="6">
        <v>16002</v>
      </c>
      <c r="AX152" s="6">
        <v>0</v>
      </c>
      <c r="AZ152" s="7">
        <f t="shared" si="23"/>
        <v>14819701</v>
      </c>
      <c r="BB152" s="6">
        <v>1041000</v>
      </c>
      <c r="BD152" s="6">
        <v>0</v>
      </c>
      <c r="BF152" s="6">
        <v>0</v>
      </c>
      <c r="BH152" s="6">
        <v>0</v>
      </c>
      <c r="BJ152" s="7">
        <f t="shared" si="18"/>
        <v>15860701</v>
      </c>
      <c r="BL152" s="7">
        <f>'Gov Fd Rev'!AO152-'Gov Fd Exp'!BJ152</f>
        <v>152289</v>
      </c>
      <c r="BN152" s="6">
        <v>8022486</v>
      </c>
      <c r="BP152" s="6">
        <v>0</v>
      </c>
      <c r="BR152" s="6">
        <v>0</v>
      </c>
      <c r="BT152" s="7">
        <f t="shared" si="20"/>
        <v>8174775</v>
      </c>
      <c r="BU152" s="7"/>
      <c r="BV152" s="7">
        <f>BT152-'Gov Fd BS'!AC152</f>
        <v>0</v>
      </c>
      <c r="BW152" s="7"/>
    </row>
    <row r="153" spans="1:75" hidden="1">
      <c r="A153" s="11" t="s">
        <v>658</v>
      </c>
      <c r="B153" s="11"/>
      <c r="C153" s="11" t="s">
        <v>22</v>
      </c>
      <c r="AJ153" s="11" t="s">
        <v>658</v>
      </c>
      <c r="AK153" s="11"/>
      <c r="AL153" s="11" t="s">
        <v>22</v>
      </c>
      <c r="AZ153" s="7">
        <f t="shared" si="23"/>
        <v>0</v>
      </c>
      <c r="BJ153" s="7">
        <f t="shared" si="18"/>
        <v>0</v>
      </c>
      <c r="BL153" s="7">
        <f>'Gov Fd Rev'!AO153-'Gov Fd Exp'!BJ153</f>
        <v>0</v>
      </c>
      <c r="BT153" s="7">
        <f t="shared" si="20"/>
        <v>0</v>
      </c>
      <c r="BU153" s="7"/>
      <c r="BV153" s="7">
        <f>BT153-'Gov Fd BS'!AC153</f>
        <v>0</v>
      </c>
      <c r="BW153" s="7"/>
    </row>
    <row r="154" spans="1:75">
      <c r="A154" s="11" t="s">
        <v>742</v>
      </c>
      <c r="B154" s="11"/>
      <c r="C154" s="11" t="s">
        <v>23</v>
      </c>
      <c r="E154" s="6">
        <v>21874431</v>
      </c>
      <c r="G154" s="6">
        <v>5782525</v>
      </c>
      <c r="I154" s="6">
        <v>216310</v>
      </c>
      <c r="K154" s="6">
        <v>0</v>
      </c>
      <c r="M154" s="6">
        <f>87694+2300758</f>
        <v>2388452</v>
      </c>
      <c r="O154" s="6">
        <v>2585628</v>
      </c>
      <c r="Q154" s="6">
        <v>2591311</v>
      </c>
      <c r="S154" s="6">
        <v>173989</v>
      </c>
      <c r="U154" s="6">
        <v>2946144</v>
      </c>
      <c r="W154" s="6">
        <v>1086479</v>
      </c>
      <c r="Y154" s="6">
        <v>329307</v>
      </c>
      <c r="AA154" s="6">
        <v>3988792</v>
      </c>
      <c r="AC154" s="6">
        <v>2929899</v>
      </c>
      <c r="AE154" s="6">
        <v>264800</v>
      </c>
      <c r="AG154" s="6">
        <v>0</v>
      </c>
      <c r="AI154" s="6">
        <v>2003170</v>
      </c>
      <c r="AJ154" s="11" t="s">
        <v>742</v>
      </c>
      <c r="AK154" s="11"/>
      <c r="AL154" s="11" t="s">
        <v>23</v>
      </c>
      <c r="AN154" s="6">
        <v>1144501</v>
      </c>
      <c r="AP154" s="6">
        <v>3331643</v>
      </c>
      <c r="AR154" s="6">
        <v>0</v>
      </c>
      <c r="AT154" s="6">
        <v>2427197</v>
      </c>
      <c r="AV154" s="6">
        <v>1207468</v>
      </c>
      <c r="AX154" s="6">
        <v>0</v>
      </c>
      <c r="AZ154" s="7">
        <f t="shared" si="23"/>
        <v>57272046</v>
      </c>
      <c r="BB154" s="6">
        <v>0</v>
      </c>
      <c r="BD154" s="6">
        <v>0</v>
      </c>
      <c r="BF154" s="6">
        <v>0</v>
      </c>
      <c r="BH154" s="6">
        <v>0</v>
      </c>
      <c r="BJ154" s="7">
        <f t="shared" si="18"/>
        <v>57272046</v>
      </c>
      <c r="BL154" s="7">
        <f>'Gov Fd Rev'!AO154-'Gov Fd Exp'!BJ154</f>
        <v>2940561</v>
      </c>
      <c r="BN154" s="6">
        <v>7796610</v>
      </c>
      <c r="BP154" s="6">
        <v>0</v>
      </c>
      <c r="BR154" s="6">
        <v>0</v>
      </c>
      <c r="BT154" s="7">
        <f t="shared" si="20"/>
        <v>10737171</v>
      </c>
      <c r="BU154" s="7"/>
      <c r="BV154" s="7">
        <f>BT154-'Gov Fd BS'!AC154</f>
        <v>0</v>
      </c>
      <c r="BW154" s="7"/>
    </row>
    <row r="155" spans="1:75">
      <c r="A155" s="11" t="s">
        <v>201</v>
      </c>
      <c r="B155" s="11"/>
      <c r="C155" s="11" t="s">
        <v>10</v>
      </c>
      <c r="E155" s="6">
        <v>4338270</v>
      </c>
      <c r="G155" s="6">
        <v>1218701</v>
      </c>
      <c r="I155" s="6">
        <v>390328</v>
      </c>
      <c r="K155" s="6">
        <v>0</v>
      </c>
      <c r="M155" s="6">
        <v>0</v>
      </c>
      <c r="O155" s="6">
        <v>534762</v>
      </c>
      <c r="Q155" s="6">
        <v>262488</v>
      </c>
      <c r="S155" s="6">
        <v>26199</v>
      </c>
      <c r="U155" s="6">
        <v>876224</v>
      </c>
      <c r="W155" s="6">
        <v>307397</v>
      </c>
      <c r="Y155" s="6">
        <v>0</v>
      </c>
      <c r="AA155" s="6">
        <v>516097</v>
      </c>
      <c r="AC155" s="6">
        <v>438021</v>
      </c>
      <c r="AE155" s="6">
        <v>8435</v>
      </c>
      <c r="AG155" s="6">
        <v>0</v>
      </c>
      <c r="AI155" s="6">
        <v>935748</v>
      </c>
      <c r="AJ155" s="11" t="s">
        <v>201</v>
      </c>
      <c r="AK155" s="11"/>
      <c r="AL155" s="11" t="s">
        <v>10</v>
      </c>
      <c r="AN155" s="6">
        <v>334620</v>
      </c>
      <c r="AP155" s="6">
        <v>266857</v>
      </c>
      <c r="AR155" s="6">
        <v>0</v>
      </c>
      <c r="AT155" s="6">
        <v>0</v>
      </c>
      <c r="AV155" s="6">
        <v>0</v>
      </c>
      <c r="AX155" s="6">
        <v>0</v>
      </c>
      <c r="AZ155" s="7">
        <f t="shared" si="23"/>
        <v>10454147</v>
      </c>
      <c r="BB155" s="6">
        <v>0</v>
      </c>
      <c r="BD155" s="6">
        <v>0</v>
      </c>
      <c r="BF155" s="6">
        <v>0</v>
      </c>
      <c r="BH155" s="6">
        <v>0</v>
      </c>
      <c r="BJ155" s="7">
        <f t="shared" ref="BJ155:BJ156" si="24">AZ155+BB155+BH155</f>
        <v>10454147</v>
      </c>
      <c r="BL155" s="7">
        <f>'Gov Fd Rev'!AO155-'Gov Fd Exp'!BJ155</f>
        <v>451330</v>
      </c>
      <c r="BN155" s="6">
        <v>419700</v>
      </c>
      <c r="BP155" s="6">
        <v>0</v>
      </c>
      <c r="BR155" s="6">
        <v>0</v>
      </c>
      <c r="BT155" s="7">
        <f t="shared" si="20"/>
        <v>871030</v>
      </c>
      <c r="BU155" s="7"/>
      <c r="BV155" s="7">
        <f>BT155-'Gov Fd BS'!AC155</f>
        <v>0</v>
      </c>
      <c r="BW155" s="7"/>
    </row>
    <row r="156" spans="1:75">
      <c r="A156" s="11" t="s">
        <v>534</v>
      </c>
      <c r="B156" s="11"/>
      <c r="C156" s="11" t="s">
        <v>65</v>
      </c>
      <c r="E156" s="6">
        <v>10937084</v>
      </c>
      <c r="G156" s="6">
        <v>1941765</v>
      </c>
      <c r="I156" s="6">
        <v>25924</v>
      </c>
      <c r="K156" s="6">
        <v>0</v>
      </c>
      <c r="M156" s="6">
        <f>103755+215698</f>
        <v>319453</v>
      </c>
      <c r="O156" s="6">
        <v>1353345</v>
      </c>
      <c r="Q156" s="6">
        <v>1288423</v>
      </c>
      <c r="S156" s="6">
        <v>52392</v>
      </c>
      <c r="U156" s="6">
        <v>1910479</v>
      </c>
      <c r="W156" s="6">
        <v>706640</v>
      </c>
      <c r="Y156" s="6">
        <v>0</v>
      </c>
      <c r="AA156" s="6">
        <v>1831053</v>
      </c>
      <c r="AC156" s="6">
        <v>884347</v>
      </c>
      <c r="AE156" s="6">
        <v>0</v>
      </c>
      <c r="AG156" s="6">
        <v>873374</v>
      </c>
      <c r="AI156" s="6">
        <v>158524</v>
      </c>
      <c r="AJ156" s="11" t="s">
        <v>534</v>
      </c>
      <c r="AK156" s="11"/>
      <c r="AL156" s="11" t="s">
        <v>65</v>
      </c>
      <c r="AN156" s="6">
        <v>1032066</v>
      </c>
      <c r="AP156" s="6">
        <v>0</v>
      </c>
      <c r="AR156" s="6">
        <v>0</v>
      </c>
      <c r="AT156" s="6">
        <v>682799</v>
      </c>
      <c r="AV156" s="6">
        <v>93888</v>
      </c>
      <c r="AX156" s="6">
        <v>0</v>
      </c>
      <c r="AZ156" s="7">
        <f t="shared" si="23"/>
        <v>24091556</v>
      </c>
      <c r="BB156" s="6">
        <v>0</v>
      </c>
      <c r="BD156" s="6">
        <v>0</v>
      </c>
      <c r="BF156" s="6">
        <v>0</v>
      </c>
      <c r="BH156" s="6">
        <v>0</v>
      </c>
      <c r="BJ156" s="7">
        <f t="shared" si="24"/>
        <v>24091556</v>
      </c>
      <c r="BL156" s="7">
        <f>'Gov Fd Rev'!AO156-'Gov Fd Exp'!BJ156</f>
        <v>739353</v>
      </c>
      <c r="BN156" s="6">
        <v>8207549</v>
      </c>
      <c r="BP156" s="6">
        <v>0</v>
      </c>
      <c r="BR156" s="6">
        <v>0</v>
      </c>
      <c r="BT156" s="7">
        <f t="shared" si="20"/>
        <v>8946902</v>
      </c>
      <c r="BU156" s="7"/>
      <c r="BV156" s="7">
        <f>BT156-'Gov Fd BS'!AC156</f>
        <v>0</v>
      </c>
      <c r="BW156" s="7"/>
    </row>
    <row r="157" spans="1:75">
      <c r="A157" s="11" t="s">
        <v>302</v>
      </c>
      <c r="B157" s="11"/>
      <c r="C157" s="11" t="s">
        <v>27</v>
      </c>
      <c r="E157" s="6">
        <v>79056784</v>
      </c>
      <c r="G157" s="6">
        <v>22102739</v>
      </c>
      <c r="I157" s="6">
        <v>241815</v>
      </c>
      <c r="K157" s="6">
        <v>0</v>
      </c>
      <c r="M157" s="6">
        <v>0</v>
      </c>
      <c r="O157" s="6">
        <v>10752400</v>
      </c>
      <c r="Q157" s="6">
        <v>15838423</v>
      </c>
      <c r="S157" s="6">
        <v>190947</v>
      </c>
      <c r="U157" s="6">
        <v>11680667</v>
      </c>
      <c r="W157" s="6">
        <v>3341832</v>
      </c>
      <c r="Y157" s="6">
        <v>957199</v>
      </c>
      <c r="AA157" s="6">
        <v>13186913</v>
      </c>
      <c r="AC157" s="6">
        <v>8498894</v>
      </c>
      <c r="AE157" s="6">
        <v>480770</v>
      </c>
      <c r="AG157" s="6">
        <v>0</v>
      </c>
      <c r="AI157" s="6">
        <v>623209</v>
      </c>
      <c r="AJ157" s="11" t="s">
        <v>302</v>
      </c>
      <c r="AK157" s="11"/>
      <c r="AL157" s="11" t="s">
        <v>27</v>
      </c>
      <c r="AN157" s="6">
        <v>5000142</v>
      </c>
      <c r="AP157" s="6">
        <f>304382+3787734</f>
        <v>4092116</v>
      </c>
      <c r="AR157" s="6">
        <v>0</v>
      </c>
      <c r="AT157" s="6">
        <v>22368538</v>
      </c>
      <c r="AV157" s="6">
        <v>6225954</v>
      </c>
      <c r="AX157" s="6">
        <v>70112</v>
      </c>
      <c r="AZ157" s="7">
        <f t="shared" si="23"/>
        <v>204709454</v>
      </c>
      <c r="BB157" s="6">
        <v>492407</v>
      </c>
      <c r="BD157" s="6">
        <v>0</v>
      </c>
      <c r="BF157" s="6">
        <v>0</v>
      </c>
      <c r="BH157" s="6">
        <v>21239205</v>
      </c>
      <c r="BJ157" s="7">
        <f>AZ157+BB157+BH157</f>
        <v>226441066</v>
      </c>
      <c r="BL157" s="7">
        <f>'Gov Fd Rev'!AO157-'Gov Fd Exp'!BJ157</f>
        <v>-9130850</v>
      </c>
      <c r="BN157" s="6">
        <v>100192619</v>
      </c>
      <c r="BP157" s="6">
        <v>-66973</v>
      </c>
      <c r="BR157" s="6">
        <v>0</v>
      </c>
      <c r="BT157" s="7">
        <f t="shared" ref="BT157:BT227" si="25">BL157+BN157+BP157+BR157</f>
        <v>90994796</v>
      </c>
      <c r="BU157" s="7"/>
      <c r="BV157" s="7">
        <f>BT157-'Gov Fd BS'!AC157</f>
        <v>0</v>
      </c>
      <c r="BW157" s="7"/>
    </row>
    <row r="158" spans="1:75">
      <c r="A158" s="11" t="s">
        <v>266</v>
      </c>
      <c r="B158" s="11"/>
      <c r="C158" s="11" t="s">
        <v>20</v>
      </c>
      <c r="E158" s="6">
        <v>16861356</v>
      </c>
      <c r="G158" s="6">
        <v>11594645</v>
      </c>
      <c r="I158" s="6">
        <v>1693048</v>
      </c>
      <c r="K158" s="6">
        <v>62383</v>
      </c>
      <c r="M158" s="6">
        <v>5967960</v>
      </c>
      <c r="O158" s="6">
        <v>3841369</v>
      </c>
      <c r="Q158" s="6">
        <v>5672115</v>
      </c>
      <c r="S158" s="6">
        <v>53429</v>
      </c>
      <c r="U158" s="6">
        <v>4431094</v>
      </c>
      <c r="W158" s="6">
        <v>2426203</v>
      </c>
      <c r="Y158" s="6">
        <v>293718</v>
      </c>
      <c r="AA158" s="6">
        <v>5124814</v>
      </c>
      <c r="AC158" s="6">
        <v>1196451</v>
      </c>
      <c r="AE158" s="6">
        <v>2563609</v>
      </c>
      <c r="AG158" s="6">
        <v>1624246</v>
      </c>
      <c r="AI158" s="6">
        <v>106781</v>
      </c>
      <c r="AJ158" s="11" t="s">
        <v>266</v>
      </c>
      <c r="AK158" s="11"/>
      <c r="AL158" s="11" t="s">
        <v>20</v>
      </c>
      <c r="AN158" s="6">
        <v>505182</v>
      </c>
      <c r="AP158" s="6">
        <v>25000</v>
      </c>
      <c r="AR158" s="6">
        <v>0</v>
      </c>
      <c r="AT158" s="6">
        <v>209148</v>
      </c>
      <c r="AV158" s="6">
        <f>305852+270750</f>
        <v>576602</v>
      </c>
      <c r="AX158" s="6">
        <v>0</v>
      </c>
      <c r="AZ158" s="7">
        <f t="shared" si="23"/>
        <v>64829153</v>
      </c>
      <c r="BB158" s="6">
        <v>181960</v>
      </c>
      <c r="BD158" s="6">
        <v>0</v>
      </c>
      <c r="BF158" s="6">
        <v>0</v>
      </c>
      <c r="BH158" s="6">
        <v>0</v>
      </c>
      <c r="BJ158" s="7">
        <f t="shared" ref="BJ158:BJ225" si="26">AZ158+BB158+BH158</f>
        <v>65011113</v>
      </c>
      <c r="BL158" s="7">
        <f>'Gov Fd Rev'!AO158-'Gov Fd Exp'!BJ158</f>
        <v>-3128583</v>
      </c>
      <c r="BN158" s="6">
        <v>38149602</v>
      </c>
      <c r="BP158" s="6">
        <v>0</v>
      </c>
      <c r="BR158" s="6">
        <v>0</v>
      </c>
      <c r="BT158" s="7">
        <f t="shared" si="25"/>
        <v>35021019</v>
      </c>
      <c r="BU158" s="7"/>
      <c r="BV158" s="7">
        <f>BT158-'Gov Fd BS'!AC158</f>
        <v>0</v>
      </c>
      <c r="BW158" s="7"/>
    </row>
    <row r="159" spans="1:75">
      <c r="A159" s="11" t="s">
        <v>244</v>
      </c>
      <c r="B159" s="11"/>
      <c r="C159" s="11" t="s">
        <v>18</v>
      </c>
      <c r="E159" s="6">
        <v>5867396</v>
      </c>
      <c r="G159" s="6">
        <v>1487064</v>
      </c>
      <c r="I159" s="6">
        <v>70215</v>
      </c>
      <c r="K159" s="6">
        <v>0</v>
      </c>
      <c r="M159" s="6">
        <v>413</v>
      </c>
      <c r="O159" s="6">
        <v>428849</v>
      </c>
      <c r="Q159" s="6">
        <v>1037494</v>
      </c>
      <c r="S159" s="6">
        <v>53651</v>
      </c>
      <c r="U159" s="6">
        <v>978698</v>
      </c>
      <c r="W159" s="6">
        <v>346130</v>
      </c>
      <c r="Y159" s="6">
        <v>4418</v>
      </c>
      <c r="AA159" s="6">
        <v>1396462</v>
      </c>
      <c r="AC159" s="6">
        <v>885539</v>
      </c>
      <c r="AE159" s="6">
        <v>93597</v>
      </c>
      <c r="AG159" s="6">
        <v>691887</v>
      </c>
      <c r="AI159" s="6">
        <v>16667</v>
      </c>
      <c r="AJ159" s="11" t="s">
        <v>244</v>
      </c>
      <c r="AK159" s="11"/>
      <c r="AL159" s="11" t="s">
        <v>18</v>
      </c>
      <c r="AN159" s="6">
        <v>328321</v>
      </c>
      <c r="AP159" s="6">
        <v>0</v>
      </c>
      <c r="AR159" s="6">
        <v>0</v>
      </c>
      <c r="AT159" s="6">
        <v>295000</v>
      </c>
      <c r="AV159" s="6">
        <v>43483</v>
      </c>
      <c r="AX159" s="6">
        <v>0</v>
      </c>
      <c r="AZ159" s="7">
        <f t="shared" si="23"/>
        <v>14025284</v>
      </c>
      <c r="BB159" s="6">
        <v>0</v>
      </c>
      <c r="BD159" s="6">
        <v>0</v>
      </c>
      <c r="BF159" s="6">
        <v>0</v>
      </c>
      <c r="BH159" s="6">
        <v>0</v>
      </c>
      <c r="BJ159" s="7">
        <f t="shared" si="26"/>
        <v>14025284</v>
      </c>
      <c r="BL159" s="7">
        <f>'Gov Fd Rev'!AO159-'Gov Fd Exp'!BJ159</f>
        <v>631068</v>
      </c>
      <c r="BN159" s="6">
        <v>3006866</v>
      </c>
      <c r="BP159" s="6">
        <v>0</v>
      </c>
      <c r="BR159" s="6">
        <v>0</v>
      </c>
      <c r="BT159" s="7">
        <f t="shared" si="25"/>
        <v>3637934</v>
      </c>
      <c r="BU159" s="7"/>
      <c r="BV159" s="7">
        <f>BT159-'Gov Fd BS'!AC159</f>
        <v>0</v>
      </c>
      <c r="BW159" s="7"/>
    </row>
    <row r="160" spans="1:75">
      <c r="A160" s="11" t="s">
        <v>320</v>
      </c>
      <c r="B160" s="11"/>
      <c r="C160" s="11" t="s">
        <v>31</v>
      </c>
      <c r="E160" s="6">
        <v>4257183</v>
      </c>
      <c r="G160" s="6">
        <v>1219186</v>
      </c>
      <c r="I160" s="6">
        <v>264090</v>
      </c>
      <c r="K160" s="6">
        <v>6668</v>
      </c>
      <c r="M160" s="6">
        <v>11219</v>
      </c>
      <c r="O160" s="6">
        <v>639518</v>
      </c>
      <c r="Q160" s="6">
        <v>511571</v>
      </c>
      <c r="S160" s="6">
        <v>31935</v>
      </c>
      <c r="U160" s="6">
        <v>825428</v>
      </c>
      <c r="W160" s="6">
        <v>349163</v>
      </c>
      <c r="Y160" s="6">
        <v>0</v>
      </c>
      <c r="AA160" s="6">
        <v>1168735</v>
      </c>
      <c r="AC160" s="6">
        <v>941437</v>
      </c>
      <c r="AE160" s="6">
        <v>42444</v>
      </c>
      <c r="AG160" s="6">
        <v>517008</v>
      </c>
      <c r="AI160" s="6">
        <v>0</v>
      </c>
      <c r="AJ160" s="11" t="s">
        <v>320</v>
      </c>
      <c r="AK160" s="11"/>
      <c r="AL160" s="11" t="s">
        <v>31</v>
      </c>
      <c r="AN160" s="6">
        <v>253994</v>
      </c>
      <c r="AP160" s="6">
        <v>394300</v>
      </c>
      <c r="AR160" s="6">
        <v>0</v>
      </c>
      <c r="AT160" s="6">
        <v>312144</v>
      </c>
      <c r="AV160" s="6">
        <v>118496</v>
      </c>
      <c r="AX160" s="6">
        <v>0</v>
      </c>
      <c r="AZ160" s="7">
        <f t="shared" ref="AZ160:AZ225" si="27">SUM(E160:AX160)</f>
        <v>11864519</v>
      </c>
      <c r="BB160" s="6">
        <v>312000</v>
      </c>
      <c r="BD160" s="6">
        <v>0</v>
      </c>
      <c r="BF160" s="6">
        <v>0</v>
      </c>
      <c r="BH160" s="6">
        <v>0</v>
      </c>
      <c r="BJ160" s="7">
        <f>AZ160+BB160+BH160</f>
        <v>12176519</v>
      </c>
      <c r="BL160" s="7">
        <f>'Gov Fd Rev'!AO160-'Gov Fd Exp'!BJ160</f>
        <v>2294958</v>
      </c>
      <c r="BN160" s="6">
        <v>4118337</v>
      </c>
      <c r="BP160" s="6">
        <v>0</v>
      </c>
      <c r="BR160" s="6">
        <v>0</v>
      </c>
      <c r="BT160" s="7">
        <f t="shared" si="25"/>
        <v>6413295</v>
      </c>
      <c r="BU160" s="7"/>
      <c r="BV160" s="7">
        <f>BT160-'Gov Fd BS'!AC160</f>
        <v>0</v>
      </c>
      <c r="BW160" s="7"/>
    </row>
    <row r="161" spans="1:75">
      <c r="A161" s="11" t="s">
        <v>353</v>
      </c>
      <c r="B161" s="11"/>
      <c r="C161" s="11" t="s">
        <v>36</v>
      </c>
      <c r="E161" s="6">
        <v>7821220</v>
      </c>
      <c r="G161" s="6">
        <v>2138187</v>
      </c>
      <c r="I161" s="6">
        <v>425071</v>
      </c>
      <c r="K161" s="6">
        <v>0</v>
      </c>
      <c r="M161" s="6">
        <v>0</v>
      </c>
      <c r="O161" s="6">
        <v>920133</v>
      </c>
      <c r="Q161" s="6">
        <v>923683</v>
      </c>
      <c r="S161" s="6">
        <v>26850</v>
      </c>
      <c r="U161" s="6">
        <v>1540224</v>
      </c>
      <c r="W161" s="6">
        <v>499400</v>
      </c>
      <c r="Y161" s="6">
        <v>0</v>
      </c>
      <c r="AA161" s="6">
        <v>1427780</v>
      </c>
      <c r="AC161" s="6">
        <v>1210421</v>
      </c>
      <c r="AE161" s="6">
        <v>126607</v>
      </c>
      <c r="AG161" s="6">
        <v>811771</v>
      </c>
      <c r="AI161" s="6">
        <v>0</v>
      </c>
      <c r="AJ161" s="11" t="s">
        <v>353</v>
      </c>
      <c r="AK161" s="11"/>
      <c r="AL161" s="11" t="s">
        <v>36</v>
      </c>
      <c r="AN161" s="6">
        <v>458009</v>
      </c>
      <c r="AP161" s="6">
        <v>275967</v>
      </c>
      <c r="AR161" s="6">
        <v>0</v>
      </c>
      <c r="AT161" s="6">
        <v>190000</v>
      </c>
      <c r="AV161" s="6">
        <v>64800</v>
      </c>
      <c r="AX161" s="6">
        <v>0</v>
      </c>
      <c r="AZ161" s="7">
        <f t="shared" si="27"/>
        <v>18860123</v>
      </c>
      <c r="BB161" s="6">
        <v>200000</v>
      </c>
      <c r="BD161" s="6">
        <v>0</v>
      </c>
      <c r="BF161" s="6">
        <v>0</v>
      </c>
      <c r="BH161" s="6">
        <v>0</v>
      </c>
      <c r="BJ161" s="7">
        <f t="shared" si="26"/>
        <v>19060123</v>
      </c>
      <c r="BL161" s="7">
        <f>'Gov Fd Rev'!AO161-'Gov Fd Exp'!BJ161</f>
        <v>-360622</v>
      </c>
      <c r="BN161" s="6">
        <v>5421718</v>
      </c>
      <c r="BP161" s="6">
        <v>0</v>
      </c>
      <c r="BR161" s="6">
        <v>0</v>
      </c>
      <c r="BT161" s="7">
        <f t="shared" si="25"/>
        <v>5061096</v>
      </c>
      <c r="BU161" s="7"/>
      <c r="BV161" s="7">
        <f>BT161-'Gov Fd BS'!AC161</f>
        <v>0</v>
      </c>
      <c r="BW161" s="7"/>
    </row>
    <row r="162" spans="1:75" hidden="1">
      <c r="A162" s="11" t="s">
        <v>659</v>
      </c>
      <c r="B162" s="11"/>
      <c r="C162" s="11" t="s">
        <v>40</v>
      </c>
      <c r="AJ162" s="11" t="s">
        <v>659</v>
      </c>
      <c r="AK162" s="11"/>
      <c r="AL162" s="11" t="s">
        <v>40</v>
      </c>
      <c r="AZ162" s="7">
        <f t="shared" si="27"/>
        <v>0</v>
      </c>
      <c r="BJ162" s="7">
        <f t="shared" si="26"/>
        <v>0</v>
      </c>
      <c r="BL162" s="7">
        <f>'Gov Fd Rev'!AO162-'Gov Fd Exp'!BJ162</f>
        <v>0</v>
      </c>
      <c r="BT162" s="7">
        <f t="shared" si="25"/>
        <v>0</v>
      </c>
      <c r="BU162" s="7"/>
      <c r="BV162" s="7">
        <f>BT162-'Gov Fd BS'!AC162</f>
        <v>0</v>
      </c>
      <c r="BW162" s="7"/>
    </row>
    <row r="163" spans="1:75">
      <c r="A163" s="11" t="s">
        <v>248</v>
      </c>
      <c r="B163" s="11"/>
      <c r="C163" s="11" t="s">
        <v>112</v>
      </c>
      <c r="E163" s="6">
        <v>11016234</v>
      </c>
      <c r="G163" s="6">
        <v>2949287</v>
      </c>
      <c r="I163" s="6">
        <v>1015291</v>
      </c>
      <c r="K163" s="6">
        <v>4710</v>
      </c>
      <c r="M163" s="6">
        <f>67123+1753739</f>
        <v>1820862</v>
      </c>
      <c r="O163" s="6">
        <v>1229048</v>
      </c>
      <c r="Q163" s="6">
        <v>1676339</v>
      </c>
      <c r="S163" s="6">
        <v>287720</v>
      </c>
      <c r="U163" s="6">
        <v>1595806</v>
      </c>
      <c r="W163" s="6">
        <v>536456</v>
      </c>
      <c r="Y163" s="6">
        <v>38684</v>
      </c>
      <c r="AA163" s="6">
        <v>3274536</v>
      </c>
      <c r="AC163" s="6">
        <v>1219726</v>
      </c>
      <c r="AE163" s="6">
        <v>44563</v>
      </c>
      <c r="AG163" s="6">
        <v>1261831</v>
      </c>
      <c r="AI163" s="6">
        <v>44793</v>
      </c>
      <c r="AJ163" s="11" t="s">
        <v>248</v>
      </c>
      <c r="AK163" s="11"/>
      <c r="AL163" s="11" t="s">
        <v>112</v>
      </c>
      <c r="AN163" s="6">
        <v>436326</v>
      </c>
      <c r="AP163" s="6">
        <v>856095</v>
      </c>
      <c r="AR163" s="6">
        <v>0</v>
      </c>
      <c r="AT163" s="6">
        <v>292148</v>
      </c>
      <c r="AV163" s="6">
        <v>80644</v>
      </c>
      <c r="AX163" s="6">
        <v>0</v>
      </c>
      <c r="AZ163" s="7">
        <f t="shared" si="27"/>
        <v>29681099</v>
      </c>
      <c r="BB163" s="6">
        <v>0</v>
      </c>
      <c r="BD163" s="6">
        <v>0</v>
      </c>
      <c r="BF163" s="6">
        <v>0</v>
      </c>
      <c r="BH163" s="6">
        <v>0</v>
      </c>
      <c r="BJ163" s="7">
        <f t="shared" si="26"/>
        <v>29681099</v>
      </c>
      <c r="BL163" s="7">
        <f>'Gov Fd Rev'!AO163-'Gov Fd Exp'!BJ163</f>
        <v>-1054518</v>
      </c>
      <c r="BN163" s="6">
        <v>12930757</v>
      </c>
      <c r="BP163" s="6">
        <v>0</v>
      </c>
      <c r="BR163" s="6">
        <v>0</v>
      </c>
      <c r="BT163" s="7">
        <f t="shared" si="25"/>
        <v>11876239</v>
      </c>
      <c r="BU163" s="7"/>
      <c r="BV163" s="7">
        <f>BT163-'Gov Fd BS'!AC163</f>
        <v>0</v>
      </c>
      <c r="BW163" s="7"/>
    </row>
    <row r="164" spans="1:75">
      <c r="A164" s="11" t="s">
        <v>443</v>
      </c>
      <c r="B164" s="11"/>
      <c r="C164" s="11" t="s">
        <v>51</v>
      </c>
      <c r="E164" s="6">
        <v>8546090</v>
      </c>
      <c r="G164" s="6">
        <v>2348787</v>
      </c>
      <c r="I164" s="6">
        <v>181578</v>
      </c>
      <c r="K164" s="6">
        <v>0</v>
      </c>
      <c r="M164" s="6">
        <v>414113</v>
      </c>
      <c r="O164" s="6">
        <v>411335</v>
      </c>
      <c r="Q164" s="6">
        <v>837728</v>
      </c>
      <c r="S164" s="6">
        <v>66704</v>
      </c>
      <c r="U164" s="6">
        <v>1776267</v>
      </c>
      <c r="W164" s="6">
        <v>441498</v>
      </c>
      <c r="Y164" s="6">
        <v>0</v>
      </c>
      <c r="AA164" s="6">
        <v>1795422</v>
      </c>
      <c r="AC164" s="6">
        <v>1362649</v>
      </c>
      <c r="AE164" s="6">
        <v>138448</v>
      </c>
      <c r="AG164" s="6">
        <v>963659</v>
      </c>
      <c r="AI164" s="6">
        <v>0</v>
      </c>
      <c r="AJ164" s="11" t="s">
        <v>443</v>
      </c>
      <c r="AK164" s="11"/>
      <c r="AL164" s="11" t="s">
        <v>51</v>
      </c>
      <c r="AN164" s="6">
        <v>471874</v>
      </c>
      <c r="AP164" s="6">
        <v>193001</v>
      </c>
      <c r="AR164" s="6">
        <v>0</v>
      </c>
      <c r="AT164" s="6">
        <v>348823</v>
      </c>
      <c r="AV164" s="6">
        <f>86809+144337</f>
        <v>231146</v>
      </c>
      <c r="AX164" s="6">
        <v>0</v>
      </c>
      <c r="AZ164" s="7">
        <f t="shared" si="27"/>
        <v>20529122</v>
      </c>
      <c r="BB164" s="6">
        <v>0</v>
      </c>
      <c r="BD164" s="6">
        <v>0</v>
      </c>
      <c r="BF164" s="6">
        <v>0</v>
      </c>
      <c r="BH164" s="6">
        <v>5121344</v>
      </c>
      <c r="BJ164" s="7">
        <f t="shared" si="26"/>
        <v>25650466</v>
      </c>
      <c r="BL164" s="7">
        <f>'Gov Fd Rev'!AO164-'Gov Fd Exp'!BJ164</f>
        <v>2494225</v>
      </c>
      <c r="BN164" s="6">
        <v>5473681</v>
      </c>
      <c r="BP164" s="6">
        <v>0</v>
      </c>
      <c r="BR164" s="6">
        <v>0</v>
      </c>
      <c r="BT164" s="7">
        <f t="shared" si="25"/>
        <v>7967906</v>
      </c>
      <c r="BU164" s="7"/>
      <c r="BV164" s="7">
        <f>BT164-'Gov Fd BS'!AC164</f>
        <v>0</v>
      </c>
      <c r="BW164" s="7"/>
    </row>
    <row r="165" spans="1:75">
      <c r="A165" s="11" t="s">
        <v>249</v>
      </c>
      <c r="B165" s="11"/>
      <c r="C165" s="11" t="s">
        <v>112</v>
      </c>
      <c r="E165" s="6">
        <v>4216737</v>
      </c>
      <c r="G165" s="6">
        <v>2052476</v>
      </c>
      <c r="I165" s="6">
        <v>36692</v>
      </c>
      <c r="K165" s="6">
        <v>0</v>
      </c>
      <c r="M165" s="6">
        <v>0</v>
      </c>
      <c r="O165" s="6">
        <v>600747</v>
      </c>
      <c r="Q165" s="6">
        <v>359175</v>
      </c>
      <c r="S165" s="6">
        <v>25960</v>
      </c>
      <c r="U165" s="6">
        <v>676471</v>
      </c>
      <c r="W165" s="6">
        <v>260116</v>
      </c>
      <c r="Y165" s="6">
        <v>726905</v>
      </c>
      <c r="AA165" s="6">
        <v>1004774</v>
      </c>
      <c r="AC165" s="6">
        <v>731745</v>
      </c>
      <c r="AE165" s="6">
        <v>0</v>
      </c>
      <c r="AG165" s="6">
        <v>492899</v>
      </c>
      <c r="AI165" s="6">
        <v>1500</v>
      </c>
      <c r="AJ165" s="11" t="s">
        <v>249</v>
      </c>
      <c r="AK165" s="11"/>
      <c r="AL165" s="11" t="s">
        <v>112</v>
      </c>
      <c r="AN165" s="6">
        <v>308286</v>
      </c>
      <c r="AP165" s="6">
        <v>124243</v>
      </c>
      <c r="AR165" s="6">
        <v>0</v>
      </c>
      <c r="AT165" s="6">
        <v>291709</v>
      </c>
      <c r="AV165" s="6">
        <v>91962</v>
      </c>
      <c r="AX165" s="6">
        <v>0</v>
      </c>
      <c r="AZ165" s="7">
        <f t="shared" si="27"/>
        <v>12002397</v>
      </c>
      <c r="BB165" s="6">
        <v>52847</v>
      </c>
      <c r="BD165" s="6">
        <v>0</v>
      </c>
      <c r="BF165" s="6">
        <v>0</v>
      </c>
      <c r="BH165" s="6">
        <v>0</v>
      </c>
      <c r="BJ165" s="7">
        <f t="shared" si="26"/>
        <v>12055244</v>
      </c>
      <c r="BL165" s="7">
        <f>'Gov Fd Rev'!AO165-'Gov Fd Exp'!BJ165</f>
        <v>362905</v>
      </c>
      <c r="BN165" s="6">
        <v>812831</v>
      </c>
      <c r="BP165" s="6">
        <v>0</v>
      </c>
      <c r="BR165" s="6">
        <v>0</v>
      </c>
      <c r="BT165" s="7">
        <f t="shared" si="25"/>
        <v>1175736</v>
      </c>
      <c r="BU165" s="7"/>
      <c r="BV165" s="7">
        <f>BT165-'Gov Fd BS'!AC165</f>
        <v>0</v>
      </c>
      <c r="BW165" s="7"/>
    </row>
    <row r="166" spans="1:75">
      <c r="A166" s="11" t="s">
        <v>218</v>
      </c>
      <c r="B166" s="11"/>
      <c r="C166" s="11" t="s">
        <v>77</v>
      </c>
      <c r="E166" s="6">
        <v>5023379</v>
      </c>
      <c r="G166" s="6">
        <v>1465702</v>
      </c>
      <c r="I166" s="6">
        <v>106275</v>
      </c>
      <c r="K166" s="6">
        <v>0</v>
      </c>
      <c r="M166" s="6">
        <v>1263430</v>
      </c>
      <c r="O166" s="6">
        <v>381466</v>
      </c>
      <c r="Q166" s="6">
        <v>1021024</v>
      </c>
      <c r="S166" s="6">
        <v>30111</v>
      </c>
      <c r="U166" s="6">
        <v>1008179</v>
      </c>
      <c r="W166" s="6">
        <v>431288</v>
      </c>
      <c r="Y166" s="6">
        <v>0</v>
      </c>
      <c r="AA166" s="6">
        <v>1065448</v>
      </c>
      <c r="AC166" s="6">
        <v>1128961</v>
      </c>
      <c r="AE166" s="6">
        <v>36540</v>
      </c>
      <c r="AG166" s="6">
        <v>0</v>
      </c>
      <c r="AI166" s="6">
        <v>592375</v>
      </c>
      <c r="AJ166" s="11" t="s">
        <v>218</v>
      </c>
      <c r="AK166" s="11"/>
      <c r="AL166" s="11" t="s">
        <v>77</v>
      </c>
      <c r="AN166" s="6">
        <v>210799</v>
      </c>
      <c r="AP166" s="6">
        <v>3365288</v>
      </c>
      <c r="AR166" s="6">
        <v>0</v>
      </c>
      <c r="AT166" s="6">
        <v>410000</v>
      </c>
      <c r="AV166" s="6">
        <v>386451</v>
      </c>
      <c r="AX166" s="6">
        <v>0</v>
      </c>
      <c r="AZ166" s="7">
        <f t="shared" si="27"/>
        <v>17926716</v>
      </c>
      <c r="BB166" s="6">
        <v>308000</v>
      </c>
      <c r="BD166" s="6">
        <v>0</v>
      </c>
      <c r="BF166" s="6">
        <v>0</v>
      </c>
      <c r="BH166" s="6">
        <v>0</v>
      </c>
      <c r="BJ166" s="7">
        <f t="shared" si="26"/>
        <v>18234716</v>
      </c>
      <c r="BL166" s="7">
        <f>'Gov Fd Rev'!AO166-'Gov Fd Exp'!BJ166</f>
        <v>-2742481</v>
      </c>
      <c r="BN166" s="6">
        <v>5921120</v>
      </c>
      <c r="BP166" s="6">
        <v>0</v>
      </c>
      <c r="BR166" s="6">
        <v>0</v>
      </c>
      <c r="BT166" s="7">
        <f t="shared" si="25"/>
        <v>3178639</v>
      </c>
      <c r="BU166" s="7"/>
      <c r="BV166" s="7">
        <f>BT166-'Gov Fd BS'!AC166</f>
        <v>0</v>
      </c>
      <c r="BW166" s="7"/>
    </row>
    <row r="167" spans="1:75">
      <c r="A167" s="11" t="s">
        <v>218</v>
      </c>
      <c r="B167" s="11"/>
      <c r="C167" s="11" t="s">
        <v>420</v>
      </c>
      <c r="E167" s="6">
        <v>3780640</v>
      </c>
      <c r="G167" s="6">
        <v>771851</v>
      </c>
      <c r="I167" s="6">
        <v>0</v>
      </c>
      <c r="K167" s="6">
        <v>0</v>
      </c>
      <c r="M167" s="6">
        <v>70</v>
      </c>
      <c r="O167" s="6">
        <v>485226</v>
      </c>
      <c r="Q167" s="6">
        <v>367631</v>
      </c>
      <c r="S167" s="6">
        <v>39465</v>
      </c>
      <c r="U167" s="6">
        <v>475468</v>
      </c>
      <c r="W167" s="6">
        <v>244454</v>
      </c>
      <c r="Y167" s="6">
        <v>0</v>
      </c>
      <c r="AA167" s="6">
        <v>737332</v>
      </c>
      <c r="AC167" s="6">
        <v>679045</v>
      </c>
      <c r="AE167" s="6">
        <v>98968</v>
      </c>
      <c r="AG167" s="6">
        <v>0</v>
      </c>
      <c r="AI167" s="6">
        <v>364842</v>
      </c>
      <c r="AJ167" s="11" t="s">
        <v>218</v>
      </c>
      <c r="AK167" s="11"/>
      <c r="AL167" s="11" t="s">
        <v>420</v>
      </c>
      <c r="AN167" s="6">
        <v>210581</v>
      </c>
      <c r="AP167" s="6">
        <v>60853</v>
      </c>
      <c r="AR167" s="6">
        <v>0</v>
      </c>
      <c r="AT167" s="6">
        <v>65000</v>
      </c>
      <c r="AV167" s="6">
        <v>42409</v>
      </c>
      <c r="AX167" s="6">
        <v>0</v>
      </c>
      <c r="AZ167" s="7">
        <f t="shared" si="27"/>
        <v>8423835</v>
      </c>
      <c r="BB167" s="6">
        <v>100000</v>
      </c>
      <c r="BD167" s="6">
        <v>0</v>
      </c>
      <c r="BF167" s="6">
        <v>0</v>
      </c>
      <c r="BH167" s="6">
        <v>0</v>
      </c>
      <c r="BJ167" s="7">
        <f t="shared" si="26"/>
        <v>8523835</v>
      </c>
      <c r="BL167" s="7">
        <f>'Gov Fd Rev'!AO167-'Gov Fd Exp'!BJ167</f>
        <v>859697</v>
      </c>
      <c r="BN167" s="6">
        <v>1223980</v>
      </c>
      <c r="BP167" s="6">
        <v>0</v>
      </c>
      <c r="BR167" s="6">
        <v>0</v>
      </c>
      <c r="BT167" s="7">
        <f t="shared" si="25"/>
        <v>2083677</v>
      </c>
      <c r="BU167" s="7"/>
      <c r="BV167" s="7">
        <f>BT167-'Gov Fd BS'!AC167</f>
        <v>0</v>
      </c>
      <c r="BW167" s="7"/>
    </row>
    <row r="168" spans="1:75" hidden="1">
      <c r="A168" s="11" t="s">
        <v>660</v>
      </c>
      <c r="B168" s="11"/>
      <c r="C168" s="11" t="s">
        <v>55</v>
      </c>
      <c r="AJ168" s="11" t="s">
        <v>660</v>
      </c>
      <c r="AK168" s="11"/>
      <c r="AL168" s="11" t="s">
        <v>55</v>
      </c>
      <c r="AZ168" s="7">
        <f t="shared" si="27"/>
        <v>0</v>
      </c>
      <c r="BJ168" s="7">
        <f t="shared" si="26"/>
        <v>0</v>
      </c>
      <c r="BL168" s="7">
        <f>'Gov Fd Rev'!AO168-'Gov Fd Exp'!BJ168</f>
        <v>0</v>
      </c>
      <c r="BT168" s="7">
        <f t="shared" si="25"/>
        <v>0</v>
      </c>
      <c r="BU168" s="7"/>
      <c r="BV168" s="7">
        <f>BT168-'Gov Fd BS'!AC168</f>
        <v>0</v>
      </c>
      <c r="BW168" s="7"/>
    </row>
    <row r="169" spans="1:75">
      <c r="A169" s="11" t="s">
        <v>555</v>
      </c>
      <c r="B169" s="11"/>
      <c r="C169" s="11" t="s">
        <v>72</v>
      </c>
      <c r="E169" s="6">
        <v>7273656</v>
      </c>
      <c r="G169" s="6">
        <v>1412639</v>
      </c>
      <c r="I169" s="6">
        <v>102074</v>
      </c>
      <c r="K169" s="6">
        <v>0</v>
      </c>
      <c r="M169" s="6">
        <v>0</v>
      </c>
      <c r="O169" s="6">
        <v>390055</v>
      </c>
      <c r="Q169" s="6">
        <v>496908</v>
      </c>
      <c r="S169" s="6">
        <v>71408</v>
      </c>
      <c r="U169" s="6">
        <v>1209823</v>
      </c>
      <c r="W169" s="6">
        <v>759003</v>
      </c>
      <c r="Y169" s="6">
        <v>0</v>
      </c>
      <c r="AA169" s="6">
        <v>1637452</v>
      </c>
      <c r="AC169" s="6">
        <v>1020359</v>
      </c>
      <c r="AE169" s="6">
        <v>0</v>
      </c>
      <c r="AG169" s="6">
        <v>0</v>
      </c>
      <c r="AI169" s="6">
        <v>742002</v>
      </c>
      <c r="AJ169" s="11" t="s">
        <v>555</v>
      </c>
      <c r="AK169" s="11"/>
      <c r="AL169" s="11" t="s">
        <v>72</v>
      </c>
      <c r="AN169" s="6">
        <v>702151</v>
      </c>
      <c r="AP169" s="6">
        <v>120330</v>
      </c>
      <c r="AR169" s="6">
        <v>0</v>
      </c>
      <c r="AT169" s="6">
        <v>314313</v>
      </c>
      <c r="AV169" s="6">
        <v>97426</v>
      </c>
      <c r="AX169" s="6">
        <v>0</v>
      </c>
      <c r="AZ169" s="7">
        <f t="shared" si="27"/>
        <v>16349599</v>
      </c>
      <c r="BB169" s="6">
        <v>18240</v>
      </c>
      <c r="BD169" s="6">
        <v>0</v>
      </c>
      <c r="BF169" s="6">
        <v>0</v>
      </c>
      <c r="BH169" s="6">
        <v>0</v>
      </c>
      <c r="BJ169" s="7">
        <f t="shared" si="26"/>
        <v>16367839</v>
      </c>
      <c r="BL169" s="7">
        <f>'Gov Fd Rev'!AO169-'Gov Fd Exp'!BJ169</f>
        <v>1435762</v>
      </c>
      <c r="BN169" s="6">
        <v>7206022</v>
      </c>
      <c r="BP169" s="6">
        <v>0</v>
      </c>
      <c r="BR169" s="6">
        <v>0</v>
      </c>
      <c r="BT169" s="7">
        <f t="shared" si="25"/>
        <v>8641784</v>
      </c>
      <c r="BU169" s="7"/>
      <c r="BV169" s="7">
        <f>BT169-'Gov Fd BS'!AC169</f>
        <v>0</v>
      </c>
      <c r="BW169" s="7"/>
    </row>
    <row r="170" spans="1:75" hidden="1">
      <c r="A170" s="10" t="s">
        <v>870</v>
      </c>
      <c r="B170" s="11"/>
      <c r="C170" s="11" t="s">
        <v>57</v>
      </c>
      <c r="E170" s="6">
        <v>0</v>
      </c>
      <c r="G170" s="6">
        <v>0</v>
      </c>
      <c r="I170" s="6">
        <v>0</v>
      </c>
      <c r="K170" s="6">
        <v>0</v>
      </c>
      <c r="M170" s="6">
        <v>0</v>
      </c>
      <c r="O170" s="6">
        <v>0</v>
      </c>
      <c r="Q170" s="6">
        <v>0</v>
      </c>
      <c r="S170" s="6">
        <v>0</v>
      </c>
      <c r="U170" s="6">
        <v>0</v>
      </c>
      <c r="W170" s="6">
        <v>0</v>
      </c>
      <c r="Y170" s="6">
        <v>0</v>
      </c>
      <c r="AA170" s="6">
        <v>0</v>
      </c>
      <c r="AC170" s="6">
        <v>0</v>
      </c>
      <c r="AE170" s="6">
        <v>0</v>
      </c>
      <c r="AG170" s="6">
        <v>0</v>
      </c>
      <c r="AI170" s="6">
        <v>0</v>
      </c>
      <c r="AJ170" s="10" t="s">
        <v>870</v>
      </c>
      <c r="AK170" s="11"/>
      <c r="AL170" s="11" t="s">
        <v>57</v>
      </c>
      <c r="AN170" s="6">
        <v>0</v>
      </c>
      <c r="AP170" s="6">
        <v>0</v>
      </c>
      <c r="AR170" s="6">
        <v>0</v>
      </c>
      <c r="AT170" s="6">
        <v>0</v>
      </c>
      <c r="AV170" s="6">
        <v>0</v>
      </c>
      <c r="AX170" s="6">
        <v>0</v>
      </c>
      <c r="AZ170" s="7">
        <f t="shared" si="27"/>
        <v>0</v>
      </c>
      <c r="BB170" s="6">
        <v>0</v>
      </c>
      <c r="BD170" s="6">
        <v>0</v>
      </c>
      <c r="BF170" s="6">
        <v>0</v>
      </c>
      <c r="BH170" s="6">
        <v>0</v>
      </c>
      <c r="BJ170" s="7">
        <f t="shared" si="26"/>
        <v>0</v>
      </c>
      <c r="BL170" s="7">
        <f>'Gov Fd Rev'!AO170-'Gov Fd Exp'!BJ170</f>
        <v>0</v>
      </c>
      <c r="BP170" s="6">
        <v>0</v>
      </c>
      <c r="BR170" s="6">
        <v>0</v>
      </c>
      <c r="BT170" s="7">
        <f t="shared" si="25"/>
        <v>0</v>
      </c>
      <c r="BU170" s="7"/>
      <c r="BV170" s="7">
        <f>BT170-'Gov Fd BS'!AC170</f>
        <v>0</v>
      </c>
      <c r="BW170" s="7"/>
    </row>
    <row r="171" spans="1:75" hidden="1">
      <c r="A171" s="11" t="s">
        <v>661</v>
      </c>
      <c r="B171" s="11"/>
      <c r="C171" s="11" t="s">
        <v>552</v>
      </c>
      <c r="AJ171" s="11" t="s">
        <v>661</v>
      </c>
      <c r="AK171" s="11"/>
      <c r="AL171" s="11" t="s">
        <v>552</v>
      </c>
      <c r="AZ171" s="7">
        <f t="shared" si="27"/>
        <v>0</v>
      </c>
      <c r="BJ171" s="7">
        <f t="shared" si="26"/>
        <v>0</v>
      </c>
      <c r="BL171" s="7">
        <f>'Gov Fd Rev'!AO171-'Gov Fd Exp'!BJ171</f>
        <v>0</v>
      </c>
      <c r="BT171" s="7">
        <f t="shared" si="25"/>
        <v>0</v>
      </c>
      <c r="BU171" s="7"/>
      <c r="BV171" s="7">
        <f>BT171-'Gov Fd BS'!AC171</f>
        <v>0</v>
      </c>
      <c r="BW171" s="7"/>
    </row>
    <row r="172" spans="1:75">
      <c r="A172" s="11" t="s">
        <v>662</v>
      </c>
      <c r="B172" s="11"/>
      <c r="C172" s="11" t="s">
        <v>221</v>
      </c>
      <c r="E172" s="6">
        <v>13814222</v>
      </c>
      <c r="G172" s="6">
        <v>3983736</v>
      </c>
      <c r="I172" s="6">
        <v>0</v>
      </c>
      <c r="K172" s="6">
        <v>0</v>
      </c>
      <c r="M172" s="6">
        <v>53587</v>
      </c>
      <c r="O172" s="6">
        <v>2306993</v>
      </c>
      <c r="Q172" s="6">
        <v>3058816</v>
      </c>
      <c r="S172" s="6">
        <v>142585</v>
      </c>
      <c r="U172" s="6">
        <v>1458848</v>
      </c>
      <c r="W172" s="6">
        <v>746043</v>
      </c>
      <c r="Y172" s="6">
        <v>33263</v>
      </c>
      <c r="AA172" s="6">
        <v>2546726</v>
      </c>
      <c r="AC172" s="6">
        <v>1468847</v>
      </c>
      <c r="AE172" s="6">
        <v>223915</v>
      </c>
      <c r="AG172" s="6">
        <v>1391994</v>
      </c>
      <c r="AI172" s="6">
        <v>22792</v>
      </c>
      <c r="AJ172" s="11" t="s">
        <v>662</v>
      </c>
      <c r="AK172" s="11"/>
      <c r="AL172" s="11" t="s">
        <v>221</v>
      </c>
      <c r="AN172" s="6">
        <v>586932</v>
      </c>
      <c r="AP172" s="6">
        <v>15482383</v>
      </c>
      <c r="AR172" s="6">
        <v>0</v>
      </c>
      <c r="AT172" s="6">
        <v>4543242</v>
      </c>
      <c r="AV172" s="6">
        <f>2130133+56869</f>
        <v>2187002</v>
      </c>
      <c r="AX172" s="6">
        <v>0</v>
      </c>
      <c r="AZ172" s="7">
        <f t="shared" si="27"/>
        <v>54051926</v>
      </c>
      <c r="BB172" s="6">
        <v>0</v>
      </c>
      <c r="BD172" s="6">
        <v>0</v>
      </c>
      <c r="BF172" s="6">
        <v>0</v>
      </c>
      <c r="BH172" s="6">
        <v>0</v>
      </c>
      <c r="BJ172" s="7">
        <f t="shared" si="26"/>
        <v>54051926</v>
      </c>
      <c r="BL172" s="7">
        <f>'Gov Fd Rev'!AO172-'Gov Fd Exp'!BJ172</f>
        <v>-13683637</v>
      </c>
      <c r="BN172" s="6">
        <v>26604743</v>
      </c>
      <c r="BP172" s="6">
        <v>-7850</v>
      </c>
      <c r="BR172" s="6">
        <v>0</v>
      </c>
      <c r="BT172" s="7">
        <f t="shared" si="25"/>
        <v>12913256</v>
      </c>
      <c r="BU172" s="7"/>
      <c r="BV172" s="7">
        <f>BT172-'Gov Fd BS'!AC172</f>
        <v>0</v>
      </c>
      <c r="BW172" s="7"/>
    </row>
    <row r="173" spans="1:75">
      <c r="A173" s="11" t="s">
        <v>362</v>
      </c>
      <c r="B173" s="11"/>
      <c r="C173" s="11" t="s">
        <v>24</v>
      </c>
      <c r="E173" s="6">
        <v>6941611</v>
      </c>
      <c r="G173" s="6">
        <v>2353831</v>
      </c>
      <c r="I173" s="6">
        <v>83155</v>
      </c>
      <c r="K173" s="6">
        <v>0</v>
      </c>
      <c r="M173" s="6">
        <v>880435</v>
      </c>
      <c r="O173" s="6">
        <v>436228</v>
      </c>
      <c r="Q173" s="6">
        <v>771795</v>
      </c>
      <c r="S173" s="6">
        <v>45734</v>
      </c>
      <c r="U173" s="6">
        <v>1144007</v>
      </c>
      <c r="W173" s="6">
        <v>362036</v>
      </c>
      <c r="Y173" s="6">
        <v>0</v>
      </c>
      <c r="AA173" s="6">
        <v>1041790</v>
      </c>
      <c r="AC173" s="6">
        <v>948776</v>
      </c>
      <c r="AE173" s="6">
        <v>176341</v>
      </c>
      <c r="AG173" s="6">
        <v>653929</v>
      </c>
      <c r="AI173" s="6">
        <v>121106</v>
      </c>
      <c r="AJ173" s="11" t="s">
        <v>362</v>
      </c>
      <c r="AK173" s="11"/>
      <c r="AL173" s="11" t="s">
        <v>24</v>
      </c>
      <c r="AN173" s="6">
        <v>654990</v>
      </c>
      <c r="AP173" s="6">
        <v>342556</v>
      </c>
      <c r="AR173" s="6">
        <v>0</v>
      </c>
      <c r="AT173" s="6">
        <v>29031</v>
      </c>
      <c r="AV173" s="6">
        <v>5468</v>
      </c>
      <c r="AX173" s="6">
        <v>0</v>
      </c>
      <c r="AZ173" s="7">
        <f t="shared" ref="AZ173" si="28">SUM(E173:AX173)</f>
        <v>16992819</v>
      </c>
      <c r="BB173" s="6">
        <v>0</v>
      </c>
      <c r="BD173" s="6">
        <v>0</v>
      </c>
      <c r="BF173" s="6">
        <v>0</v>
      </c>
      <c r="BH173" s="6">
        <v>0</v>
      </c>
      <c r="BJ173" s="7">
        <f>AZ173+BB173+BH173</f>
        <v>16992819</v>
      </c>
      <c r="BL173" s="7">
        <f>'Gov Fd Rev'!AO173-'Gov Fd Exp'!BJ173</f>
        <v>-1040619</v>
      </c>
      <c r="BN173" s="6">
        <v>5882214</v>
      </c>
      <c r="BP173" s="6">
        <v>-21262</v>
      </c>
      <c r="BR173" s="6">
        <v>0</v>
      </c>
      <c r="BT173" s="7">
        <f t="shared" si="25"/>
        <v>4820333</v>
      </c>
      <c r="BU173" s="7"/>
      <c r="BV173" s="7">
        <f>BT173-'Gov Fd BS'!AC173</f>
        <v>0</v>
      </c>
      <c r="BW173" s="7"/>
    </row>
    <row r="174" spans="1:75">
      <c r="A174" s="11" t="s">
        <v>362</v>
      </c>
      <c r="B174" s="11"/>
      <c r="C174" s="11" t="s">
        <v>39</v>
      </c>
      <c r="E174" s="6">
        <v>7441804</v>
      </c>
      <c r="G174" s="6">
        <v>1836159</v>
      </c>
      <c r="I174" s="6">
        <v>115360</v>
      </c>
      <c r="K174" s="6">
        <v>5000</v>
      </c>
      <c r="M174" s="6">
        <v>2653627</v>
      </c>
      <c r="O174" s="6">
        <v>906015</v>
      </c>
      <c r="Q174" s="6">
        <v>1113509</v>
      </c>
      <c r="S174" s="6">
        <v>155426</v>
      </c>
      <c r="U174" s="6">
        <v>1635461</v>
      </c>
      <c r="W174" s="6">
        <v>503047</v>
      </c>
      <c r="Y174" s="6">
        <v>96419</v>
      </c>
      <c r="AA174" s="6">
        <v>1542205</v>
      </c>
      <c r="AC174" s="6">
        <v>1683236</v>
      </c>
      <c r="AE174" s="6">
        <v>242062</v>
      </c>
      <c r="AG174" s="6">
        <v>853164</v>
      </c>
      <c r="AI174" s="6">
        <v>2023</v>
      </c>
      <c r="AJ174" s="11" t="s">
        <v>362</v>
      </c>
      <c r="AK174" s="11"/>
      <c r="AL174" s="11" t="s">
        <v>39</v>
      </c>
      <c r="AN174" s="6">
        <v>325842</v>
      </c>
      <c r="AP174" s="6">
        <v>0</v>
      </c>
      <c r="AR174" s="6">
        <v>0</v>
      </c>
      <c r="AT174" s="6">
        <v>40843</v>
      </c>
      <c r="AV174" s="6">
        <v>13313</v>
      </c>
      <c r="AX174" s="6">
        <v>0</v>
      </c>
      <c r="AZ174" s="7">
        <f t="shared" si="27"/>
        <v>21164515</v>
      </c>
      <c r="BB174" s="6">
        <v>10291</v>
      </c>
      <c r="BD174" s="6">
        <v>0</v>
      </c>
      <c r="BF174" s="6">
        <v>0</v>
      </c>
      <c r="BH174" s="6">
        <v>0</v>
      </c>
      <c r="BJ174" s="7">
        <f>AZ174+BB174+BH174</f>
        <v>21174806</v>
      </c>
      <c r="BL174" s="7">
        <f>'Gov Fd Rev'!AO174-'Gov Fd Exp'!BJ174</f>
        <v>-837179</v>
      </c>
      <c r="BN174" s="6">
        <v>271449</v>
      </c>
      <c r="BP174" s="6">
        <v>904</v>
      </c>
      <c r="BR174" s="6">
        <v>0</v>
      </c>
      <c r="BT174" s="7">
        <f>BL174+BN174+BP174+BR174</f>
        <v>-564826</v>
      </c>
      <c r="BU174" s="7"/>
      <c r="BV174" s="7">
        <f>BT174-'Gov Fd BS'!AC174</f>
        <v>0</v>
      </c>
      <c r="BW174" s="7"/>
    </row>
    <row r="175" spans="1:75" hidden="1">
      <c r="A175" s="11" t="s">
        <v>871</v>
      </c>
      <c r="B175" s="11"/>
      <c r="C175" s="11" t="s">
        <v>552</v>
      </c>
      <c r="AJ175" s="11" t="s">
        <v>871</v>
      </c>
      <c r="AK175" s="11"/>
      <c r="AL175" s="11" t="s">
        <v>552</v>
      </c>
      <c r="AZ175" s="7">
        <f t="shared" si="27"/>
        <v>0</v>
      </c>
      <c r="BJ175" s="7">
        <f t="shared" si="26"/>
        <v>0</v>
      </c>
      <c r="BL175" s="7">
        <f>'Gov Fd Rev'!AO175-'Gov Fd Exp'!BJ175</f>
        <v>0</v>
      </c>
      <c r="BT175" s="7">
        <f t="shared" si="25"/>
        <v>0</v>
      </c>
      <c r="BU175" s="7"/>
      <c r="BV175" s="7">
        <f>BT175-'Gov Fd BS'!AC175</f>
        <v>0</v>
      </c>
      <c r="BW175" s="7"/>
    </row>
    <row r="176" spans="1:75">
      <c r="A176" s="11" t="s">
        <v>677</v>
      </c>
      <c r="B176" s="11"/>
      <c r="C176" s="11" t="s">
        <v>46</v>
      </c>
      <c r="E176" s="6">
        <v>5998109</v>
      </c>
      <c r="G176" s="6">
        <v>1427904</v>
      </c>
      <c r="I176" s="6">
        <v>110909</v>
      </c>
      <c r="K176" s="6">
        <v>0</v>
      </c>
      <c r="M176" s="6">
        <v>0</v>
      </c>
      <c r="O176" s="6">
        <v>776209</v>
      </c>
      <c r="Q176" s="6">
        <v>220703</v>
      </c>
      <c r="S176" s="6">
        <v>46425</v>
      </c>
      <c r="U176" s="6">
        <v>1042753</v>
      </c>
      <c r="W176" s="6">
        <v>459533</v>
      </c>
      <c r="Y176" s="6">
        <v>0</v>
      </c>
      <c r="AA176" s="6">
        <v>1026002</v>
      </c>
      <c r="AC176" s="6">
        <v>790106</v>
      </c>
      <c r="AE176" s="6">
        <v>8080</v>
      </c>
      <c r="AG176" s="6">
        <v>0</v>
      </c>
      <c r="AI176" s="6">
        <v>591642</v>
      </c>
      <c r="AJ176" s="11" t="s">
        <v>677</v>
      </c>
      <c r="AK176" s="11"/>
      <c r="AL176" s="11" t="s">
        <v>46</v>
      </c>
      <c r="AN176" s="6">
        <v>348645</v>
      </c>
      <c r="AP176" s="6">
        <v>6277631</v>
      </c>
      <c r="AR176" s="6">
        <v>0</v>
      </c>
      <c r="AT176" s="6">
        <v>46882</v>
      </c>
      <c r="AV176" s="6">
        <v>840676</v>
      </c>
      <c r="AX176" s="6">
        <v>0</v>
      </c>
      <c r="AZ176" s="7">
        <f t="shared" si="27"/>
        <v>20012209</v>
      </c>
      <c r="BB176" s="6">
        <v>2000</v>
      </c>
      <c r="BD176" s="6">
        <v>0</v>
      </c>
      <c r="BF176" s="6">
        <v>0</v>
      </c>
      <c r="BH176" s="6">
        <v>0</v>
      </c>
      <c r="BJ176" s="7">
        <f t="shared" si="26"/>
        <v>20014209</v>
      </c>
      <c r="BL176" s="7">
        <f>'Gov Fd Rev'!AO176-'Gov Fd Exp'!BJ176</f>
        <v>6645365</v>
      </c>
      <c r="BN176" s="6">
        <v>23823531</v>
      </c>
      <c r="BP176" s="6">
        <v>0</v>
      </c>
      <c r="BR176" s="6">
        <v>0</v>
      </c>
      <c r="BT176" s="7">
        <f t="shared" si="25"/>
        <v>30468896</v>
      </c>
      <c r="BU176" s="7"/>
      <c r="BV176" s="7">
        <f>BT176-'Gov Fd BS'!AC176</f>
        <v>0</v>
      </c>
      <c r="BW176" s="7"/>
    </row>
    <row r="177" spans="1:75" hidden="1">
      <c r="A177" s="11" t="s">
        <v>663</v>
      </c>
      <c r="B177" s="11"/>
      <c r="C177" s="11" t="s">
        <v>10</v>
      </c>
      <c r="AJ177" s="11" t="s">
        <v>663</v>
      </c>
      <c r="AK177" s="11"/>
      <c r="AL177" s="11" t="s">
        <v>10</v>
      </c>
      <c r="AZ177" s="7">
        <f t="shared" si="27"/>
        <v>0</v>
      </c>
      <c r="BJ177" s="7">
        <f t="shared" si="26"/>
        <v>0</v>
      </c>
      <c r="BL177" s="7">
        <f>'Gov Fd Rev'!AO177-'Gov Fd Exp'!BJ177</f>
        <v>0</v>
      </c>
      <c r="BT177" s="7">
        <f t="shared" si="25"/>
        <v>0</v>
      </c>
      <c r="BU177" s="7"/>
      <c r="BV177" s="7">
        <f>BT177-'Gov Fd BS'!AC177</f>
        <v>0</v>
      </c>
      <c r="BW177" s="7"/>
    </row>
    <row r="178" spans="1:75" hidden="1">
      <c r="A178" s="11" t="s">
        <v>692</v>
      </c>
      <c r="B178" s="11"/>
      <c r="C178" s="11" t="s">
        <v>72</v>
      </c>
      <c r="AJ178" s="11" t="s">
        <v>692</v>
      </c>
      <c r="AK178" s="11"/>
      <c r="AL178" s="11" t="s">
        <v>72</v>
      </c>
      <c r="AZ178" s="7">
        <f t="shared" ref="AZ178" si="29">SUM(E178:AX178)</f>
        <v>0</v>
      </c>
      <c r="BJ178" s="7">
        <f t="shared" ref="BJ178" si="30">AZ178+BB178+BH178</f>
        <v>0</v>
      </c>
      <c r="BL178" s="7">
        <f>'Gov Fd Rev'!AO178-'Gov Fd Exp'!BJ178</f>
        <v>0</v>
      </c>
      <c r="BT178" s="7">
        <f t="shared" ref="BT178" si="31">BL178+BN178+BP178+BR178</f>
        <v>0</v>
      </c>
      <c r="BU178" s="7"/>
      <c r="BV178" s="7">
        <f>BT178-'Gov Fd BS'!AC178</f>
        <v>0</v>
      </c>
      <c r="BW178" s="7"/>
    </row>
    <row r="179" spans="1:75">
      <c r="A179" s="11" t="s">
        <v>384</v>
      </c>
      <c r="B179" s="11"/>
      <c r="C179" s="11" t="s">
        <v>44</v>
      </c>
      <c r="E179" s="6">
        <v>30509319</v>
      </c>
      <c r="G179" s="6">
        <v>9939700</v>
      </c>
      <c r="I179" s="6">
        <v>266684</v>
      </c>
      <c r="K179" s="6">
        <v>0</v>
      </c>
      <c r="M179" s="6">
        <f>392256+9295823</f>
        <v>9688079</v>
      </c>
      <c r="O179" s="6">
        <v>4014413</v>
      </c>
      <c r="Q179" s="6">
        <v>4640037</v>
      </c>
      <c r="S179" s="6">
        <v>38553</v>
      </c>
      <c r="U179" s="6">
        <v>5089614</v>
      </c>
      <c r="W179" s="6">
        <v>1769610</v>
      </c>
      <c r="Y179" s="6">
        <v>621288</v>
      </c>
      <c r="AA179" s="6">
        <v>5506948</v>
      </c>
      <c r="AC179" s="6">
        <v>3818599</v>
      </c>
      <c r="AE179" s="6">
        <v>1550833</v>
      </c>
      <c r="AG179" s="6">
        <v>0</v>
      </c>
      <c r="AI179" s="6">
        <v>1583272</v>
      </c>
      <c r="AJ179" s="11" t="s">
        <v>384</v>
      </c>
      <c r="AK179" s="11"/>
      <c r="AL179" s="11" t="s">
        <v>44</v>
      </c>
      <c r="AN179" s="6">
        <v>1400782</v>
      </c>
      <c r="AP179" s="6">
        <v>9305610</v>
      </c>
      <c r="AR179" s="6">
        <v>0</v>
      </c>
      <c r="AT179" s="6">
        <v>1169276</v>
      </c>
      <c r="AV179" s="6">
        <v>2228597</v>
      </c>
      <c r="AX179" s="6">
        <v>0</v>
      </c>
      <c r="AZ179" s="7">
        <f t="shared" si="27"/>
        <v>93141214</v>
      </c>
      <c r="BB179" s="6">
        <v>2510996</v>
      </c>
      <c r="BD179" s="6">
        <v>0</v>
      </c>
      <c r="BF179" s="6">
        <v>0</v>
      </c>
      <c r="BH179" s="6">
        <v>0</v>
      </c>
      <c r="BJ179" s="7">
        <f t="shared" si="26"/>
        <v>95652210</v>
      </c>
      <c r="BL179" s="7">
        <f>'Gov Fd Rev'!AO179-'Gov Fd Exp'!BJ179</f>
        <v>-7254656</v>
      </c>
      <c r="BN179" s="6">
        <v>14147494</v>
      </c>
      <c r="BP179" s="6">
        <v>0</v>
      </c>
      <c r="BR179" s="6">
        <v>0</v>
      </c>
      <c r="BT179" s="7">
        <f t="shared" si="25"/>
        <v>6892838</v>
      </c>
      <c r="BU179" s="7"/>
      <c r="BV179" s="7">
        <f>BT179-'Gov Fd BS'!AC179</f>
        <v>0</v>
      </c>
      <c r="BW179" s="7"/>
    </row>
    <row r="180" spans="1:75">
      <c r="A180" s="11" t="s">
        <v>267</v>
      </c>
      <c r="B180" s="11"/>
      <c r="C180" s="11" t="s">
        <v>20</v>
      </c>
      <c r="E180" s="6">
        <v>26417206</v>
      </c>
      <c r="G180" s="6">
        <v>15887529</v>
      </c>
      <c r="I180" s="6">
        <v>1306183</v>
      </c>
      <c r="K180" s="6">
        <v>152783</v>
      </c>
      <c r="M180" s="6">
        <v>21130</v>
      </c>
      <c r="O180" s="6">
        <v>4586780</v>
      </c>
      <c r="Q180" s="6">
        <v>5421105</v>
      </c>
      <c r="S180" s="6">
        <v>206835</v>
      </c>
      <c r="U180" s="6">
        <v>4980072</v>
      </c>
      <c r="W180" s="6">
        <v>1904032</v>
      </c>
      <c r="Y180" s="6">
        <v>615421</v>
      </c>
      <c r="AA180" s="6">
        <v>7215368</v>
      </c>
      <c r="AC180" s="6">
        <v>4808081</v>
      </c>
      <c r="AE180" s="6">
        <v>1477379</v>
      </c>
      <c r="AG180" s="6">
        <v>0</v>
      </c>
      <c r="AI180" s="6">
        <v>828156</v>
      </c>
      <c r="AJ180" s="11" t="s">
        <v>267</v>
      </c>
      <c r="AK180" s="11"/>
      <c r="AL180" s="11" t="s">
        <v>20</v>
      </c>
      <c r="AN180" s="6">
        <v>1107914</v>
      </c>
      <c r="AP180" s="6">
        <v>49365433</v>
      </c>
      <c r="AR180" s="6">
        <v>0</v>
      </c>
      <c r="AT180" s="6">
        <v>3162454</v>
      </c>
      <c r="AV180" s="6">
        <f>2511336+25342</f>
        <v>2536678</v>
      </c>
      <c r="AX180" s="6">
        <v>0</v>
      </c>
      <c r="AZ180" s="7">
        <f t="shared" si="27"/>
        <v>132000539</v>
      </c>
      <c r="BB180" s="6">
        <v>421689</v>
      </c>
      <c r="BD180" s="6">
        <v>0</v>
      </c>
      <c r="BF180" s="6">
        <v>0</v>
      </c>
      <c r="BH180" s="6">
        <v>0</v>
      </c>
      <c r="BJ180" s="7">
        <f t="shared" si="26"/>
        <v>132422228</v>
      </c>
      <c r="BL180" s="7">
        <f>'Gov Fd Rev'!AO180-'Gov Fd Exp'!BJ180</f>
        <v>-30781370</v>
      </c>
      <c r="BN180" s="6">
        <v>50909790</v>
      </c>
      <c r="BP180" s="6">
        <v>0</v>
      </c>
      <c r="BR180" s="6">
        <v>0</v>
      </c>
      <c r="BT180" s="7">
        <f t="shared" si="25"/>
        <v>20128420</v>
      </c>
      <c r="BU180" s="7"/>
      <c r="BV180" s="7">
        <f>BT180-'Gov Fd BS'!AC180</f>
        <v>0</v>
      </c>
      <c r="BW180" s="7"/>
    </row>
    <row r="181" spans="1:75" hidden="1">
      <c r="A181" s="11" t="s">
        <v>619</v>
      </c>
      <c r="B181" s="11"/>
      <c r="C181" s="11" t="s">
        <v>28</v>
      </c>
      <c r="AJ181" s="11" t="s">
        <v>619</v>
      </c>
      <c r="AK181" s="11"/>
      <c r="AL181" s="11" t="s">
        <v>28</v>
      </c>
      <c r="AX181" s="6">
        <v>0</v>
      </c>
      <c r="AZ181" s="7">
        <f t="shared" si="27"/>
        <v>0</v>
      </c>
      <c r="BJ181" s="7">
        <f t="shared" si="26"/>
        <v>0</v>
      </c>
      <c r="BL181" s="7">
        <f>'Gov Fd Rev'!AO181-'Gov Fd Exp'!BJ181</f>
        <v>0</v>
      </c>
      <c r="BT181" s="7">
        <f t="shared" si="25"/>
        <v>0</v>
      </c>
      <c r="BU181" s="7"/>
      <c r="BV181" s="7">
        <f>BT181-'Gov Fd BS'!AC181</f>
        <v>0</v>
      </c>
      <c r="BW181" s="7"/>
    </row>
    <row r="182" spans="1:75">
      <c r="A182" s="11" t="s">
        <v>539</v>
      </c>
      <c r="B182" s="11"/>
      <c r="C182" s="11" t="s">
        <v>66</v>
      </c>
      <c r="E182" s="6">
        <v>4614227</v>
      </c>
      <c r="G182" s="6">
        <v>952480</v>
      </c>
      <c r="I182" s="6">
        <v>11693</v>
      </c>
      <c r="K182" s="6">
        <v>0</v>
      </c>
      <c r="M182" s="6">
        <v>80740</v>
      </c>
      <c r="O182" s="6">
        <v>676004</v>
      </c>
      <c r="Q182" s="6">
        <v>376981</v>
      </c>
      <c r="S182" s="6">
        <v>57045</v>
      </c>
      <c r="U182" s="6">
        <v>764780</v>
      </c>
      <c r="W182" s="6">
        <v>437848</v>
      </c>
      <c r="Y182" s="6">
        <v>0</v>
      </c>
      <c r="AA182" s="6">
        <v>1010216</v>
      </c>
      <c r="AC182" s="6">
        <v>629292</v>
      </c>
      <c r="AE182" s="6">
        <v>5400</v>
      </c>
      <c r="AG182" s="6">
        <v>304313</v>
      </c>
      <c r="AI182" s="6">
        <v>182119</v>
      </c>
      <c r="AJ182" s="11" t="s">
        <v>539</v>
      </c>
      <c r="AK182" s="11"/>
      <c r="AL182" s="11" t="s">
        <v>66</v>
      </c>
      <c r="AN182" s="6">
        <v>302401</v>
      </c>
      <c r="AP182" s="6">
        <v>569511</v>
      </c>
      <c r="AR182" s="6">
        <v>0</v>
      </c>
      <c r="AT182" s="6">
        <v>611849</v>
      </c>
      <c r="AV182" s="6">
        <f>470600+24360</f>
        <v>494960</v>
      </c>
      <c r="AX182" s="6">
        <v>0</v>
      </c>
      <c r="AZ182" s="7">
        <f t="shared" si="27"/>
        <v>12081859</v>
      </c>
      <c r="BB182" s="6">
        <v>315740</v>
      </c>
      <c r="BD182" s="6">
        <v>0</v>
      </c>
      <c r="BF182" s="6">
        <v>0</v>
      </c>
      <c r="BH182" s="6">
        <v>0</v>
      </c>
      <c r="BJ182" s="7">
        <f t="shared" si="26"/>
        <v>12397599</v>
      </c>
      <c r="BL182" s="7">
        <f>'Gov Fd Rev'!AO182-'Gov Fd Exp'!BJ182</f>
        <v>866496</v>
      </c>
      <c r="BN182" s="6">
        <v>2955412</v>
      </c>
      <c r="BP182" s="6">
        <v>0</v>
      </c>
      <c r="BR182" s="6">
        <v>0</v>
      </c>
      <c r="BT182" s="7">
        <f t="shared" si="25"/>
        <v>3821908</v>
      </c>
      <c r="BU182" s="7"/>
      <c r="BV182" s="7">
        <f>BT182-'Gov Fd BS'!AC182</f>
        <v>0</v>
      </c>
      <c r="BW182" s="7"/>
    </row>
    <row r="183" spans="1:75">
      <c r="A183" s="11" t="s">
        <v>626</v>
      </c>
      <c r="B183" s="11"/>
      <c r="C183" s="11" t="s">
        <v>114</v>
      </c>
      <c r="E183" s="6">
        <v>17560156</v>
      </c>
      <c r="G183" s="6">
        <v>7420265</v>
      </c>
      <c r="I183" s="6">
        <v>0</v>
      </c>
      <c r="K183" s="6">
        <v>0</v>
      </c>
      <c r="M183" s="6">
        <v>2800224</v>
      </c>
      <c r="O183" s="6">
        <v>2692210</v>
      </c>
      <c r="Q183" s="6">
        <v>2203056</v>
      </c>
      <c r="S183" s="6">
        <v>50486</v>
      </c>
      <c r="U183" s="6">
        <v>3159795</v>
      </c>
      <c r="W183" s="6">
        <v>835058</v>
      </c>
      <c r="Y183" s="6">
        <v>248336</v>
      </c>
      <c r="AA183" s="6">
        <v>3808200</v>
      </c>
      <c r="AC183" s="6">
        <v>2685669</v>
      </c>
      <c r="AE183" s="6">
        <v>422131</v>
      </c>
      <c r="AG183" s="6">
        <v>0</v>
      </c>
      <c r="AI183" s="6">
        <v>1950801</v>
      </c>
      <c r="AJ183" s="11" t="s">
        <v>626</v>
      </c>
      <c r="AK183" s="11"/>
      <c r="AL183" s="11" t="s">
        <v>114</v>
      </c>
      <c r="AN183" s="6">
        <v>741756</v>
      </c>
      <c r="AP183" s="6">
        <v>11548</v>
      </c>
      <c r="AR183" s="6">
        <v>0</v>
      </c>
      <c r="AT183" s="6">
        <v>935000</v>
      </c>
      <c r="AV183" s="6">
        <v>704202</v>
      </c>
      <c r="AX183" s="6">
        <v>0</v>
      </c>
      <c r="AZ183" s="7">
        <f t="shared" si="27"/>
        <v>48228893</v>
      </c>
      <c r="BB183" s="6">
        <v>196573</v>
      </c>
      <c r="BD183" s="6">
        <v>0</v>
      </c>
      <c r="BF183" s="6">
        <v>0</v>
      </c>
      <c r="BH183" s="6">
        <v>0</v>
      </c>
      <c r="BJ183" s="7">
        <f t="shared" si="26"/>
        <v>48425466</v>
      </c>
      <c r="BL183" s="7">
        <f>'Gov Fd Rev'!AO183-'Gov Fd Exp'!BJ183</f>
        <v>1345506</v>
      </c>
      <c r="BN183" s="6">
        <v>5334757</v>
      </c>
      <c r="BP183" s="6">
        <v>0</v>
      </c>
      <c r="BR183" s="6">
        <v>0</v>
      </c>
      <c r="BT183" s="7">
        <f t="shared" si="25"/>
        <v>6680263</v>
      </c>
      <c r="BU183" s="7"/>
      <c r="BV183" s="7">
        <f>BT183-'Gov Fd BS'!AC183</f>
        <v>0</v>
      </c>
      <c r="BW183" s="7"/>
    </row>
    <row r="184" spans="1:75">
      <c r="A184" s="11" t="s">
        <v>222</v>
      </c>
      <c r="B184" s="11"/>
      <c r="C184" s="11" t="s">
        <v>221</v>
      </c>
      <c r="E184" s="6">
        <v>32783125</v>
      </c>
      <c r="G184" s="6">
        <v>10452401</v>
      </c>
      <c r="I184" s="6">
        <v>0</v>
      </c>
      <c r="K184" s="6">
        <v>0</v>
      </c>
      <c r="M184" s="6">
        <v>2618443</v>
      </c>
      <c r="O184" s="6">
        <v>3794238</v>
      </c>
      <c r="Q184" s="6">
        <v>5521155</v>
      </c>
      <c r="S184" s="6">
        <v>17982</v>
      </c>
      <c r="U184" s="6">
        <v>6290571</v>
      </c>
      <c r="W184" s="6">
        <v>1284297</v>
      </c>
      <c r="Y184" s="6">
        <v>248015</v>
      </c>
      <c r="AA184" s="6">
        <v>5103238</v>
      </c>
      <c r="AC184" s="6">
        <v>5644876</v>
      </c>
      <c r="AE184" s="6">
        <v>127305</v>
      </c>
      <c r="AG184" s="6">
        <v>0</v>
      </c>
      <c r="AI184" s="6">
        <v>4919925</v>
      </c>
      <c r="AJ184" s="11" t="s">
        <v>222</v>
      </c>
      <c r="AK184" s="11"/>
      <c r="AL184" s="11" t="s">
        <v>221</v>
      </c>
      <c r="AN184" s="6">
        <v>1512294</v>
      </c>
      <c r="AP184" s="6">
        <v>2652125</v>
      </c>
      <c r="AR184" s="6">
        <v>0</v>
      </c>
      <c r="AT184" s="6">
        <v>2711239</v>
      </c>
      <c r="AV184" s="6">
        <f>1495637+238949</f>
        <v>1734586</v>
      </c>
      <c r="AX184" s="6">
        <v>0</v>
      </c>
      <c r="AZ184" s="7">
        <f t="shared" si="27"/>
        <v>87415815</v>
      </c>
      <c r="BB184" s="6">
        <v>108955</v>
      </c>
      <c r="BD184" s="6">
        <v>0</v>
      </c>
      <c r="BF184" s="6">
        <v>0</v>
      </c>
      <c r="BH184" s="6">
        <v>22130000</v>
      </c>
      <c r="BJ184" s="7">
        <f t="shared" si="26"/>
        <v>109654770</v>
      </c>
      <c r="BL184" s="7">
        <f>'Gov Fd Rev'!AO184-'Gov Fd Exp'!BJ184</f>
        <v>2701296</v>
      </c>
      <c r="BN184" s="6">
        <v>7337644</v>
      </c>
      <c r="BP184" s="6">
        <v>0</v>
      </c>
      <c r="BR184" s="6">
        <v>0</v>
      </c>
      <c r="BT184" s="7">
        <f t="shared" si="25"/>
        <v>10038940</v>
      </c>
      <c r="BU184" s="7"/>
      <c r="BV184" s="7">
        <f>BT184-'Gov Fd BS'!AC184</f>
        <v>0</v>
      </c>
      <c r="BW184" s="7"/>
    </row>
    <row r="185" spans="1:75">
      <c r="A185" s="11" t="s">
        <v>349</v>
      </c>
      <c r="B185" s="11"/>
      <c r="C185" s="11" t="s">
        <v>348</v>
      </c>
      <c r="E185" s="6">
        <v>3712573</v>
      </c>
      <c r="G185" s="6">
        <v>562755</v>
      </c>
      <c r="I185" s="6">
        <v>181980</v>
      </c>
      <c r="K185" s="6">
        <v>0</v>
      </c>
      <c r="M185" s="6">
        <v>5636</v>
      </c>
      <c r="O185" s="6">
        <v>249192</v>
      </c>
      <c r="Q185" s="6">
        <v>566916</v>
      </c>
      <c r="S185" s="6">
        <v>36605</v>
      </c>
      <c r="U185" s="6">
        <v>617716</v>
      </c>
      <c r="W185" s="6">
        <v>321262</v>
      </c>
      <c r="Y185" s="6">
        <v>168057</v>
      </c>
      <c r="AA185" s="6">
        <v>689789</v>
      </c>
      <c r="AC185" s="6">
        <v>520906</v>
      </c>
      <c r="AE185" s="6">
        <v>142482</v>
      </c>
      <c r="AG185" s="6">
        <v>345827</v>
      </c>
      <c r="AI185" s="6">
        <v>3907</v>
      </c>
      <c r="AJ185" s="11" t="s">
        <v>349</v>
      </c>
      <c r="AK185" s="11"/>
      <c r="AL185" s="11" t="s">
        <v>348</v>
      </c>
      <c r="AN185" s="6">
        <v>164770</v>
      </c>
      <c r="AP185" s="6">
        <v>0</v>
      </c>
      <c r="AR185" s="6">
        <v>0</v>
      </c>
      <c r="AT185" s="6">
        <v>120000</v>
      </c>
      <c r="AV185" s="6">
        <v>46725</v>
      </c>
      <c r="AX185" s="6">
        <v>0</v>
      </c>
      <c r="AZ185" s="7">
        <f t="shared" si="27"/>
        <v>8457098</v>
      </c>
      <c r="BB185" s="6">
        <v>0</v>
      </c>
      <c r="BD185" s="6">
        <v>0</v>
      </c>
      <c r="BF185" s="6">
        <v>0</v>
      </c>
      <c r="BH185" s="6">
        <v>0</v>
      </c>
      <c r="BJ185" s="7">
        <f t="shared" si="26"/>
        <v>8457098</v>
      </c>
      <c r="BL185" s="7">
        <f>'Gov Fd Rev'!AO185-'Gov Fd Exp'!BJ185</f>
        <v>227403</v>
      </c>
      <c r="BN185" s="6">
        <v>2227410</v>
      </c>
      <c r="BP185" s="6">
        <v>0</v>
      </c>
      <c r="BR185" s="6">
        <v>0</v>
      </c>
      <c r="BT185" s="7">
        <f t="shared" si="25"/>
        <v>2454813</v>
      </c>
      <c r="BU185" s="7"/>
      <c r="BV185" s="7">
        <f>BT185-'Gov Fd BS'!AC185</f>
        <v>0</v>
      </c>
      <c r="BW185" s="7"/>
    </row>
    <row r="186" spans="1:75">
      <c r="A186" s="11" t="s">
        <v>294</v>
      </c>
      <c r="B186" s="11"/>
      <c r="C186" s="11" t="s">
        <v>25</v>
      </c>
      <c r="E186" s="6">
        <v>8112313</v>
      </c>
      <c r="G186" s="6">
        <v>2435716</v>
      </c>
      <c r="I186" s="6">
        <v>386440</v>
      </c>
      <c r="K186" s="6">
        <v>0</v>
      </c>
      <c r="M186" s="6">
        <v>224284</v>
      </c>
      <c r="O186" s="6">
        <v>905593</v>
      </c>
      <c r="Q186" s="6">
        <v>744003</v>
      </c>
      <c r="S186" s="6">
        <v>34532</v>
      </c>
      <c r="U186" s="6">
        <v>1347962</v>
      </c>
      <c r="W186" s="6">
        <v>590469</v>
      </c>
      <c r="Y186" s="6">
        <v>0</v>
      </c>
      <c r="AA186" s="6">
        <v>1506128</v>
      </c>
      <c r="AC186" s="6">
        <v>1542812</v>
      </c>
      <c r="AE186" s="6">
        <v>91940</v>
      </c>
      <c r="AG186" s="6">
        <v>898767</v>
      </c>
      <c r="AI186" s="6">
        <v>1046</v>
      </c>
      <c r="AJ186" s="11" t="s">
        <v>294</v>
      </c>
      <c r="AK186" s="11"/>
      <c r="AL186" s="11" t="s">
        <v>25</v>
      </c>
      <c r="AN186" s="6">
        <v>641485</v>
      </c>
      <c r="AP186" s="6">
        <f>3071280+18617</f>
        <v>3089897</v>
      </c>
      <c r="AR186" s="6">
        <v>0</v>
      </c>
      <c r="AT186" s="6">
        <v>644264</v>
      </c>
      <c r="AV186" s="6">
        <v>1125865</v>
      </c>
      <c r="AX186" s="6">
        <v>0</v>
      </c>
      <c r="AZ186" s="7">
        <f t="shared" si="27"/>
        <v>24323516</v>
      </c>
      <c r="BB186" s="6">
        <v>1708750</v>
      </c>
      <c r="BD186" s="6">
        <v>0</v>
      </c>
      <c r="BF186" s="6">
        <v>0</v>
      </c>
      <c r="BH186" s="6">
        <v>0</v>
      </c>
      <c r="BJ186" s="7">
        <f t="shared" si="26"/>
        <v>26032266</v>
      </c>
      <c r="BL186" s="7">
        <f>'Gov Fd Rev'!AO186-'Gov Fd Exp'!BJ186</f>
        <v>-1425469</v>
      </c>
      <c r="BN186" s="6">
        <v>19499754</v>
      </c>
      <c r="BP186" s="6">
        <v>0</v>
      </c>
      <c r="BR186" s="6">
        <v>0</v>
      </c>
      <c r="BT186" s="7">
        <f t="shared" si="25"/>
        <v>18074285</v>
      </c>
      <c r="BU186" s="7"/>
      <c r="BV186" s="7">
        <f>BT186-'Gov Fd BS'!AC186</f>
        <v>0</v>
      </c>
      <c r="BW186" s="7"/>
    </row>
    <row r="187" spans="1:75">
      <c r="A187" s="11" t="s">
        <v>368</v>
      </c>
      <c r="B187" s="11"/>
      <c r="C187" s="11" t="s">
        <v>366</v>
      </c>
      <c r="E187" s="6">
        <v>6529079</v>
      </c>
      <c r="G187" s="6">
        <v>1909139</v>
      </c>
      <c r="I187" s="6">
        <v>75160</v>
      </c>
      <c r="K187" s="6">
        <v>0</v>
      </c>
      <c r="M187" s="6">
        <f>9231+101087</f>
        <v>110318</v>
      </c>
      <c r="O187" s="6">
        <v>510752</v>
      </c>
      <c r="Q187" s="6">
        <v>794684</v>
      </c>
      <c r="S187" s="6">
        <v>102826</v>
      </c>
      <c r="U187" s="6">
        <v>1202021</v>
      </c>
      <c r="W187" s="6">
        <v>421286</v>
      </c>
      <c r="Y187" s="6">
        <v>42936</v>
      </c>
      <c r="AA187" s="6">
        <v>2226600</v>
      </c>
      <c r="AC187" s="6">
        <v>922204</v>
      </c>
      <c r="AE187" s="6">
        <v>5478</v>
      </c>
      <c r="AG187" s="6">
        <v>0</v>
      </c>
      <c r="AI187" s="6">
        <v>564146</v>
      </c>
      <c r="AJ187" s="11" t="s">
        <v>368</v>
      </c>
      <c r="AK187" s="11"/>
      <c r="AL187" s="11" t="s">
        <v>366</v>
      </c>
      <c r="AN187" s="6">
        <v>278615</v>
      </c>
      <c r="AP187" s="6">
        <v>0</v>
      </c>
      <c r="AR187" s="6">
        <v>0</v>
      </c>
      <c r="AT187" s="6">
        <v>1890000</v>
      </c>
      <c r="AV187" s="6">
        <f>124705+19475</f>
        <v>144180</v>
      </c>
      <c r="AX187" s="6">
        <v>0</v>
      </c>
      <c r="AZ187" s="7">
        <f t="shared" si="27"/>
        <v>17729424</v>
      </c>
      <c r="BB187" s="6">
        <v>600000</v>
      </c>
      <c r="BD187" s="6">
        <v>0</v>
      </c>
      <c r="BF187" s="6">
        <v>0</v>
      </c>
      <c r="BH187" s="6">
        <v>0</v>
      </c>
      <c r="BJ187" s="7">
        <f t="shared" si="26"/>
        <v>18329424</v>
      </c>
      <c r="BL187" s="7">
        <f>'Gov Fd Rev'!AO187-'Gov Fd Exp'!BJ187</f>
        <v>619053</v>
      </c>
      <c r="BN187" s="6">
        <v>5536180</v>
      </c>
      <c r="BP187" s="6">
        <v>0</v>
      </c>
      <c r="BR187" s="6">
        <v>0</v>
      </c>
      <c r="BT187" s="7">
        <f t="shared" si="25"/>
        <v>6155233</v>
      </c>
      <c r="BU187" s="7"/>
      <c r="BV187" s="7">
        <f>BT187-'Gov Fd BS'!AC187</f>
        <v>0</v>
      </c>
      <c r="BW187" s="7"/>
    </row>
    <row r="188" spans="1:75" ht="12" hidden="1" customHeight="1">
      <c r="A188" s="11" t="s">
        <v>620</v>
      </c>
      <c r="B188" s="11"/>
      <c r="C188" s="11" t="s">
        <v>61</v>
      </c>
      <c r="AJ188" s="11" t="s">
        <v>620</v>
      </c>
      <c r="AK188" s="11"/>
      <c r="AL188" s="11" t="s">
        <v>61</v>
      </c>
      <c r="AZ188" s="7">
        <f t="shared" si="27"/>
        <v>0</v>
      </c>
      <c r="BJ188" s="7">
        <f t="shared" si="26"/>
        <v>0</v>
      </c>
      <c r="BL188" s="7">
        <f>'Gov Fd Rev'!AO188-'Gov Fd Exp'!BJ188</f>
        <v>0</v>
      </c>
      <c r="BT188" s="7">
        <f t="shared" si="25"/>
        <v>0</v>
      </c>
      <c r="BU188" s="7"/>
      <c r="BV188" s="7">
        <f>BT188-'Gov Fd BS'!AC188</f>
        <v>0</v>
      </c>
      <c r="BW188" s="7"/>
    </row>
    <row r="189" spans="1:75">
      <c r="A189" s="11" t="s">
        <v>496</v>
      </c>
      <c r="B189" s="11"/>
      <c r="C189" s="11" t="s">
        <v>62</v>
      </c>
      <c r="E189" s="6">
        <v>6896375</v>
      </c>
      <c r="G189" s="6">
        <v>2253486</v>
      </c>
      <c r="I189" s="6">
        <v>219936</v>
      </c>
      <c r="K189" s="6">
        <v>0</v>
      </c>
      <c r="M189" s="6">
        <v>317894</v>
      </c>
      <c r="O189" s="6">
        <v>999322</v>
      </c>
      <c r="Q189" s="6">
        <v>469810</v>
      </c>
      <c r="S189" s="6">
        <v>17699</v>
      </c>
      <c r="U189" s="6">
        <v>1525272</v>
      </c>
      <c r="W189" s="6">
        <v>505387</v>
      </c>
      <c r="Y189" s="6">
        <v>0</v>
      </c>
      <c r="AA189" s="6">
        <v>1448584</v>
      </c>
      <c r="AC189" s="6">
        <v>1065360</v>
      </c>
      <c r="AE189" s="6">
        <v>137222</v>
      </c>
      <c r="AG189" s="6">
        <v>673985</v>
      </c>
      <c r="AI189" s="6">
        <v>30473</v>
      </c>
      <c r="AJ189" s="11" t="s">
        <v>496</v>
      </c>
      <c r="AK189" s="11"/>
      <c r="AL189" s="11" t="s">
        <v>62</v>
      </c>
      <c r="AN189" s="6">
        <v>495478</v>
      </c>
      <c r="AP189" s="6">
        <v>0</v>
      </c>
      <c r="AR189" s="6">
        <v>0</v>
      </c>
      <c r="AT189" s="6">
        <v>355000</v>
      </c>
      <c r="AV189" s="6">
        <f>401918+134066</f>
        <v>535984</v>
      </c>
      <c r="AX189" s="6">
        <v>0</v>
      </c>
      <c r="AZ189" s="7">
        <f t="shared" si="27"/>
        <v>17947267</v>
      </c>
      <c r="BB189" s="6">
        <v>185718</v>
      </c>
      <c r="BD189" s="6">
        <v>0</v>
      </c>
      <c r="BF189" s="6">
        <v>0</v>
      </c>
      <c r="BH189" s="6">
        <v>12454621</v>
      </c>
      <c r="BJ189" s="7">
        <f t="shared" si="26"/>
        <v>30587606</v>
      </c>
      <c r="BL189" s="7">
        <f>'Gov Fd Rev'!AO189-'Gov Fd Exp'!BJ189</f>
        <v>-171163</v>
      </c>
      <c r="BN189" s="6">
        <v>4304586</v>
      </c>
      <c r="BP189" s="6">
        <v>-6222</v>
      </c>
      <c r="BR189" s="6">
        <v>0</v>
      </c>
      <c r="BT189" s="7">
        <f t="shared" si="25"/>
        <v>4127201</v>
      </c>
      <c r="BU189" s="7"/>
      <c r="BV189" s="7">
        <f>BT189-'Gov Fd BS'!AC189</f>
        <v>0</v>
      </c>
      <c r="BW189" s="7"/>
    </row>
    <row r="190" spans="1:75" ht="12" hidden="1" customHeight="1">
      <c r="A190" s="10" t="s">
        <v>890</v>
      </c>
      <c r="B190" s="11"/>
      <c r="C190" s="11" t="s">
        <v>41</v>
      </c>
      <c r="AJ190" s="10" t="s">
        <v>890</v>
      </c>
      <c r="AK190" s="11"/>
      <c r="AL190" s="11" t="s">
        <v>41</v>
      </c>
      <c r="AZ190" s="7">
        <f t="shared" si="27"/>
        <v>0</v>
      </c>
      <c r="BJ190" s="7">
        <f t="shared" si="26"/>
        <v>0</v>
      </c>
      <c r="BL190" s="7">
        <f>'Gov Fd Rev'!AO190-'Gov Fd Exp'!BJ190</f>
        <v>0</v>
      </c>
      <c r="BT190" s="7">
        <f t="shared" si="25"/>
        <v>0</v>
      </c>
      <c r="BU190" s="7"/>
      <c r="BV190" s="7">
        <f>BT190-'Gov Fd BS'!AC190</f>
        <v>0</v>
      </c>
      <c r="BW190" s="7"/>
    </row>
    <row r="191" spans="1:75" s="28" customFormat="1">
      <c r="A191" s="27" t="s">
        <v>268</v>
      </c>
      <c r="B191" s="27"/>
      <c r="C191" s="27" t="s">
        <v>20</v>
      </c>
      <c r="E191" s="28">
        <v>9472929</v>
      </c>
      <c r="G191" s="28">
        <v>2054128</v>
      </c>
      <c r="I191" s="28">
        <v>101336</v>
      </c>
      <c r="K191" s="28">
        <v>0</v>
      </c>
      <c r="M191" s="28">
        <v>15954</v>
      </c>
      <c r="O191" s="28">
        <v>1418673</v>
      </c>
      <c r="Q191" s="28">
        <v>1191611</v>
      </c>
      <c r="S191" s="28">
        <v>24499</v>
      </c>
      <c r="U191" s="28">
        <v>1525693</v>
      </c>
      <c r="W191" s="28">
        <v>807897</v>
      </c>
      <c r="Y191" s="28">
        <v>15108</v>
      </c>
      <c r="AA191" s="28">
        <v>1714845</v>
      </c>
      <c r="AC191" s="28">
        <v>714197</v>
      </c>
      <c r="AE191" s="28">
        <v>586819</v>
      </c>
      <c r="AG191" s="28">
        <v>0</v>
      </c>
      <c r="AI191" s="28">
        <v>440733</v>
      </c>
      <c r="AJ191" s="27" t="s">
        <v>268</v>
      </c>
      <c r="AK191" s="27"/>
      <c r="AL191" s="27" t="s">
        <v>20</v>
      </c>
      <c r="AN191" s="28">
        <v>545067</v>
      </c>
      <c r="AP191" s="28">
        <v>263660</v>
      </c>
      <c r="AR191" s="28">
        <v>0</v>
      </c>
      <c r="AT191" s="28">
        <v>1210000</v>
      </c>
      <c r="AV191" s="28">
        <v>1174282</v>
      </c>
      <c r="AX191" s="28">
        <v>0</v>
      </c>
      <c r="AZ191" s="32">
        <f t="shared" si="27"/>
        <v>23277431</v>
      </c>
      <c r="BB191" s="28">
        <v>452500</v>
      </c>
      <c r="BD191" s="28">
        <v>0</v>
      </c>
      <c r="BF191" s="28">
        <v>0</v>
      </c>
      <c r="BH191" s="28">
        <v>0</v>
      </c>
      <c r="BJ191" s="32">
        <f t="shared" si="26"/>
        <v>23729931</v>
      </c>
      <c r="BL191" s="32">
        <f>'Gov Fd Rev'!AO191-'Gov Fd Exp'!BJ191</f>
        <v>820469</v>
      </c>
      <c r="BN191" s="28">
        <v>15969647</v>
      </c>
      <c r="BP191" s="28">
        <v>0</v>
      </c>
      <c r="BR191" s="28">
        <v>0</v>
      </c>
      <c r="BT191" s="32">
        <f t="shared" si="25"/>
        <v>16790116</v>
      </c>
      <c r="BU191" s="32"/>
      <c r="BV191" s="32">
        <f>BT191-'Gov Fd BS'!AC191</f>
        <v>0</v>
      </c>
      <c r="BW191" s="32"/>
    </row>
    <row r="192" spans="1:75" hidden="1">
      <c r="A192" s="11" t="s">
        <v>745</v>
      </c>
      <c r="B192" s="11"/>
      <c r="C192" s="11" t="s">
        <v>28</v>
      </c>
      <c r="AJ192" s="11" t="s">
        <v>745</v>
      </c>
      <c r="AK192" s="11"/>
      <c r="AL192" s="11" t="s">
        <v>28</v>
      </c>
      <c r="AZ192" s="7">
        <f t="shared" si="27"/>
        <v>0</v>
      </c>
      <c r="BJ192" s="7">
        <f t="shared" si="26"/>
        <v>0</v>
      </c>
      <c r="BL192" s="7">
        <f>'Gov Fd Rev'!AO192-'Gov Fd Exp'!BJ192</f>
        <v>0</v>
      </c>
      <c r="BT192" s="7">
        <f t="shared" si="25"/>
        <v>0</v>
      </c>
      <c r="BU192" s="7"/>
      <c r="BV192" s="7">
        <f>BT192-'Gov Fd BS'!AC192</f>
        <v>0</v>
      </c>
      <c r="BW192" s="7"/>
    </row>
    <row r="193" spans="1:75">
      <c r="A193" s="11" t="s">
        <v>219</v>
      </c>
      <c r="B193" s="11"/>
      <c r="C193" s="11" t="s">
        <v>77</v>
      </c>
      <c r="E193" s="6">
        <v>3401016</v>
      </c>
      <c r="G193" s="6">
        <v>803863</v>
      </c>
      <c r="I193" s="6">
        <v>194839</v>
      </c>
      <c r="K193" s="6">
        <v>0</v>
      </c>
      <c r="M193" s="6">
        <v>1669</v>
      </c>
      <c r="O193" s="6">
        <v>264650</v>
      </c>
      <c r="Q193" s="6">
        <v>668829</v>
      </c>
      <c r="S193" s="6">
        <v>60541</v>
      </c>
      <c r="U193" s="6">
        <v>694985</v>
      </c>
      <c r="W193" s="6">
        <v>310709</v>
      </c>
      <c r="Y193" s="6">
        <v>0</v>
      </c>
      <c r="AA193" s="6">
        <v>872281</v>
      </c>
      <c r="AC193" s="6">
        <v>500073</v>
      </c>
      <c r="AE193" s="6">
        <v>3086</v>
      </c>
      <c r="AG193" s="6">
        <v>453420</v>
      </c>
      <c r="AI193" s="6">
        <v>82348</v>
      </c>
      <c r="AJ193" s="11" t="s">
        <v>219</v>
      </c>
      <c r="AK193" s="11"/>
      <c r="AL193" s="11" t="s">
        <v>77</v>
      </c>
      <c r="AN193" s="6">
        <v>190398</v>
      </c>
      <c r="AP193" s="6">
        <v>222390</v>
      </c>
      <c r="AR193" s="6">
        <v>0</v>
      </c>
      <c r="AT193" s="6">
        <v>345000</v>
      </c>
      <c r="AV193" s="6">
        <v>328110</v>
      </c>
      <c r="AX193" s="6">
        <v>0</v>
      </c>
      <c r="AZ193" s="7">
        <f t="shared" si="27"/>
        <v>9398207</v>
      </c>
      <c r="BB193" s="6">
        <v>39</v>
      </c>
      <c r="BD193" s="6">
        <v>0</v>
      </c>
      <c r="BF193" s="6">
        <v>0</v>
      </c>
      <c r="BH193" s="6">
        <v>0</v>
      </c>
      <c r="BJ193" s="7">
        <f t="shared" si="26"/>
        <v>9398246</v>
      </c>
      <c r="BL193" s="7">
        <f>'Gov Fd Rev'!AO193-'Gov Fd Exp'!BJ193</f>
        <v>237250</v>
      </c>
      <c r="BN193" s="6">
        <v>3464410</v>
      </c>
      <c r="BP193" s="6">
        <v>0</v>
      </c>
      <c r="BR193" s="6">
        <v>0</v>
      </c>
      <c r="BT193" s="7">
        <f t="shared" si="25"/>
        <v>3701660</v>
      </c>
      <c r="BU193" s="7"/>
      <c r="BV193" s="7">
        <f>BT193-'Gov Fd BS'!AC193</f>
        <v>0</v>
      </c>
      <c r="BW193" s="7"/>
    </row>
    <row r="194" spans="1:75">
      <c r="A194" s="11" t="s">
        <v>743</v>
      </c>
      <c r="B194" s="11"/>
      <c r="C194" s="11" t="s">
        <v>13</v>
      </c>
      <c r="E194" s="6">
        <v>6104792</v>
      </c>
      <c r="G194" s="6">
        <v>1634677</v>
      </c>
      <c r="I194" s="6">
        <v>213940</v>
      </c>
      <c r="K194" s="6">
        <v>0</v>
      </c>
      <c r="M194" s="6">
        <v>0</v>
      </c>
      <c r="O194" s="6">
        <v>325492</v>
      </c>
      <c r="Q194" s="6">
        <v>404060</v>
      </c>
      <c r="S194" s="6">
        <v>178996</v>
      </c>
      <c r="U194" s="6">
        <v>1201545</v>
      </c>
      <c r="W194" s="6">
        <v>348138</v>
      </c>
      <c r="Y194" s="6">
        <v>0</v>
      </c>
      <c r="AA194" s="6">
        <v>889295</v>
      </c>
      <c r="AC194" s="6">
        <v>1183383</v>
      </c>
      <c r="AE194" s="6">
        <v>63038</v>
      </c>
      <c r="AG194" s="6">
        <v>0</v>
      </c>
      <c r="AI194" s="6">
        <v>560609</v>
      </c>
      <c r="AJ194" s="11" t="s">
        <v>743</v>
      </c>
      <c r="AK194" s="11"/>
      <c r="AL194" s="11" t="s">
        <v>13</v>
      </c>
      <c r="AN194" s="6">
        <v>119903</v>
      </c>
      <c r="AP194" s="6">
        <v>4994</v>
      </c>
      <c r="AR194" s="6">
        <v>0</v>
      </c>
      <c r="AT194" s="6">
        <v>60000</v>
      </c>
      <c r="AV194" s="6">
        <v>17150</v>
      </c>
      <c r="AX194" s="6">
        <v>0</v>
      </c>
      <c r="AZ194" s="7">
        <f t="shared" si="27"/>
        <v>13310012</v>
      </c>
      <c r="BB194" s="6">
        <v>0</v>
      </c>
      <c r="BD194" s="6">
        <v>0</v>
      </c>
      <c r="BF194" s="6">
        <v>0</v>
      </c>
      <c r="BH194" s="6">
        <v>0</v>
      </c>
      <c r="BJ194" s="7">
        <f t="shared" si="26"/>
        <v>13310012</v>
      </c>
      <c r="BL194" s="7">
        <f>'Gov Fd Rev'!AO194-'Gov Fd Exp'!BJ194</f>
        <v>613624</v>
      </c>
      <c r="BN194" s="6">
        <v>2855266</v>
      </c>
      <c r="BP194" s="6">
        <v>0</v>
      </c>
      <c r="BR194" s="6">
        <v>0</v>
      </c>
      <c r="BT194" s="7">
        <f t="shared" si="25"/>
        <v>3468890</v>
      </c>
      <c r="BU194" s="7"/>
      <c r="BV194" s="7">
        <f>BT194-'Gov Fd BS'!AC194</f>
        <v>0</v>
      </c>
      <c r="BW194" s="7"/>
    </row>
    <row r="195" spans="1:75">
      <c r="A195" s="11" t="s">
        <v>239</v>
      </c>
      <c r="B195" s="11"/>
      <c r="C195" s="11" t="s">
        <v>113</v>
      </c>
      <c r="E195" s="6">
        <v>4024322</v>
      </c>
      <c r="G195" s="6">
        <v>2076002</v>
      </c>
      <c r="I195" s="6">
        <v>0</v>
      </c>
      <c r="K195" s="6">
        <v>0</v>
      </c>
      <c r="M195" s="6">
        <v>109739</v>
      </c>
      <c r="O195" s="6">
        <v>531446</v>
      </c>
      <c r="Q195" s="6">
        <v>310640</v>
      </c>
      <c r="S195" s="6">
        <v>15061</v>
      </c>
      <c r="U195" s="6">
        <v>640126</v>
      </c>
      <c r="W195" s="6">
        <v>336484</v>
      </c>
      <c r="Y195" s="6">
        <v>0</v>
      </c>
      <c r="AA195" s="6">
        <v>864518</v>
      </c>
      <c r="AC195" s="6">
        <v>571258</v>
      </c>
      <c r="AE195" s="6">
        <v>47462</v>
      </c>
      <c r="AG195" s="6">
        <v>480852</v>
      </c>
      <c r="AI195" s="6">
        <v>0</v>
      </c>
      <c r="AJ195" s="11" t="s">
        <v>239</v>
      </c>
      <c r="AK195" s="11"/>
      <c r="AL195" s="11" t="s">
        <v>113</v>
      </c>
      <c r="AN195" s="6">
        <v>145635</v>
      </c>
      <c r="AP195" s="6">
        <v>817393</v>
      </c>
      <c r="AR195" s="6">
        <v>0</v>
      </c>
      <c r="AT195" s="6">
        <v>1980469</v>
      </c>
      <c r="AV195" s="6">
        <f>146715+59951</f>
        <v>206666</v>
      </c>
      <c r="AX195" s="6">
        <v>0</v>
      </c>
      <c r="AZ195" s="7">
        <f t="shared" si="27"/>
        <v>13158073</v>
      </c>
      <c r="BB195" s="6">
        <v>0</v>
      </c>
      <c r="BD195" s="6">
        <v>0</v>
      </c>
      <c r="BF195" s="6">
        <v>0</v>
      </c>
      <c r="BH195" s="6">
        <v>0</v>
      </c>
      <c r="BJ195" s="7">
        <f t="shared" si="26"/>
        <v>13158073</v>
      </c>
      <c r="BL195" s="7">
        <f>'Gov Fd Rev'!AO195-'Gov Fd Exp'!BJ195</f>
        <v>580572</v>
      </c>
      <c r="BN195" s="6">
        <v>2203867</v>
      </c>
      <c r="BP195" s="6">
        <v>0</v>
      </c>
      <c r="BR195" s="6">
        <v>0</v>
      </c>
      <c r="BT195" s="7">
        <f t="shared" si="25"/>
        <v>2784439</v>
      </c>
      <c r="BU195" s="7"/>
      <c r="BV195" s="7">
        <f>BT195-'Gov Fd BS'!AC195</f>
        <v>0</v>
      </c>
      <c r="BW195" s="7"/>
    </row>
    <row r="196" spans="1:75">
      <c r="A196" s="11" t="s">
        <v>720</v>
      </c>
      <c r="B196" s="11"/>
      <c r="C196" s="11" t="s">
        <v>56</v>
      </c>
      <c r="E196" s="6">
        <v>11359404</v>
      </c>
      <c r="G196" s="6">
        <v>1831011</v>
      </c>
      <c r="I196" s="6">
        <v>143496</v>
      </c>
      <c r="K196" s="6">
        <v>2891</v>
      </c>
      <c r="M196" s="6">
        <v>8599</v>
      </c>
      <c r="O196" s="6">
        <v>954697</v>
      </c>
      <c r="Q196" s="6">
        <v>966562</v>
      </c>
      <c r="S196" s="6">
        <v>26424</v>
      </c>
      <c r="U196" s="6">
        <v>2263055</v>
      </c>
      <c r="W196" s="6">
        <v>506208</v>
      </c>
      <c r="Y196" s="6">
        <v>204</v>
      </c>
      <c r="AA196" s="6">
        <v>1720799</v>
      </c>
      <c r="AC196" s="6">
        <v>1211429</v>
      </c>
      <c r="AE196" s="6">
        <v>102754</v>
      </c>
      <c r="AG196" s="6">
        <v>0</v>
      </c>
      <c r="AI196" s="6">
        <v>31470</v>
      </c>
      <c r="AJ196" s="11" t="s">
        <v>720</v>
      </c>
      <c r="AK196" s="11"/>
      <c r="AL196" s="11" t="s">
        <v>56</v>
      </c>
      <c r="AN196" s="6">
        <v>409456</v>
      </c>
      <c r="AP196" s="6">
        <v>742137</v>
      </c>
      <c r="AR196" s="6">
        <v>0</v>
      </c>
      <c r="AT196" s="6">
        <v>271988</v>
      </c>
      <c r="AV196" s="6">
        <v>1207318</v>
      </c>
      <c r="AX196" s="6">
        <v>0</v>
      </c>
      <c r="AZ196" s="7">
        <f t="shared" si="27"/>
        <v>23759902</v>
      </c>
      <c r="BB196" s="6">
        <v>0</v>
      </c>
      <c r="BD196" s="6">
        <v>0</v>
      </c>
      <c r="BF196" s="6">
        <v>0</v>
      </c>
      <c r="BH196" s="6">
        <v>0</v>
      </c>
      <c r="BJ196" s="7">
        <f t="shared" si="26"/>
        <v>23759902</v>
      </c>
      <c r="BL196" s="7">
        <f>'Gov Fd Rev'!AO196-'Gov Fd Exp'!BJ196</f>
        <v>-713417</v>
      </c>
      <c r="BN196" s="6">
        <v>2077586</v>
      </c>
      <c r="BP196" s="6">
        <v>0</v>
      </c>
      <c r="BR196" s="6">
        <v>0</v>
      </c>
      <c r="BT196" s="7">
        <f t="shared" si="25"/>
        <v>1364169</v>
      </c>
      <c r="BU196" s="7"/>
      <c r="BV196" s="7">
        <f>BT196-'Gov Fd BS'!AC196</f>
        <v>0</v>
      </c>
      <c r="BW196" s="7"/>
    </row>
    <row r="197" spans="1:75">
      <c r="A197" s="11" t="s">
        <v>337</v>
      </c>
      <c r="B197" s="11"/>
      <c r="C197" s="11" t="s">
        <v>33</v>
      </c>
      <c r="E197" s="6">
        <v>23527813</v>
      </c>
      <c r="G197" s="6">
        <v>6842708</v>
      </c>
      <c r="I197" s="6">
        <v>2568092</v>
      </c>
      <c r="K197" s="6">
        <v>92651</v>
      </c>
      <c r="M197" s="6">
        <v>5028013</v>
      </c>
      <c r="O197" s="6">
        <v>4218995</v>
      </c>
      <c r="Q197" s="6">
        <v>4572768</v>
      </c>
      <c r="S197" s="6">
        <v>133632</v>
      </c>
      <c r="U197" s="6">
        <v>3787213</v>
      </c>
      <c r="W197" s="6">
        <v>1457419</v>
      </c>
      <c r="Y197" s="6">
        <v>0</v>
      </c>
      <c r="AA197" s="6">
        <v>5645094</v>
      </c>
      <c r="AC197" s="6">
        <v>2057066</v>
      </c>
      <c r="AE197" s="6">
        <v>161638</v>
      </c>
      <c r="AG197" s="6">
        <v>1749964</v>
      </c>
      <c r="AI197" s="6">
        <v>549242</v>
      </c>
      <c r="AJ197" s="11" t="s">
        <v>337</v>
      </c>
      <c r="AK197" s="11"/>
      <c r="AL197" s="11" t="s">
        <v>33</v>
      </c>
      <c r="AN197" s="6">
        <v>1463091</v>
      </c>
      <c r="AP197" s="6">
        <v>36606836</v>
      </c>
      <c r="AR197" s="6">
        <v>0</v>
      </c>
      <c r="AT197" s="6">
        <v>1295510</v>
      </c>
      <c r="AV197" s="6">
        <v>2923859</v>
      </c>
      <c r="AX197" s="6">
        <v>0</v>
      </c>
      <c r="AZ197" s="7">
        <f t="shared" si="27"/>
        <v>104681604</v>
      </c>
      <c r="BB197" s="6">
        <v>271394</v>
      </c>
      <c r="BD197" s="6">
        <v>0</v>
      </c>
      <c r="BF197" s="6">
        <v>0</v>
      </c>
      <c r="BH197" s="6">
        <v>0</v>
      </c>
      <c r="BJ197" s="7">
        <f t="shared" si="26"/>
        <v>104952998</v>
      </c>
      <c r="BL197" s="7">
        <f>'Gov Fd Rev'!AO197-'Gov Fd Exp'!BJ197</f>
        <v>-30698754</v>
      </c>
      <c r="BN197" s="6">
        <v>78618334</v>
      </c>
      <c r="BP197" s="6">
        <v>-11576</v>
      </c>
      <c r="BR197" s="6">
        <v>0</v>
      </c>
      <c r="BT197" s="7">
        <f t="shared" si="25"/>
        <v>47908004</v>
      </c>
      <c r="BU197" s="7"/>
      <c r="BV197" s="7">
        <f>BT197-'Gov Fd BS'!AC197</f>
        <v>0</v>
      </c>
      <c r="BW197" s="7"/>
    </row>
    <row r="198" spans="1:75">
      <c r="A198" s="11" t="s">
        <v>322</v>
      </c>
      <c r="B198" s="11"/>
      <c r="C198" s="11" t="s">
        <v>32</v>
      </c>
      <c r="E198" s="6">
        <v>6882327</v>
      </c>
      <c r="G198" s="6">
        <v>2328705</v>
      </c>
      <c r="I198" s="6">
        <v>158485</v>
      </c>
      <c r="K198" s="6">
        <v>0</v>
      </c>
      <c r="M198" s="6">
        <v>1099383</v>
      </c>
      <c r="O198" s="6">
        <v>1389076</v>
      </c>
      <c r="Q198" s="6">
        <v>1344468</v>
      </c>
      <c r="S198" s="6">
        <v>25405</v>
      </c>
      <c r="U198" s="6">
        <v>1149678</v>
      </c>
      <c r="W198" s="6">
        <v>495629</v>
      </c>
      <c r="Y198" s="6">
        <v>395093</v>
      </c>
      <c r="AA198" s="6">
        <v>1886899</v>
      </c>
      <c r="AC198" s="6">
        <v>916299</v>
      </c>
      <c r="AE198" s="6">
        <v>237652</v>
      </c>
      <c r="AG198" s="6">
        <v>0</v>
      </c>
      <c r="AI198" s="6">
        <v>1941143</v>
      </c>
      <c r="AJ198" s="11" t="s">
        <v>322</v>
      </c>
      <c r="AK198" s="11"/>
      <c r="AL198" s="11" t="s">
        <v>32</v>
      </c>
      <c r="AN198" s="6">
        <v>570305</v>
      </c>
      <c r="AP198" s="6">
        <v>235094</v>
      </c>
      <c r="AR198" s="6">
        <v>0</v>
      </c>
      <c r="AT198" s="6">
        <v>374000</v>
      </c>
      <c r="AV198" s="6">
        <v>262336</v>
      </c>
      <c r="AX198" s="6">
        <v>0</v>
      </c>
      <c r="AZ198" s="7">
        <f t="shared" si="27"/>
        <v>21691977</v>
      </c>
      <c r="BB198" s="6">
        <v>2000</v>
      </c>
      <c r="BD198" s="6">
        <v>0</v>
      </c>
      <c r="BF198" s="6">
        <v>0</v>
      </c>
      <c r="BH198" s="6">
        <v>0</v>
      </c>
      <c r="BJ198" s="7">
        <f t="shared" si="26"/>
        <v>21693977</v>
      </c>
      <c r="BL198" s="7">
        <f>'Gov Fd Rev'!AO198-'Gov Fd Exp'!BJ198</f>
        <v>251298</v>
      </c>
      <c r="BN198" s="6">
        <v>4800208</v>
      </c>
      <c r="BP198" s="6">
        <v>0</v>
      </c>
      <c r="BR198" s="6">
        <v>0</v>
      </c>
      <c r="BT198" s="7">
        <f t="shared" si="25"/>
        <v>5051506</v>
      </c>
      <c r="BU198" s="7"/>
      <c r="BV198" s="7">
        <f>BT198-'Gov Fd BS'!AC198</f>
        <v>0</v>
      </c>
      <c r="BW198" s="7"/>
    </row>
    <row r="199" spans="1:75">
      <c r="A199" s="11" t="s">
        <v>385</v>
      </c>
      <c r="B199" s="11"/>
      <c r="C199" s="11" t="s">
        <v>44</v>
      </c>
      <c r="E199" s="6">
        <v>7195814</v>
      </c>
      <c r="G199" s="6">
        <v>1960910</v>
      </c>
      <c r="I199" s="6">
        <v>280314</v>
      </c>
      <c r="K199" s="6">
        <v>0</v>
      </c>
      <c r="M199" s="6">
        <v>1576285</v>
      </c>
      <c r="O199" s="6">
        <v>1172239</v>
      </c>
      <c r="Q199" s="6">
        <v>517904</v>
      </c>
      <c r="S199" s="6">
        <v>26757</v>
      </c>
      <c r="U199" s="6">
        <v>1427849</v>
      </c>
      <c r="W199" s="6">
        <v>414995</v>
      </c>
      <c r="Y199" s="6">
        <v>0</v>
      </c>
      <c r="AA199" s="6">
        <v>1045618</v>
      </c>
      <c r="AC199" s="6">
        <v>1165318</v>
      </c>
      <c r="AE199" s="6">
        <v>349474</v>
      </c>
      <c r="AG199" s="6">
        <v>675187</v>
      </c>
      <c r="AI199" s="6">
        <v>28955</v>
      </c>
      <c r="AJ199" s="11" t="s">
        <v>385</v>
      </c>
      <c r="AK199" s="11"/>
      <c r="AL199" s="11" t="s">
        <v>44</v>
      </c>
      <c r="AN199" s="6">
        <v>476495</v>
      </c>
      <c r="AP199" s="6">
        <f>541134+119878</f>
        <v>661012</v>
      </c>
      <c r="AR199" s="6">
        <v>0</v>
      </c>
      <c r="AT199" s="6">
        <v>86452</v>
      </c>
      <c r="AV199" s="6">
        <v>60356</v>
      </c>
      <c r="AX199" s="6">
        <v>0</v>
      </c>
      <c r="AZ199" s="7">
        <f t="shared" si="27"/>
        <v>19121934</v>
      </c>
      <c r="BB199" s="6">
        <v>7386</v>
      </c>
      <c r="BD199" s="6">
        <v>0</v>
      </c>
      <c r="BF199" s="6">
        <v>0</v>
      </c>
      <c r="BH199" s="6">
        <v>0</v>
      </c>
      <c r="BJ199" s="7">
        <f t="shared" si="26"/>
        <v>19129320</v>
      </c>
      <c r="BL199" s="7">
        <f>'Gov Fd Rev'!AO199-'Gov Fd Exp'!BJ199</f>
        <v>549519</v>
      </c>
      <c r="BN199" s="6">
        <v>1518004</v>
      </c>
      <c r="BP199" s="6">
        <v>-3292</v>
      </c>
      <c r="BR199" s="6">
        <v>0</v>
      </c>
      <c r="BT199" s="7">
        <f t="shared" si="25"/>
        <v>2064231</v>
      </c>
      <c r="BU199" s="7"/>
      <c r="BV199" s="7">
        <f>BT199-'Gov Fd BS'!AC199</f>
        <v>0</v>
      </c>
      <c r="BW199" s="7"/>
    </row>
    <row r="200" spans="1:75">
      <c r="A200" s="11" t="s">
        <v>323</v>
      </c>
      <c r="B200" s="11"/>
      <c r="C200" s="11" t="s">
        <v>32</v>
      </c>
      <c r="E200" s="6">
        <v>34450053</v>
      </c>
      <c r="G200" s="6">
        <v>7622676</v>
      </c>
      <c r="I200" s="6">
        <v>0</v>
      </c>
      <c r="K200" s="6">
        <v>0</v>
      </c>
      <c r="M200" s="6">
        <v>1466310</v>
      </c>
      <c r="O200" s="6">
        <v>5241900</v>
      </c>
      <c r="Q200" s="6">
        <v>6814913</v>
      </c>
      <c r="S200" s="6">
        <v>31242</v>
      </c>
      <c r="U200" s="6">
        <v>4918455</v>
      </c>
      <c r="W200" s="6">
        <v>1252003</v>
      </c>
      <c r="Y200" s="6">
        <v>209712</v>
      </c>
      <c r="AA200" s="6">
        <v>5284895</v>
      </c>
      <c r="AC200" s="6">
        <v>3818931</v>
      </c>
      <c r="AE200" s="6">
        <v>461613</v>
      </c>
      <c r="AG200" s="6">
        <v>2174251</v>
      </c>
      <c r="AI200" s="6">
        <v>852149</v>
      </c>
      <c r="AJ200" s="11" t="s">
        <v>323</v>
      </c>
      <c r="AK200" s="11"/>
      <c r="AL200" s="11" t="s">
        <v>32</v>
      </c>
      <c r="AN200" s="6">
        <v>2124562</v>
      </c>
      <c r="AP200" s="6">
        <v>667050</v>
      </c>
      <c r="AR200" s="6">
        <v>0</v>
      </c>
      <c r="AT200" s="6">
        <v>2030000</v>
      </c>
      <c r="AV200" s="6">
        <v>382819</v>
      </c>
      <c r="AX200" s="6">
        <v>0</v>
      </c>
      <c r="AZ200" s="7">
        <f t="shared" si="27"/>
        <v>79803534</v>
      </c>
      <c r="BB200" s="6">
        <v>560746</v>
      </c>
      <c r="BD200" s="6">
        <v>0</v>
      </c>
      <c r="BF200" s="6">
        <v>0</v>
      </c>
      <c r="BH200" s="6">
        <v>0</v>
      </c>
      <c r="BJ200" s="7">
        <f t="shared" si="26"/>
        <v>80364280</v>
      </c>
      <c r="BL200" s="7">
        <f>'Gov Fd Rev'!AO200-'Gov Fd Exp'!BJ200</f>
        <v>-1259994</v>
      </c>
      <c r="BN200" s="6">
        <v>25863345</v>
      </c>
      <c r="BP200" s="6">
        <v>0</v>
      </c>
      <c r="BR200" s="6">
        <v>0</v>
      </c>
      <c r="BT200" s="7">
        <f t="shared" si="25"/>
        <v>24603351</v>
      </c>
      <c r="BU200" s="7"/>
      <c r="BV200" s="7">
        <f>BT200-'Gov Fd BS'!AC200</f>
        <v>0</v>
      </c>
      <c r="BW200" s="7"/>
    </row>
    <row r="201" spans="1:75" ht="12" hidden="1" customHeight="1">
      <c r="A201" s="11" t="s">
        <v>616</v>
      </c>
      <c r="B201" s="11"/>
      <c r="C201" s="11" t="s">
        <v>70</v>
      </c>
      <c r="AJ201" s="11" t="s">
        <v>616</v>
      </c>
      <c r="AK201" s="11"/>
      <c r="AL201" s="11" t="s">
        <v>70</v>
      </c>
      <c r="AZ201" s="7">
        <f t="shared" si="27"/>
        <v>0</v>
      </c>
      <c r="BJ201" s="7">
        <f t="shared" si="26"/>
        <v>0</v>
      </c>
      <c r="BL201" s="7">
        <f>'Gov Fd Rev'!AO201-'Gov Fd Exp'!BJ201</f>
        <v>0</v>
      </c>
      <c r="BT201" s="7">
        <f t="shared" si="25"/>
        <v>0</v>
      </c>
      <c r="BU201" s="7"/>
      <c r="BV201" s="7">
        <f>BT201-'Gov Fd BS'!AC201</f>
        <v>0</v>
      </c>
      <c r="BW201" s="7"/>
    </row>
    <row r="202" spans="1:75">
      <c r="A202" s="11" t="s">
        <v>490</v>
      </c>
      <c r="B202" s="11"/>
      <c r="C202" s="11" t="s">
        <v>61</v>
      </c>
      <c r="E202" s="6">
        <v>3334010</v>
      </c>
      <c r="G202" s="6">
        <v>526794</v>
      </c>
      <c r="I202" s="6">
        <v>0</v>
      </c>
      <c r="K202" s="6">
        <v>0</v>
      </c>
      <c r="M202" s="6">
        <v>0</v>
      </c>
      <c r="O202" s="6">
        <v>648109</v>
      </c>
      <c r="Q202" s="6">
        <v>429654</v>
      </c>
      <c r="S202" s="6">
        <v>15617</v>
      </c>
      <c r="U202" s="6">
        <v>519326</v>
      </c>
      <c r="W202" s="6">
        <v>246128</v>
      </c>
      <c r="Y202" s="6">
        <v>730</v>
      </c>
      <c r="AA202" s="6">
        <v>662773</v>
      </c>
      <c r="AC202" s="6">
        <v>270984</v>
      </c>
      <c r="AE202" s="6">
        <v>66051</v>
      </c>
      <c r="AG202" s="6">
        <v>0</v>
      </c>
      <c r="AI202" s="6">
        <v>363134</v>
      </c>
      <c r="AJ202" s="11" t="s">
        <v>490</v>
      </c>
      <c r="AK202" s="11"/>
      <c r="AL202" s="11" t="s">
        <v>61</v>
      </c>
      <c r="AN202" s="6">
        <v>411154</v>
      </c>
      <c r="AP202" s="6">
        <v>297</v>
      </c>
      <c r="AR202" s="6">
        <v>0</v>
      </c>
      <c r="AT202" s="6">
        <v>1395000</v>
      </c>
      <c r="AV202" s="6">
        <v>414369</v>
      </c>
      <c r="AX202" s="6">
        <v>77172</v>
      </c>
      <c r="AZ202" s="7">
        <f t="shared" si="27"/>
        <v>9381302</v>
      </c>
      <c r="BB202" s="6">
        <v>97055</v>
      </c>
      <c r="BD202" s="6">
        <v>0</v>
      </c>
      <c r="BF202" s="6">
        <v>0</v>
      </c>
      <c r="BH202" s="6">
        <v>0</v>
      </c>
      <c r="BJ202" s="7">
        <f t="shared" si="26"/>
        <v>9478357</v>
      </c>
      <c r="BL202" s="7">
        <f>'Gov Fd Rev'!AO202-'Gov Fd Exp'!BJ202</f>
        <v>491067</v>
      </c>
      <c r="BN202" s="6">
        <v>3926280</v>
      </c>
      <c r="BP202" s="6">
        <v>0</v>
      </c>
      <c r="BR202" s="6">
        <v>0</v>
      </c>
      <c r="BT202" s="7">
        <f t="shared" si="25"/>
        <v>4417347</v>
      </c>
      <c r="BU202" s="7"/>
      <c r="BV202" s="7">
        <f>BT202-'Gov Fd BS'!AC202</f>
        <v>0</v>
      </c>
      <c r="BW202" s="7"/>
    </row>
    <row r="203" spans="1:75" ht="12" hidden="1" customHeight="1">
      <c r="A203" s="11" t="s">
        <v>764</v>
      </c>
      <c r="B203" s="11"/>
      <c r="C203" s="11" t="s">
        <v>422</v>
      </c>
      <c r="AJ203" s="11" t="s">
        <v>764</v>
      </c>
      <c r="AK203" s="11"/>
      <c r="AL203" s="11" t="s">
        <v>422</v>
      </c>
      <c r="AZ203" s="7">
        <f t="shared" si="27"/>
        <v>0</v>
      </c>
      <c r="BJ203" s="7">
        <f t="shared" si="26"/>
        <v>0</v>
      </c>
      <c r="BL203" s="7">
        <f>'Gov Fd Rev'!AO203-'Gov Fd Exp'!BJ203</f>
        <v>0</v>
      </c>
      <c r="BT203" s="7">
        <f t="shared" si="25"/>
        <v>0</v>
      </c>
      <c r="BU203" s="7"/>
      <c r="BV203" s="7">
        <f>BT203-'Gov Fd BS'!AC203</f>
        <v>0</v>
      </c>
      <c r="BW203" s="7"/>
    </row>
    <row r="204" spans="1:75" ht="12" hidden="1" customHeight="1">
      <c r="A204" s="11" t="s">
        <v>747</v>
      </c>
      <c r="B204" s="11"/>
      <c r="C204" s="11" t="s">
        <v>60</v>
      </c>
      <c r="AJ204" s="11" t="s">
        <v>747</v>
      </c>
      <c r="AK204" s="11"/>
      <c r="AL204" s="11" t="s">
        <v>60</v>
      </c>
      <c r="AZ204" s="7">
        <f t="shared" si="27"/>
        <v>0</v>
      </c>
      <c r="BJ204" s="7">
        <f t="shared" si="26"/>
        <v>0</v>
      </c>
      <c r="BL204" s="7">
        <f>'Gov Fd Rev'!AO204-'Gov Fd Exp'!BJ204</f>
        <v>0</v>
      </c>
      <c r="BT204" s="7">
        <f t="shared" si="25"/>
        <v>0</v>
      </c>
      <c r="BU204" s="7"/>
      <c r="BV204" s="7">
        <f>BT204-'Gov Fd BS'!AC204</f>
        <v>0</v>
      </c>
      <c r="BW204" s="7"/>
    </row>
    <row r="205" spans="1:75">
      <c r="A205" s="11" t="s">
        <v>544</v>
      </c>
      <c r="B205" s="11"/>
      <c r="C205" s="11" t="s">
        <v>69</v>
      </c>
      <c r="E205" s="6">
        <v>14050023</v>
      </c>
      <c r="G205" s="6">
        <v>3796531</v>
      </c>
      <c r="I205" s="6">
        <v>355021</v>
      </c>
      <c r="K205" s="6">
        <v>1346</v>
      </c>
      <c r="M205" s="6">
        <f>345+70117</f>
        <v>70462</v>
      </c>
      <c r="O205" s="6">
        <v>1319906</v>
      </c>
      <c r="Q205" s="6">
        <v>1583130</v>
      </c>
      <c r="S205" s="6">
        <v>29937</v>
      </c>
      <c r="U205" s="6">
        <v>2119367</v>
      </c>
      <c r="W205" s="6">
        <v>557374</v>
      </c>
      <c r="Y205" s="6">
        <v>178090</v>
      </c>
      <c r="AA205" s="6">
        <v>2212069</v>
      </c>
      <c r="AC205" s="6">
        <v>1186601</v>
      </c>
      <c r="AE205" s="6">
        <v>434272</v>
      </c>
      <c r="AG205" s="6">
        <v>0</v>
      </c>
      <c r="AI205" s="6">
        <v>1628819</v>
      </c>
      <c r="AJ205" s="11" t="s">
        <v>544</v>
      </c>
      <c r="AK205" s="11"/>
      <c r="AL205" s="11" t="s">
        <v>69</v>
      </c>
      <c r="AN205" s="6">
        <v>813570</v>
      </c>
      <c r="AP205" s="6">
        <v>305085</v>
      </c>
      <c r="AR205" s="6">
        <v>0</v>
      </c>
      <c r="AT205" s="6">
        <v>282199</v>
      </c>
      <c r="AV205" s="6">
        <v>261371</v>
      </c>
      <c r="AX205" s="6">
        <v>0</v>
      </c>
      <c r="AZ205" s="7">
        <f t="shared" si="27"/>
        <v>31185173</v>
      </c>
      <c r="BB205" s="6">
        <v>0</v>
      </c>
      <c r="BD205" s="6">
        <v>0</v>
      </c>
      <c r="BF205" s="6">
        <v>0</v>
      </c>
      <c r="BH205" s="6">
        <v>0</v>
      </c>
      <c r="BJ205" s="7">
        <f t="shared" si="26"/>
        <v>31185173</v>
      </c>
      <c r="BL205" s="7">
        <f>'Gov Fd Rev'!AO205-'Gov Fd Exp'!BJ205</f>
        <v>-829712</v>
      </c>
      <c r="BN205" s="6">
        <v>5801647</v>
      </c>
      <c r="BP205" s="6">
        <v>0</v>
      </c>
      <c r="BR205" s="6">
        <v>0</v>
      </c>
      <c r="BT205" s="7">
        <f t="shared" si="25"/>
        <v>4971935</v>
      </c>
      <c r="BU205" s="7"/>
      <c r="BV205" s="7">
        <f>BT205-'Gov Fd BS'!AC205</f>
        <v>0</v>
      </c>
      <c r="BW205" s="7"/>
    </row>
    <row r="206" spans="1:75">
      <c r="A206" s="11" t="s">
        <v>444</v>
      </c>
      <c r="B206" s="11"/>
      <c r="C206" s="11" t="s">
        <v>51</v>
      </c>
      <c r="E206" s="6">
        <v>10721250</v>
      </c>
      <c r="G206" s="6">
        <v>2263140</v>
      </c>
      <c r="I206" s="6">
        <v>113262</v>
      </c>
      <c r="K206" s="6">
        <v>0</v>
      </c>
      <c r="M206" s="6">
        <v>208327</v>
      </c>
      <c r="O206" s="6">
        <v>976942</v>
      </c>
      <c r="Q206" s="6">
        <v>1175846</v>
      </c>
      <c r="S206" s="6">
        <v>89444</v>
      </c>
      <c r="U206" s="6">
        <v>1478905</v>
      </c>
      <c r="W206" s="6">
        <v>494505</v>
      </c>
      <c r="Y206" s="6">
        <v>0</v>
      </c>
      <c r="AA206" s="6">
        <v>2051920</v>
      </c>
      <c r="AC206" s="6">
        <v>1463797</v>
      </c>
      <c r="AE206" s="6">
        <v>209733</v>
      </c>
      <c r="AG206" s="6">
        <v>1156207</v>
      </c>
      <c r="AI206" s="6">
        <v>6646</v>
      </c>
      <c r="AJ206" s="11" t="s">
        <v>444</v>
      </c>
      <c r="AK206" s="11"/>
      <c r="AL206" s="11" t="s">
        <v>51</v>
      </c>
      <c r="AN206" s="6">
        <v>528844</v>
      </c>
      <c r="AP206" s="6">
        <v>397558</v>
      </c>
      <c r="AR206" s="6">
        <v>0</v>
      </c>
      <c r="AT206" s="6">
        <v>548440</v>
      </c>
      <c r="AV206" s="6">
        <v>268271</v>
      </c>
      <c r="AX206" s="6">
        <v>0</v>
      </c>
      <c r="AZ206" s="7">
        <f t="shared" si="27"/>
        <v>24153037</v>
      </c>
      <c r="BB206" s="6">
        <v>731587</v>
      </c>
      <c r="BD206" s="6">
        <v>0</v>
      </c>
      <c r="BF206" s="6">
        <v>0</v>
      </c>
      <c r="BH206" s="6">
        <v>0</v>
      </c>
      <c r="BJ206" s="7">
        <f t="shared" si="26"/>
        <v>24884624</v>
      </c>
      <c r="BL206" s="7">
        <f>'Gov Fd Rev'!AO206-'Gov Fd Exp'!BJ206</f>
        <v>5165805</v>
      </c>
      <c r="BN206" s="6">
        <v>6163848</v>
      </c>
      <c r="BP206" s="6">
        <v>0</v>
      </c>
      <c r="BR206" s="6">
        <v>0</v>
      </c>
      <c r="BT206" s="7">
        <f t="shared" si="25"/>
        <v>11329653</v>
      </c>
      <c r="BU206" s="7"/>
      <c r="BV206" s="7">
        <f>BT206-'Gov Fd BS'!AC206</f>
        <v>0</v>
      </c>
      <c r="BW206" s="7"/>
    </row>
    <row r="207" spans="1:75" ht="12" hidden="1" customHeight="1">
      <c r="A207" s="11" t="s">
        <v>615</v>
      </c>
      <c r="B207" s="11"/>
      <c r="C207" s="11" t="s">
        <v>21</v>
      </c>
      <c r="AJ207" s="11" t="s">
        <v>615</v>
      </c>
      <c r="AK207" s="11"/>
      <c r="AL207" s="11" t="s">
        <v>21</v>
      </c>
      <c r="AZ207" s="7">
        <f t="shared" si="27"/>
        <v>0</v>
      </c>
      <c r="BJ207" s="7">
        <f t="shared" si="26"/>
        <v>0</v>
      </c>
      <c r="BL207" s="7">
        <f>'Gov Fd Rev'!AO207-'Gov Fd Exp'!BJ207</f>
        <v>0</v>
      </c>
      <c r="BT207" s="7">
        <f t="shared" si="25"/>
        <v>0</v>
      </c>
      <c r="BU207" s="7"/>
      <c r="BV207" s="7">
        <f>BT207-'Gov Fd BS'!AC207</f>
        <v>0</v>
      </c>
      <c r="BW207" s="7"/>
    </row>
    <row r="208" spans="1:75" ht="12" hidden="1" customHeight="1">
      <c r="A208" s="11" t="s">
        <v>664</v>
      </c>
      <c r="B208" s="11"/>
      <c r="C208" s="11" t="s">
        <v>40</v>
      </c>
      <c r="AJ208" s="11" t="s">
        <v>664</v>
      </c>
      <c r="AK208" s="11"/>
      <c r="AL208" s="11" t="s">
        <v>40</v>
      </c>
      <c r="AZ208" s="7">
        <f t="shared" si="27"/>
        <v>0</v>
      </c>
      <c r="BJ208" s="7">
        <f t="shared" si="26"/>
        <v>0</v>
      </c>
      <c r="BL208" s="7">
        <f>'Gov Fd Rev'!AO208-'Gov Fd Exp'!BJ208</f>
        <v>0</v>
      </c>
      <c r="BT208" s="7">
        <f t="shared" si="25"/>
        <v>0</v>
      </c>
      <c r="BU208" s="7"/>
      <c r="BV208" s="7">
        <f>BT208-'Gov Fd BS'!AC208</f>
        <v>0</v>
      </c>
      <c r="BW208" s="7"/>
    </row>
    <row r="209" spans="1:75">
      <c r="A209" s="11" t="s">
        <v>644</v>
      </c>
      <c r="B209" s="11"/>
      <c r="C209" s="11" t="s">
        <v>79</v>
      </c>
      <c r="E209" s="6">
        <v>17535341</v>
      </c>
      <c r="G209" s="6">
        <v>6068225</v>
      </c>
      <c r="I209" s="6">
        <v>66862</v>
      </c>
      <c r="K209" s="6">
        <v>0</v>
      </c>
      <c r="M209" s="6">
        <v>532262</v>
      </c>
      <c r="O209" s="6">
        <v>2825147</v>
      </c>
      <c r="Q209" s="6">
        <v>2333066</v>
      </c>
      <c r="S209" s="6">
        <v>73267</v>
      </c>
      <c r="U209" s="6">
        <v>3185266</v>
      </c>
      <c r="W209" s="6">
        <v>762293</v>
      </c>
      <c r="Y209" s="6">
        <v>140618</v>
      </c>
      <c r="AA209" s="6">
        <v>3056056</v>
      </c>
      <c r="AC209" s="6">
        <v>1202167</v>
      </c>
      <c r="AE209" s="6">
        <v>93135</v>
      </c>
      <c r="AG209" s="6">
        <v>0</v>
      </c>
      <c r="AI209" s="6">
        <v>2012909</v>
      </c>
      <c r="AJ209" s="11" t="s">
        <v>644</v>
      </c>
      <c r="AK209" s="11"/>
      <c r="AL209" s="11" t="s">
        <v>79</v>
      </c>
      <c r="AN209" s="6">
        <v>760136</v>
      </c>
      <c r="AP209" s="6">
        <v>14970633</v>
      </c>
      <c r="AR209" s="6">
        <v>0</v>
      </c>
      <c r="AT209" s="6">
        <v>415155</v>
      </c>
      <c r="AV209" s="6">
        <v>778425</v>
      </c>
      <c r="AX209" s="6">
        <v>0</v>
      </c>
      <c r="AZ209" s="7">
        <f t="shared" si="27"/>
        <v>56810963</v>
      </c>
      <c r="BB209" s="6">
        <v>73477</v>
      </c>
      <c r="BD209" s="6">
        <v>0</v>
      </c>
      <c r="BF209" s="6">
        <v>0</v>
      </c>
      <c r="BH209" s="6">
        <v>0</v>
      </c>
      <c r="BJ209" s="7">
        <f t="shared" si="26"/>
        <v>56884440</v>
      </c>
      <c r="BL209" s="7">
        <f>'Gov Fd Rev'!AO209-'Gov Fd Exp'!BJ209</f>
        <v>-10792859</v>
      </c>
      <c r="BN209" s="6">
        <v>39403038</v>
      </c>
      <c r="BP209" s="6">
        <v>0</v>
      </c>
      <c r="BR209" s="6">
        <v>0</v>
      </c>
      <c r="BT209" s="7">
        <f t="shared" si="25"/>
        <v>28610179</v>
      </c>
      <c r="BU209" s="7"/>
      <c r="BV209" s="7">
        <f>BT209-'Gov Fd BS'!AC209</f>
        <v>0</v>
      </c>
      <c r="BW209" s="7"/>
    </row>
    <row r="210" spans="1:75">
      <c r="A210" s="11" t="s">
        <v>548</v>
      </c>
      <c r="B210" s="11"/>
      <c r="C210" s="11" t="s">
        <v>70</v>
      </c>
      <c r="E210" s="6">
        <v>3096727</v>
      </c>
      <c r="G210" s="6">
        <v>1185414</v>
      </c>
      <c r="I210" s="6">
        <v>246487</v>
      </c>
      <c r="K210" s="6">
        <v>0</v>
      </c>
      <c r="M210" s="6">
        <v>0</v>
      </c>
      <c r="O210" s="6">
        <v>301033</v>
      </c>
      <c r="Q210" s="6">
        <v>134725</v>
      </c>
      <c r="S210" s="6">
        <v>22380</v>
      </c>
      <c r="U210" s="6">
        <v>959822</v>
      </c>
      <c r="W210" s="6">
        <v>279140</v>
      </c>
      <c r="Y210" s="6">
        <v>16</v>
      </c>
      <c r="AA210" s="6">
        <v>1054381</v>
      </c>
      <c r="AC210" s="6">
        <v>798868</v>
      </c>
      <c r="AE210" s="6">
        <v>11880</v>
      </c>
      <c r="AG210" s="6">
        <v>428908</v>
      </c>
      <c r="AI210" s="6">
        <v>0</v>
      </c>
      <c r="AJ210" s="11" t="s">
        <v>548</v>
      </c>
      <c r="AK210" s="11"/>
      <c r="AL210" s="11" t="s">
        <v>70</v>
      </c>
      <c r="AN210" s="6">
        <v>125172</v>
      </c>
      <c r="AP210" s="6">
        <v>17392</v>
      </c>
      <c r="AR210" s="6">
        <v>0</v>
      </c>
      <c r="AT210" s="6">
        <v>135594</v>
      </c>
      <c r="AV210" s="6">
        <v>86076</v>
      </c>
      <c r="AX210" s="6">
        <v>0</v>
      </c>
      <c r="AZ210" s="7">
        <f t="shared" si="27"/>
        <v>8884015</v>
      </c>
      <c r="BB210" s="6">
        <v>47249</v>
      </c>
      <c r="BD210" s="6">
        <v>0</v>
      </c>
      <c r="BF210" s="6">
        <v>0</v>
      </c>
      <c r="BH210" s="6">
        <v>0</v>
      </c>
      <c r="BJ210" s="7">
        <f t="shared" si="26"/>
        <v>8931264</v>
      </c>
      <c r="BL210" s="7">
        <f>'Gov Fd Rev'!AO210-'Gov Fd Exp'!BJ210</f>
        <v>-299713</v>
      </c>
      <c r="BN210" s="6">
        <v>2415272</v>
      </c>
      <c r="BP210" s="6">
        <v>0</v>
      </c>
      <c r="BR210" s="6">
        <v>0</v>
      </c>
      <c r="BT210" s="7">
        <f t="shared" si="25"/>
        <v>2115559</v>
      </c>
      <c r="BU210" s="7"/>
      <c r="BV210" s="7">
        <f>BT210-'Gov Fd BS'!AC210</f>
        <v>0</v>
      </c>
      <c r="BW210" s="7"/>
    </row>
    <row r="211" spans="1:75">
      <c r="A211" s="11" t="s">
        <v>641</v>
      </c>
      <c r="B211" s="11"/>
      <c r="C211" s="11" t="s">
        <v>27</v>
      </c>
      <c r="E211" s="6">
        <v>39949736</v>
      </c>
      <c r="G211" s="6">
        <v>11654805</v>
      </c>
      <c r="I211" s="6">
        <v>906551</v>
      </c>
      <c r="K211" s="6">
        <v>0</v>
      </c>
      <c r="M211" s="6">
        <v>0</v>
      </c>
      <c r="O211" s="6">
        <v>3695664</v>
      </c>
      <c r="Q211" s="6">
        <v>3453169</v>
      </c>
      <c r="S211" s="6">
        <v>250484</v>
      </c>
      <c r="U211" s="6">
        <v>6953227</v>
      </c>
      <c r="W211" s="6">
        <v>1536940</v>
      </c>
      <c r="Y211" s="6">
        <v>8382</v>
      </c>
      <c r="AA211" s="6">
        <v>6171392</v>
      </c>
      <c r="AC211" s="6">
        <v>2659442</v>
      </c>
      <c r="AE211" s="6">
        <v>469168</v>
      </c>
      <c r="AG211" s="6">
        <v>2408128</v>
      </c>
      <c r="AI211" s="6">
        <v>1207619</v>
      </c>
      <c r="AJ211" s="11" t="s">
        <v>641</v>
      </c>
      <c r="AK211" s="11"/>
      <c r="AL211" s="11" t="s">
        <v>27</v>
      </c>
      <c r="AN211" s="6">
        <v>1208808</v>
      </c>
      <c r="AP211" s="6">
        <v>2011411</v>
      </c>
      <c r="AR211" s="6">
        <v>0</v>
      </c>
      <c r="AT211" s="6">
        <v>3530892</v>
      </c>
      <c r="AV211" s="6">
        <v>1375823</v>
      </c>
      <c r="AX211" s="6">
        <v>0</v>
      </c>
      <c r="AZ211" s="7">
        <f t="shared" si="27"/>
        <v>89451641</v>
      </c>
      <c r="BB211" s="6">
        <v>1811918</v>
      </c>
      <c r="BD211" s="6">
        <v>0</v>
      </c>
      <c r="BF211" s="6">
        <v>0</v>
      </c>
      <c r="BH211" s="6">
        <v>0</v>
      </c>
      <c r="BJ211" s="7">
        <f t="shared" si="26"/>
        <v>91263559</v>
      </c>
      <c r="BL211" s="7">
        <f>'Gov Fd Rev'!AO211-'Gov Fd Exp'!BJ211</f>
        <v>1725872</v>
      </c>
      <c r="BN211" s="6">
        <v>26768117</v>
      </c>
      <c r="BP211" s="6">
        <v>0</v>
      </c>
      <c r="BR211" s="6">
        <v>0</v>
      </c>
      <c r="BT211" s="7">
        <f t="shared" si="25"/>
        <v>28493989</v>
      </c>
      <c r="BU211" s="7"/>
      <c r="BV211" s="7">
        <f>BT211-'Gov Fd BS'!AC211</f>
        <v>0</v>
      </c>
      <c r="BW211" s="7"/>
    </row>
    <row r="212" spans="1:75">
      <c r="A212" s="11" t="s">
        <v>259</v>
      </c>
      <c r="B212" s="11"/>
      <c r="C212" s="11" t="s">
        <v>111</v>
      </c>
      <c r="E212" s="6">
        <v>8563035</v>
      </c>
      <c r="G212" s="6">
        <v>2985947</v>
      </c>
      <c r="I212" s="6">
        <v>97259</v>
      </c>
      <c r="K212" s="6">
        <v>0</v>
      </c>
      <c r="M212" s="6">
        <v>0</v>
      </c>
      <c r="O212" s="6">
        <v>846922</v>
      </c>
      <c r="Q212" s="6">
        <v>1053996</v>
      </c>
      <c r="S212" s="6">
        <v>69112</v>
      </c>
      <c r="U212" s="6">
        <v>1306192</v>
      </c>
      <c r="W212" s="6">
        <v>431751</v>
      </c>
      <c r="Y212" s="6">
        <v>0</v>
      </c>
      <c r="AA212" s="6">
        <v>1588478</v>
      </c>
      <c r="AC212" s="6">
        <v>704716</v>
      </c>
      <c r="AE212" s="6">
        <v>181214</v>
      </c>
      <c r="AG212" s="6">
        <v>0</v>
      </c>
      <c r="AI212" s="6">
        <v>969640</v>
      </c>
      <c r="AJ212" s="11" t="s">
        <v>259</v>
      </c>
      <c r="AK212" s="11"/>
      <c r="AL212" s="11" t="s">
        <v>111</v>
      </c>
      <c r="AN212" s="6">
        <v>561938</v>
      </c>
      <c r="AP212" s="6">
        <v>120239</v>
      </c>
      <c r="AR212" s="6">
        <v>0</v>
      </c>
      <c r="AT212" s="6">
        <v>454202</v>
      </c>
      <c r="AV212" s="6">
        <v>793330</v>
      </c>
      <c r="AX212" s="6">
        <v>0</v>
      </c>
      <c r="AZ212" s="7">
        <f t="shared" si="27"/>
        <v>20727971</v>
      </c>
      <c r="BB212" s="6">
        <v>36044</v>
      </c>
      <c r="BD212" s="6">
        <v>0</v>
      </c>
      <c r="BF212" s="6">
        <v>0</v>
      </c>
      <c r="BH212" s="6">
        <v>0</v>
      </c>
      <c r="BJ212" s="7">
        <f t="shared" si="26"/>
        <v>20764015</v>
      </c>
      <c r="BL212" s="7">
        <f>'Gov Fd Rev'!AO212-'Gov Fd Exp'!BJ212</f>
        <v>-663893</v>
      </c>
      <c r="BN212" s="6">
        <v>4671604</v>
      </c>
      <c r="BP212" s="6">
        <v>0</v>
      </c>
      <c r="BR212" s="6">
        <v>0</v>
      </c>
      <c r="BT212" s="7">
        <f t="shared" si="25"/>
        <v>4007711</v>
      </c>
      <c r="BU212" s="7"/>
      <c r="BV212" s="7">
        <f>BT212-'Gov Fd BS'!AC212</f>
        <v>0</v>
      </c>
      <c r="BW212" s="7"/>
    </row>
    <row r="213" spans="1:75">
      <c r="A213" s="11" t="s">
        <v>642</v>
      </c>
      <c r="B213" s="11"/>
      <c r="C213" s="11" t="s">
        <v>29</v>
      </c>
      <c r="E213" s="6">
        <v>9053097</v>
      </c>
      <c r="G213" s="6">
        <v>3402997</v>
      </c>
      <c r="I213" s="6">
        <v>391967</v>
      </c>
      <c r="K213" s="6">
        <v>0</v>
      </c>
      <c r="M213" s="6">
        <v>1996379</v>
      </c>
      <c r="O213" s="6">
        <v>614918</v>
      </c>
      <c r="Q213" s="6">
        <v>997647</v>
      </c>
      <c r="S213" s="6">
        <v>101825</v>
      </c>
      <c r="U213" s="6">
        <v>1742536</v>
      </c>
      <c r="W213" s="6">
        <v>672495</v>
      </c>
      <c r="Y213" s="6">
        <v>32186</v>
      </c>
      <c r="AA213" s="6">
        <v>1601630</v>
      </c>
      <c r="AC213" s="6">
        <v>2209409</v>
      </c>
      <c r="AE213" s="6">
        <v>637712</v>
      </c>
      <c r="AG213" s="6">
        <v>0</v>
      </c>
      <c r="AI213" s="6">
        <v>1108360</v>
      </c>
      <c r="AJ213" s="11" t="s">
        <v>642</v>
      </c>
      <c r="AK213" s="11"/>
      <c r="AL213" s="11" t="s">
        <v>29</v>
      </c>
      <c r="AN213" s="6">
        <v>530638</v>
      </c>
      <c r="AP213" s="6">
        <v>4996433</v>
      </c>
      <c r="AR213" s="6">
        <v>0</v>
      </c>
      <c r="AT213" s="6">
        <v>977213</v>
      </c>
      <c r="AV213" s="6">
        <v>1972058</v>
      </c>
      <c r="AX213" s="6">
        <v>0</v>
      </c>
      <c r="AZ213" s="7">
        <f t="shared" si="27"/>
        <v>33039500</v>
      </c>
      <c r="BB213" s="6">
        <v>0</v>
      </c>
      <c r="BD213" s="6">
        <v>0</v>
      </c>
      <c r="BF213" s="6">
        <v>0</v>
      </c>
      <c r="BH213" s="6">
        <v>0</v>
      </c>
      <c r="BJ213" s="7">
        <f t="shared" si="26"/>
        <v>33039500</v>
      </c>
      <c r="BL213" s="7">
        <f>'Gov Fd Rev'!AO213-'Gov Fd Exp'!BJ213</f>
        <v>-1513808</v>
      </c>
      <c r="BN213" s="6">
        <v>15525136</v>
      </c>
      <c r="BP213" s="6">
        <v>0</v>
      </c>
      <c r="BR213" s="6">
        <v>0</v>
      </c>
      <c r="BT213" s="7">
        <f t="shared" si="25"/>
        <v>14011328</v>
      </c>
      <c r="BU213" s="7"/>
      <c r="BV213" s="7">
        <f>BT213-'Gov Fd BS'!AC213</f>
        <v>0</v>
      </c>
      <c r="BW213" s="7"/>
    </row>
    <row r="214" spans="1:75">
      <c r="A214" s="11" t="s">
        <v>313</v>
      </c>
      <c r="B214" s="11"/>
      <c r="C214" s="11" t="s">
        <v>29</v>
      </c>
      <c r="E214" s="6">
        <v>8950830</v>
      </c>
      <c r="G214" s="6">
        <v>3204296</v>
      </c>
      <c r="I214" s="6">
        <v>87443</v>
      </c>
      <c r="K214" s="6">
        <v>0</v>
      </c>
      <c r="M214" s="6">
        <v>240346</v>
      </c>
      <c r="O214" s="6">
        <v>1136231</v>
      </c>
      <c r="Q214" s="6">
        <v>1240328</v>
      </c>
      <c r="S214" s="6">
        <v>27594</v>
      </c>
      <c r="U214" s="6">
        <v>1879879</v>
      </c>
      <c r="W214" s="6">
        <v>385797</v>
      </c>
      <c r="Y214" s="6">
        <v>0</v>
      </c>
      <c r="AA214" s="6">
        <v>2074732</v>
      </c>
      <c r="AC214" s="6">
        <v>1481556</v>
      </c>
      <c r="AE214" s="6">
        <v>125029</v>
      </c>
      <c r="AG214" s="6">
        <v>809012</v>
      </c>
      <c r="AI214" s="6">
        <v>0</v>
      </c>
      <c r="AJ214" s="11" t="s">
        <v>313</v>
      </c>
      <c r="AK214" s="11"/>
      <c r="AL214" s="11" t="s">
        <v>29</v>
      </c>
      <c r="AN214" s="6">
        <v>522021</v>
      </c>
      <c r="AP214" s="6">
        <v>5572769</v>
      </c>
      <c r="AR214" s="6">
        <v>0</v>
      </c>
      <c r="AT214" s="6">
        <v>585000</v>
      </c>
      <c r="AV214" s="6">
        <v>1024240</v>
      </c>
      <c r="AX214" s="6">
        <v>0</v>
      </c>
      <c r="AZ214" s="7">
        <f t="shared" si="27"/>
        <v>29347103</v>
      </c>
      <c r="BB214" s="6">
        <v>9495</v>
      </c>
      <c r="BD214" s="6">
        <v>0</v>
      </c>
      <c r="BF214" s="6">
        <v>0</v>
      </c>
      <c r="BH214" s="6">
        <v>0</v>
      </c>
      <c r="BJ214" s="7">
        <f t="shared" si="26"/>
        <v>29356598</v>
      </c>
      <c r="BL214" s="7">
        <f>'Gov Fd Rev'!AO214-'Gov Fd Exp'!BJ214</f>
        <v>-3556152</v>
      </c>
      <c r="BN214" s="6">
        <v>8637659</v>
      </c>
      <c r="BP214" s="6">
        <v>16904</v>
      </c>
      <c r="BR214" s="6">
        <v>0</v>
      </c>
      <c r="BT214" s="7">
        <f t="shared" si="25"/>
        <v>5098411</v>
      </c>
      <c r="BU214" s="7"/>
      <c r="BV214" s="7">
        <f>BT214-'Gov Fd BS'!AC214</f>
        <v>0</v>
      </c>
      <c r="BW214" s="7"/>
    </row>
    <row r="215" spans="1:75">
      <c r="A215" s="11" t="s">
        <v>535</v>
      </c>
      <c r="B215" s="11"/>
      <c r="C215" s="11" t="s">
        <v>65</v>
      </c>
      <c r="E215" s="6">
        <v>5817671</v>
      </c>
      <c r="G215" s="6">
        <v>1373949</v>
      </c>
      <c r="I215" s="6">
        <v>955</v>
      </c>
      <c r="K215" s="6">
        <v>0</v>
      </c>
      <c r="M215" s="6">
        <v>62638</v>
      </c>
      <c r="O215" s="6">
        <v>325078</v>
      </c>
      <c r="Q215" s="6">
        <v>798031</v>
      </c>
      <c r="S215" s="6">
        <v>16760</v>
      </c>
      <c r="U215" s="6">
        <v>1038789</v>
      </c>
      <c r="W215" s="6">
        <v>402883</v>
      </c>
      <c r="Y215" s="6">
        <v>0</v>
      </c>
      <c r="AA215" s="6">
        <v>915019</v>
      </c>
      <c r="AC215" s="6">
        <v>791751</v>
      </c>
      <c r="AE215" s="6">
        <v>40458</v>
      </c>
      <c r="AG215" s="6">
        <v>464748</v>
      </c>
      <c r="AI215" s="6">
        <v>0</v>
      </c>
      <c r="AJ215" s="11" t="s">
        <v>535</v>
      </c>
      <c r="AK215" s="11"/>
      <c r="AL215" s="11" t="s">
        <v>65</v>
      </c>
      <c r="AN215" s="6">
        <v>323564</v>
      </c>
      <c r="AP215" s="6">
        <v>0</v>
      </c>
      <c r="AR215" s="6">
        <v>0</v>
      </c>
      <c r="AT215" s="6">
        <v>184555</v>
      </c>
      <c r="AV215" s="6">
        <v>30810</v>
      </c>
      <c r="AX215" s="6">
        <v>0</v>
      </c>
      <c r="AZ215" s="7">
        <f t="shared" si="27"/>
        <v>12587659</v>
      </c>
      <c r="BB215" s="6">
        <v>0</v>
      </c>
      <c r="BD215" s="6">
        <v>0</v>
      </c>
      <c r="BF215" s="6">
        <v>0</v>
      </c>
      <c r="BH215" s="6">
        <v>0</v>
      </c>
      <c r="BJ215" s="7">
        <f t="shared" si="26"/>
        <v>12587659</v>
      </c>
      <c r="BL215" s="7">
        <f>'Gov Fd Rev'!AO215-'Gov Fd Exp'!BJ215</f>
        <v>-441777</v>
      </c>
      <c r="BN215" s="6">
        <v>3030972</v>
      </c>
      <c r="BP215" s="6">
        <v>0</v>
      </c>
      <c r="BR215" s="6">
        <v>0</v>
      </c>
      <c r="BT215" s="7">
        <f t="shared" si="25"/>
        <v>2589195</v>
      </c>
      <c r="BU215" s="7"/>
      <c r="BV215" s="7">
        <f>BT215-'Gov Fd BS'!AC215</f>
        <v>0</v>
      </c>
      <c r="BW215" s="7"/>
    </row>
    <row r="216" spans="1:75">
      <c r="A216" s="11" t="s">
        <v>678</v>
      </c>
      <c r="B216" s="11"/>
      <c r="C216" s="11" t="s">
        <v>20</v>
      </c>
      <c r="E216" s="6">
        <v>14463637</v>
      </c>
      <c r="G216" s="6">
        <v>3712938</v>
      </c>
      <c r="I216" s="6">
        <v>228448</v>
      </c>
      <c r="K216" s="6">
        <v>0</v>
      </c>
      <c r="M216" s="6">
        <v>3350747</v>
      </c>
      <c r="O216" s="6">
        <v>2489066</v>
      </c>
      <c r="Q216" s="6">
        <v>2002581</v>
      </c>
      <c r="S216" s="6">
        <v>165334</v>
      </c>
      <c r="U216" s="6">
        <v>3667013</v>
      </c>
      <c r="W216" s="6">
        <v>1127582</v>
      </c>
      <c r="Y216" s="6">
        <v>677626</v>
      </c>
      <c r="AA216" s="6">
        <v>3251232</v>
      </c>
      <c r="AC216" s="6">
        <v>689038</v>
      </c>
      <c r="AE216" s="6">
        <v>351659</v>
      </c>
      <c r="AG216" s="6">
        <v>1231090</v>
      </c>
      <c r="AI216" s="6">
        <v>996330</v>
      </c>
      <c r="AJ216" s="11" t="s">
        <v>678</v>
      </c>
      <c r="AK216" s="11"/>
      <c r="AL216" s="11" t="s">
        <v>20</v>
      </c>
      <c r="AN216" s="6">
        <v>467576</v>
      </c>
      <c r="AP216" s="6">
        <v>5455178</v>
      </c>
      <c r="AR216" s="6">
        <v>0</v>
      </c>
      <c r="AT216" s="6">
        <v>2330534</v>
      </c>
      <c r="AV216" s="6">
        <v>1970020</v>
      </c>
      <c r="AX216" s="6">
        <v>0</v>
      </c>
      <c r="AZ216" s="7">
        <f t="shared" si="27"/>
        <v>48627629</v>
      </c>
      <c r="BB216" s="6">
        <v>674771</v>
      </c>
      <c r="BD216" s="6">
        <v>0</v>
      </c>
      <c r="BF216" s="6">
        <v>0</v>
      </c>
      <c r="BH216" s="6">
        <v>0</v>
      </c>
      <c r="BJ216" s="7">
        <f t="shared" si="26"/>
        <v>49302400</v>
      </c>
      <c r="BL216" s="7">
        <f>'Gov Fd Rev'!AO216-'Gov Fd Exp'!BJ216</f>
        <v>-2254367</v>
      </c>
      <c r="BN216" s="6">
        <v>11503009</v>
      </c>
      <c r="BP216" s="6">
        <v>0</v>
      </c>
      <c r="BR216" s="6">
        <v>0</v>
      </c>
      <c r="BT216" s="7">
        <f t="shared" si="25"/>
        <v>9248642</v>
      </c>
      <c r="BU216" s="7"/>
      <c r="BV216" s="7">
        <f>BT216-'Gov Fd BS'!AC216</f>
        <v>0</v>
      </c>
      <c r="BW216" s="7"/>
    </row>
    <row r="217" spans="1:75">
      <c r="A217" s="11" t="s">
        <v>643</v>
      </c>
      <c r="B217" s="11"/>
      <c r="C217" s="11" t="s">
        <v>12</v>
      </c>
      <c r="E217" s="6">
        <v>9825963</v>
      </c>
      <c r="G217" s="6">
        <v>3331159</v>
      </c>
      <c r="I217" s="6">
        <v>268576</v>
      </c>
      <c r="K217" s="6">
        <v>0</v>
      </c>
      <c r="M217" s="6">
        <v>1208966</v>
      </c>
      <c r="O217" s="6">
        <v>1259783</v>
      </c>
      <c r="Q217" s="6">
        <v>578106</v>
      </c>
      <c r="S217" s="6">
        <v>17526</v>
      </c>
      <c r="U217" s="6">
        <v>1913921</v>
      </c>
      <c r="W217" s="6">
        <v>551994</v>
      </c>
      <c r="Y217" s="6">
        <v>30752</v>
      </c>
      <c r="AA217" s="6">
        <v>2180174</v>
      </c>
      <c r="AC217" s="6">
        <v>1284987</v>
      </c>
      <c r="AE217" s="6">
        <v>22349</v>
      </c>
      <c r="AG217" s="6">
        <v>0</v>
      </c>
      <c r="AI217" s="6">
        <v>1401619</v>
      </c>
      <c r="AJ217" s="11" t="s">
        <v>643</v>
      </c>
      <c r="AK217" s="11"/>
      <c r="AL217" s="11" t="s">
        <v>12</v>
      </c>
      <c r="AN217" s="6">
        <v>645037</v>
      </c>
      <c r="AP217" s="6">
        <v>14187557</v>
      </c>
      <c r="AR217" s="6">
        <v>0</v>
      </c>
      <c r="AT217" s="6">
        <v>720000</v>
      </c>
      <c r="AV217" s="6">
        <f>746137+311892+1500000</f>
        <v>2558029</v>
      </c>
      <c r="AX217" s="6">
        <v>0</v>
      </c>
      <c r="AZ217" s="7">
        <f t="shared" si="27"/>
        <v>41986498</v>
      </c>
      <c r="BB217" s="6">
        <v>37352</v>
      </c>
      <c r="BD217" s="6">
        <v>0</v>
      </c>
      <c r="BF217" s="6">
        <v>0</v>
      </c>
      <c r="BH217" s="6">
        <v>14548108</v>
      </c>
      <c r="BJ217" s="7">
        <f t="shared" si="26"/>
        <v>56571958</v>
      </c>
      <c r="BL217" s="7">
        <f>'Gov Fd Rev'!AO217-'Gov Fd Exp'!BJ217</f>
        <v>-3896453</v>
      </c>
      <c r="BN217" s="6">
        <v>15457702</v>
      </c>
      <c r="BP217" s="6">
        <v>0</v>
      </c>
      <c r="BR217" s="6">
        <v>0</v>
      </c>
      <c r="BT217" s="7">
        <f t="shared" si="25"/>
        <v>11561249</v>
      </c>
      <c r="BU217" s="7"/>
      <c r="BV217" s="7">
        <f>BT217-'Gov Fd BS'!AC217</f>
        <v>0</v>
      </c>
      <c r="BW217" s="7"/>
    </row>
    <row r="218" spans="1:75" hidden="1">
      <c r="A218" s="11" t="s">
        <v>832</v>
      </c>
      <c r="B218" s="11"/>
      <c r="C218" s="11" t="s">
        <v>53</v>
      </c>
      <c r="AJ218" s="11" t="s">
        <v>832</v>
      </c>
      <c r="AK218" s="11"/>
      <c r="AL218" s="11" t="s">
        <v>53</v>
      </c>
      <c r="AZ218" s="7">
        <f t="shared" si="27"/>
        <v>0</v>
      </c>
      <c r="BJ218" s="7">
        <f t="shared" si="26"/>
        <v>0</v>
      </c>
      <c r="BL218" s="7">
        <f>'Gov Fd Rev'!AO218-'Gov Fd Exp'!BJ218</f>
        <v>0</v>
      </c>
      <c r="BT218" s="7">
        <f t="shared" si="25"/>
        <v>0</v>
      </c>
      <c r="BU218" s="7"/>
      <c r="BV218" s="7">
        <f>BT218-'Gov Fd BS'!AC218</f>
        <v>0</v>
      </c>
      <c r="BW218" s="7"/>
    </row>
    <row r="219" spans="1:75" hidden="1">
      <c r="A219" s="11" t="s">
        <v>665</v>
      </c>
      <c r="B219" s="11"/>
      <c r="C219" s="11" t="s">
        <v>77</v>
      </c>
      <c r="AJ219" s="11" t="s">
        <v>665</v>
      </c>
      <c r="AK219" s="11"/>
      <c r="AL219" s="11" t="s">
        <v>77</v>
      </c>
      <c r="AZ219" s="7">
        <f t="shared" si="27"/>
        <v>0</v>
      </c>
      <c r="BJ219" s="7">
        <f t="shared" si="26"/>
        <v>0</v>
      </c>
      <c r="BL219" s="7">
        <f>'Gov Fd Rev'!AO219-'Gov Fd Exp'!BJ219</f>
        <v>0</v>
      </c>
      <c r="BT219" s="7">
        <f t="shared" si="25"/>
        <v>0</v>
      </c>
      <c r="BU219" s="7"/>
      <c r="BV219" s="7">
        <f>BT219-'Gov Fd BS'!AC219</f>
        <v>0</v>
      </c>
      <c r="BW219" s="7"/>
    </row>
    <row r="220" spans="1:75">
      <c r="A220" s="11" t="s">
        <v>748</v>
      </c>
      <c r="B220" s="11"/>
      <c r="C220" s="11" t="s">
        <v>79</v>
      </c>
      <c r="E220" s="6">
        <v>4713593</v>
      </c>
      <c r="G220" s="6">
        <v>966190</v>
      </c>
      <c r="I220" s="6">
        <v>182916</v>
      </c>
      <c r="K220" s="6">
        <v>0</v>
      </c>
      <c r="M220" s="6">
        <v>0</v>
      </c>
      <c r="O220" s="6">
        <v>424517</v>
      </c>
      <c r="Q220" s="6">
        <v>88590</v>
      </c>
      <c r="S220" s="6">
        <v>67964</v>
      </c>
      <c r="U220" s="6">
        <v>840770</v>
      </c>
      <c r="W220" s="6">
        <v>413806</v>
      </c>
      <c r="Y220" s="6">
        <v>6281</v>
      </c>
      <c r="AA220" s="6">
        <v>1061536</v>
      </c>
      <c r="AC220" s="6">
        <v>430311</v>
      </c>
      <c r="AE220" s="6">
        <v>2099</v>
      </c>
      <c r="AG220" s="6">
        <v>511681</v>
      </c>
      <c r="AI220" s="6">
        <v>110874</v>
      </c>
      <c r="AJ220" s="11" t="s">
        <v>748</v>
      </c>
      <c r="AK220" s="11"/>
      <c r="AL220" s="11" t="s">
        <v>79</v>
      </c>
      <c r="AN220" s="6">
        <v>372804</v>
      </c>
      <c r="AP220" s="6">
        <v>42291</v>
      </c>
      <c r="AR220" s="6">
        <v>0</v>
      </c>
      <c r="AT220" s="6">
        <v>379808</v>
      </c>
      <c r="AV220" s="6">
        <v>129611</v>
      </c>
      <c r="AX220" s="6">
        <v>0</v>
      </c>
      <c r="AZ220" s="7">
        <f t="shared" si="27"/>
        <v>10745642</v>
      </c>
      <c r="BB220" s="6">
        <v>0</v>
      </c>
      <c r="BD220" s="6">
        <v>0</v>
      </c>
      <c r="BF220" s="6">
        <v>0</v>
      </c>
      <c r="BH220" s="6">
        <v>0</v>
      </c>
      <c r="BJ220" s="7">
        <f t="shared" si="26"/>
        <v>10745642</v>
      </c>
      <c r="BL220" s="7">
        <f>'Gov Fd Rev'!AO220-'Gov Fd Exp'!BJ220</f>
        <v>-1090298</v>
      </c>
      <c r="BN220" s="6">
        <v>3523711</v>
      </c>
      <c r="BP220" s="6">
        <v>0</v>
      </c>
      <c r="BR220" s="6">
        <v>0</v>
      </c>
      <c r="BT220" s="7">
        <f t="shared" si="25"/>
        <v>2433413</v>
      </c>
      <c r="BU220" s="7"/>
      <c r="BV220" s="7">
        <f>BT220-'Gov Fd BS'!AC220</f>
        <v>0</v>
      </c>
      <c r="BW220" s="7"/>
    </row>
    <row r="221" spans="1:75">
      <c r="A221" s="11" t="s">
        <v>521</v>
      </c>
      <c r="B221" s="11"/>
      <c r="C221" s="11" t="s">
        <v>64</v>
      </c>
      <c r="E221" s="6">
        <v>6223782</v>
      </c>
      <c r="G221" s="6">
        <v>2186079</v>
      </c>
      <c r="I221" s="6">
        <v>178649</v>
      </c>
      <c r="K221" s="6">
        <v>0</v>
      </c>
      <c r="M221" s="6">
        <v>810215</v>
      </c>
      <c r="O221" s="6">
        <v>996450</v>
      </c>
      <c r="Q221" s="6">
        <v>201310</v>
      </c>
      <c r="S221" s="6">
        <v>29003</v>
      </c>
      <c r="U221" s="6">
        <v>1248395</v>
      </c>
      <c r="W221" s="6">
        <v>842734</v>
      </c>
      <c r="Y221" s="6">
        <v>0</v>
      </c>
      <c r="AA221" s="6">
        <v>1838860</v>
      </c>
      <c r="AC221" s="6">
        <v>686627</v>
      </c>
      <c r="AE221" s="6">
        <v>4000</v>
      </c>
      <c r="AG221" s="6">
        <v>675761</v>
      </c>
      <c r="AI221" s="6">
        <v>239238</v>
      </c>
      <c r="AJ221" s="11" t="s">
        <v>521</v>
      </c>
      <c r="AK221" s="11"/>
      <c r="AL221" s="11" t="s">
        <v>64</v>
      </c>
      <c r="AN221" s="6">
        <v>524139</v>
      </c>
      <c r="AP221" s="6">
        <v>311920</v>
      </c>
      <c r="AR221" s="6">
        <v>0</v>
      </c>
      <c r="AT221" s="6">
        <v>585000</v>
      </c>
      <c r="AV221" s="6">
        <v>542267</v>
      </c>
      <c r="AX221" s="6">
        <v>0</v>
      </c>
      <c r="AZ221" s="7">
        <f t="shared" si="27"/>
        <v>18124429</v>
      </c>
      <c r="BB221" s="6">
        <v>236511</v>
      </c>
      <c r="BD221" s="6">
        <v>0</v>
      </c>
      <c r="BF221" s="6">
        <v>0</v>
      </c>
      <c r="BH221" s="6">
        <v>0</v>
      </c>
      <c r="BJ221" s="7">
        <f t="shared" si="26"/>
        <v>18360940</v>
      </c>
      <c r="BL221" s="7">
        <f>'Gov Fd Rev'!AO221-'Gov Fd Exp'!BJ221</f>
        <v>-1149875</v>
      </c>
      <c r="BN221" s="6">
        <v>10854438</v>
      </c>
      <c r="BP221" s="6">
        <v>-3166</v>
      </c>
      <c r="BR221" s="6">
        <v>0</v>
      </c>
      <c r="BT221" s="7">
        <f t="shared" si="25"/>
        <v>9701397</v>
      </c>
      <c r="BU221" s="7"/>
      <c r="BV221" s="7">
        <f>BT221-'Gov Fd BS'!AC221</f>
        <v>0</v>
      </c>
      <c r="BW221" s="7"/>
    </row>
    <row r="222" spans="1:75" hidden="1">
      <c r="A222" s="11" t="s">
        <v>790</v>
      </c>
      <c r="B222" s="11"/>
      <c r="C222" s="11" t="s">
        <v>28</v>
      </c>
      <c r="AJ222" s="11" t="s">
        <v>790</v>
      </c>
      <c r="AK222" s="11"/>
      <c r="AL222" s="11" t="s">
        <v>28</v>
      </c>
      <c r="AZ222" s="7">
        <f t="shared" si="27"/>
        <v>0</v>
      </c>
      <c r="BJ222" s="7">
        <f t="shared" si="26"/>
        <v>0</v>
      </c>
      <c r="BL222" s="7">
        <f>'Gov Fd Rev'!AO222-'Gov Fd Exp'!BJ222</f>
        <v>0</v>
      </c>
      <c r="BT222" s="7">
        <f t="shared" si="25"/>
        <v>0</v>
      </c>
      <c r="BU222" s="7"/>
      <c r="BV222" s="7">
        <f>BT222-'Gov Fd BS'!AC222</f>
        <v>0</v>
      </c>
      <c r="BW222" s="7"/>
    </row>
    <row r="223" spans="1:75">
      <c r="A223" s="11" t="s">
        <v>240</v>
      </c>
      <c r="B223" s="11"/>
      <c r="C223" s="11" t="s">
        <v>113</v>
      </c>
      <c r="E223" s="6">
        <v>10241597</v>
      </c>
      <c r="G223" s="6">
        <v>3877182</v>
      </c>
      <c r="I223" s="6">
        <v>396689</v>
      </c>
      <c r="K223" s="6">
        <v>0</v>
      </c>
      <c r="M223" s="6">
        <v>0</v>
      </c>
      <c r="O223" s="6">
        <v>2217280</v>
      </c>
      <c r="Q223" s="6">
        <v>1771778</v>
      </c>
      <c r="S223" s="6">
        <v>37481</v>
      </c>
      <c r="U223" s="6">
        <v>1615319</v>
      </c>
      <c r="W223" s="6">
        <v>556818</v>
      </c>
      <c r="Y223" s="6">
        <v>179897</v>
      </c>
      <c r="AA223" s="6">
        <v>1963160</v>
      </c>
      <c r="AC223" s="6">
        <v>2193981</v>
      </c>
      <c r="AE223" s="6">
        <v>0</v>
      </c>
      <c r="AG223" s="6">
        <v>1220616</v>
      </c>
      <c r="AI223" s="6">
        <v>21867</v>
      </c>
      <c r="AJ223" s="11" t="s">
        <v>240</v>
      </c>
      <c r="AK223" s="11"/>
      <c r="AL223" s="11" t="s">
        <v>113</v>
      </c>
      <c r="AN223" s="6">
        <v>413847</v>
      </c>
      <c r="AP223" s="6">
        <v>0</v>
      </c>
      <c r="AR223" s="6">
        <v>0</v>
      </c>
      <c r="AT223" s="6">
        <v>663749</v>
      </c>
      <c r="AV223" s="6">
        <v>397808</v>
      </c>
      <c r="AX223" s="6">
        <v>0</v>
      </c>
      <c r="AZ223" s="7">
        <f t="shared" si="27"/>
        <v>27769069</v>
      </c>
      <c r="BB223" s="6">
        <v>45948</v>
      </c>
      <c r="BD223" s="6">
        <v>0</v>
      </c>
      <c r="BF223" s="6">
        <v>0</v>
      </c>
      <c r="BH223" s="6">
        <v>0</v>
      </c>
      <c r="BJ223" s="7">
        <f t="shared" si="26"/>
        <v>27815017</v>
      </c>
      <c r="BL223" s="7">
        <f>'Gov Fd Rev'!AO223-'Gov Fd Exp'!BJ223</f>
        <v>379209</v>
      </c>
      <c r="BN223" s="6">
        <v>5149749</v>
      </c>
      <c r="BP223" s="6">
        <v>0</v>
      </c>
      <c r="BR223" s="6">
        <v>0</v>
      </c>
      <c r="BT223" s="7">
        <f t="shared" si="25"/>
        <v>5528958</v>
      </c>
      <c r="BU223" s="7"/>
      <c r="BV223" s="7">
        <f>BT223-'Gov Fd BS'!AC223</f>
        <v>0</v>
      </c>
      <c r="BW223" s="7"/>
    </row>
    <row r="224" spans="1:75" hidden="1">
      <c r="A224" s="11" t="s">
        <v>791</v>
      </c>
      <c r="B224" s="11"/>
      <c r="C224" s="11" t="s">
        <v>228</v>
      </c>
      <c r="AJ224" s="11" t="s">
        <v>791</v>
      </c>
      <c r="AK224" s="11"/>
      <c r="AL224" s="11" t="s">
        <v>228</v>
      </c>
      <c r="AZ224" s="7">
        <f t="shared" si="27"/>
        <v>0</v>
      </c>
      <c r="BJ224" s="7">
        <f t="shared" si="26"/>
        <v>0</v>
      </c>
      <c r="BL224" s="7">
        <f>'Gov Fd Rev'!AO224-'Gov Fd Exp'!BJ224</f>
        <v>0</v>
      </c>
      <c r="BT224" s="7">
        <f t="shared" si="25"/>
        <v>0</v>
      </c>
      <c r="BU224" s="7"/>
      <c r="BV224" s="7">
        <f>BT224-'Gov Fd BS'!AC224</f>
        <v>0</v>
      </c>
      <c r="BW224" s="7"/>
    </row>
    <row r="225" spans="1:75">
      <c r="A225" s="11" t="s">
        <v>208</v>
      </c>
      <c r="B225" s="11"/>
      <c r="C225" s="11" t="s">
        <v>12</v>
      </c>
      <c r="E225" s="6">
        <v>5750557</v>
      </c>
      <c r="G225" s="6">
        <v>828360</v>
      </c>
      <c r="I225" s="6">
        <v>183544</v>
      </c>
      <c r="K225" s="6">
        <v>0</v>
      </c>
      <c r="M225" s="6">
        <v>66627</v>
      </c>
      <c r="O225" s="6">
        <v>564572</v>
      </c>
      <c r="Q225" s="6">
        <v>247757</v>
      </c>
      <c r="S225" s="6">
        <v>17030</v>
      </c>
      <c r="U225" s="6">
        <v>1231165</v>
      </c>
      <c r="W225" s="6">
        <v>317973</v>
      </c>
      <c r="Y225" s="6">
        <v>26893</v>
      </c>
      <c r="AA225" s="6">
        <v>1078061</v>
      </c>
      <c r="AC225" s="6">
        <v>1145146</v>
      </c>
      <c r="AE225" s="6">
        <v>27393</v>
      </c>
      <c r="AG225" s="6">
        <v>495709</v>
      </c>
      <c r="AI225" s="6">
        <v>0</v>
      </c>
      <c r="AJ225" s="11" t="s">
        <v>208</v>
      </c>
      <c r="AK225" s="11"/>
      <c r="AL225" s="11" t="s">
        <v>12</v>
      </c>
      <c r="AN225" s="6">
        <v>364560</v>
      </c>
      <c r="AP225" s="6">
        <v>71236</v>
      </c>
      <c r="AR225" s="6">
        <v>0</v>
      </c>
      <c r="AT225" s="6">
        <v>684000</v>
      </c>
      <c r="AV225" s="6">
        <f>214995+99260</f>
        <v>314255</v>
      </c>
      <c r="AX225" s="6">
        <v>0</v>
      </c>
      <c r="AZ225" s="7">
        <f t="shared" si="27"/>
        <v>13414838</v>
      </c>
      <c r="BB225" s="6">
        <v>8000</v>
      </c>
      <c r="BD225" s="6">
        <v>0</v>
      </c>
      <c r="BF225" s="6">
        <v>0</v>
      </c>
      <c r="BH225" s="6">
        <v>9385715</v>
      </c>
      <c r="BJ225" s="7">
        <f t="shared" si="26"/>
        <v>22808553</v>
      </c>
      <c r="BL225" s="7">
        <f>'Gov Fd Rev'!AO225-'Gov Fd Exp'!BJ225</f>
        <v>292089</v>
      </c>
      <c r="BN225" s="6">
        <v>10286021</v>
      </c>
      <c r="BP225" s="6">
        <v>0</v>
      </c>
      <c r="BR225" s="6">
        <v>0</v>
      </c>
      <c r="BT225" s="7">
        <f>BL225+BN225+BP225+BR225</f>
        <v>10578110</v>
      </c>
      <c r="BU225" s="7"/>
      <c r="BV225" s="7">
        <f>BT225-'Gov Fd BS'!AC225</f>
        <v>0</v>
      </c>
      <c r="BW225" s="7"/>
    </row>
    <row r="226" spans="1:75">
      <c r="A226" s="11" t="s">
        <v>303</v>
      </c>
      <c r="B226" s="11"/>
      <c r="C226" s="11" t="s">
        <v>27</v>
      </c>
      <c r="E226" s="6">
        <v>7473005</v>
      </c>
      <c r="G226" s="6">
        <v>2356945</v>
      </c>
      <c r="I226" s="6">
        <v>117534</v>
      </c>
      <c r="K226" s="6">
        <v>0</v>
      </c>
      <c r="M226" s="6">
        <v>0</v>
      </c>
      <c r="O226" s="6">
        <v>1604696</v>
      </c>
      <c r="Q226" s="6">
        <v>924813</v>
      </c>
      <c r="S226" s="6">
        <v>17112</v>
      </c>
      <c r="U226" s="6">
        <v>1084222</v>
      </c>
      <c r="W226" s="6">
        <v>522876</v>
      </c>
      <c r="Y226" s="6">
        <v>70574</v>
      </c>
      <c r="AA226" s="6">
        <v>1307353</v>
      </c>
      <c r="AC226" s="6">
        <v>14281</v>
      </c>
      <c r="AE226" s="6">
        <v>63155</v>
      </c>
      <c r="AG226" s="6">
        <v>0</v>
      </c>
      <c r="AI226" s="6">
        <v>744284</v>
      </c>
      <c r="AJ226" s="11" t="s">
        <v>303</v>
      </c>
      <c r="AK226" s="11"/>
      <c r="AL226" s="11" t="s">
        <v>27</v>
      </c>
      <c r="AN226" s="6">
        <v>835173</v>
      </c>
      <c r="AP226" s="6">
        <v>110476</v>
      </c>
      <c r="AR226" s="6">
        <v>0</v>
      </c>
      <c r="AT226" s="6">
        <v>880240</v>
      </c>
      <c r="AV226" s="6">
        <v>234602</v>
      </c>
      <c r="AX226" s="6">
        <v>0</v>
      </c>
      <c r="AZ226" s="7">
        <f t="shared" ref="AZ226:AZ293" si="32">SUM(E226:AX226)</f>
        <v>18361341</v>
      </c>
      <c r="BB226" s="6">
        <v>74768</v>
      </c>
      <c r="BD226" s="6">
        <v>0</v>
      </c>
      <c r="BF226" s="6">
        <v>0</v>
      </c>
      <c r="BH226" s="6">
        <v>0</v>
      </c>
      <c r="BJ226" s="7">
        <f t="shared" ref="BJ226:BJ293" si="33">AZ226+BB226+BH226</f>
        <v>18436109</v>
      </c>
      <c r="BL226" s="7">
        <f>'Gov Fd Rev'!AO226-'Gov Fd Exp'!BJ226</f>
        <v>-181908</v>
      </c>
      <c r="BN226" s="6">
        <v>9629845</v>
      </c>
      <c r="BP226" s="6">
        <v>0</v>
      </c>
      <c r="BR226" s="6">
        <v>0</v>
      </c>
      <c r="BT226" s="7">
        <f t="shared" si="25"/>
        <v>9447937</v>
      </c>
      <c r="BU226" s="7"/>
      <c r="BV226" s="7">
        <f>BT226-'Gov Fd BS'!AC226</f>
        <v>0</v>
      </c>
      <c r="BW226" s="7"/>
    </row>
    <row r="227" spans="1:75">
      <c r="A227" s="11" t="s">
        <v>666</v>
      </c>
      <c r="B227" s="11"/>
      <c r="C227" s="11" t="s">
        <v>42</v>
      </c>
      <c r="E227" s="6">
        <v>12067253</v>
      </c>
      <c r="G227" s="6">
        <v>2591200</v>
      </c>
      <c r="I227" s="6">
        <v>158234</v>
      </c>
      <c r="K227" s="6">
        <v>0</v>
      </c>
      <c r="M227" s="6">
        <v>0</v>
      </c>
      <c r="O227" s="6">
        <v>1655161</v>
      </c>
      <c r="Q227" s="6">
        <v>1339644</v>
      </c>
      <c r="S227" s="6">
        <v>85196</v>
      </c>
      <c r="U227" s="6">
        <v>1526905</v>
      </c>
      <c r="W227" s="6">
        <v>822943</v>
      </c>
      <c r="Y227" s="6">
        <v>126060</v>
      </c>
      <c r="AA227" s="6">
        <v>2134878</v>
      </c>
      <c r="AC227" s="6">
        <v>1502096</v>
      </c>
      <c r="AE227" s="6">
        <v>564179</v>
      </c>
      <c r="AG227" s="6">
        <v>0</v>
      </c>
      <c r="AI227" s="6">
        <v>1075955</v>
      </c>
      <c r="AJ227" s="11" t="s">
        <v>666</v>
      </c>
      <c r="AK227" s="11"/>
      <c r="AL227" s="11" t="s">
        <v>42</v>
      </c>
      <c r="AN227" s="6">
        <v>956971</v>
      </c>
      <c r="AP227" s="6">
        <v>0</v>
      </c>
      <c r="AR227" s="6">
        <v>0</v>
      </c>
      <c r="AT227" s="6">
        <v>881884</v>
      </c>
      <c r="AV227" s="6">
        <v>2433256</v>
      </c>
      <c r="AX227" s="6">
        <v>0</v>
      </c>
      <c r="AZ227" s="7">
        <f t="shared" si="32"/>
        <v>29921815</v>
      </c>
      <c r="BB227" s="6">
        <v>0</v>
      </c>
      <c r="BD227" s="6">
        <v>0</v>
      </c>
      <c r="BF227" s="6">
        <v>0</v>
      </c>
      <c r="BH227" s="6">
        <v>0</v>
      </c>
      <c r="BJ227" s="7">
        <f t="shared" si="33"/>
        <v>29921815</v>
      </c>
      <c r="BL227" s="7">
        <f>'Gov Fd Rev'!AO227-'Gov Fd Exp'!BJ227</f>
        <v>-3416882</v>
      </c>
      <c r="BN227" s="6">
        <v>5399043</v>
      </c>
      <c r="BP227" s="6">
        <v>0</v>
      </c>
      <c r="BR227" s="6">
        <v>0</v>
      </c>
      <c r="BT227" s="7">
        <f t="shared" si="25"/>
        <v>1982161</v>
      </c>
      <c r="BU227" s="7"/>
      <c r="BV227" s="7">
        <f>BT227-'Gov Fd BS'!AC227</f>
        <v>0</v>
      </c>
      <c r="BW227" s="7"/>
    </row>
    <row r="228" spans="1:75">
      <c r="A228" s="11" t="s">
        <v>481</v>
      </c>
      <c r="B228" s="11"/>
      <c r="C228" s="11" t="s">
        <v>59</v>
      </c>
      <c r="E228" s="6">
        <v>2274862</v>
      </c>
      <c r="G228" s="6">
        <v>672030</v>
      </c>
      <c r="I228" s="6">
        <v>7721</v>
      </c>
      <c r="K228" s="6">
        <v>0</v>
      </c>
      <c r="M228" s="6">
        <v>1071196</v>
      </c>
      <c r="O228" s="6">
        <v>381837</v>
      </c>
      <c r="Q228" s="6">
        <v>410688</v>
      </c>
      <c r="S228" s="6">
        <v>44658</v>
      </c>
      <c r="U228" s="6">
        <v>553523</v>
      </c>
      <c r="W228" s="6">
        <v>256684</v>
      </c>
      <c r="Y228" s="6">
        <v>0</v>
      </c>
      <c r="AA228" s="6">
        <v>477359</v>
      </c>
      <c r="AC228" s="6">
        <v>464731</v>
      </c>
      <c r="AE228" s="6">
        <v>0</v>
      </c>
      <c r="AG228" s="6">
        <v>0</v>
      </c>
      <c r="AI228" s="6">
        <v>242697</v>
      </c>
      <c r="AJ228" s="11" t="s">
        <v>481</v>
      </c>
      <c r="AK228" s="11"/>
      <c r="AL228" s="11" t="s">
        <v>59</v>
      </c>
      <c r="AN228" s="6">
        <v>112841</v>
      </c>
      <c r="AP228" s="6">
        <v>131274</v>
      </c>
      <c r="AR228" s="6">
        <v>0</v>
      </c>
      <c r="AT228" s="6">
        <v>71804</v>
      </c>
      <c r="AV228" s="6">
        <v>8149</v>
      </c>
      <c r="AX228" s="6">
        <v>0</v>
      </c>
      <c r="AZ228" s="7">
        <f t="shared" si="32"/>
        <v>7182054</v>
      </c>
      <c r="BB228" s="6">
        <v>0</v>
      </c>
      <c r="BD228" s="6">
        <v>0</v>
      </c>
      <c r="BF228" s="6">
        <v>0</v>
      </c>
      <c r="BH228" s="6">
        <v>0</v>
      </c>
      <c r="BJ228" s="7">
        <f t="shared" si="33"/>
        <v>7182054</v>
      </c>
      <c r="BL228" s="7">
        <f>'Gov Fd Rev'!AO228-'Gov Fd Exp'!BJ228</f>
        <v>371430</v>
      </c>
      <c r="BN228" s="6">
        <v>726944</v>
      </c>
      <c r="BP228" s="6">
        <v>0</v>
      </c>
      <c r="BR228" s="6">
        <v>0</v>
      </c>
      <c r="BT228" s="7">
        <f t="shared" ref="BT228:BT296" si="34">BL228+BN228+BP228+BR228</f>
        <v>1098374</v>
      </c>
      <c r="BU228" s="7"/>
      <c r="BV228" s="7">
        <f>BT228-'Gov Fd BS'!AC228</f>
        <v>0</v>
      </c>
      <c r="BW228" s="7"/>
    </row>
    <row r="229" spans="1:75">
      <c r="A229" s="11" t="s">
        <v>481</v>
      </c>
      <c r="B229" s="11"/>
      <c r="C229" s="11" t="s">
        <v>63</v>
      </c>
      <c r="E229" s="6">
        <v>15676682</v>
      </c>
      <c r="G229" s="6">
        <v>5982741</v>
      </c>
      <c r="I229" s="6">
        <v>146038</v>
      </c>
      <c r="K229" s="6">
        <v>0</v>
      </c>
      <c r="M229" s="6">
        <f>96065+1221324</f>
        <v>1317389</v>
      </c>
      <c r="O229" s="6">
        <v>2119569</v>
      </c>
      <c r="Q229" s="6">
        <v>1920466</v>
      </c>
      <c r="S229" s="6">
        <v>18103</v>
      </c>
      <c r="U229" s="6">
        <v>2749459</v>
      </c>
      <c r="W229" s="6">
        <v>1680919</v>
      </c>
      <c r="Y229" s="6">
        <v>197273</v>
      </c>
      <c r="AA229" s="6">
        <v>3011919</v>
      </c>
      <c r="AC229" s="6">
        <v>1950445</v>
      </c>
      <c r="AE229" s="6">
        <v>0</v>
      </c>
      <c r="AG229" s="6">
        <v>1106472</v>
      </c>
      <c r="AI229" s="6">
        <v>139849</v>
      </c>
      <c r="AJ229" s="11" t="s">
        <v>481</v>
      </c>
      <c r="AK229" s="11"/>
      <c r="AL229" s="11" t="s">
        <v>63</v>
      </c>
      <c r="AN229" s="6">
        <v>1328082</v>
      </c>
      <c r="AP229" s="6">
        <v>1112770</v>
      </c>
      <c r="AR229" s="6">
        <v>0</v>
      </c>
      <c r="AT229" s="6">
        <v>1678215</v>
      </c>
      <c r="AV229" s="6">
        <v>897010</v>
      </c>
      <c r="AX229" s="6">
        <v>0</v>
      </c>
      <c r="AZ229" s="7">
        <f t="shared" si="32"/>
        <v>43033401</v>
      </c>
      <c r="BB229" s="6">
        <v>0</v>
      </c>
      <c r="BD229" s="6">
        <v>0</v>
      </c>
      <c r="BF229" s="6">
        <v>0</v>
      </c>
      <c r="BH229" s="6">
        <v>0</v>
      </c>
      <c r="BJ229" s="7">
        <f>AZ229+BB229+BH229</f>
        <v>43033401</v>
      </c>
      <c r="BL229" s="7">
        <f>'Gov Fd Rev'!AO229-'Gov Fd Exp'!BJ229</f>
        <v>-1503328</v>
      </c>
      <c r="BN229" s="6">
        <v>-1954104</v>
      </c>
      <c r="BP229" s="6">
        <v>0</v>
      </c>
      <c r="BR229" s="6">
        <v>0</v>
      </c>
      <c r="BT229" s="7">
        <f t="shared" si="34"/>
        <v>-3457432</v>
      </c>
      <c r="BU229" s="7"/>
      <c r="BV229" s="7">
        <f>BT229-'Gov Fd BS'!AC229</f>
        <v>0</v>
      </c>
      <c r="BW229" s="7"/>
    </row>
    <row r="230" spans="1:75" hidden="1">
      <c r="A230" s="10" t="s">
        <v>856</v>
      </c>
      <c r="B230" s="11"/>
      <c r="C230" s="11" t="s">
        <v>71</v>
      </c>
      <c r="AJ230" s="10" t="s">
        <v>856</v>
      </c>
      <c r="AK230" s="11"/>
      <c r="AL230" s="11" t="s">
        <v>71</v>
      </c>
      <c r="AZ230" s="7">
        <f t="shared" si="32"/>
        <v>0</v>
      </c>
      <c r="BJ230" s="7">
        <f>AZ230+BB230+BH230</f>
        <v>0</v>
      </c>
      <c r="BL230" s="7">
        <f>'Gov Fd Rev'!AO230-'Gov Fd Exp'!BJ230</f>
        <v>0</v>
      </c>
      <c r="BT230" s="7">
        <f t="shared" si="34"/>
        <v>0</v>
      </c>
      <c r="BU230" s="7"/>
      <c r="BV230" s="7">
        <f>BT230-'Gov Fd BS'!AC230</f>
        <v>0</v>
      </c>
      <c r="BW230" s="7"/>
    </row>
    <row r="231" spans="1:75">
      <c r="A231" s="11" t="s">
        <v>318</v>
      </c>
      <c r="B231" s="11"/>
      <c r="C231" s="11" t="s">
        <v>114</v>
      </c>
      <c r="E231" s="6">
        <v>5260516</v>
      </c>
      <c r="G231" s="6">
        <v>1439758</v>
      </c>
      <c r="I231" s="6">
        <v>478</v>
      </c>
      <c r="K231" s="6">
        <v>0</v>
      </c>
      <c r="M231" s="6">
        <v>13739</v>
      </c>
      <c r="O231" s="6">
        <v>698986</v>
      </c>
      <c r="Q231" s="6">
        <v>756203</v>
      </c>
      <c r="S231" s="6">
        <v>77921</v>
      </c>
      <c r="U231" s="6">
        <v>1309422</v>
      </c>
      <c r="W231" s="6">
        <v>366262</v>
      </c>
      <c r="Y231" s="6">
        <v>0</v>
      </c>
      <c r="AA231" s="6">
        <v>989395</v>
      </c>
      <c r="AC231" s="6">
        <v>902967</v>
      </c>
      <c r="AE231" s="6">
        <v>0</v>
      </c>
      <c r="AG231" s="6">
        <v>0</v>
      </c>
      <c r="AI231" s="6">
        <v>435108</v>
      </c>
      <c r="AJ231" s="11" t="s">
        <v>318</v>
      </c>
      <c r="AK231" s="11"/>
      <c r="AL231" s="11" t="s">
        <v>114</v>
      </c>
      <c r="AN231" s="6">
        <v>443425</v>
      </c>
      <c r="AP231" s="6">
        <v>12706872</v>
      </c>
      <c r="AR231" s="6">
        <v>0</v>
      </c>
      <c r="AT231" s="6">
        <v>335000</v>
      </c>
      <c r="AV231" s="6">
        <v>282275</v>
      </c>
      <c r="AX231" s="6">
        <v>0</v>
      </c>
      <c r="AZ231" s="7">
        <f t="shared" si="32"/>
        <v>26018327</v>
      </c>
      <c r="BB231" s="6">
        <v>85000</v>
      </c>
      <c r="BD231" s="6">
        <v>0</v>
      </c>
      <c r="BF231" s="6">
        <v>0</v>
      </c>
      <c r="BH231" s="6">
        <v>0</v>
      </c>
      <c r="BJ231" s="7">
        <f t="shared" ref="BJ231" si="35">AZ231+BB231+BH231</f>
        <v>26103327</v>
      </c>
      <c r="BL231" s="7">
        <f>'Gov Fd Rev'!AO231-'Gov Fd Exp'!BJ231</f>
        <v>-7528333</v>
      </c>
      <c r="BN231" s="6">
        <v>17585054</v>
      </c>
      <c r="BP231" s="6">
        <v>0</v>
      </c>
      <c r="BR231" s="6">
        <v>0</v>
      </c>
      <c r="BT231" s="7">
        <f t="shared" si="34"/>
        <v>10056721</v>
      </c>
      <c r="BU231" s="7"/>
      <c r="BV231" s="7">
        <f>BT231-'Gov Fd BS'!AC231</f>
        <v>0</v>
      </c>
      <c r="BW231" s="7"/>
    </row>
    <row r="232" spans="1:75">
      <c r="A232" s="11" t="s">
        <v>760</v>
      </c>
      <c r="B232" s="11"/>
      <c r="C232" s="11" t="s">
        <v>348</v>
      </c>
      <c r="E232" s="6">
        <v>8743344</v>
      </c>
      <c r="G232" s="6">
        <v>1365916</v>
      </c>
      <c r="I232" s="6">
        <v>443498</v>
      </c>
      <c r="K232" s="6">
        <v>0</v>
      </c>
      <c r="M232" s="6">
        <v>1281131</v>
      </c>
      <c r="O232" s="6">
        <v>845710</v>
      </c>
      <c r="Q232" s="6">
        <v>794737</v>
      </c>
      <c r="S232" s="6">
        <v>38849</v>
      </c>
      <c r="U232" s="6">
        <v>1666870</v>
      </c>
      <c r="W232" s="6">
        <v>409156</v>
      </c>
      <c r="Y232" s="6">
        <v>0</v>
      </c>
      <c r="AA232" s="6">
        <v>1647443</v>
      </c>
      <c r="AC232" s="6">
        <v>1264818</v>
      </c>
      <c r="AE232" s="6">
        <v>64028</v>
      </c>
      <c r="AG232" s="6">
        <v>0</v>
      </c>
      <c r="AI232" s="6">
        <v>670302</v>
      </c>
      <c r="AJ232" s="11" t="s">
        <v>760</v>
      </c>
      <c r="AK232" s="11"/>
      <c r="AL232" s="11" t="s">
        <v>348</v>
      </c>
      <c r="AN232" s="6">
        <v>413373</v>
      </c>
      <c r="AP232" s="6">
        <v>12308</v>
      </c>
      <c r="AR232" s="6">
        <v>0</v>
      </c>
      <c r="AT232" s="6">
        <v>237026</v>
      </c>
      <c r="AU232" s="6">
        <v>0</v>
      </c>
      <c r="AV232" s="6">
        <v>74616</v>
      </c>
      <c r="AX232" s="6">
        <v>0</v>
      </c>
      <c r="AZ232" s="7">
        <f t="shared" si="32"/>
        <v>19973125</v>
      </c>
      <c r="BB232" s="6">
        <v>255000</v>
      </c>
      <c r="BD232" s="6">
        <v>0</v>
      </c>
      <c r="BF232" s="6">
        <v>0</v>
      </c>
      <c r="BH232" s="6">
        <v>0</v>
      </c>
      <c r="BJ232" s="7">
        <f t="shared" si="33"/>
        <v>20228125</v>
      </c>
      <c r="BL232" s="7">
        <f>'Gov Fd Rev'!AO232-'Gov Fd Exp'!BJ232</f>
        <v>2260289</v>
      </c>
      <c r="BN232" s="6">
        <v>9754827</v>
      </c>
      <c r="BP232" s="6">
        <v>0</v>
      </c>
      <c r="BR232" s="6">
        <v>0</v>
      </c>
      <c r="BT232" s="7">
        <f t="shared" si="34"/>
        <v>12015116</v>
      </c>
      <c r="BU232" s="7"/>
      <c r="BV232" s="7">
        <f>BT232-'Gov Fd BS'!AC232</f>
        <v>0</v>
      </c>
      <c r="BW232" s="7"/>
    </row>
    <row r="233" spans="1:75">
      <c r="A233" s="11" t="s">
        <v>232</v>
      </c>
      <c r="B233" s="11"/>
      <c r="C233" s="11" t="s">
        <v>17</v>
      </c>
      <c r="E233" s="6">
        <v>7392147</v>
      </c>
      <c r="G233" s="6">
        <v>1673525</v>
      </c>
      <c r="I233" s="6">
        <v>344572</v>
      </c>
      <c r="K233" s="6">
        <v>0</v>
      </c>
      <c r="M233" s="6">
        <f>50392+375447</f>
        <v>425839</v>
      </c>
      <c r="O233" s="6">
        <v>702954</v>
      </c>
      <c r="Q233" s="6">
        <v>611047</v>
      </c>
      <c r="S233" s="6">
        <v>112468</v>
      </c>
      <c r="U233" s="6">
        <v>1579813</v>
      </c>
      <c r="W233" s="6">
        <v>508629</v>
      </c>
      <c r="Y233" s="6">
        <v>101493</v>
      </c>
      <c r="AA233" s="6">
        <v>1352988</v>
      </c>
      <c r="AC233" s="6">
        <v>1213959</v>
      </c>
      <c r="AE233" s="6">
        <v>147424</v>
      </c>
      <c r="AG233" s="6">
        <v>0</v>
      </c>
      <c r="AI233" s="6">
        <v>865295</v>
      </c>
      <c r="AJ233" s="11" t="s">
        <v>232</v>
      </c>
      <c r="AK233" s="11"/>
      <c r="AL233" s="11" t="s">
        <v>17</v>
      </c>
      <c r="AN233" s="6">
        <v>554556</v>
      </c>
      <c r="AP233" s="6">
        <v>223927</v>
      </c>
      <c r="AR233" s="6">
        <v>0</v>
      </c>
      <c r="AT233" s="6">
        <v>6774</v>
      </c>
      <c r="AV233" s="6">
        <v>501</v>
      </c>
      <c r="AX233" s="6">
        <v>0</v>
      </c>
      <c r="AZ233" s="7">
        <f t="shared" si="32"/>
        <v>17817911</v>
      </c>
      <c r="BB233" s="6">
        <v>0</v>
      </c>
      <c r="BD233" s="6">
        <v>0</v>
      </c>
      <c r="BF233" s="6">
        <v>0</v>
      </c>
      <c r="BH233" s="6">
        <v>0</v>
      </c>
      <c r="BJ233" s="7">
        <f t="shared" si="33"/>
        <v>17817911</v>
      </c>
      <c r="BL233" s="7">
        <f>'Gov Fd Rev'!AO233-'Gov Fd Exp'!BJ233</f>
        <v>-430717</v>
      </c>
      <c r="BN233" s="6">
        <v>3905933</v>
      </c>
      <c r="BP233" s="6">
        <v>0</v>
      </c>
      <c r="BR233" s="6">
        <v>0</v>
      </c>
      <c r="BT233" s="7">
        <f t="shared" si="34"/>
        <v>3475216</v>
      </c>
      <c r="BU233" s="7"/>
      <c r="BV233" s="7">
        <f>BT233-'Gov Fd BS'!AC233</f>
        <v>0</v>
      </c>
      <c r="BW233" s="7"/>
    </row>
    <row r="234" spans="1:75">
      <c r="A234" s="11" t="s">
        <v>282</v>
      </c>
      <c r="B234" s="11"/>
      <c r="C234" s="11" t="s">
        <v>21</v>
      </c>
      <c r="E234" s="6">
        <v>12983623</v>
      </c>
      <c r="G234" s="6">
        <v>3632611</v>
      </c>
      <c r="I234" s="6">
        <v>1818685</v>
      </c>
      <c r="K234" s="6">
        <v>48271</v>
      </c>
      <c r="M234" s="6">
        <f>278079+500</f>
        <v>278579</v>
      </c>
      <c r="O234" s="6">
        <v>1276541</v>
      </c>
      <c r="Q234" s="6">
        <v>1553743</v>
      </c>
      <c r="S234" s="6">
        <v>89002</v>
      </c>
      <c r="U234" s="6">
        <v>2264961</v>
      </c>
      <c r="W234" s="6">
        <v>803254</v>
      </c>
      <c r="Y234" s="6">
        <v>10458</v>
      </c>
      <c r="AA234" s="6">
        <v>1829453</v>
      </c>
      <c r="AC234" s="6">
        <v>1222994</v>
      </c>
      <c r="AE234" s="6">
        <v>210332</v>
      </c>
      <c r="AG234" s="6">
        <v>749137</v>
      </c>
      <c r="AI234" s="6">
        <f>246715+7936</f>
        <v>254651</v>
      </c>
      <c r="AJ234" s="11" t="s">
        <v>282</v>
      </c>
      <c r="AK234" s="11"/>
      <c r="AL234" s="11" t="s">
        <v>21</v>
      </c>
      <c r="AN234" s="6">
        <f>262096+80219+264396+155</f>
        <v>606866</v>
      </c>
      <c r="AP234" s="6">
        <v>781908</v>
      </c>
      <c r="AR234" s="6">
        <v>0</v>
      </c>
      <c r="AT234" s="6">
        <v>0</v>
      </c>
      <c r="AV234" s="6">
        <v>0</v>
      </c>
      <c r="AX234" s="6">
        <v>0</v>
      </c>
      <c r="AZ234" s="7">
        <f t="shared" si="32"/>
        <v>30415069</v>
      </c>
      <c r="BB234" s="6">
        <v>218836</v>
      </c>
      <c r="BD234" s="6">
        <v>0</v>
      </c>
      <c r="BF234" s="6">
        <v>0</v>
      </c>
      <c r="BH234" s="6">
        <v>0</v>
      </c>
      <c r="BJ234" s="7">
        <f t="shared" si="33"/>
        <v>30633905</v>
      </c>
      <c r="BL234" s="7">
        <f>'Gov Fd Rev'!AO234-'Gov Fd Exp'!BJ234</f>
        <v>-1248021</v>
      </c>
      <c r="BN234" s="6">
        <v>11262395</v>
      </c>
      <c r="BP234" s="6">
        <v>0</v>
      </c>
      <c r="BR234" s="6">
        <v>0</v>
      </c>
      <c r="BT234" s="7">
        <f t="shared" si="34"/>
        <v>10014374</v>
      </c>
      <c r="BU234" s="7"/>
      <c r="BV234" s="7">
        <f>BT234-'Gov Fd BS'!AC234</f>
        <v>0</v>
      </c>
      <c r="BW234" s="7"/>
    </row>
    <row r="235" spans="1:75">
      <c r="A235" s="11" t="s">
        <v>304</v>
      </c>
      <c r="B235" s="11"/>
      <c r="C235" s="11" t="s">
        <v>27</v>
      </c>
      <c r="E235" s="6">
        <v>33631139</v>
      </c>
      <c r="G235" s="6">
        <v>8868116</v>
      </c>
      <c r="I235" s="6">
        <v>134275</v>
      </c>
      <c r="K235" s="6">
        <v>0</v>
      </c>
      <c r="M235" s="6">
        <v>72294</v>
      </c>
      <c r="O235" s="6">
        <v>3499034</v>
      </c>
      <c r="Q235" s="6">
        <v>4783802</v>
      </c>
      <c r="S235" s="6">
        <v>1375465</v>
      </c>
      <c r="U235" s="6">
        <v>4536180</v>
      </c>
      <c r="W235" s="6">
        <v>1409235</v>
      </c>
      <c r="Y235" s="6">
        <v>107649</v>
      </c>
      <c r="AA235" s="6">
        <v>5428371</v>
      </c>
      <c r="AC235" s="6">
        <v>5479941</v>
      </c>
      <c r="AE235" s="6">
        <v>910854</v>
      </c>
      <c r="AG235" s="6">
        <v>0</v>
      </c>
      <c r="AI235" s="6">
        <v>2921031</v>
      </c>
      <c r="AJ235" s="11" t="s">
        <v>304</v>
      </c>
      <c r="AK235" s="11"/>
      <c r="AL235" s="11" t="s">
        <v>27</v>
      </c>
      <c r="AN235" s="6">
        <v>809848</v>
      </c>
      <c r="AP235" s="6">
        <v>10242445</v>
      </c>
      <c r="AR235" s="6">
        <v>0</v>
      </c>
      <c r="AT235" s="6">
        <v>160000</v>
      </c>
      <c r="AV235" s="6">
        <f>77061+101650</f>
        <v>178711</v>
      </c>
      <c r="AX235" s="6">
        <v>0</v>
      </c>
      <c r="AZ235" s="7">
        <f t="shared" si="32"/>
        <v>84548390</v>
      </c>
      <c r="BB235" s="6">
        <v>390018</v>
      </c>
      <c r="BD235" s="6">
        <v>0</v>
      </c>
      <c r="BF235" s="6">
        <v>0</v>
      </c>
      <c r="BH235" s="6">
        <v>0</v>
      </c>
      <c r="BJ235" s="7">
        <f t="shared" si="33"/>
        <v>84938408</v>
      </c>
      <c r="BL235" s="7">
        <f>'Gov Fd Rev'!AO235-'Gov Fd Exp'!BJ235</f>
        <v>-4082791</v>
      </c>
      <c r="BN235" s="6">
        <v>7643642</v>
      </c>
      <c r="BP235" s="6">
        <v>0</v>
      </c>
      <c r="BR235" s="6">
        <v>0</v>
      </c>
      <c r="BT235" s="7">
        <f t="shared" si="34"/>
        <v>3560851</v>
      </c>
      <c r="BU235" s="7"/>
      <c r="BV235" s="7">
        <f>BT235-'Gov Fd BS'!AC235</f>
        <v>0</v>
      </c>
      <c r="BW235" s="7"/>
    </row>
    <row r="236" spans="1:75" hidden="1">
      <c r="A236" s="10" t="s">
        <v>857</v>
      </c>
      <c r="B236" s="11"/>
      <c r="C236" s="11" t="s">
        <v>221</v>
      </c>
      <c r="AJ236" s="10" t="s">
        <v>857</v>
      </c>
      <c r="AK236" s="11"/>
      <c r="AL236" s="11" t="s">
        <v>221</v>
      </c>
      <c r="AZ236" s="7">
        <f t="shared" si="32"/>
        <v>0</v>
      </c>
      <c r="BD236" s="6">
        <v>0</v>
      </c>
      <c r="BF236" s="6">
        <v>0</v>
      </c>
      <c r="BJ236" s="7">
        <f t="shared" si="33"/>
        <v>0</v>
      </c>
      <c r="BL236" s="7">
        <f>'Gov Fd Rev'!AO236-'Gov Fd Exp'!BJ236</f>
        <v>0</v>
      </c>
      <c r="BT236" s="7">
        <f t="shared" si="34"/>
        <v>0</v>
      </c>
      <c r="BU236" s="7"/>
      <c r="BV236" s="7">
        <f>BT236-'Gov Fd BS'!AC236</f>
        <v>0</v>
      </c>
      <c r="BW236" s="7"/>
    </row>
    <row r="237" spans="1:75">
      <c r="A237" s="10" t="s">
        <v>802</v>
      </c>
      <c r="B237" s="11"/>
      <c r="C237" s="11" t="s">
        <v>27</v>
      </c>
      <c r="E237" s="6">
        <v>9896941</v>
      </c>
      <c r="G237" s="6">
        <v>3508171</v>
      </c>
      <c r="I237" s="6">
        <v>197880</v>
      </c>
      <c r="K237" s="6">
        <v>0</v>
      </c>
      <c r="M237" s="6">
        <v>1511474</v>
      </c>
      <c r="O237" s="6">
        <v>1106609</v>
      </c>
      <c r="Q237" s="6">
        <v>597754</v>
      </c>
      <c r="S237" s="6">
        <v>18047</v>
      </c>
      <c r="U237" s="6">
        <v>2179416</v>
      </c>
      <c r="W237" s="6">
        <v>1386923</v>
      </c>
      <c r="Y237" s="6">
        <v>38225</v>
      </c>
      <c r="AA237" s="6">
        <v>2839100</v>
      </c>
      <c r="AC237" s="6">
        <v>909393</v>
      </c>
      <c r="AE237" s="6">
        <v>83519</v>
      </c>
      <c r="AG237" s="6">
        <v>0</v>
      </c>
      <c r="AI237" s="6">
        <v>1426218</v>
      </c>
      <c r="AJ237" s="10" t="s">
        <v>802</v>
      </c>
      <c r="AK237" s="11"/>
      <c r="AL237" s="11" t="s">
        <v>27</v>
      </c>
      <c r="AN237" s="6">
        <v>910688</v>
      </c>
      <c r="AP237" s="6">
        <v>0</v>
      </c>
      <c r="AR237" s="6">
        <v>0</v>
      </c>
      <c r="AT237" s="6">
        <v>919514</v>
      </c>
      <c r="AV237" s="6">
        <v>978838</v>
      </c>
      <c r="AX237" s="6">
        <v>0</v>
      </c>
      <c r="AZ237" s="7">
        <f t="shared" si="32"/>
        <v>28508710</v>
      </c>
      <c r="BB237" s="6">
        <v>137885</v>
      </c>
      <c r="BD237" s="6">
        <v>0</v>
      </c>
      <c r="BF237" s="6">
        <v>0</v>
      </c>
      <c r="BH237" s="6">
        <v>0</v>
      </c>
      <c r="BJ237" s="7">
        <f t="shared" si="33"/>
        <v>28646595</v>
      </c>
      <c r="BL237" s="7">
        <f>'Gov Fd Rev'!AO237-'Gov Fd Exp'!BJ237</f>
        <v>2591808</v>
      </c>
      <c r="BN237" s="6">
        <v>11133765</v>
      </c>
      <c r="BP237" s="6">
        <v>97</v>
      </c>
      <c r="BR237" s="6">
        <v>0</v>
      </c>
      <c r="BT237" s="7">
        <f t="shared" si="34"/>
        <v>13725670</v>
      </c>
      <c r="BU237" s="7"/>
      <c r="BV237" s="7">
        <f>BT237-'Gov Fd BS'!AC237</f>
        <v>0</v>
      </c>
      <c r="BW237" s="7"/>
    </row>
    <row r="238" spans="1:75">
      <c r="A238" s="10" t="s">
        <v>340</v>
      </c>
      <c r="B238" s="11"/>
      <c r="C238" s="11" t="s">
        <v>339</v>
      </c>
      <c r="E238" s="6">
        <v>2427654</v>
      </c>
      <c r="G238" s="6">
        <v>402551</v>
      </c>
      <c r="I238" s="6">
        <v>221635</v>
      </c>
      <c r="K238" s="6">
        <v>0</v>
      </c>
      <c r="M238" s="6">
        <v>0</v>
      </c>
      <c r="O238" s="6">
        <v>163895</v>
      </c>
      <c r="Q238" s="6">
        <v>142870</v>
      </c>
      <c r="S238" s="6">
        <v>35012</v>
      </c>
      <c r="U238" s="6">
        <v>629420</v>
      </c>
      <c r="W238" s="6">
        <v>216448</v>
      </c>
      <c r="Y238" s="6">
        <v>0</v>
      </c>
      <c r="AA238" s="6">
        <v>435398</v>
      </c>
      <c r="AC238" s="6">
        <v>203212</v>
      </c>
      <c r="AE238" s="6">
        <v>503</v>
      </c>
      <c r="AG238" s="6">
        <v>0</v>
      </c>
      <c r="AI238" s="6">
        <v>150651</v>
      </c>
      <c r="AJ238" s="10" t="s">
        <v>340</v>
      </c>
      <c r="AK238" s="11"/>
      <c r="AL238" s="11" t="s">
        <v>339</v>
      </c>
      <c r="AN238" s="6">
        <v>207717</v>
      </c>
      <c r="AP238" s="6">
        <v>143882</v>
      </c>
      <c r="AR238" s="6">
        <v>0</v>
      </c>
      <c r="AT238" s="6">
        <v>94785</v>
      </c>
      <c r="AV238" s="6">
        <v>200578</v>
      </c>
      <c r="AX238" s="6">
        <v>0</v>
      </c>
      <c r="AZ238" s="7">
        <f t="shared" si="32"/>
        <v>5676211</v>
      </c>
      <c r="BB238" s="6">
        <v>0</v>
      </c>
      <c r="BD238" s="6">
        <v>0</v>
      </c>
      <c r="BF238" s="6">
        <v>0</v>
      </c>
      <c r="BH238" s="6">
        <v>0</v>
      </c>
      <c r="BJ238" s="7">
        <f t="shared" si="33"/>
        <v>5676211</v>
      </c>
      <c r="BL238" s="7">
        <f>'Gov Fd Rev'!AO238-'Gov Fd Exp'!BJ238</f>
        <v>424422</v>
      </c>
      <c r="BN238" s="6">
        <v>3225317</v>
      </c>
      <c r="BP238" s="6">
        <v>0</v>
      </c>
      <c r="BR238" s="6">
        <v>0</v>
      </c>
      <c r="BT238" s="7">
        <f t="shared" si="34"/>
        <v>3649739</v>
      </c>
      <c r="BU238" s="7"/>
      <c r="BV238" s="7">
        <f>BT238-'Gov Fd BS'!AC238</f>
        <v>0</v>
      </c>
      <c r="BW238" s="7"/>
    </row>
    <row r="239" spans="1:75">
      <c r="A239" s="10" t="s">
        <v>491</v>
      </c>
      <c r="B239" s="11"/>
      <c r="C239" s="11" t="s">
        <v>61</v>
      </c>
      <c r="E239" s="6">
        <v>4001780</v>
      </c>
      <c r="G239" s="6">
        <v>635324</v>
      </c>
      <c r="I239" s="6">
        <v>92728</v>
      </c>
      <c r="K239" s="6">
        <v>0</v>
      </c>
      <c r="M239" s="6">
        <f>1307+81526</f>
        <v>82833</v>
      </c>
      <c r="O239" s="6">
        <v>664794</v>
      </c>
      <c r="Q239" s="6">
        <v>314710</v>
      </c>
      <c r="S239" s="6">
        <v>9388</v>
      </c>
      <c r="U239" s="6">
        <v>557173</v>
      </c>
      <c r="W239" s="6">
        <v>258696</v>
      </c>
      <c r="Y239" s="6">
        <v>855</v>
      </c>
      <c r="AA239" s="6">
        <v>735880</v>
      </c>
      <c r="AC239" s="6">
        <v>440714</v>
      </c>
      <c r="AE239" s="6">
        <v>6682</v>
      </c>
      <c r="AG239" s="6">
        <v>0</v>
      </c>
      <c r="AI239" s="6">
        <v>290721</v>
      </c>
      <c r="AJ239" s="10" t="s">
        <v>491</v>
      </c>
      <c r="AK239" s="11"/>
      <c r="AL239" s="11" t="s">
        <v>61</v>
      </c>
      <c r="AN239" s="6">
        <v>209350</v>
      </c>
      <c r="AP239" s="6">
        <v>4160483</v>
      </c>
      <c r="AR239" s="6">
        <v>0</v>
      </c>
      <c r="AT239" s="6">
        <v>278522</v>
      </c>
      <c r="AV239" s="6">
        <v>426287</v>
      </c>
      <c r="AX239" s="6">
        <v>0</v>
      </c>
      <c r="AZ239" s="7">
        <f t="shared" si="32"/>
        <v>13166920</v>
      </c>
      <c r="BB239" s="6">
        <v>0</v>
      </c>
      <c r="BD239" s="6">
        <v>0</v>
      </c>
      <c r="BF239" s="6">
        <v>0</v>
      </c>
      <c r="BH239" s="6">
        <v>0</v>
      </c>
      <c r="BJ239" s="7">
        <f t="shared" si="33"/>
        <v>13166920</v>
      </c>
      <c r="BL239" s="7">
        <f>'Gov Fd Rev'!AO239-'Gov Fd Exp'!BJ239</f>
        <v>-3278157</v>
      </c>
      <c r="BN239" s="6">
        <v>6421926</v>
      </c>
      <c r="BP239" s="6">
        <v>0</v>
      </c>
      <c r="BR239" s="6">
        <v>0</v>
      </c>
      <c r="BT239" s="7">
        <f t="shared" si="34"/>
        <v>3143769</v>
      </c>
      <c r="BU239" s="7"/>
      <c r="BV239" s="7">
        <f>BT239-'Gov Fd BS'!AC239</f>
        <v>0</v>
      </c>
      <c r="BW239" s="7"/>
    </row>
    <row r="240" spans="1:75" hidden="1">
      <c r="A240" s="10" t="s">
        <v>858</v>
      </c>
      <c r="B240" s="11"/>
      <c r="C240" s="11" t="s">
        <v>343</v>
      </c>
      <c r="AJ240" s="10" t="s">
        <v>858</v>
      </c>
      <c r="AK240" s="11"/>
      <c r="AL240" s="11" t="s">
        <v>343</v>
      </c>
      <c r="AZ240" s="7">
        <f t="shared" si="32"/>
        <v>0</v>
      </c>
      <c r="BJ240" s="7">
        <f t="shared" si="33"/>
        <v>0</v>
      </c>
      <c r="BL240" s="7">
        <f>'Gov Fd Rev'!AO240-'Gov Fd Exp'!BJ240</f>
        <v>0</v>
      </c>
      <c r="BT240" s="7">
        <f t="shared" si="34"/>
        <v>0</v>
      </c>
      <c r="BU240" s="7"/>
      <c r="BV240" s="7">
        <f>BT240-'Gov Fd BS'!AC240</f>
        <v>0</v>
      </c>
      <c r="BW240" s="7"/>
    </row>
    <row r="241" spans="1:75">
      <c r="A241" s="11" t="s">
        <v>373</v>
      </c>
      <c r="B241" s="11"/>
      <c r="C241" s="11" t="s">
        <v>42</v>
      </c>
      <c r="E241" s="6">
        <v>9631526</v>
      </c>
      <c r="G241" s="6">
        <v>0</v>
      </c>
      <c r="I241" s="6">
        <v>0</v>
      </c>
      <c r="K241" s="6">
        <v>0</v>
      </c>
      <c r="M241" s="6">
        <v>0</v>
      </c>
      <c r="O241" s="6">
        <v>809099</v>
      </c>
      <c r="Q241" s="6">
        <v>324278</v>
      </c>
      <c r="S241" s="6">
        <v>20516</v>
      </c>
      <c r="U241" s="6">
        <v>1638441</v>
      </c>
      <c r="W241" s="6">
        <v>487692</v>
      </c>
      <c r="Y241" s="6">
        <v>17713</v>
      </c>
      <c r="AA241" s="6">
        <v>1222560</v>
      </c>
      <c r="AC241" s="6">
        <v>585119</v>
      </c>
      <c r="AE241" s="6">
        <v>278397</v>
      </c>
      <c r="AG241" s="6">
        <v>583818</v>
      </c>
      <c r="AI241" s="6">
        <f>6117+1900</f>
        <v>8017</v>
      </c>
      <c r="AJ241" s="11" t="s">
        <v>373</v>
      </c>
      <c r="AK241" s="11"/>
      <c r="AL241" s="11" t="s">
        <v>42</v>
      </c>
      <c r="AN241" s="6">
        <v>421200</v>
      </c>
      <c r="AP241" s="6">
        <v>49870</v>
      </c>
      <c r="AR241" s="6">
        <v>0</v>
      </c>
      <c r="AT241" s="6">
        <v>866702</v>
      </c>
      <c r="AV241" s="6">
        <v>491780</v>
      </c>
      <c r="AX241" s="6">
        <v>0</v>
      </c>
      <c r="AZ241" s="7">
        <f t="shared" si="32"/>
        <v>17436728</v>
      </c>
      <c r="BB241" s="6">
        <v>0</v>
      </c>
      <c r="BD241" s="6">
        <v>0</v>
      </c>
      <c r="BF241" s="6">
        <v>0</v>
      </c>
      <c r="BH241" s="6">
        <v>0</v>
      </c>
      <c r="BJ241" s="7">
        <f t="shared" si="33"/>
        <v>17436728</v>
      </c>
      <c r="BL241" s="7">
        <f>'Gov Fd Rev'!AO241-'Gov Fd Exp'!BJ241</f>
        <v>-1060719</v>
      </c>
      <c r="BN241" s="6">
        <v>4535814</v>
      </c>
      <c r="BP241" s="6">
        <v>-5907</v>
      </c>
      <c r="BR241" s="6">
        <v>0</v>
      </c>
      <c r="BT241" s="7">
        <f t="shared" si="34"/>
        <v>3469188</v>
      </c>
      <c r="BU241" s="7"/>
      <c r="BV241" s="7">
        <f>BT241-'Gov Fd BS'!AC241</f>
        <v>0</v>
      </c>
      <c r="BW241" s="7"/>
    </row>
    <row r="242" spans="1:75" hidden="1">
      <c r="A242" s="11" t="s">
        <v>667</v>
      </c>
      <c r="B242" s="11"/>
      <c r="C242" s="11" t="s">
        <v>22</v>
      </c>
      <c r="AJ242" s="11" t="s">
        <v>667</v>
      </c>
      <c r="AK242" s="11"/>
      <c r="AL242" s="11" t="s">
        <v>22</v>
      </c>
      <c r="AZ242" s="7">
        <f t="shared" si="32"/>
        <v>0</v>
      </c>
      <c r="BJ242" s="7">
        <f t="shared" si="33"/>
        <v>0</v>
      </c>
      <c r="BL242" s="7">
        <f>'Gov Fd Rev'!AO242-'Gov Fd Exp'!BJ242</f>
        <v>0</v>
      </c>
      <c r="BT242" s="7">
        <f t="shared" si="34"/>
        <v>0</v>
      </c>
      <c r="BU242" s="7"/>
      <c r="BV242" s="7">
        <f>BT242-'Gov Fd BS'!AC242</f>
        <v>0</v>
      </c>
      <c r="BW242" s="7"/>
    </row>
    <row r="243" spans="1:75">
      <c r="A243" s="11" t="s">
        <v>417</v>
      </c>
      <c r="B243" s="11"/>
      <c r="C243" s="11" t="s">
        <v>47</v>
      </c>
      <c r="E243" s="6">
        <v>12249029</v>
      </c>
      <c r="G243" s="6">
        <v>2958355</v>
      </c>
      <c r="I243" s="6">
        <v>112849</v>
      </c>
      <c r="K243" s="6">
        <v>0</v>
      </c>
      <c r="M243" s="6">
        <v>157681</v>
      </c>
      <c r="O243" s="6">
        <v>1532556</v>
      </c>
      <c r="Q243" s="6">
        <v>1508034</v>
      </c>
      <c r="S243" s="6">
        <v>28395</v>
      </c>
      <c r="U243" s="6">
        <v>2103060</v>
      </c>
      <c r="W243" s="6">
        <v>816823</v>
      </c>
      <c r="Y243" s="6">
        <v>28266</v>
      </c>
      <c r="AA243" s="6">
        <v>2255324</v>
      </c>
      <c r="AC243" s="6">
        <v>1710405</v>
      </c>
      <c r="AE243" s="6">
        <v>240868</v>
      </c>
      <c r="AG243" s="6">
        <v>1079686</v>
      </c>
      <c r="AI243" s="6">
        <v>193316</v>
      </c>
      <c r="AJ243" s="11" t="s">
        <v>417</v>
      </c>
      <c r="AK243" s="11"/>
      <c r="AL243" s="11" t="s">
        <v>47</v>
      </c>
      <c r="AN243" s="6">
        <v>1104566</v>
      </c>
      <c r="AP243" s="6">
        <v>639922</v>
      </c>
      <c r="AR243" s="6">
        <v>0</v>
      </c>
      <c r="AT243" s="6">
        <v>2033269</v>
      </c>
      <c r="AV243" s="6">
        <v>1217132</v>
      </c>
      <c r="AX243" s="6">
        <v>0</v>
      </c>
      <c r="AZ243" s="7">
        <f t="shared" si="32"/>
        <v>31969536</v>
      </c>
      <c r="BB243" s="6">
        <v>0</v>
      </c>
      <c r="BD243" s="6">
        <v>0</v>
      </c>
      <c r="BF243" s="6">
        <v>0</v>
      </c>
      <c r="BH243" s="6">
        <v>0</v>
      </c>
      <c r="BJ243" s="7">
        <f>AZ243+BB243+BH243</f>
        <v>31969536</v>
      </c>
      <c r="BL243" s="7">
        <f>'Gov Fd Rev'!AO243-'Gov Fd Exp'!BJ243</f>
        <v>1699578</v>
      </c>
      <c r="BN243" s="6">
        <v>9665555</v>
      </c>
      <c r="BP243" s="6">
        <v>0</v>
      </c>
      <c r="BR243" s="6">
        <v>0</v>
      </c>
      <c r="BT243" s="7">
        <f t="shared" si="34"/>
        <v>11365133</v>
      </c>
      <c r="BU243" s="7"/>
      <c r="BV243" s="7">
        <f>BT243-'Gov Fd BS'!AC243</f>
        <v>0</v>
      </c>
      <c r="BW243" s="7"/>
    </row>
    <row r="244" spans="1:75">
      <c r="A244" s="11" t="s">
        <v>417</v>
      </c>
      <c r="B244" s="11"/>
      <c r="C244" s="11" t="s">
        <v>78</v>
      </c>
      <c r="E244" s="6">
        <v>6727593</v>
      </c>
      <c r="G244" s="6">
        <v>2450047</v>
      </c>
      <c r="I244" s="6">
        <v>110485</v>
      </c>
      <c r="K244" s="6">
        <v>0</v>
      </c>
      <c r="M244" s="6">
        <v>0</v>
      </c>
      <c r="O244" s="6">
        <v>856449</v>
      </c>
      <c r="Q244" s="6">
        <v>810403</v>
      </c>
      <c r="S244" s="6">
        <v>234264</v>
      </c>
      <c r="U244" s="6">
        <v>1087084</v>
      </c>
      <c r="W244" s="6">
        <v>455442</v>
      </c>
      <c r="Y244" s="6">
        <v>0</v>
      </c>
      <c r="AA244" s="6">
        <v>1896099</v>
      </c>
      <c r="AC244" s="6">
        <v>1278652</v>
      </c>
      <c r="AE244" s="6">
        <v>1053</v>
      </c>
      <c r="AG244" s="6">
        <v>0</v>
      </c>
      <c r="AI244" s="6">
        <v>723205</v>
      </c>
      <c r="AJ244" s="11" t="s">
        <v>417</v>
      </c>
      <c r="AK244" s="11"/>
      <c r="AL244" s="11" t="s">
        <v>78</v>
      </c>
      <c r="AN244" s="6">
        <v>349517</v>
      </c>
      <c r="AP244" s="6">
        <v>4748542</v>
      </c>
      <c r="AR244" s="6">
        <v>0</v>
      </c>
      <c r="AT244" s="6">
        <v>111774</v>
      </c>
      <c r="AV244" s="6">
        <v>754461</v>
      </c>
      <c r="AX244" s="6">
        <v>0</v>
      </c>
      <c r="AZ244" s="7">
        <f t="shared" si="32"/>
        <v>22595070</v>
      </c>
      <c r="BB244" s="6">
        <v>0</v>
      </c>
      <c r="BD244" s="6">
        <v>0</v>
      </c>
      <c r="BF244" s="6">
        <v>0</v>
      </c>
      <c r="BH244" s="6">
        <v>0</v>
      </c>
      <c r="BJ244" s="7">
        <f t="shared" si="33"/>
        <v>22595070</v>
      </c>
      <c r="BL244" s="7">
        <f>'Gov Fd Rev'!AO244-'Gov Fd Exp'!BJ244</f>
        <v>-3733642</v>
      </c>
      <c r="BN244" s="6">
        <v>12387469</v>
      </c>
      <c r="BP244" s="6">
        <v>0</v>
      </c>
      <c r="BR244" s="6">
        <v>0</v>
      </c>
      <c r="BT244" s="7">
        <f t="shared" si="34"/>
        <v>8653827</v>
      </c>
      <c r="BU244" s="7"/>
      <c r="BV244" s="7">
        <f>BT244-'Gov Fd BS'!AC244</f>
        <v>0</v>
      </c>
      <c r="BW244" s="7"/>
    </row>
    <row r="245" spans="1:75">
      <c r="A245" s="11" t="s">
        <v>305</v>
      </c>
      <c r="B245" s="11"/>
      <c r="C245" s="11" t="s">
        <v>27</v>
      </c>
      <c r="E245" s="6">
        <v>80862121</v>
      </c>
      <c r="G245" s="6">
        <v>23650479</v>
      </c>
      <c r="I245" s="6">
        <v>1140440</v>
      </c>
      <c r="K245" s="6">
        <v>0</v>
      </c>
      <c r="M245" s="6">
        <v>0</v>
      </c>
      <c r="O245" s="6">
        <v>12346639</v>
      </c>
      <c r="Q245" s="6">
        <v>9006121</v>
      </c>
      <c r="S245" s="6">
        <v>307354</v>
      </c>
      <c r="U245" s="6">
        <v>8007011</v>
      </c>
      <c r="W245" s="6">
        <v>3038120</v>
      </c>
      <c r="Y245" s="6">
        <v>755267</v>
      </c>
      <c r="AA245" s="6">
        <v>14279069</v>
      </c>
      <c r="AC245" s="6">
        <v>7572840</v>
      </c>
      <c r="AE245" s="6">
        <v>642462</v>
      </c>
      <c r="AG245" s="6">
        <v>5501044</v>
      </c>
      <c r="AI245" s="6">
        <v>2638112</v>
      </c>
      <c r="AJ245" s="11" t="s">
        <v>305</v>
      </c>
      <c r="AK245" s="11"/>
      <c r="AL245" s="11" t="s">
        <v>27</v>
      </c>
      <c r="AN245" s="6">
        <v>4257601</v>
      </c>
      <c r="AP245" s="6">
        <v>4063632</v>
      </c>
      <c r="AR245" s="6">
        <v>0</v>
      </c>
      <c r="AT245" s="6">
        <v>12805000</v>
      </c>
      <c r="AV245" s="6">
        <v>6310520</v>
      </c>
      <c r="AX245" s="6">
        <v>0</v>
      </c>
      <c r="AZ245" s="7">
        <f t="shared" si="32"/>
        <v>197183832</v>
      </c>
      <c r="BB245" s="6">
        <v>333333</v>
      </c>
      <c r="BD245" s="6">
        <v>0</v>
      </c>
      <c r="BF245" s="6">
        <v>0</v>
      </c>
      <c r="BH245" s="6">
        <v>15594273</v>
      </c>
      <c r="BJ245" s="7">
        <f t="shared" si="33"/>
        <v>213111438</v>
      </c>
      <c r="BL245" s="7">
        <f>'Gov Fd Rev'!AO245-'Gov Fd Exp'!BJ245</f>
        <v>7478405</v>
      </c>
      <c r="BN245" s="6">
        <v>64339784</v>
      </c>
      <c r="BP245" s="6">
        <v>0</v>
      </c>
      <c r="BR245" s="6">
        <v>0</v>
      </c>
      <c r="BT245" s="7">
        <f t="shared" si="34"/>
        <v>71818189</v>
      </c>
      <c r="BU245" s="7"/>
      <c r="BV245" s="7">
        <f>BT245-'Gov Fd BS'!AC245</f>
        <v>0</v>
      </c>
      <c r="BW245" s="7"/>
    </row>
    <row r="246" spans="1:75">
      <c r="A246" s="11" t="s">
        <v>350</v>
      </c>
      <c r="B246" s="11"/>
      <c r="C246" s="11" t="s">
        <v>348</v>
      </c>
      <c r="E246" s="6">
        <v>10720345</v>
      </c>
      <c r="G246" s="6">
        <v>2661721</v>
      </c>
      <c r="I246" s="6">
        <v>638886</v>
      </c>
      <c r="K246" s="6">
        <v>0</v>
      </c>
      <c r="M246" s="6">
        <v>9548</v>
      </c>
      <c r="O246" s="6">
        <v>920880</v>
      </c>
      <c r="Q246" s="6">
        <v>2322092</v>
      </c>
      <c r="S246" s="6">
        <v>28782</v>
      </c>
      <c r="U246" s="6">
        <v>1764059</v>
      </c>
      <c r="W246" s="6">
        <v>1246994</v>
      </c>
      <c r="Y246" s="6">
        <v>1931</v>
      </c>
      <c r="AA246" s="6">
        <v>1891937</v>
      </c>
      <c r="AC246" s="6">
        <v>1727267</v>
      </c>
      <c r="AE246" s="6">
        <v>118296</v>
      </c>
      <c r="AG246" s="6">
        <v>1013175</v>
      </c>
      <c r="AI246" s="6">
        <v>115924</v>
      </c>
      <c r="AJ246" s="11" t="s">
        <v>350</v>
      </c>
      <c r="AK246" s="11"/>
      <c r="AL246" s="11" t="s">
        <v>348</v>
      </c>
      <c r="AN246" s="6">
        <v>575925</v>
      </c>
      <c r="AP246" s="6">
        <v>0</v>
      </c>
      <c r="AR246" s="6">
        <v>0</v>
      </c>
      <c r="AT246" s="6">
        <v>466000</v>
      </c>
      <c r="AV246" s="6">
        <v>435092</v>
      </c>
      <c r="AX246" s="6">
        <v>727673</v>
      </c>
      <c r="AZ246" s="7">
        <f t="shared" si="32"/>
        <v>27386527</v>
      </c>
      <c r="BB246" s="6">
        <v>741021</v>
      </c>
      <c r="BD246" s="6">
        <v>0</v>
      </c>
      <c r="BF246" s="6">
        <v>0</v>
      </c>
      <c r="BH246" s="6">
        <v>0</v>
      </c>
      <c r="BJ246" s="7">
        <f t="shared" si="33"/>
        <v>28127548</v>
      </c>
      <c r="BL246" s="7">
        <f>'Gov Fd Rev'!AO246-'Gov Fd Exp'!BJ246</f>
        <v>150375</v>
      </c>
      <c r="BN246" s="6">
        <v>8570672</v>
      </c>
      <c r="BP246" s="6">
        <v>0</v>
      </c>
      <c r="BR246" s="6">
        <v>0</v>
      </c>
      <c r="BT246" s="7">
        <f t="shared" si="34"/>
        <v>8721047</v>
      </c>
      <c r="BU246" s="7"/>
      <c r="BV246" s="7">
        <f>BT246-'Gov Fd BS'!AC246</f>
        <v>0</v>
      </c>
      <c r="BW246" s="7"/>
    </row>
    <row r="247" spans="1:75">
      <c r="A247" s="11" t="s">
        <v>204</v>
      </c>
      <c r="B247" s="11"/>
      <c r="C247" s="11" t="s">
        <v>11</v>
      </c>
      <c r="E247" s="6">
        <v>4688817</v>
      </c>
      <c r="G247" s="6">
        <v>729497</v>
      </c>
      <c r="I247" s="6">
        <v>311413</v>
      </c>
      <c r="K247" s="6">
        <v>0</v>
      </c>
      <c r="M247" s="6">
        <v>272026</v>
      </c>
      <c r="O247" s="6">
        <v>632636</v>
      </c>
      <c r="Q247" s="6">
        <v>411634</v>
      </c>
      <c r="S247" s="6">
        <v>29418</v>
      </c>
      <c r="U247" s="6">
        <v>878277</v>
      </c>
      <c r="W247" s="6">
        <v>355837</v>
      </c>
      <c r="Y247" s="6">
        <v>0</v>
      </c>
      <c r="AA247" s="6">
        <v>731007</v>
      </c>
      <c r="AC247" s="6">
        <v>843641</v>
      </c>
      <c r="AE247" s="6">
        <v>5400</v>
      </c>
      <c r="AG247" s="6">
        <v>377521</v>
      </c>
      <c r="AI247" s="6">
        <v>1113</v>
      </c>
      <c r="AJ247" s="11" t="s">
        <v>204</v>
      </c>
      <c r="AK247" s="11"/>
      <c r="AL247" s="11" t="s">
        <v>11</v>
      </c>
      <c r="AN247" s="6">
        <v>404760</v>
      </c>
      <c r="AP247" s="6">
        <v>450120</v>
      </c>
      <c r="AR247" s="6">
        <v>0</v>
      </c>
      <c r="AT247" s="6">
        <v>57000</v>
      </c>
      <c r="AV247" s="6">
        <v>7740</v>
      </c>
      <c r="AX247" s="6">
        <v>0</v>
      </c>
      <c r="AZ247" s="7">
        <f t="shared" si="32"/>
        <v>11187857</v>
      </c>
      <c r="BB247" s="6">
        <v>64740</v>
      </c>
      <c r="BD247" s="6">
        <v>0</v>
      </c>
      <c r="BF247" s="6">
        <v>0</v>
      </c>
      <c r="BH247" s="6">
        <v>0</v>
      </c>
      <c r="BJ247" s="7">
        <f t="shared" si="33"/>
        <v>11252597</v>
      </c>
      <c r="BL247" s="7">
        <f>'Gov Fd Rev'!AO247-'Gov Fd Exp'!BJ247</f>
        <v>-1364668</v>
      </c>
      <c r="BN247" s="6">
        <v>2118039</v>
      </c>
      <c r="BP247" s="6">
        <v>0</v>
      </c>
      <c r="BR247" s="6">
        <v>0</v>
      </c>
      <c r="BT247" s="7">
        <f t="shared" si="34"/>
        <v>753371</v>
      </c>
      <c r="BU247" s="7"/>
      <c r="BV247" s="7">
        <f>BT247-'Gov Fd BS'!AC247</f>
        <v>0</v>
      </c>
      <c r="BW247" s="7"/>
    </row>
    <row r="248" spans="1:75">
      <c r="A248" s="11" t="s">
        <v>344</v>
      </c>
      <c r="B248" s="11"/>
      <c r="C248" s="11" t="s">
        <v>34</v>
      </c>
      <c r="E248" s="6">
        <v>2600809</v>
      </c>
      <c r="G248" s="6">
        <v>543100</v>
      </c>
      <c r="I248" s="6">
        <v>103792</v>
      </c>
      <c r="K248" s="6">
        <v>0</v>
      </c>
      <c r="M248" s="6">
        <v>0</v>
      </c>
      <c r="O248" s="6">
        <v>246276</v>
      </c>
      <c r="Q248" s="6">
        <v>165722</v>
      </c>
      <c r="S248" s="6">
        <v>15547</v>
      </c>
      <c r="U248" s="6">
        <v>467077</v>
      </c>
      <c r="W248" s="6">
        <v>160528</v>
      </c>
      <c r="Y248" s="6">
        <v>8113</v>
      </c>
      <c r="AA248" s="6">
        <v>566964</v>
      </c>
      <c r="AC248" s="6">
        <v>195392</v>
      </c>
      <c r="AE248" s="6">
        <v>63933</v>
      </c>
      <c r="AG248" s="6">
        <v>0</v>
      </c>
      <c r="AI248" s="6">
        <v>226643</v>
      </c>
      <c r="AJ248" s="11" t="s">
        <v>344</v>
      </c>
      <c r="AK248" s="11"/>
      <c r="AL248" s="11" t="s">
        <v>34</v>
      </c>
      <c r="AN248" s="6">
        <v>229309</v>
      </c>
      <c r="AP248" s="6">
        <v>222716</v>
      </c>
      <c r="AR248" s="6">
        <v>0</v>
      </c>
      <c r="AT248" s="6">
        <v>1304803</v>
      </c>
      <c r="AV248" s="6">
        <v>284058</v>
      </c>
      <c r="AX248" s="6">
        <v>0</v>
      </c>
      <c r="AZ248" s="7">
        <f t="shared" si="32"/>
        <v>7404782</v>
      </c>
      <c r="BB248" s="6">
        <v>303084</v>
      </c>
      <c r="BD248" s="6">
        <v>0</v>
      </c>
      <c r="BF248" s="6">
        <v>0</v>
      </c>
      <c r="BH248" s="6">
        <v>0</v>
      </c>
      <c r="BJ248" s="7">
        <f t="shared" si="33"/>
        <v>7707866</v>
      </c>
      <c r="BL248" s="7">
        <f>'Gov Fd Rev'!AO248-'Gov Fd Exp'!BJ248</f>
        <v>-132473</v>
      </c>
      <c r="BN248" s="6">
        <v>3013135</v>
      </c>
      <c r="BP248" s="6">
        <v>0</v>
      </c>
      <c r="BR248" s="6">
        <v>0</v>
      </c>
      <c r="BT248" s="7">
        <f t="shared" si="34"/>
        <v>2880662</v>
      </c>
      <c r="BU248" s="7"/>
      <c r="BV248" s="7">
        <f>BT248-'Gov Fd BS'!AC248</f>
        <v>0</v>
      </c>
      <c r="BW248" s="7"/>
    </row>
    <row r="249" spans="1:75" hidden="1">
      <c r="A249" s="10" t="s">
        <v>891</v>
      </c>
      <c r="B249" s="10"/>
      <c r="C249" s="10" t="s">
        <v>60</v>
      </c>
      <c r="AJ249" s="10" t="s">
        <v>891</v>
      </c>
      <c r="AK249" s="10"/>
      <c r="AL249" s="10" t="s">
        <v>60</v>
      </c>
      <c r="AR249" s="6">
        <v>0</v>
      </c>
      <c r="AZ249" s="7">
        <f t="shared" ref="AZ249" si="36">SUM(E249:AX249)</f>
        <v>0</v>
      </c>
      <c r="BD249" s="6">
        <v>0</v>
      </c>
      <c r="BF249" s="6">
        <v>0</v>
      </c>
      <c r="BH249" s="6">
        <v>0</v>
      </c>
      <c r="BJ249" s="7">
        <f t="shared" ref="BJ249" si="37">AZ249+BB249+BH249</f>
        <v>0</v>
      </c>
      <c r="BL249" s="7">
        <f>'Gov Fd Rev'!AO249-'Gov Fd Exp'!BJ249</f>
        <v>0</v>
      </c>
      <c r="BR249" s="6">
        <v>0</v>
      </c>
      <c r="BT249" s="7">
        <f t="shared" ref="BT249" si="38">BL249+BN249+BP249+BR249</f>
        <v>0</v>
      </c>
      <c r="BU249" s="7"/>
      <c r="BV249" s="7">
        <f>BT249-'Gov Fd BS'!AC249</f>
        <v>0</v>
      </c>
      <c r="BW249" s="7"/>
    </row>
    <row r="250" spans="1:75">
      <c r="A250" s="11" t="s">
        <v>522</v>
      </c>
      <c r="B250" s="11"/>
      <c r="C250" s="11" t="s">
        <v>64</v>
      </c>
      <c r="E250" s="6">
        <v>14758120</v>
      </c>
      <c r="G250" s="6">
        <v>3211996</v>
      </c>
      <c r="I250" s="6">
        <v>387229</v>
      </c>
      <c r="K250" s="6">
        <v>0</v>
      </c>
      <c r="M250" s="6">
        <v>0</v>
      </c>
      <c r="O250" s="6">
        <v>1646423</v>
      </c>
      <c r="Q250" s="6">
        <v>780996</v>
      </c>
      <c r="S250" s="6">
        <v>322900</v>
      </c>
      <c r="U250" s="6">
        <v>2407200</v>
      </c>
      <c r="W250" s="6">
        <v>699090</v>
      </c>
      <c r="Y250" s="6">
        <v>97528</v>
      </c>
      <c r="AA250" s="6">
        <v>2741036</v>
      </c>
      <c r="AC250" s="6">
        <v>1745717</v>
      </c>
      <c r="AE250" s="6">
        <v>4147</v>
      </c>
      <c r="AG250" s="6">
        <v>875685</v>
      </c>
      <c r="AI250" s="6">
        <v>277483</v>
      </c>
      <c r="AJ250" s="11" t="s">
        <v>522</v>
      </c>
      <c r="AK250" s="11"/>
      <c r="AL250" s="11" t="s">
        <v>64</v>
      </c>
      <c r="AN250" s="6">
        <v>684093</v>
      </c>
      <c r="AP250" s="6">
        <v>816732</v>
      </c>
      <c r="AR250" s="6">
        <v>0</v>
      </c>
      <c r="AT250" s="6">
        <v>95880</v>
      </c>
      <c r="AV250" s="6">
        <v>66817</v>
      </c>
      <c r="AX250" s="6">
        <v>0</v>
      </c>
      <c r="AZ250" s="7">
        <f t="shared" si="32"/>
        <v>31619072</v>
      </c>
      <c r="BB250" s="6">
        <v>0</v>
      </c>
      <c r="BD250" s="6">
        <v>0</v>
      </c>
      <c r="BF250" s="6">
        <v>0</v>
      </c>
      <c r="BH250" s="6">
        <v>0</v>
      </c>
      <c r="BJ250" s="7">
        <f t="shared" si="33"/>
        <v>31619072</v>
      </c>
      <c r="BL250" s="7">
        <f>'Gov Fd Rev'!AO250-'Gov Fd Exp'!BJ250</f>
        <v>-306191</v>
      </c>
      <c r="BN250" s="6">
        <v>-1345968</v>
      </c>
      <c r="BP250" s="6">
        <v>0</v>
      </c>
      <c r="BR250" s="6">
        <v>0</v>
      </c>
      <c r="BT250" s="7">
        <f t="shared" si="34"/>
        <v>-1652159</v>
      </c>
      <c r="BU250" s="7"/>
      <c r="BV250" s="7">
        <f>BT250-'Gov Fd BS'!AC250</f>
        <v>0</v>
      </c>
      <c r="BW250" s="7"/>
    </row>
    <row r="251" spans="1:75">
      <c r="A251" s="11" t="s">
        <v>761</v>
      </c>
      <c r="B251" s="11"/>
      <c r="C251" s="11" t="s">
        <v>64</v>
      </c>
      <c r="E251" s="6">
        <v>9242732</v>
      </c>
      <c r="G251" s="6">
        <v>1604448</v>
      </c>
      <c r="I251" s="6">
        <v>382201</v>
      </c>
      <c r="K251" s="6">
        <v>0</v>
      </c>
      <c r="M251" s="6">
        <v>0</v>
      </c>
      <c r="O251" s="6">
        <v>1035588</v>
      </c>
      <c r="Q251" s="6">
        <v>883148</v>
      </c>
      <c r="S251" s="6">
        <v>14994</v>
      </c>
      <c r="U251" s="6">
        <v>1519672</v>
      </c>
      <c r="W251" s="6">
        <v>524308</v>
      </c>
      <c r="Y251" s="6">
        <v>29140</v>
      </c>
      <c r="AA251" s="6">
        <v>1727763</v>
      </c>
      <c r="AC251" s="6">
        <v>903992</v>
      </c>
      <c r="AE251" s="6">
        <v>402722</v>
      </c>
      <c r="AG251" s="6">
        <v>866582</v>
      </c>
      <c r="AI251" s="6">
        <v>440426</v>
      </c>
      <c r="AJ251" s="11" t="s">
        <v>761</v>
      </c>
      <c r="AK251" s="11"/>
      <c r="AL251" s="11" t="s">
        <v>64</v>
      </c>
      <c r="AN251" s="6">
        <v>552641</v>
      </c>
      <c r="AP251" s="6">
        <v>10194923</v>
      </c>
      <c r="AR251" s="6">
        <v>0</v>
      </c>
      <c r="AT251" s="6">
        <v>385000</v>
      </c>
      <c r="AV251" s="6">
        <v>757125</v>
      </c>
      <c r="AX251" s="6">
        <v>0</v>
      </c>
      <c r="AZ251" s="7">
        <f t="shared" si="32"/>
        <v>31467405</v>
      </c>
      <c r="BB251" s="6">
        <v>1432278</v>
      </c>
      <c r="BD251" s="6">
        <v>0</v>
      </c>
      <c r="BF251" s="6">
        <v>0</v>
      </c>
      <c r="BH251" s="6">
        <v>0</v>
      </c>
      <c r="BJ251" s="7">
        <f t="shared" si="33"/>
        <v>32899683</v>
      </c>
      <c r="BL251" s="7">
        <f>'Gov Fd Rev'!AO251-'Gov Fd Exp'!BJ251</f>
        <v>-9597774</v>
      </c>
      <c r="BN251" s="6">
        <v>20578146</v>
      </c>
      <c r="BP251" s="6">
        <v>0</v>
      </c>
      <c r="BR251" s="6">
        <v>0</v>
      </c>
      <c r="BT251" s="7">
        <f t="shared" si="34"/>
        <v>10980372</v>
      </c>
      <c r="BU251" s="7"/>
      <c r="BV251" s="7">
        <f>BT251-'Gov Fd BS'!AC251</f>
        <v>0</v>
      </c>
      <c r="BW251" s="7"/>
    </row>
    <row r="252" spans="1:75">
      <c r="A252" s="11" t="s">
        <v>430</v>
      </c>
      <c r="B252" s="11"/>
      <c r="C252" s="11" t="s">
        <v>50</v>
      </c>
      <c r="E252" s="6">
        <v>46636060</v>
      </c>
      <c r="G252" s="6">
        <v>0</v>
      </c>
      <c r="I252" s="6">
        <v>0</v>
      </c>
      <c r="K252" s="6">
        <v>0</v>
      </c>
      <c r="M252" s="6">
        <v>0</v>
      </c>
      <c r="O252" s="6">
        <v>3120453</v>
      </c>
      <c r="Q252" s="6">
        <v>4547670</v>
      </c>
      <c r="S252" s="6">
        <v>23102</v>
      </c>
      <c r="U252" s="6">
        <v>4321587</v>
      </c>
      <c r="W252" s="6">
        <v>1149054</v>
      </c>
      <c r="Y252" s="6">
        <v>452515</v>
      </c>
      <c r="AA252" s="6">
        <v>5169301</v>
      </c>
      <c r="AC252" s="6">
        <v>3376988</v>
      </c>
      <c r="AE252" s="6">
        <v>509338</v>
      </c>
      <c r="AG252" s="6">
        <v>2381454</v>
      </c>
      <c r="AI252" s="6">
        <v>407582</v>
      </c>
      <c r="AJ252" s="11" t="s">
        <v>430</v>
      </c>
      <c r="AK252" s="11"/>
      <c r="AL252" s="11" t="s">
        <v>50</v>
      </c>
      <c r="AN252" s="6">
        <v>1011499</v>
      </c>
      <c r="AP252" s="6">
        <v>51171299</v>
      </c>
      <c r="AR252" s="6">
        <v>0</v>
      </c>
      <c r="AT252" s="6">
        <v>1117528</v>
      </c>
      <c r="AV252" s="6">
        <v>3794879</v>
      </c>
      <c r="AX252" s="6">
        <v>0</v>
      </c>
      <c r="AZ252" s="7">
        <f t="shared" si="32"/>
        <v>129190309</v>
      </c>
      <c r="BB252" s="6">
        <v>218705</v>
      </c>
      <c r="BD252" s="6">
        <v>0</v>
      </c>
      <c r="BF252" s="6">
        <v>0</v>
      </c>
      <c r="BH252" s="6">
        <v>0</v>
      </c>
      <c r="BJ252" s="7">
        <f t="shared" si="33"/>
        <v>129409014</v>
      </c>
      <c r="BL252" s="7">
        <f>'Gov Fd Rev'!AO252-'Gov Fd Exp'!BJ252</f>
        <v>-54581471</v>
      </c>
      <c r="BN252" s="6">
        <v>105134195</v>
      </c>
      <c r="BP252" s="6">
        <v>-109925</v>
      </c>
      <c r="BR252" s="6">
        <v>0</v>
      </c>
      <c r="BT252" s="7">
        <f t="shared" si="34"/>
        <v>50442799</v>
      </c>
      <c r="BU252" s="7"/>
      <c r="BV252" s="7">
        <f>BT252-'Gov Fd BS'!AC252</f>
        <v>0</v>
      </c>
      <c r="BW252" s="7"/>
    </row>
    <row r="253" spans="1:75">
      <c r="A253" s="11" t="s">
        <v>509</v>
      </c>
      <c r="B253" s="11"/>
      <c r="C253" s="11" t="s">
        <v>63</v>
      </c>
      <c r="E253" s="6">
        <v>26547675</v>
      </c>
      <c r="G253" s="6">
        <v>6186526</v>
      </c>
      <c r="I253" s="6">
        <v>244846</v>
      </c>
      <c r="K253" s="6">
        <v>0</v>
      </c>
      <c r="M253" s="6">
        <v>1327522</v>
      </c>
      <c r="O253" s="6">
        <v>5026641</v>
      </c>
      <c r="Q253" s="6">
        <v>4773005</v>
      </c>
      <c r="S253" s="6">
        <v>49083</v>
      </c>
      <c r="U253" s="6">
        <v>4215459</v>
      </c>
      <c r="W253" s="6">
        <v>1488408</v>
      </c>
      <c r="Y253" s="6">
        <v>586663</v>
      </c>
      <c r="AA253" s="6">
        <v>4776440</v>
      </c>
      <c r="AC253" s="6">
        <v>3663230</v>
      </c>
      <c r="AE253" s="6">
        <v>426422</v>
      </c>
      <c r="AG253" s="6">
        <v>1543380</v>
      </c>
      <c r="AI253" s="6">
        <v>35185</v>
      </c>
      <c r="AJ253" s="11" t="s">
        <v>509</v>
      </c>
      <c r="AK253" s="11"/>
      <c r="AL253" s="11" t="s">
        <v>63</v>
      </c>
      <c r="AN253" s="6">
        <v>1220646</v>
      </c>
      <c r="AP253" s="6">
        <v>1011533</v>
      </c>
      <c r="AR253" s="6">
        <v>0</v>
      </c>
      <c r="AT253" s="6">
        <v>1910778</v>
      </c>
      <c r="AV253" s="6">
        <v>2362798</v>
      </c>
      <c r="AX253" s="6">
        <v>0</v>
      </c>
      <c r="AZ253" s="7">
        <f t="shared" si="32"/>
        <v>67396240</v>
      </c>
      <c r="BB253" s="6">
        <v>1326000</v>
      </c>
      <c r="BD253" s="6">
        <v>0</v>
      </c>
      <c r="BF253" s="6">
        <v>0</v>
      </c>
      <c r="BH253" s="6">
        <v>0</v>
      </c>
      <c r="BJ253" s="7">
        <f t="shared" si="33"/>
        <v>68722240</v>
      </c>
      <c r="BL253" s="7">
        <f>'Gov Fd Rev'!AO253-'Gov Fd Exp'!BJ253</f>
        <v>1910528</v>
      </c>
      <c r="BN253" s="6">
        <v>14425765</v>
      </c>
      <c r="BP253" s="6">
        <v>0</v>
      </c>
      <c r="BR253" s="6">
        <v>0</v>
      </c>
      <c r="BT253" s="7">
        <f t="shared" si="34"/>
        <v>16336293</v>
      </c>
      <c r="BU253" s="7"/>
      <c r="BV253" s="7">
        <f>BT253-'Gov Fd BS'!AC253</f>
        <v>0</v>
      </c>
      <c r="BW253" s="7"/>
    </row>
    <row r="254" spans="1:75">
      <c r="A254" s="11" t="s">
        <v>474</v>
      </c>
      <c r="B254" s="11"/>
      <c r="C254" s="11" t="s">
        <v>58</v>
      </c>
      <c r="E254" s="6">
        <v>7576141</v>
      </c>
      <c r="G254" s="6">
        <v>1283613</v>
      </c>
      <c r="I254" s="6">
        <v>0</v>
      </c>
      <c r="K254" s="6">
        <v>0</v>
      </c>
      <c r="M254" s="6">
        <v>319244</v>
      </c>
      <c r="O254" s="6">
        <v>331398</v>
      </c>
      <c r="Q254" s="6">
        <v>132039</v>
      </c>
      <c r="S254" s="6">
        <v>25752</v>
      </c>
      <c r="U254" s="6">
        <v>819188</v>
      </c>
      <c r="W254" s="6">
        <v>282951</v>
      </c>
      <c r="Y254" s="6">
        <v>0</v>
      </c>
      <c r="AA254" s="6">
        <v>1017569</v>
      </c>
      <c r="AC254" s="6">
        <v>784008</v>
      </c>
      <c r="AE254" s="6">
        <v>0</v>
      </c>
      <c r="AG254" s="6">
        <v>0</v>
      </c>
      <c r="AI254" s="6">
        <v>582489</v>
      </c>
      <c r="AJ254" s="11" t="s">
        <v>474</v>
      </c>
      <c r="AK254" s="11"/>
      <c r="AL254" s="11" t="s">
        <v>58</v>
      </c>
      <c r="AN254" s="6">
        <v>270617</v>
      </c>
      <c r="AP254" s="6">
        <v>633</v>
      </c>
      <c r="AR254" s="6">
        <v>0</v>
      </c>
      <c r="AT254" s="6">
        <v>93044</v>
      </c>
      <c r="AV254" s="6">
        <v>37751</v>
      </c>
      <c r="AX254" s="6">
        <v>0</v>
      </c>
      <c r="AZ254" s="7">
        <f t="shared" si="32"/>
        <v>13556437</v>
      </c>
      <c r="BB254" s="6">
        <v>0</v>
      </c>
      <c r="BD254" s="6">
        <v>0</v>
      </c>
      <c r="BF254" s="6">
        <v>0</v>
      </c>
      <c r="BH254" s="6">
        <v>0</v>
      </c>
      <c r="BJ254" s="7">
        <f t="shared" si="33"/>
        <v>13556437</v>
      </c>
      <c r="BL254" s="7">
        <f>'Gov Fd Rev'!AO254-'Gov Fd Exp'!BJ254</f>
        <v>-165994</v>
      </c>
      <c r="BN254" s="6">
        <v>4567512</v>
      </c>
      <c r="BP254" s="6">
        <v>0</v>
      </c>
      <c r="BR254" s="6">
        <v>0</v>
      </c>
      <c r="BT254" s="7">
        <f t="shared" si="34"/>
        <v>4401518</v>
      </c>
      <c r="BU254" s="7"/>
      <c r="BV254" s="7">
        <f>BT254-'Gov Fd BS'!AC254</f>
        <v>0</v>
      </c>
      <c r="BW254" s="7"/>
    </row>
    <row r="255" spans="1:75">
      <c r="A255" s="11" t="s">
        <v>286</v>
      </c>
      <c r="B255" s="11"/>
      <c r="C255" s="11" t="s">
        <v>24</v>
      </c>
      <c r="E255" s="6">
        <v>7212463</v>
      </c>
      <c r="G255" s="6">
        <v>2133352</v>
      </c>
      <c r="I255" s="6">
        <v>0</v>
      </c>
      <c r="K255" s="6">
        <v>0</v>
      </c>
      <c r="M255" s="6">
        <v>99267</v>
      </c>
      <c r="O255" s="6">
        <v>638253</v>
      </c>
      <c r="Q255" s="6">
        <v>700707</v>
      </c>
      <c r="S255" s="6">
        <v>43398</v>
      </c>
      <c r="U255" s="6">
        <v>1653679</v>
      </c>
      <c r="W255" s="6">
        <v>549398</v>
      </c>
      <c r="Y255" s="6">
        <v>47957</v>
      </c>
      <c r="AA255" s="6">
        <v>1573073</v>
      </c>
      <c r="AC255" s="6">
        <v>873936</v>
      </c>
      <c r="AE255" s="6">
        <v>0</v>
      </c>
      <c r="AG255" s="6">
        <v>631621</v>
      </c>
      <c r="AI255" s="6">
        <v>281410</v>
      </c>
      <c r="AJ255" s="11" t="s">
        <v>286</v>
      </c>
      <c r="AK255" s="11"/>
      <c r="AL255" s="11" t="s">
        <v>24</v>
      </c>
      <c r="AN255" s="6">
        <v>812501</v>
      </c>
      <c r="AP255" s="6">
        <f>18000+210312</f>
        <v>228312</v>
      </c>
      <c r="AR255" s="6">
        <v>0</v>
      </c>
      <c r="AT255" s="6">
        <v>776955</v>
      </c>
      <c r="AV255" s="6">
        <v>285168</v>
      </c>
      <c r="AX255" s="6">
        <v>5104</v>
      </c>
      <c r="AZ255" s="7">
        <f t="shared" si="32"/>
        <v>18546554</v>
      </c>
      <c r="BB255" s="6">
        <v>0</v>
      </c>
      <c r="BD255" s="6">
        <v>0</v>
      </c>
      <c r="BF255" s="6">
        <v>0</v>
      </c>
      <c r="BH255" s="6">
        <v>0</v>
      </c>
      <c r="BJ255" s="7">
        <f t="shared" si="33"/>
        <v>18546554</v>
      </c>
      <c r="BL255" s="7">
        <f>'Gov Fd Rev'!AO255-'Gov Fd Exp'!BJ255</f>
        <v>-754690</v>
      </c>
      <c r="BN255" s="6">
        <v>8553075</v>
      </c>
      <c r="BP255" s="6">
        <v>0</v>
      </c>
      <c r="BR255" s="6">
        <v>0</v>
      </c>
      <c r="BT255" s="7">
        <f t="shared" si="34"/>
        <v>7798385</v>
      </c>
      <c r="BU255" s="7"/>
      <c r="BV255" s="7">
        <f>BT255-'Gov Fd BS'!AC255</f>
        <v>0</v>
      </c>
      <c r="BW255" s="7"/>
    </row>
    <row r="256" spans="1:75">
      <c r="A256" s="11" t="s">
        <v>269</v>
      </c>
      <c r="B256" s="11"/>
      <c r="C256" s="11" t="s">
        <v>20</v>
      </c>
      <c r="E256" s="6">
        <v>7168096</v>
      </c>
      <c r="G256" s="6">
        <v>415016</v>
      </c>
      <c r="I256" s="6">
        <v>0</v>
      </c>
      <c r="K256" s="6">
        <v>0</v>
      </c>
      <c r="M256" s="6">
        <f>138905+138369</f>
        <v>277274</v>
      </c>
      <c r="O256" s="6">
        <v>923160</v>
      </c>
      <c r="Q256" s="6">
        <v>2024626</v>
      </c>
      <c r="S256" s="6">
        <v>204225</v>
      </c>
      <c r="U256" s="6">
        <v>1198694</v>
      </c>
      <c r="W256" s="6">
        <v>641747</v>
      </c>
      <c r="Y256" s="6">
        <v>192622</v>
      </c>
      <c r="AA256" s="6">
        <v>2887373</v>
      </c>
      <c r="AC256" s="6">
        <v>899771</v>
      </c>
      <c r="AE256" s="6">
        <v>0</v>
      </c>
      <c r="AG256" s="6">
        <v>292872</v>
      </c>
      <c r="AI256" s="6">
        <v>226715</v>
      </c>
      <c r="AJ256" s="11" t="s">
        <v>269</v>
      </c>
      <c r="AK256" s="11"/>
      <c r="AL256" s="11" t="s">
        <v>20</v>
      </c>
      <c r="AN256" s="6">
        <v>587769</v>
      </c>
      <c r="AP256" s="6">
        <v>91778</v>
      </c>
      <c r="AR256" s="6">
        <v>0</v>
      </c>
      <c r="AT256" s="6">
        <v>161300</v>
      </c>
      <c r="AV256" s="6">
        <v>1217224</v>
      </c>
      <c r="AX256" s="6">
        <v>0</v>
      </c>
      <c r="AZ256" s="7">
        <f t="shared" si="32"/>
        <v>19410262</v>
      </c>
      <c r="BB256" s="6">
        <v>119970</v>
      </c>
      <c r="BD256" s="6">
        <v>0</v>
      </c>
      <c r="BF256" s="6">
        <v>0</v>
      </c>
      <c r="BH256" s="6">
        <v>0</v>
      </c>
      <c r="BJ256" s="7">
        <f t="shared" si="33"/>
        <v>19530232</v>
      </c>
      <c r="BL256" s="7">
        <f>'Gov Fd Rev'!AO256-'Gov Fd Exp'!BJ256</f>
        <v>1099872</v>
      </c>
      <c r="BN256" s="6">
        <v>4361685</v>
      </c>
      <c r="BP256" s="6">
        <v>0</v>
      </c>
      <c r="BR256" s="6">
        <v>0</v>
      </c>
      <c r="BT256" s="7">
        <f t="shared" si="34"/>
        <v>5461557</v>
      </c>
      <c r="BU256" s="7"/>
      <c r="BV256" s="7">
        <f>BT256-'Gov Fd BS'!AC256</f>
        <v>0</v>
      </c>
      <c r="BW256" s="7"/>
    </row>
    <row r="257" spans="1:75">
      <c r="A257" s="11" t="s">
        <v>363</v>
      </c>
      <c r="B257" s="11"/>
      <c r="C257" s="11" t="s">
        <v>39</v>
      </c>
      <c r="E257" s="6">
        <v>10214136</v>
      </c>
      <c r="G257" s="6">
        <v>2260318</v>
      </c>
      <c r="I257" s="6">
        <v>230020</v>
      </c>
      <c r="K257" s="6">
        <v>2510</v>
      </c>
      <c r="M257" s="6">
        <v>239844</v>
      </c>
      <c r="O257" s="6">
        <v>761722</v>
      </c>
      <c r="Q257" s="6">
        <v>1132057</v>
      </c>
      <c r="S257" s="6">
        <v>18857</v>
      </c>
      <c r="U257" s="6">
        <v>1664537</v>
      </c>
      <c r="W257" s="6">
        <v>480853</v>
      </c>
      <c r="Y257" s="6">
        <v>0</v>
      </c>
      <c r="AA257" s="6">
        <v>1910810</v>
      </c>
      <c r="AC257" s="6">
        <v>1228718</v>
      </c>
      <c r="AE257" s="6">
        <v>153244</v>
      </c>
      <c r="AG257" s="6">
        <v>944122</v>
      </c>
      <c r="AI257" s="6">
        <v>103982</v>
      </c>
      <c r="AJ257" s="11" t="s">
        <v>363</v>
      </c>
      <c r="AK257" s="11"/>
      <c r="AL257" s="11" t="s">
        <v>39</v>
      </c>
      <c r="AN257" s="6">
        <v>352456</v>
      </c>
      <c r="AP257" s="6">
        <v>8141461</v>
      </c>
      <c r="AR257" s="6">
        <v>0</v>
      </c>
      <c r="AT257" s="6">
        <v>394319</v>
      </c>
      <c r="AV257" s="6">
        <v>564574</v>
      </c>
      <c r="AX257" s="6">
        <v>0</v>
      </c>
      <c r="AZ257" s="7">
        <f t="shared" si="32"/>
        <v>30798540</v>
      </c>
      <c r="BB257" s="6">
        <v>0</v>
      </c>
      <c r="BD257" s="6">
        <v>0</v>
      </c>
      <c r="BF257" s="6">
        <v>0</v>
      </c>
      <c r="BH257" s="6">
        <v>0</v>
      </c>
      <c r="BJ257" s="7">
        <f t="shared" si="33"/>
        <v>30798540</v>
      </c>
      <c r="BL257" s="7">
        <f>'Gov Fd Rev'!AO257-'Gov Fd Exp'!BJ257</f>
        <v>-6499470</v>
      </c>
      <c r="BN257" s="6">
        <v>12984119</v>
      </c>
      <c r="BP257" s="6">
        <v>0</v>
      </c>
      <c r="BR257" s="6">
        <v>0</v>
      </c>
      <c r="BT257" s="7">
        <f t="shared" si="34"/>
        <v>6484649</v>
      </c>
      <c r="BU257" s="7"/>
      <c r="BV257" s="7">
        <f>BT257-'Gov Fd BS'!AC257</f>
        <v>0</v>
      </c>
      <c r="BW257" s="7"/>
    </row>
    <row r="258" spans="1:75">
      <c r="A258" s="11" t="s">
        <v>762</v>
      </c>
      <c r="B258" s="11"/>
      <c r="C258" s="11" t="s">
        <v>32</v>
      </c>
      <c r="E258" s="6">
        <v>13193545</v>
      </c>
      <c r="G258" s="6">
        <v>2348005</v>
      </c>
      <c r="I258" s="6">
        <v>0</v>
      </c>
      <c r="K258" s="6">
        <v>0</v>
      </c>
      <c r="M258" s="6">
        <v>455829</v>
      </c>
      <c r="O258" s="6">
        <v>2159791</v>
      </c>
      <c r="Q258" s="6">
        <v>2603033</v>
      </c>
      <c r="S258" s="6">
        <v>54160</v>
      </c>
      <c r="U258" s="6">
        <v>2431239</v>
      </c>
      <c r="W258" s="6">
        <v>808680</v>
      </c>
      <c r="Y258" s="6">
        <v>34048</v>
      </c>
      <c r="AA258" s="6">
        <v>3748217</v>
      </c>
      <c r="AC258" s="6">
        <v>1872597</v>
      </c>
      <c r="AE258" s="6">
        <v>50006</v>
      </c>
      <c r="AG258" s="6">
        <v>625381</v>
      </c>
      <c r="AI258" s="6">
        <v>1295371</v>
      </c>
      <c r="AJ258" s="11" t="s">
        <v>762</v>
      </c>
      <c r="AK258" s="11"/>
      <c r="AL258" s="11" t="s">
        <v>32</v>
      </c>
      <c r="AN258" s="6">
        <v>801368</v>
      </c>
      <c r="AP258" s="6">
        <v>175837</v>
      </c>
      <c r="AR258" s="6">
        <v>0</v>
      </c>
      <c r="AT258" s="6">
        <v>2392000</v>
      </c>
      <c r="AV258" s="6">
        <v>1430738</v>
      </c>
      <c r="AX258" s="6">
        <v>0</v>
      </c>
      <c r="AZ258" s="7">
        <f t="shared" si="32"/>
        <v>36479845</v>
      </c>
      <c r="BB258" s="6">
        <v>0</v>
      </c>
      <c r="BD258" s="6">
        <v>0</v>
      </c>
      <c r="BF258" s="6">
        <v>0</v>
      </c>
      <c r="BH258" s="6">
        <v>0</v>
      </c>
      <c r="BJ258" s="7">
        <f t="shared" si="33"/>
        <v>36479845</v>
      </c>
      <c r="BL258" s="7">
        <f>'Gov Fd Rev'!AO258-'Gov Fd Exp'!BJ258</f>
        <v>2753460</v>
      </c>
      <c r="BN258" s="6">
        <v>39828160</v>
      </c>
      <c r="BP258" s="6">
        <v>0</v>
      </c>
      <c r="BR258" s="6">
        <v>0</v>
      </c>
      <c r="BT258" s="7">
        <f t="shared" si="34"/>
        <v>42581620</v>
      </c>
      <c r="BU258" s="7"/>
      <c r="BV258" s="7">
        <f>BT258-'Gov Fd BS'!AC258</f>
        <v>0</v>
      </c>
      <c r="BW258" s="7"/>
    </row>
    <row r="259" spans="1:75" hidden="1">
      <c r="A259" s="11" t="s">
        <v>795</v>
      </c>
      <c r="B259" s="11"/>
      <c r="C259" s="11" t="s">
        <v>43</v>
      </c>
      <c r="AJ259" s="11" t="s">
        <v>795</v>
      </c>
      <c r="AK259" s="11"/>
      <c r="AL259" s="11" t="s">
        <v>43</v>
      </c>
      <c r="AR259" s="6">
        <v>0</v>
      </c>
      <c r="AZ259" s="7">
        <f t="shared" si="32"/>
        <v>0</v>
      </c>
      <c r="BD259" s="6">
        <v>0</v>
      </c>
      <c r="BF259" s="6">
        <v>0</v>
      </c>
      <c r="BH259" s="6">
        <v>0</v>
      </c>
      <c r="BJ259" s="7">
        <f t="shared" si="33"/>
        <v>0</v>
      </c>
      <c r="BL259" s="7">
        <f>'Gov Fd Rev'!AO259-'Gov Fd Exp'!BJ259</f>
        <v>0</v>
      </c>
      <c r="BR259" s="6">
        <v>0</v>
      </c>
      <c r="BT259" s="7">
        <f t="shared" si="34"/>
        <v>0</v>
      </c>
      <c r="BU259" s="7"/>
      <c r="BV259" s="7">
        <f>BT259-'Gov Fd BS'!AC259</f>
        <v>0</v>
      </c>
      <c r="BW259" s="7"/>
    </row>
    <row r="260" spans="1:75">
      <c r="A260" s="11" t="s">
        <v>536</v>
      </c>
      <c r="B260" s="11"/>
      <c r="C260" s="11" t="s">
        <v>65</v>
      </c>
      <c r="E260" s="6">
        <v>6689226</v>
      </c>
      <c r="G260" s="6">
        <v>1721470</v>
      </c>
      <c r="I260" s="6">
        <v>197161</v>
      </c>
      <c r="K260" s="6">
        <v>0</v>
      </c>
      <c r="M260" s="6">
        <v>1675580</v>
      </c>
      <c r="O260" s="6">
        <v>562095</v>
      </c>
      <c r="Q260" s="6">
        <v>653527</v>
      </c>
      <c r="S260" s="6">
        <v>35518</v>
      </c>
      <c r="U260" s="6">
        <v>1165528</v>
      </c>
      <c r="W260" s="6">
        <v>401364</v>
      </c>
      <c r="Y260" s="6">
        <v>121630</v>
      </c>
      <c r="AA260" s="6">
        <v>1735486</v>
      </c>
      <c r="AC260" s="6">
        <v>1116022</v>
      </c>
      <c r="AE260" s="6">
        <v>11720</v>
      </c>
      <c r="AG260" s="6">
        <v>897949</v>
      </c>
      <c r="AI260" s="6">
        <v>0</v>
      </c>
      <c r="AJ260" s="11" t="s">
        <v>536</v>
      </c>
      <c r="AK260" s="11"/>
      <c r="AL260" s="11" t="s">
        <v>65</v>
      </c>
      <c r="AN260" s="6">
        <v>543765</v>
      </c>
      <c r="AP260" s="6">
        <v>75385</v>
      </c>
      <c r="AR260" s="6">
        <v>0</v>
      </c>
      <c r="AT260" s="6">
        <v>812218</v>
      </c>
      <c r="AV260" s="6">
        <v>379362</v>
      </c>
      <c r="AX260" s="6">
        <v>0</v>
      </c>
      <c r="AZ260" s="7">
        <f t="shared" si="32"/>
        <v>18795006</v>
      </c>
      <c r="BB260" s="6">
        <v>0</v>
      </c>
      <c r="BD260" s="6">
        <v>0</v>
      </c>
      <c r="BF260" s="6">
        <v>0</v>
      </c>
      <c r="BH260" s="6">
        <v>0</v>
      </c>
      <c r="BJ260" s="7">
        <f t="shared" si="33"/>
        <v>18795006</v>
      </c>
      <c r="BL260" s="7">
        <f>'Gov Fd Rev'!AO260-'Gov Fd Exp'!BJ260</f>
        <v>466578</v>
      </c>
      <c r="BN260" s="6">
        <v>3713360</v>
      </c>
      <c r="BP260" s="6">
        <v>0</v>
      </c>
      <c r="BR260" s="6">
        <v>0</v>
      </c>
      <c r="BT260" s="7">
        <f t="shared" si="34"/>
        <v>4179938</v>
      </c>
      <c r="BU260" s="7"/>
      <c r="BV260" s="7">
        <f>BT260-'Gov Fd BS'!AC260</f>
        <v>0</v>
      </c>
      <c r="BW260" s="7"/>
    </row>
    <row r="261" spans="1:75">
      <c r="A261" s="11" t="s">
        <v>369</v>
      </c>
      <c r="B261" s="11"/>
      <c r="C261" s="11" t="s">
        <v>366</v>
      </c>
      <c r="E261" s="6">
        <v>6529209</v>
      </c>
      <c r="G261" s="6">
        <v>1302394</v>
      </c>
      <c r="I261" s="6">
        <v>143251</v>
      </c>
      <c r="K261" s="6">
        <v>0</v>
      </c>
      <c r="M261" s="6">
        <v>116370</v>
      </c>
      <c r="O261" s="6">
        <v>677124</v>
      </c>
      <c r="Q261" s="6">
        <v>454853</v>
      </c>
      <c r="S261" s="6">
        <v>264076</v>
      </c>
      <c r="U261" s="6">
        <v>940280</v>
      </c>
      <c r="W261" s="6">
        <v>631345</v>
      </c>
      <c r="Y261" s="6">
        <v>0</v>
      </c>
      <c r="AA261" s="6">
        <v>1723138</v>
      </c>
      <c r="AC261" s="6">
        <v>620856</v>
      </c>
      <c r="AE261" s="6">
        <v>77890</v>
      </c>
      <c r="AG261" s="6">
        <v>649244</v>
      </c>
      <c r="AI261" s="6">
        <v>189256</v>
      </c>
      <c r="AJ261" s="11" t="s">
        <v>369</v>
      </c>
      <c r="AK261" s="11"/>
      <c r="AL261" s="11" t="s">
        <v>366</v>
      </c>
      <c r="AN261" s="6">
        <v>593131</v>
      </c>
      <c r="AP261" s="6">
        <v>319563</v>
      </c>
      <c r="AR261" s="6">
        <v>0</v>
      </c>
      <c r="AT261" s="6">
        <v>250000</v>
      </c>
      <c r="AV261" s="6">
        <v>787515</v>
      </c>
      <c r="AX261" s="6">
        <v>0</v>
      </c>
      <c r="AZ261" s="7">
        <f t="shared" si="32"/>
        <v>16269495</v>
      </c>
      <c r="BB261" s="6">
        <v>0</v>
      </c>
      <c r="BD261" s="6">
        <v>0</v>
      </c>
      <c r="BF261" s="6">
        <v>0</v>
      </c>
      <c r="BH261" s="6">
        <v>0</v>
      </c>
      <c r="BJ261" s="7">
        <f t="shared" si="33"/>
        <v>16269495</v>
      </c>
      <c r="BL261" s="7">
        <f>'Gov Fd Rev'!AO261-'Gov Fd Exp'!BJ261</f>
        <v>262306</v>
      </c>
      <c r="BN261" s="6">
        <v>3074423</v>
      </c>
      <c r="BP261" s="6">
        <v>0</v>
      </c>
      <c r="BR261" s="6">
        <v>0</v>
      </c>
      <c r="BT261" s="7">
        <f t="shared" si="34"/>
        <v>3336729</v>
      </c>
      <c r="BU261" s="7"/>
      <c r="BV261" s="7">
        <f>BT261-'Gov Fd BS'!AC261</f>
        <v>0</v>
      </c>
      <c r="BW261" s="7"/>
    </row>
    <row r="262" spans="1:75" hidden="1">
      <c r="A262" s="11" t="s">
        <v>668</v>
      </c>
      <c r="B262" s="11"/>
      <c r="C262" s="11" t="s">
        <v>61</v>
      </c>
      <c r="AJ262" s="11" t="s">
        <v>668</v>
      </c>
      <c r="AK262" s="11"/>
      <c r="AL262" s="11" t="s">
        <v>61</v>
      </c>
      <c r="AR262" s="6">
        <v>0</v>
      </c>
      <c r="AZ262" s="7">
        <f t="shared" si="32"/>
        <v>0</v>
      </c>
      <c r="BD262" s="6">
        <v>0</v>
      </c>
      <c r="BF262" s="6">
        <v>0</v>
      </c>
      <c r="BH262" s="6">
        <v>0</v>
      </c>
      <c r="BJ262" s="7">
        <f t="shared" si="33"/>
        <v>0</v>
      </c>
      <c r="BL262" s="7">
        <f>'Gov Fd Rev'!AO262-'Gov Fd Exp'!BJ262</f>
        <v>0</v>
      </c>
      <c r="BR262" s="6">
        <v>0</v>
      </c>
      <c r="BT262" s="7">
        <f t="shared" si="34"/>
        <v>0</v>
      </c>
      <c r="BU262" s="7"/>
      <c r="BV262" s="7">
        <f>BT262-'Gov Fd BS'!AC262</f>
        <v>0</v>
      </c>
      <c r="BW262" s="7"/>
    </row>
    <row r="263" spans="1:75" hidden="1">
      <c r="A263" s="11" t="s">
        <v>679</v>
      </c>
      <c r="B263" s="11"/>
      <c r="C263" s="11" t="s">
        <v>38</v>
      </c>
      <c r="AJ263" s="11" t="s">
        <v>679</v>
      </c>
      <c r="AK263" s="11"/>
      <c r="AL263" s="11" t="s">
        <v>38</v>
      </c>
      <c r="AR263" s="6">
        <v>0</v>
      </c>
      <c r="AZ263" s="7">
        <f t="shared" si="32"/>
        <v>0</v>
      </c>
      <c r="BD263" s="6">
        <v>0</v>
      </c>
      <c r="BF263" s="6">
        <v>0</v>
      </c>
      <c r="BH263" s="6">
        <v>0</v>
      </c>
      <c r="BJ263" s="7">
        <f t="shared" si="33"/>
        <v>0</v>
      </c>
      <c r="BL263" s="7">
        <f>'Gov Fd Rev'!AO263-'Gov Fd Exp'!BJ263</f>
        <v>0</v>
      </c>
      <c r="BR263" s="6">
        <v>0</v>
      </c>
      <c r="BT263" s="7">
        <f t="shared" si="34"/>
        <v>0</v>
      </c>
      <c r="BU263" s="7"/>
      <c r="BV263" s="7">
        <f>BT263-'Gov Fd BS'!AC263</f>
        <v>0</v>
      </c>
      <c r="BW263" s="7"/>
    </row>
    <row r="264" spans="1:75">
      <c r="A264" s="11" t="s">
        <v>497</v>
      </c>
      <c r="B264" s="11"/>
      <c r="C264" s="11" t="s">
        <v>62</v>
      </c>
      <c r="E264" s="6">
        <v>21756145</v>
      </c>
      <c r="G264" s="6">
        <v>3243368</v>
      </c>
      <c r="I264" s="6">
        <v>842377</v>
      </c>
      <c r="K264" s="6">
        <v>34674</v>
      </c>
      <c r="M264" s="6">
        <v>1581497</v>
      </c>
      <c r="O264" s="6">
        <v>3611381</v>
      </c>
      <c r="Q264" s="6">
        <v>3103244</v>
      </c>
      <c r="S264" s="6">
        <v>15311</v>
      </c>
      <c r="U264" s="6">
        <v>3103336</v>
      </c>
      <c r="W264" s="6">
        <v>1194238</v>
      </c>
      <c r="Y264" s="6">
        <v>446124</v>
      </c>
      <c r="AA264" s="6">
        <v>4749310</v>
      </c>
      <c r="AC264" s="6">
        <v>3237762</v>
      </c>
      <c r="AE264" s="6">
        <v>1194983</v>
      </c>
      <c r="AG264" s="6">
        <v>1688733</v>
      </c>
      <c r="AI264" s="6">
        <v>8740</v>
      </c>
      <c r="AJ264" s="11" t="s">
        <v>497</v>
      </c>
      <c r="AK264" s="11"/>
      <c r="AL264" s="11" t="s">
        <v>62</v>
      </c>
      <c r="AN264" s="6">
        <v>1989721</v>
      </c>
      <c r="AP264" s="6">
        <v>3013547</v>
      </c>
      <c r="AR264" s="6">
        <v>0</v>
      </c>
      <c r="AT264" s="6">
        <v>4629694</v>
      </c>
      <c r="AV264" s="6">
        <v>2533931</v>
      </c>
      <c r="AX264" s="6">
        <v>0</v>
      </c>
      <c r="AZ264" s="7">
        <f t="shared" si="32"/>
        <v>61978116</v>
      </c>
      <c r="BB264" s="6">
        <v>0</v>
      </c>
      <c r="BD264" s="6">
        <v>0</v>
      </c>
      <c r="BF264" s="6">
        <v>0</v>
      </c>
      <c r="BH264" s="6">
        <v>0</v>
      </c>
      <c r="BJ264" s="7">
        <f t="shared" si="33"/>
        <v>61978116</v>
      </c>
      <c r="BL264" s="7">
        <f>'Gov Fd Rev'!AO264-'Gov Fd Exp'!BJ264</f>
        <v>-905882</v>
      </c>
      <c r="BN264" s="6">
        <v>20984982</v>
      </c>
      <c r="BP264" s="6">
        <v>-33866</v>
      </c>
      <c r="BR264" s="6">
        <v>0</v>
      </c>
      <c r="BT264" s="7">
        <f t="shared" si="34"/>
        <v>20045234</v>
      </c>
      <c r="BU264" s="7"/>
      <c r="BV264" s="7">
        <f>BT264-'Gov Fd BS'!AC264</f>
        <v>0</v>
      </c>
      <c r="BW264" s="7"/>
    </row>
    <row r="265" spans="1:75">
      <c r="A265" s="11" t="s">
        <v>404</v>
      </c>
      <c r="B265" s="11"/>
      <c r="C265" s="11" t="s">
        <v>45</v>
      </c>
      <c r="E265" s="6">
        <v>4559698</v>
      </c>
      <c r="G265" s="6">
        <v>1250577</v>
      </c>
      <c r="I265" s="6">
        <v>89741</v>
      </c>
      <c r="K265" s="6">
        <v>0</v>
      </c>
      <c r="M265" s="6">
        <v>0</v>
      </c>
      <c r="O265" s="6">
        <v>521215</v>
      </c>
      <c r="Q265" s="6">
        <v>116420</v>
      </c>
      <c r="S265" s="6">
        <v>62197</v>
      </c>
      <c r="U265" s="6">
        <v>588636</v>
      </c>
      <c r="W265" s="6">
        <v>455147</v>
      </c>
      <c r="Y265" s="6">
        <v>0</v>
      </c>
      <c r="AA265" s="6">
        <v>688188</v>
      </c>
      <c r="AC265" s="6">
        <v>652527</v>
      </c>
      <c r="AE265" s="6">
        <v>0</v>
      </c>
      <c r="AG265" s="6">
        <v>390651</v>
      </c>
      <c r="AI265" s="6">
        <v>1878</v>
      </c>
      <c r="AJ265" s="11" t="s">
        <v>404</v>
      </c>
      <c r="AK265" s="11"/>
      <c r="AL265" s="11" t="s">
        <v>45</v>
      </c>
      <c r="AN265" s="6">
        <v>425518</v>
      </c>
      <c r="AP265" s="6">
        <v>730225</v>
      </c>
      <c r="AR265" s="6">
        <v>0</v>
      </c>
      <c r="AT265" s="6">
        <v>345450</v>
      </c>
      <c r="AV265" s="6">
        <v>657321</v>
      </c>
      <c r="AX265" s="6">
        <v>0</v>
      </c>
      <c r="AZ265" s="7">
        <f t="shared" si="32"/>
        <v>11535389</v>
      </c>
      <c r="BB265" s="6">
        <v>6091</v>
      </c>
      <c r="BD265" s="6">
        <v>0</v>
      </c>
      <c r="BF265" s="6">
        <v>0</v>
      </c>
      <c r="BH265" s="6">
        <v>0</v>
      </c>
      <c r="BJ265" s="7">
        <f t="shared" si="33"/>
        <v>11541480</v>
      </c>
      <c r="BL265" s="7">
        <f>'Gov Fd Rev'!AO265-'Gov Fd Exp'!BJ265</f>
        <v>-20823</v>
      </c>
      <c r="BN265" s="6">
        <v>2966115</v>
      </c>
      <c r="BP265" s="6">
        <v>0</v>
      </c>
      <c r="BR265" s="6">
        <v>0</v>
      </c>
      <c r="BT265" s="7">
        <f t="shared" si="34"/>
        <v>2945292</v>
      </c>
      <c r="BU265" s="7"/>
      <c r="BV265" s="7">
        <f>BT265-'Gov Fd BS'!AC265</f>
        <v>0</v>
      </c>
      <c r="BW265" s="7"/>
    </row>
    <row r="266" spans="1:75">
      <c r="A266" s="11" t="s">
        <v>460</v>
      </c>
      <c r="B266" s="11"/>
      <c r="C266" s="11" t="s">
        <v>56</v>
      </c>
      <c r="E266" s="6">
        <v>6592572</v>
      </c>
      <c r="G266" s="6">
        <v>1289485</v>
      </c>
      <c r="I266" s="6">
        <v>0</v>
      </c>
      <c r="K266" s="6">
        <v>0</v>
      </c>
      <c r="M266" s="6">
        <v>5581</v>
      </c>
      <c r="O266" s="6">
        <v>692281</v>
      </c>
      <c r="Q266" s="6">
        <v>576285</v>
      </c>
      <c r="S266" s="6">
        <v>34533</v>
      </c>
      <c r="U266" s="6">
        <v>1025184</v>
      </c>
      <c r="W266" s="6">
        <v>307226</v>
      </c>
      <c r="Y266" s="6">
        <v>0</v>
      </c>
      <c r="AA266" s="6">
        <v>1302084</v>
      </c>
      <c r="AC266" s="6">
        <v>822533</v>
      </c>
      <c r="AE266" s="6">
        <v>36347</v>
      </c>
      <c r="AG266" s="6">
        <v>637393</v>
      </c>
      <c r="AI266" s="6">
        <v>8072</v>
      </c>
      <c r="AJ266" s="11" t="s">
        <v>460</v>
      </c>
      <c r="AK266" s="11"/>
      <c r="AL266" s="11" t="s">
        <v>56</v>
      </c>
      <c r="AN266" s="6">
        <v>547978</v>
      </c>
      <c r="AP266" s="6">
        <v>175243</v>
      </c>
      <c r="AR266" s="6">
        <v>0</v>
      </c>
      <c r="AT266" s="6">
        <v>143915</v>
      </c>
      <c r="AV266" s="6">
        <v>376479</v>
      </c>
      <c r="AX266" s="6">
        <v>0</v>
      </c>
      <c r="AZ266" s="7">
        <f t="shared" si="32"/>
        <v>14573191</v>
      </c>
      <c r="BB266" s="6">
        <v>0</v>
      </c>
      <c r="BD266" s="6">
        <v>0</v>
      </c>
      <c r="BF266" s="6">
        <v>0</v>
      </c>
      <c r="BH266" s="6">
        <v>0</v>
      </c>
      <c r="BJ266" s="7">
        <f t="shared" si="33"/>
        <v>14573191</v>
      </c>
      <c r="BL266" s="7">
        <f>'Gov Fd Rev'!AO266-'Gov Fd Exp'!BJ266</f>
        <v>-257409</v>
      </c>
      <c r="BN266" s="6">
        <v>2398858</v>
      </c>
      <c r="BP266" s="6">
        <v>0</v>
      </c>
      <c r="BR266" s="6">
        <v>0</v>
      </c>
      <c r="BT266" s="7">
        <f t="shared" si="34"/>
        <v>2141449</v>
      </c>
      <c r="BU266" s="7"/>
      <c r="BV266" s="7">
        <f>BT266-'Gov Fd BS'!AC266</f>
        <v>0</v>
      </c>
      <c r="BW266" s="7"/>
    </row>
    <row r="267" spans="1:75">
      <c r="A267" s="11" t="s">
        <v>209</v>
      </c>
      <c r="B267" s="11"/>
      <c r="C267" s="11" t="s">
        <v>12</v>
      </c>
      <c r="E267" s="6">
        <v>7966469</v>
      </c>
      <c r="G267" s="6">
        <v>1442862</v>
      </c>
      <c r="I267" s="6">
        <v>176156</v>
      </c>
      <c r="K267" s="6">
        <v>0</v>
      </c>
      <c r="M267" s="6">
        <v>47727</v>
      </c>
      <c r="O267" s="6">
        <v>1437973</v>
      </c>
      <c r="Q267" s="6">
        <v>293485</v>
      </c>
      <c r="S267" s="6">
        <v>17231</v>
      </c>
      <c r="U267" s="6">
        <v>1242999</v>
      </c>
      <c r="W267" s="6">
        <v>538430</v>
      </c>
      <c r="Y267" s="6">
        <v>11240</v>
      </c>
      <c r="AA267" s="6">
        <v>1579731</v>
      </c>
      <c r="AC267" s="6">
        <v>1249230</v>
      </c>
      <c r="AE267" s="6">
        <v>71538</v>
      </c>
      <c r="AG267" s="6">
        <v>849720</v>
      </c>
      <c r="AI267" s="6">
        <v>125061</v>
      </c>
      <c r="AJ267" s="11" t="s">
        <v>209</v>
      </c>
      <c r="AK267" s="11"/>
      <c r="AL267" s="11" t="s">
        <v>12</v>
      </c>
      <c r="AN267" s="6">
        <v>450812</v>
      </c>
      <c r="AP267" s="6">
        <v>1009927</v>
      </c>
      <c r="AR267" s="6">
        <v>0</v>
      </c>
      <c r="AT267" s="6">
        <v>580000</v>
      </c>
      <c r="AV267" s="6">
        <v>853305</v>
      </c>
      <c r="AX267" s="6">
        <v>0</v>
      </c>
      <c r="AZ267" s="7">
        <f t="shared" si="32"/>
        <v>19943896</v>
      </c>
      <c r="BB267" s="6">
        <v>1500263</v>
      </c>
      <c r="BD267" s="6">
        <v>0</v>
      </c>
      <c r="BF267" s="6">
        <v>0</v>
      </c>
      <c r="BH267" s="6">
        <v>0</v>
      </c>
      <c r="BJ267" s="7">
        <f t="shared" si="33"/>
        <v>21444159</v>
      </c>
      <c r="BL267" s="7">
        <f>'Gov Fd Rev'!AO267-'Gov Fd Exp'!BJ267</f>
        <v>-486985</v>
      </c>
      <c r="BN267" s="6">
        <v>8706285</v>
      </c>
      <c r="BP267" s="6">
        <v>0</v>
      </c>
      <c r="BR267" s="6">
        <v>0</v>
      </c>
      <c r="BT267" s="7">
        <f t="shared" si="34"/>
        <v>8219300</v>
      </c>
      <c r="BU267" s="7"/>
      <c r="BV267" s="7">
        <f>BT267-'Gov Fd BS'!AC267</f>
        <v>0</v>
      </c>
      <c r="BW267" s="7"/>
    </row>
    <row r="268" spans="1:75">
      <c r="A268" s="11" t="s">
        <v>397</v>
      </c>
      <c r="B268" s="11"/>
      <c r="C268" s="11" t="s">
        <v>398</v>
      </c>
      <c r="E268" s="6">
        <v>5417515</v>
      </c>
      <c r="G268" s="6">
        <v>1641406</v>
      </c>
      <c r="I268" s="6">
        <v>0</v>
      </c>
      <c r="K268" s="6">
        <v>0</v>
      </c>
      <c r="M268" s="6">
        <v>0</v>
      </c>
      <c r="O268" s="6">
        <v>632477</v>
      </c>
      <c r="Q268" s="6">
        <v>535710</v>
      </c>
      <c r="S268" s="6">
        <v>72110</v>
      </c>
      <c r="U268" s="6">
        <v>889418</v>
      </c>
      <c r="W268" s="6">
        <v>460694</v>
      </c>
      <c r="Y268" s="6">
        <v>62999</v>
      </c>
      <c r="AA268" s="6">
        <v>1050574</v>
      </c>
      <c r="AC268" s="6">
        <v>603168</v>
      </c>
      <c r="AE268" s="6">
        <v>312643</v>
      </c>
      <c r="AG268" s="6">
        <v>661811</v>
      </c>
      <c r="AI268" s="6">
        <v>10000</v>
      </c>
      <c r="AJ268" s="11" t="s">
        <v>397</v>
      </c>
      <c r="AK268" s="11"/>
      <c r="AL268" s="11" t="s">
        <v>398</v>
      </c>
      <c r="AN268" s="6">
        <v>572161</v>
      </c>
      <c r="AP268" s="6">
        <v>78126</v>
      </c>
      <c r="AR268" s="6">
        <v>0</v>
      </c>
      <c r="AT268" s="6">
        <v>1369788</v>
      </c>
      <c r="AV268" s="6">
        <f>568920+9119</f>
        <v>578039</v>
      </c>
      <c r="AX268" s="6">
        <v>0</v>
      </c>
      <c r="AZ268" s="7">
        <f t="shared" si="32"/>
        <v>14948639</v>
      </c>
      <c r="BB268" s="6">
        <v>124768</v>
      </c>
      <c r="BD268" s="6">
        <v>0</v>
      </c>
      <c r="BF268" s="6">
        <v>0</v>
      </c>
      <c r="BH268" s="6">
        <v>0</v>
      </c>
      <c r="BJ268" s="7">
        <f t="shared" si="33"/>
        <v>15073407</v>
      </c>
      <c r="BL268" s="7">
        <f>'Gov Fd Rev'!AO268-'Gov Fd Exp'!BJ268</f>
        <v>23789</v>
      </c>
      <c r="BN268" s="6">
        <v>8125061</v>
      </c>
      <c r="BP268" s="6">
        <v>0</v>
      </c>
      <c r="BR268" s="6">
        <v>0</v>
      </c>
      <c r="BT268" s="7">
        <f t="shared" si="34"/>
        <v>8148850</v>
      </c>
      <c r="BU268" s="7"/>
      <c r="BV268" s="7">
        <f>BT268-'Gov Fd BS'!AC268</f>
        <v>0</v>
      </c>
      <c r="BW268" s="7"/>
    </row>
    <row r="269" spans="1:75">
      <c r="A269" s="11" t="s">
        <v>680</v>
      </c>
      <c r="B269" s="11"/>
      <c r="C269" s="11" t="s">
        <v>50</v>
      </c>
      <c r="E269" s="6">
        <v>1956976</v>
      </c>
      <c r="G269" s="6">
        <v>1097990</v>
      </c>
      <c r="I269" s="6">
        <v>0</v>
      </c>
      <c r="K269" s="6">
        <v>0</v>
      </c>
      <c r="M269" s="6">
        <v>1431424</v>
      </c>
      <c r="O269" s="6">
        <v>244754</v>
      </c>
      <c r="Q269" s="6">
        <v>311731</v>
      </c>
      <c r="S269" s="6">
        <v>29784</v>
      </c>
      <c r="U269" s="6">
        <v>683188</v>
      </c>
      <c r="W269" s="6">
        <v>270698</v>
      </c>
      <c r="Y269" s="6">
        <v>573</v>
      </c>
      <c r="AA269" s="6">
        <v>626779</v>
      </c>
      <c r="AC269" s="6">
        <v>402123</v>
      </c>
      <c r="AE269" s="6">
        <v>57352</v>
      </c>
      <c r="AG269" s="6">
        <v>328645</v>
      </c>
      <c r="AI269" s="6">
        <v>9941</v>
      </c>
      <c r="AJ269" s="11" t="s">
        <v>680</v>
      </c>
      <c r="AK269" s="11"/>
      <c r="AL269" s="11" t="s">
        <v>50</v>
      </c>
      <c r="AN269" s="6">
        <v>124987</v>
      </c>
      <c r="AP269" s="6">
        <f>438256+80527</f>
        <v>518783</v>
      </c>
      <c r="AR269" s="6">
        <v>0</v>
      </c>
      <c r="AT269" s="6">
        <v>24036</v>
      </c>
      <c r="AV269" s="6">
        <v>37713</v>
      </c>
      <c r="AX269" s="6">
        <v>0</v>
      </c>
      <c r="AZ269" s="7">
        <f t="shared" si="32"/>
        <v>8157477</v>
      </c>
      <c r="BB269" s="6">
        <v>7000</v>
      </c>
      <c r="BD269" s="6">
        <v>0</v>
      </c>
      <c r="BF269" s="6">
        <v>0</v>
      </c>
      <c r="BH269" s="6">
        <v>0</v>
      </c>
      <c r="BJ269" s="7">
        <f t="shared" si="33"/>
        <v>8164477</v>
      </c>
      <c r="BL269" s="7">
        <f>'Gov Fd Rev'!AO269-'Gov Fd Exp'!BJ269</f>
        <v>843328</v>
      </c>
      <c r="BN269" s="6">
        <v>1905622</v>
      </c>
      <c r="BP269" s="6">
        <v>281</v>
      </c>
      <c r="BR269" s="6">
        <v>0</v>
      </c>
      <c r="BT269" s="7">
        <f t="shared" si="34"/>
        <v>2749231</v>
      </c>
      <c r="BU269" s="7"/>
      <c r="BV269" s="7">
        <f>BT269-'Gov Fd BS'!AC269</f>
        <v>0</v>
      </c>
      <c r="BW269" s="7"/>
    </row>
    <row r="270" spans="1:75" hidden="1">
      <c r="A270" s="11" t="s">
        <v>872</v>
      </c>
      <c r="B270" s="11"/>
      <c r="C270" s="11" t="s">
        <v>467</v>
      </c>
      <c r="AJ270" s="11" t="s">
        <v>872</v>
      </c>
      <c r="AK270" s="11"/>
      <c r="AL270" s="11" t="s">
        <v>467</v>
      </c>
      <c r="AR270" s="6">
        <v>0</v>
      </c>
      <c r="AZ270" s="7">
        <f t="shared" si="32"/>
        <v>0</v>
      </c>
      <c r="BD270" s="6">
        <v>0</v>
      </c>
      <c r="BF270" s="6">
        <v>0</v>
      </c>
      <c r="BH270" s="6">
        <v>0</v>
      </c>
      <c r="BJ270" s="7">
        <f t="shared" si="33"/>
        <v>0</v>
      </c>
      <c r="BL270" s="7">
        <f>'Gov Fd Rev'!AO270-'Gov Fd Exp'!BJ270</f>
        <v>0</v>
      </c>
      <c r="BR270" s="6">
        <v>0</v>
      </c>
      <c r="BT270" s="7">
        <f t="shared" si="34"/>
        <v>0</v>
      </c>
      <c r="BU270" s="7"/>
      <c r="BV270" s="7">
        <f>BT270-'Gov Fd BS'!AC270</f>
        <v>0</v>
      </c>
      <c r="BW270" s="7"/>
    </row>
    <row r="271" spans="1:75">
      <c r="A271" s="11" t="s">
        <v>374</v>
      </c>
      <c r="B271" s="11"/>
      <c r="C271" s="11" t="s">
        <v>42</v>
      </c>
      <c r="E271" s="6">
        <v>6256019</v>
      </c>
      <c r="G271" s="6">
        <v>1401369</v>
      </c>
      <c r="I271" s="6">
        <v>197605</v>
      </c>
      <c r="K271" s="6">
        <v>0</v>
      </c>
      <c r="M271" s="6">
        <v>376204</v>
      </c>
      <c r="O271" s="6">
        <v>463809</v>
      </c>
      <c r="Q271" s="6">
        <v>543312</v>
      </c>
      <c r="S271" s="6">
        <v>60527</v>
      </c>
      <c r="U271" s="6">
        <v>1054607</v>
      </c>
      <c r="W271" s="6">
        <v>404974</v>
      </c>
      <c r="Y271" s="6">
        <v>825</v>
      </c>
      <c r="AA271" s="6">
        <v>1133318</v>
      </c>
      <c r="AC271" s="6">
        <v>819005</v>
      </c>
      <c r="AE271" s="6">
        <v>41520</v>
      </c>
      <c r="AG271" s="6">
        <v>318663</v>
      </c>
      <c r="AI271" s="6">
        <v>7959</v>
      </c>
      <c r="AJ271" s="11" t="s">
        <v>374</v>
      </c>
      <c r="AK271" s="11"/>
      <c r="AL271" s="11" t="s">
        <v>42</v>
      </c>
      <c r="AN271" s="6">
        <v>379305</v>
      </c>
      <c r="AP271" s="6">
        <v>0</v>
      </c>
      <c r="AR271" s="6">
        <v>0</v>
      </c>
      <c r="AT271" s="6">
        <v>114050</v>
      </c>
      <c r="AV271" s="6">
        <v>10111</v>
      </c>
      <c r="AX271" s="6">
        <v>0</v>
      </c>
      <c r="AZ271" s="7">
        <f t="shared" si="32"/>
        <v>13583182</v>
      </c>
      <c r="BB271" s="6">
        <v>124161</v>
      </c>
      <c r="BD271" s="6">
        <v>0</v>
      </c>
      <c r="BF271" s="6">
        <v>0</v>
      </c>
      <c r="BH271" s="6">
        <v>0</v>
      </c>
      <c r="BJ271" s="7">
        <f t="shared" si="33"/>
        <v>13707343</v>
      </c>
      <c r="BL271" s="7">
        <f>'Gov Fd Rev'!AO271-'Gov Fd Exp'!BJ271</f>
        <v>2183121</v>
      </c>
      <c r="BN271" s="6">
        <v>9496547</v>
      </c>
      <c r="BP271" s="6">
        <v>0</v>
      </c>
      <c r="BR271" s="6">
        <v>0</v>
      </c>
      <c r="BT271" s="7">
        <f t="shared" si="34"/>
        <v>11679668</v>
      </c>
      <c r="BU271" s="7"/>
      <c r="BV271" s="7">
        <f>BT271-'Gov Fd BS'!AC271</f>
        <v>0</v>
      </c>
      <c r="BW271" s="7"/>
    </row>
    <row r="272" spans="1:75">
      <c r="A272" s="11" t="s">
        <v>399</v>
      </c>
      <c r="B272" s="11"/>
      <c r="C272" s="11" t="s">
        <v>398</v>
      </c>
      <c r="E272" s="6">
        <v>8077800</v>
      </c>
      <c r="G272" s="6">
        <v>1860468</v>
      </c>
      <c r="I272" s="6">
        <v>71667</v>
      </c>
      <c r="K272" s="6">
        <v>0</v>
      </c>
      <c r="M272" s="6">
        <v>43757</v>
      </c>
      <c r="O272" s="6">
        <v>1438250</v>
      </c>
      <c r="Q272" s="6">
        <v>502804</v>
      </c>
      <c r="S272" s="6">
        <v>130568</v>
      </c>
      <c r="U272" s="6">
        <v>1636654</v>
      </c>
      <c r="W272" s="6">
        <v>752838</v>
      </c>
      <c r="Y272" s="6">
        <v>9868</v>
      </c>
      <c r="AA272" s="6">
        <v>1702689</v>
      </c>
      <c r="AC272" s="6">
        <v>1069215</v>
      </c>
      <c r="AE272" s="6">
        <v>0</v>
      </c>
      <c r="AG272" s="6">
        <v>772025</v>
      </c>
      <c r="AI272" s="6">
        <v>0</v>
      </c>
      <c r="AJ272" s="11" t="s">
        <v>399</v>
      </c>
      <c r="AK272" s="11"/>
      <c r="AL272" s="11" t="s">
        <v>398</v>
      </c>
      <c r="AN272" s="6">
        <v>573754</v>
      </c>
      <c r="AP272" s="6">
        <v>8125257</v>
      </c>
      <c r="AR272" s="6">
        <v>0</v>
      </c>
      <c r="AT272" s="6">
        <v>830000</v>
      </c>
      <c r="AV272" s="6">
        <v>900282</v>
      </c>
      <c r="AX272" s="6">
        <v>0</v>
      </c>
      <c r="AZ272" s="7">
        <f t="shared" si="32"/>
        <v>28497896</v>
      </c>
      <c r="BB272" s="6">
        <v>2256102</v>
      </c>
      <c r="BD272" s="6">
        <v>0</v>
      </c>
      <c r="BF272" s="6">
        <v>0</v>
      </c>
      <c r="BH272" s="6">
        <v>0</v>
      </c>
      <c r="BJ272" s="7">
        <f t="shared" si="33"/>
        <v>30753998</v>
      </c>
      <c r="BL272" s="7">
        <f>'Gov Fd Rev'!AO272-'Gov Fd Exp'!BJ272</f>
        <v>-4958470</v>
      </c>
      <c r="BN272" s="6">
        <v>10940565</v>
      </c>
      <c r="BP272" s="6">
        <v>0</v>
      </c>
      <c r="BR272" s="6">
        <v>0</v>
      </c>
      <c r="BT272" s="7">
        <f t="shared" si="34"/>
        <v>5982095</v>
      </c>
      <c r="BU272" s="7"/>
      <c r="BV272" s="7">
        <f>BT272-'Gov Fd BS'!AC272</f>
        <v>0</v>
      </c>
      <c r="BW272" s="7"/>
    </row>
    <row r="273" spans="1:75">
      <c r="A273" s="11" t="s">
        <v>523</v>
      </c>
      <c r="B273" s="11"/>
      <c r="C273" s="11" t="s">
        <v>64</v>
      </c>
      <c r="E273" s="6">
        <v>3607830</v>
      </c>
      <c r="G273" s="6">
        <v>733081</v>
      </c>
      <c r="I273" s="6">
        <v>46976</v>
      </c>
      <c r="K273" s="6">
        <v>0</v>
      </c>
      <c r="M273" s="6">
        <v>80989</v>
      </c>
      <c r="O273" s="6">
        <v>407644</v>
      </c>
      <c r="Q273" s="6">
        <v>91130</v>
      </c>
      <c r="S273" s="6">
        <v>48482</v>
      </c>
      <c r="U273" s="6">
        <v>692687</v>
      </c>
      <c r="W273" s="6">
        <v>345354</v>
      </c>
      <c r="Y273" s="6">
        <v>0</v>
      </c>
      <c r="AA273" s="6">
        <v>771530</v>
      </c>
      <c r="AC273" s="6">
        <v>763459</v>
      </c>
      <c r="AE273" s="6">
        <v>116014</v>
      </c>
      <c r="AG273" s="6">
        <v>0</v>
      </c>
      <c r="AI273" s="6">
        <v>416284</v>
      </c>
      <c r="AJ273" s="11" t="s">
        <v>523</v>
      </c>
      <c r="AK273" s="11"/>
      <c r="AL273" s="11" t="s">
        <v>64</v>
      </c>
      <c r="AN273" s="6">
        <v>230130</v>
      </c>
      <c r="AP273" s="6">
        <v>53738</v>
      </c>
      <c r="AR273" s="6">
        <v>0</v>
      </c>
      <c r="AT273" s="6">
        <v>315000</v>
      </c>
      <c r="AV273" s="6">
        <v>164943</v>
      </c>
      <c r="AX273" s="6">
        <v>0</v>
      </c>
      <c r="AZ273" s="7">
        <f t="shared" si="32"/>
        <v>8885271</v>
      </c>
      <c r="BB273" s="6">
        <v>4770</v>
      </c>
      <c r="BD273" s="6">
        <v>0</v>
      </c>
      <c r="BF273" s="6">
        <v>0</v>
      </c>
      <c r="BH273" s="6">
        <v>0</v>
      </c>
      <c r="BJ273" s="7">
        <f t="shared" si="33"/>
        <v>8890041</v>
      </c>
      <c r="BL273" s="7">
        <f>'Gov Fd Rev'!AO273-'Gov Fd Exp'!BJ273</f>
        <v>177621</v>
      </c>
      <c r="BN273" s="6">
        <v>2497594</v>
      </c>
      <c r="BP273" s="6">
        <v>0</v>
      </c>
      <c r="BR273" s="6">
        <v>0</v>
      </c>
      <c r="BT273" s="7">
        <f t="shared" si="34"/>
        <v>2675215</v>
      </c>
      <c r="BU273" s="7"/>
      <c r="BV273" s="7">
        <f>BT273-'Gov Fd BS'!AC273</f>
        <v>0</v>
      </c>
      <c r="BW273" s="7"/>
    </row>
    <row r="274" spans="1:75" hidden="1">
      <c r="A274" s="10" t="s">
        <v>873</v>
      </c>
      <c r="B274" s="10"/>
      <c r="C274" s="10" t="s">
        <v>467</v>
      </c>
      <c r="E274" s="6">
        <v>0</v>
      </c>
      <c r="G274" s="6">
        <v>0</v>
      </c>
      <c r="I274" s="6">
        <v>0</v>
      </c>
      <c r="K274" s="6">
        <v>0</v>
      </c>
      <c r="M274" s="6">
        <v>0</v>
      </c>
      <c r="O274" s="6">
        <v>0</v>
      </c>
      <c r="Q274" s="6">
        <v>0</v>
      </c>
      <c r="S274" s="6">
        <v>0</v>
      </c>
      <c r="U274" s="6">
        <v>0</v>
      </c>
      <c r="W274" s="6">
        <v>0</v>
      </c>
      <c r="Y274" s="6">
        <v>0</v>
      </c>
      <c r="AA274" s="6">
        <v>0</v>
      </c>
      <c r="AC274" s="6">
        <v>0</v>
      </c>
      <c r="AE274" s="6">
        <v>0</v>
      </c>
      <c r="AG274" s="6">
        <v>0</v>
      </c>
      <c r="AI274" s="6">
        <v>0</v>
      </c>
      <c r="AJ274" s="10" t="s">
        <v>873</v>
      </c>
      <c r="AK274" s="10"/>
      <c r="AL274" s="10" t="s">
        <v>467</v>
      </c>
      <c r="AN274" s="6">
        <v>0</v>
      </c>
      <c r="AP274" s="6">
        <v>0</v>
      </c>
      <c r="AR274" s="6">
        <v>0</v>
      </c>
      <c r="AT274" s="6">
        <v>0</v>
      </c>
      <c r="AV274" s="6">
        <v>0</v>
      </c>
      <c r="AX274" s="6">
        <v>0</v>
      </c>
      <c r="AZ274" s="7">
        <f t="shared" ref="AZ274" si="39">SUM(E274:AX274)</f>
        <v>0</v>
      </c>
      <c r="BB274" s="6">
        <v>0</v>
      </c>
      <c r="BD274" s="6">
        <v>0</v>
      </c>
      <c r="BF274" s="6">
        <v>0</v>
      </c>
      <c r="BH274" s="6">
        <v>0</v>
      </c>
      <c r="BJ274" s="7">
        <f t="shared" ref="BJ274" si="40">AZ274+BB274+BH274</f>
        <v>0</v>
      </c>
      <c r="BL274" s="7">
        <f>'Gov Fd Rev'!AO274-'Gov Fd Exp'!BJ274</f>
        <v>0</v>
      </c>
      <c r="BN274" s="6">
        <v>0</v>
      </c>
      <c r="BP274" s="6">
        <v>0</v>
      </c>
      <c r="BR274" s="6">
        <v>0</v>
      </c>
      <c r="BT274" s="7">
        <f t="shared" ref="BT274" si="41">BL274+BN274+BP274+BR274</f>
        <v>0</v>
      </c>
      <c r="BU274" s="7"/>
      <c r="BV274" s="7">
        <f>BT274-'Gov Fd BS'!AC274</f>
        <v>0</v>
      </c>
      <c r="BW274" s="7"/>
    </row>
    <row r="275" spans="1:75">
      <c r="A275" s="11" t="s">
        <v>287</v>
      </c>
      <c r="B275" s="11"/>
      <c r="C275" s="11" t="s">
        <v>24</v>
      </c>
      <c r="E275" s="6">
        <v>348768</v>
      </c>
      <c r="G275" s="6">
        <v>36</v>
      </c>
      <c r="I275" s="6">
        <v>0</v>
      </c>
      <c r="K275" s="6">
        <v>0</v>
      </c>
      <c r="M275" s="6">
        <v>0</v>
      </c>
      <c r="O275" s="6">
        <v>21563</v>
      </c>
      <c r="Q275" s="6">
        <v>51966</v>
      </c>
      <c r="S275" s="6">
        <v>21052</v>
      </c>
      <c r="U275" s="6">
        <v>97667</v>
      </c>
      <c r="W275" s="6">
        <v>44511</v>
      </c>
      <c r="Y275" s="6">
        <v>0</v>
      </c>
      <c r="AA275" s="6">
        <v>134109</v>
      </c>
      <c r="AC275" s="6">
        <v>0</v>
      </c>
      <c r="AE275" s="6">
        <v>0</v>
      </c>
      <c r="AG275" s="6">
        <v>0</v>
      </c>
      <c r="AI275" s="6">
        <v>0</v>
      </c>
      <c r="AJ275" s="11" t="s">
        <v>287</v>
      </c>
      <c r="AK275" s="11"/>
      <c r="AL275" s="11" t="s">
        <v>24</v>
      </c>
      <c r="AN275" s="6">
        <v>184</v>
      </c>
      <c r="AP275" s="6">
        <v>4497</v>
      </c>
      <c r="AR275" s="6">
        <v>0</v>
      </c>
      <c r="AT275" s="6">
        <v>0</v>
      </c>
      <c r="AV275" s="6">
        <v>0</v>
      </c>
      <c r="AX275" s="6">
        <v>0</v>
      </c>
      <c r="AZ275" s="7">
        <f t="shared" si="32"/>
        <v>724353</v>
      </c>
      <c r="BB275" s="6">
        <v>0</v>
      </c>
      <c r="BD275" s="6">
        <v>0</v>
      </c>
      <c r="BF275" s="6">
        <v>0</v>
      </c>
      <c r="BH275" s="6">
        <v>0</v>
      </c>
      <c r="BJ275" s="7">
        <f t="shared" si="33"/>
        <v>724353</v>
      </c>
      <c r="BL275" s="7">
        <f>'Gov Fd Rev'!AO275-'Gov Fd Exp'!BJ275</f>
        <v>-26983</v>
      </c>
      <c r="BN275" s="6">
        <v>1060507</v>
      </c>
      <c r="BP275" s="6">
        <v>0</v>
      </c>
      <c r="BR275" s="6">
        <v>0</v>
      </c>
      <c r="BT275" s="7">
        <f t="shared" si="34"/>
        <v>1033524</v>
      </c>
      <c r="BU275" s="7"/>
      <c r="BV275" s="7">
        <f>BT275-'Gov Fd BS'!AC275</f>
        <v>0</v>
      </c>
      <c r="BW275" s="7"/>
    </row>
    <row r="276" spans="1:75">
      <c r="A276" s="11" t="s">
        <v>314</v>
      </c>
      <c r="B276" s="11"/>
      <c r="C276" s="11" t="s">
        <v>30</v>
      </c>
      <c r="E276" s="6">
        <v>14894818</v>
      </c>
      <c r="G276" s="6">
        <v>3823986</v>
      </c>
      <c r="I276" s="6">
        <v>143895</v>
      </c>
      <c r="K276" s="6">
        <v>0</v>
      </c>
      <c r="M276" s="6">
        <v>509829</v>
      </c>
      <c r="O276" s="6">
        <v>2340502</v>
      </c>
      <c r="Q276" s="6">
        <v>1260774</v>
      </c>
      <c r="S276" s="6">
        <v>77082</v>
      </c>
      <c r="U276" s="6">
        <v>2550950</v>
      </c>
      <c r="W276" s="6">
        <v>1050369</v>
      </c>
      <c r="Y276" s="6">
        <v>67323</v>
      </c>
      <c r="AA276" s="6">
        <v>3413159</v>
      </c>
      <c r="AC276" s="6">
        <v>2367864</v>
      </c>
      <c r="AE276" s="6">
        <v>7152</v>
      </c>
      <c r="AG276" s="6">
        <v>979</v>
      </c>
      <c r="AI276" s="6">
        <f>125025+17699</f>
        <v>142724</v>
      </c>
      <c r="AJ276" s="11" t="s">
        <v>314</v>
      </c>
      <c r="AK276" s="11"/>
      <c r="AL276" s="11" t="s">
        <v>30</v>
      </c>
      <c r="AN276" s="6">
        <v>1449185</v>
      </c>
      <c r="AP276" s="6">
        <v>863774</v>
      </c>
      <c r="AR276" s="6">
        <v>0</v>
      </c>
      <c r="AT276" s="6">
        <v>1657826</v>
      </c>
      <c r="AV276" s="6">
        <f>1580662+431782</f>
        <v>2012444</v>
      </c>
      <c r="AX276" s="6">
        <v>0</v>
      </c>
      <c r="AZ276" s="7">
        <f t="shared" si="32"/>
        <v>38634635</v>
      </c>
      <c r="BB276" s="6">
        <v>140377</v>
      </c>
      <c r="BD276" s="6">
        <v>0</v>
      </c>
      <c r="BF276" s="6">
        <v>0</v>
      </c>
      <c r="BH276" s="6">
        <f>100953+39492690</f>
        <v>39593643</v>
      </c>
      <c r="BJ276" s="7">
        <f t="shared" si="33"/>
        <v>78368655</v>
      </c>
      <c r="BL276" s="7">
        <f>'Gov Fd Rev'!AO276-'Gov Fd Exp'!BJ276</f>
        <v>2965557</v>
      </c>
      <c r="BN276" s="6">
        <v>14968072</v>
      </c>
      <c r="BP276" s="6">
        <v>0</v>
      </c>
      <c r="BR276" s="6">
        <v>0</v>
      </c>
      <c r="BT276" s="7">
        <f t="shared" si="34"/>
        <v>17933629</v>
      </c>
      <c r="BU276" s="7"/>
      <c r="BV276" s="7">
        <f>BT276-'Gov Fd BS'!AC276</f>
        <v>0</v>
      </c>
      <c r="BW276" s="7"/>
    </row>
    <row r="277" spans="1:75">
      <c r="A277" s="11" t="s">
        <v>461</v>
      </c>
      <c r="B277" s="11"/>
      <c r="C277" s="11" t="s">
        <v>56</v>
      </c>
      <c r="E277" s="6">
        <v>19069271</v>
      </c>
      <c r="G277" s="6">
        <v>5324871</v>
      </c>
      <c r="I277" s="6">
        <v>2067945</v>
      </c>
      <c r="K277" s="6">
        <v>35396</v>
      </c>
      <c r="M277" s="6">
        <f>492334+470468</f>
        <v>962802</v>
      </c>
      <c r="O277" s="6">
        <v>2678097</v>
      </c>
      <c r="Q277" s="6">
        <v>2793388</v>
      </c>
      <c r="S277" s="6">
        <v>178356</v>
      </c>
      <c r="U277" s="6">
        <v>3087079</v>
      </c>
      <c r="W277" s="6">
        <v>992403</v>
      </c>
      <c r="Y277" s="6">
        <v>372690</v>
      </c>
      <c r="AA277" s="6">
        <v>3232658</v>
      </c>
      <c r="AC277" s="6">
        <v>1746009</v>
      </c>
      <c r="AE277" s="6">
        <v>402317</v>
      </c>
      <c r="AG277" s="6">
        <v>1426069</v>
      </c>
      <c r="AI277" s="6">
        <v>344819</v>
      </c>
      <c r="AJ277" s="11" t="s">
        <v>461</v>
      </c>
      <c r="AK277" s="11"/>
      <c r="AL277" s="11" t="s">
        <v>56</v>
      </c>
      <c r="AN277" s="6">
        <v>1274451</v>
      </c>
      <c r="AP277" s="6">
        <v>872432</v>
      </c>
      <c r="AR277" s="6">
        <v>0</v>
      </c>
      <c r="AT277" s="6">
        <v>1672053</v>
      </c>
      <c r="AV277" s="6">
        <v>1043677</v>
      </c>
      <c r="AX277" s="6">
        <v>0</v>
      </c>
      <c r="AZ277" s="7">
        <f t="shared" si="32"/>
        <v>49576783</v>
      </c>
      <c r="BB277" s="6">
        <v>480810</v>
      </c>
      <c r="BD277" s="6">
        <v>0</v>
      </c>
      <c r="BF277" s="6">
        <v>0</v>
      </c>
      <c r="BH277" s="6">
        <v>0</v>
      </c>
      <c r="BJ277" s="7">
        <f t="shared" si="33"/>
        <v>50057593</v>
      </c>
      <c r="BL277" s="7">
        <f>'Gov Fd Rev'!AO277-'Gov Fd Exp'!BJ277</f>
        <v>-880373</v>
      </c>
      <c r="BN277" s="6">
        <v>17713895</v>
      </c>
      <c r="BP277" s="6">
        <v>0</v>
      </c>
      <c r="BR277" s="6">
        <v>0</v>
      </c>
      <c r="BT277" s="7">
        <f t="shared" si="34"/>
        <v>16833522</v>
      </c>
      <c r="BU277" s="7"/>
      <c r="BV277" s="7">
        <f>BT277-'Gov Fd BS'!AC277</f>
        <v>0</v>
      </c>
      <c r="BW277" s="7"/>
    </row>
    <row r="278" spans="1:75">
      <c r="A278" s="11" t="s">
        <v>341</v>
      </c>
      <c r="B278" s="11"/>
      <c r="C278" s="11" t="s">
        <v>339</v>
      </c>
      <c r="E278" s="6">
        <v>9278784</v>
      </c>
      <c r="G278" s="6">
        <v>2288492</v>
      </c>
      <c r="I278" s="6">
        <v>183683</v>
      </c>
      <c r="K278" s="6">
        <v>0</v>
      </c>
      <c r="M278" s="6">
        <v>0</v>
      </c>
      <c r="O278" s="6">
        <v>529123</v>
      </c>
      <c r="Q278" s="6">
        <v>1315068</v>
      </c>
      <c r="S278" s="6">
        <v>25167</v>
      </c>
      <c r="U278" s="6">
        <v>1580634</v>
      </c>
      <c r="W278" s="6">
        <v>456722</v>
      </c>
      <c r="Y278" s="6">
        <v>0</v>
      </c>
      <c r="AA278" s="6">
        <v>1524744</v>
      </c>
      <c r="AC278" s="6">
        <v>682273</v>
      </c>
      <c r="AE278" s="6">
        <v>46270</v>
      </c>
      <c r="AG278" s="6">
        <v>0</v>
      </c>
      <c r="AI278" s="6">
        <v>906386</v>
      </c>
      <c r="AJ278" s="11" t="s">
        <v>341</v>
      </c>
      <c r="AK278" s="11"/>
      <c r="AL278" s="11" t="s">
        <v>339</v>
      </c>
      <c r="AN278" s="6">
        <v>274956</v>
      </c>
      <c r="AP278" s="6">
        <v>525478</v>
      </c>
      <c r="AR278" s="6">
        <v>0</v>
      </c>
      <c r="AT278" s="6">
        <v>33101</v>
      </c>
      <c r="AV278" s="6">
        <v>185874</v>
      </c>
      <c r="AX278" s="6">
        <v>0</v>
      </c>
      <c r="AZ278" s="7">
        <f t="shared" si="32"/>
        <v>19836755</v>
      </c>
      <c r="BB278" s="6">
        <v>9546743</v>
      </c>
      <c r="BD278" s="6">
        <v>0</v>
      </c>
      <c r="BF278" s="6">
        <v>0</v>
      </c>
      <c r="BH278" s="6">
        <v>145945</v>
      </c>
      <c r="BJ278" s="7">
        <f t="shared" si="33"/>
        <v>29529443</v>
      </c>
      <c r="BL278" s="7">
        <f>'Gov Fd Rev'!AO278-'Gov Fd Exp'!BJ278</f>
        <v>15509274</v>
      </c>
      <c r="BN278" s="6">
        <v>1794968</v>
      </c>
      <c r="BP278" s="6">
        <v>0</v>
      </c>
      <c r="BR278" s="6">
        <v>0</v>
      </c>
      <c r="BT278" s="7">
        <f t="shared" si="34"/>
        <v>17304242</v>
      </c>
      <c r="BU278" s="7"/>
      <c r="BV278" s="7">
        <f>BT278-'Gov Fd BS'!AC278</f>
        <v>0</v>
      </c>
      <c r="BW278" s="7"/>
    </row>
    <row r="279" spans="1:75">
      <c r="A279" s="11" t="s">
        <v>431</v>
      </c>
      <c r="B279" s="11"/>
      <c r="C279" s="11" t="s">
        <v>50</v>
      </c>
      <c r="E279" s="6">
        <v>33628807</v>
      </c>
      <c r="G279" s="6">
        <v>9629379</v>
      </c>
      <c r="I279" s="6">
        <v>2672615</v>
      </c>
      <c r="K279" s="6">
        <v>55383</v>
      </c>
      <c r="M279" s="6">
        <v>3461507</v>
      </c>
      <c r="O279" s="6">
        <v>7567554</v>
      </c>
      <c r="Q279" s="6">
        <v>6115213</v>
      </c>
      <c r="S279" s="6">
        <v>66561</v>
      </c>
      <c r="U279" s="6">
        <v>5679526</v>
      </c>
      <c r="W279" s="6">
        <v>1756320</v>
      </c>
      <c r="Y279" s="6">
        <v>521438</v>
      </c>
      <c r="AA279" s="6">
        <v>8331933</v>
      </c>
      <c r="AC279" s="6">
        <v>3823489</v>
      </c>
      <c r="AE279" s="6">
        <v>1814594</v>
      </c>
      <c r="AG279" s="6">
        <v>0</v>
      </c>
      <c r="AI279" s="6">
        <v>5149411</v>
      </c>
      <c r="AJ279" s="11" t="s">
        <v>431</v>
      </c>
      <c r="AK279" s="11"/>
      <c r="AL279" s="11" t="s">
        <v>50</v>
      </c>
      <c r="AN279" s="6">
        <v>1408717</v>
      </c>
      <c r="AP279" s="6">
        <v>34312</v>
      </c>
      <c r="AR279" s="6">
        <v>0</v>
      </c>
      <c r="AT279" s="6">
        <v>3436113</v>
      </c>
      <c r="AV279" s="6">
        <v>4134565</v>
      </c>
      <c r="AX279" s="6">
        <v>0</v>
      </c>
      <c r="AZ279" s="7">
        <f t="shared" si="32"/>
        <v>99287437</v>
      </c>
      <c r="BB279" s="6">
        <v>13500</v>
      </c>
      <c r="BD279" s="6">
        <v>0</v>
      </c>
      <c r="BF279" s="6">
        <v>0</v>
      </c>
      <c r="BH279" s="6">
        <v>0</v>
      </c>
      <c r="BJ279" s="7">
        <f t="shared" si="33"/>
        <v>99300937</v>
      </c>
      <c r="BL279" s="7">
        <f>'Gov Fd Rev'!AO279-'Gov Fd Exp'!BJ279</f>
        <v>1520362</v>
      </c>
      <c r="BN279" s="6">
        <v>11251274</v>
      </c>
      <c r="BP279" s="6">
        <v>-147960</v>
      </c>
      <c r="BR279" s="6">
        <v>0</v>
      </c>
      <c r="BT279" s="7">
        <f t="shared" si="34"/>
        <v>12623676</v>
      </c>
      <c r="BU279" s="7"/>
      <c r="BV279" s="7">
        <f>BT279-'Gov Fd BS'!AC279</f>
        <v>0</v>
      </c>
      <c r="BW279" s="7"/>
    </row>
    <row r="280" spans="1:75" s="28" customFormat="1">
      <c r="A280" s="27" t="s">
        <v>637</v>
      </c>
      <c r="B280" s="27"/>
      <c r="C280" s="27" t="s">
        <v>44</v>
      </c>
      <c r="E280" s="28">
        <v>7105699</v>
      </c>
      <c r="G280" s="28">
        <v>1751605</v>
      </c>
      <c r="I280" s="28">
        <v>105314</v>
      </c>
      <c r="K280" s="28">
        <v>0</v>
      </c>
      <c r="M280" s="28">
        <v>100517</v>
      </c>
      <c r="O280" s="28">
        <v>1009267</v>
      </c>
      <c r="Q280" s="28">
        <v>503978</v>
      </c>
      <c r="S280" s="28">
        <v>51535</v>
      </c>
      <c r="U280" s="28">
        <v>1159162</v>
      </c>
      <c r="W280" s="28">
        <v>497353</v>
      </c>
      <c r="Y280" s="28">
        <v>0</v>
      </c>
      <c r="AA280" s="28">
        <v>1209641</v>
      </c>
      <c r="AC280" s="28">
        <v>961052</v>
      </c>
      <c r="AE280" s="28">
        <v>471051</v>
      </c>
      <c r="AG280" s="28">
        <v>541275</v>
      </c>
      <c r="AI280" s="28">
        <f>54577+62265</f>
        <v>116842</v>
      </c>
      <c r="AJ280" s="27" t="s">
        <v>637</v>
      </c>
      <c r="AK280" s="27"/>
      <c r="AL280" s="27" t="s">
        <v>44</v>
      </c>
      <c r="AN280" s="28">
        <v>448895</v>
      </c>
      <c r="AP280" s="28">
        <v>6503643</v>
      </c>
      <c r="AR280" s="28">
        <v>0</v>
      </c>
      <c r="AT280" s="28">
        <v>258397</v>
      </c>
      <c r="AV280" s="28">
        <f>1481585+121118</f>
        <v>1602703</v>
      </c>
      <c r="AX280" s="28">
        <v>0</v>
      </c>
      <c r="AZ280" s="32">
        <f t="shared" si="32"/>
        <v>24397929</v>
      </c>
      <c r="BB280" s="28">
        <v>41800</v>
      </c>
      <c r="BD280" s="28">
        <v>0</v>
      </c>
      <c r="BF280" s="28">
        <v>0</v>
      </c>
      <c r="BH280" s="28">
        <v>9369440</v>
      </c>
      <c r="BJ280" s="32">
        <f t="shared" si="33"/>
        <v>33809169</v>
      </c>
      <c r="BL280" s="32">
        <f>'Gov Fd Rev'!AO280-'Gov Fd Exp'!BJ280</f>
        <v>-6406688</v>
      </c>
      <c r="BN280" s="28">
        <v>17683500</v>
      </c>
      <c r="BP280" s="28">
        <v>0</v>
      </c>
      <c r="BR280" s="28">
        <v>0</v>
      </c>
      <c r="BT280" s="32">
        <f t="shared" si="34"/>
        <v>11276812</v>
      </c>
      <c r="BU280" s="32"/>
      <c r="BV280" s="32">
        <f>BT280-'Gov Fd BS'!AC280</f>
        <v>0</v>
      </c>
      <c r="BW280" s="32"/>
    </row>
    <row r="281" spans="1:75">
      <c r="A281" s="11" t="s">
        <v>721</v>
      </c>
      <c r="B281" s="11"/>
      <c r="C281" s="11" t="s">
        <v>69</v>
      </c>
      <c r="E281" s="6">
        <v>17648678</v>
      </c>
      <c r="G281" s="6">
        <v>4515601</v>
      </c>
      <c r="I281" s="6">
        <v>0</v>
      </c>
      <c r="K281" s="6">
        <v>0</v>
      </c>
      <c r="M281" s="6">
        <v>936807</v>
      </c>
      <c r="O281" s="6">
        <v>2054483</v>
      </c>
      <c r="Q281" s="6">
        <v>1585907</v>
      </c>
      <c r="S281" s="6">
        <v>100432</v>
      </c>
      <c r="U281" s="6">
        <v>3600112</v>
      </c>
      <c r="W281" s="6">
        <v>874830</v>
      </c>
      <c r="Y281" s="6">
        <v>224256</v>
      </c>
      <c r="AA281" s="6">
        <v>4374853</v>
      </c>
      <c r="AC281" s="6">
        <v>3095326</v>
      </c>
      <c r="AE281" s="6">
        <v>262560</v>
      </c>
      <c r="AG281" s="6">
        <v>0</v>
      </c>
      <c r="AI281" s="6">
        <v>458485</v>
      </c>
      <c r="AJ281" s="11" t="s">
        <v>721</v>
      </c>
      <c r="AK281" s="11"/>
      <c r="AL281" s="11" t="s">
        <v>69</v>
      </c>
      <c r="AN281" s="6">
        <v>1459117</v>
      </c>
      <c r="AP281" s="6">
        <v>427141</v>
      </c>
      <c r="AR281" s="6">
        <v>0</v>
      </c>
      <c r="AT281" s="6">
        <v>1169718</v>
      </c>
      <c r="AV281" s="6">
        <f>2567443+140000</f>
        <v>2707443</v>
      </c>
      <c r="AX281" s="6">
        <v>0</v>
      </c>
      <c r="AZ281" s="7">
        <f t="shared" si="32"/>
        <v>45495749</v>
      </c>
      <c r="BB281" s="6">
        <v>0</v>
      </c>
      <c r="BD281" s="6">
        <v>0</v>
      </c>
      <c r="BF281" s="6">
        <v>0</v>
      </c>
      <c r="BH281" s="6">
        <v>0</v>
      </c>
      <c r="BJ281" s="7">
        <f t="shared" si="33"/>
        <v>45495749</v>
      </c>
      <c r="BL281" s="7">
        <f>'Gov Fd Rev'!AO281-'Gov Fd Exp'!BJ281</f>
        <v>569091</v>
      </c>
      <c r="BN281" s="6">
        <v>11987154</v>
      </c>
      <c r="BP281" s="6">
        <v>0</v>
      </c>
      <c r="BR281" s="6">
        <v>0</v>
      </c>
      <c r="BT281" s="7">
        <f t="shared" si="34"/>
        <v>12556245</v>
      </c>
      <c r="BU281" s="7"/>
      <c r="BV281" s="7">
        <f>BT281-'Gov Fd BS'!AC281</f>
        <v>0</v>
      </c>
      <c r="BW281" s="7"/>
    </row>
    <row r="282" spans="1:75" hidden="1">
      <c r="A282" s="11" t="s">
        <v>693</v>
      </c>
      <c r="B282" s="11"/>
      <c r="C282" s="11" t="s">
        <v>41</v>
      </c>
      <c r="E282" s="9"/>
      <c r="G282" s="9"/>
      <c r="I282" s="9"/>
      <c r="K282" s="9"/>
      <c r="M282" s="9"/>
      <c r="O282" s="9"/>
      <c r="Q282" s="9"/>
      <c r="S282" s="9"/>
      <c r="U282" s="9"/>
      <c r="W282" s="9"/>
      <c r="Y282" s="9"/>
      <c r="AA282" s="9"/>
      <c r="AC282" s="9"/>
      <c r="AE282" s="9"/>
      <c r="AG282" s="9"/>
      <c r="AI282" s="9"/>
      <c r="AJ282" s="11" t="s">
        <v>693</v>
      </c>
      <c r="AK282" s="11"/>
      <c r="AL282" s="11" t="s">
        <v>41</v>
      </c>
      <c r="AN282" s="9"/>
      <c r="AP282" s="9"/>
      <c r="AR282" s="6">
        <v>0</v>
      </c>
      <c r="AT282" s="9"/>
      <c r="AV282" s="9"/>
      <c r="AZ282" s="7">
        <f t="shared" si="32"/>
        <v>0</v>
      </c>
      <c r="BD282" s="6">
        <v>0</v>
      </c>
      <c r="BF282" s="6">
        <v>0</v>
      </c>
      <c r="BH282" s="6">
        <v>0</v>
      </c>
      <c r="BJ282" s="7">
        <f t="shared" si="33"/>
        <v>0</v>
      </c>
      <c r="BL282" s="7">
        <f>'Gov Fd Rev'!AO282-'Gov Fd Exp'!BJ282</f>
        <v>0</v>
      </c>
      <c r="BR282" s="6">
        <v>0</v>
      </c>
      <c r="BT282" s="7">
        <f t="shared" si="34"/>
        <v>0</v>
      </c>
      <c r="BU282" s="7"/>
      <c r="BV282" s="7">
        <f>BT282-'Gov Fd BS'!AC282</f>
        <v>0</v>
      </c>
      <c r="BW282" s="7"/>
    </row>
    <row r="283" spans="1:75">
      <c r="A283" s="11" t="s">
        <v>524</v>
      </c>
      <c r="B283" s="11"/>
      <c r="C283" s="11" t="s">
        <v>64</v>
      </c>
      <c r="E283" s="6">
        <v>6640644</v>
      </c>
      <c r="G283" s="6">
        <v>1634769</v>
      </c>
      <c r="I283" s="6">
        <v>80201</v>
      </c>
      <c r="K283" s="6">
        <v>0</v>
      </c>
      <c r="M283" s="6">
        <v>403520</v>
      </c>
      <c r="O283" s="6">
        <v>730811</v>
      </c>
      <c r="Q283" s="6">
        <v>235426</v>
      </c>
      <c r="S283" s="6">
        <v>38116</v>
      </c>
      <c r="U283" s="6">
        <v>1045786</v>
      </c>
      <c r="W283" s="6">
        <v>287857</v>
      </c>
      <c r="Y283" s="6">
        <v>0</v>
      </c>
      <c r="AA283" s="6">
        <v>1255171</v>
      </c>
      <c r="AC283" s="6">
        <v>682121</v>
      </c>
      <c r="AE283" s="6">
        <v>109760</v>
      </c>
      <c r="AG283" s="6">
        <v>692292</v>
      </c>
      <c r="AI283" s="6">
        <v>6897</v>
      </c>
      <c r="AJ283" s="11" t="s">
        <v>524</v>
      </c>
      <c r="AK283" s="11"/>
      <c r="AL283" s="11" t="s">
        <v>64</v>
      </c>
      <c r="AN283" s="6">
        <v>380115</v>
      </c>
      <c r="AP283" s="6">
        <v>148858</v>
      </c>
      <c r="AR283" s="6">
        <v>0</v>
      </c>
      <c r="AT283" s="6">
        <v>413000</v>
      </c>
      <c r="AV283" s="6">
        <f>311828+115653</f>
        <v>427481</v>
      </c>
      <c r="AX283" s="6">
        <v>0</v>
      </c>
      <c r="AZ283" s="7">
        <f t="shared" si="32"/>
        <v>15212825</v>
      </c>
      <c r="BB283" s="6">
        <v>1501095</v>
      </c>
      <c r="BD283" s="6">
        <v>0</v>
      </c>
      <c r="BF283" s="6">
        <v>0</v>
      </c>
      <c r="BH283" s="6">
        <v>5411804</v>
      </c>
      <c r="BJ283" s="7">
        <f t="shared" si="33"/>
        <v>22125724</v>
      </c>
      <c r="BL283" s="7">
        <f>'Gov Fd Rev'!AO283-'Gov Fd Exp'!BJ283</f>
        <v>-265547</v>
      </c>
      <c r="BN283" s="6">
        <v>6188305</v>
      </c>
      <c r="BP283" s="6">
        <v>-18571</v>
      </c>
      <c r="BR283" s="6">
        <v>-1526186</v>
      </c>
      <c r="BT283" s="7">
        <f t="shared" si="34"/>
        <v>4378001</v>
      </c>
      <c r="BU283" s="7"/>
      <c r="BV283" s="7">
        <f>BT283-'Gov Fd BS'!AC283</f>
        <v>0</v>
      </c>
      <c r="BW283" s="7"/>
    </row>
    <row r="284" spans="1:75">
      <c r="A284" s="11" t="s">
        <v>498</v>
      </c>
      <c r="B284" s="11"/>
      <c r="C284" s="11" t="s">
        <v>62</v>
      </c>
      <c r="E284" s="6">
        <v>13564508</v>
      </c>
      <c r="G284" s="6">
        <v>3044329</v>
      </c>
      <c r="I284" s="6">
        <v>491136</v>
      </c>
      <c r="K284" s="6">
        <v>0</v>
      </c>
      <c r="M284" s="6">
        <f>219032+1066917</f>
        <v>1285949</v>
      </c>
      <c r="O284" s="6">
        <v>845603</v>
      </c>
      <c r="Q284" s="6">
        <v>1527272</v>
      </c>
      <c r="S284" s="6">
        <v>39400</v>
      </c>
      <c r="U284" s="6">
        <v>3808017</v>
      </c>
      <c r="W284" s="6">
        <v>682792</v>
      </c>
      <c r="Y284" s="6">
        <v>77014</v>
      </c>
      <c r="AA284" s="6">
        <v>3218155</v>
      </c>
      <c r="AC284" s="6">
        <v>1970374</v>
      </c>
      <c r="AE284" s="6">
        <v>202080</v>
      </c>
      <c r="AG284" s="6">
        <v>0</v>
      </c>
      <c r="AI284" s="6">
        <v>484626</v>
      </c>
      <c r="AJ284" s="11" t="s">
        <v>498</v>
      </c>
      <c r="AK284" s="11"/>
      <c r="AL284" s="11" t="s">
        <v>62</v>
      </c>
      <c r="AN284" s="6">
        <v>951606</v>
      </c>
      <c r="AP284" s="6">
        <v>47709</v>
      </c>
      <c r="AR284" s="6">
        <v>0</v>
      </c>
      <c r="AT284" s="6">
        <v>1110000</v>
      </c>
      <c r="AV284" s="6">
        <v>934175</v>
      </c>
      <c r="AX284" s="6">
        <v>0</v>
      </c>
      <c r="AZ284" s="7">
        <f t="shared" si="32"/>
        <v>34284745</v>
      </c>
      <c r="BB284" s="6">
        <v>28892</v>
      </c>
      <c r="BD284" s="6">
        <v>0</v>
      </c>
      <c r="BF284" s="6">
        <v>0</v>
      </c>
      <c r="BH284" s="6">
        <v>0</v>
      </c>
      <c r="BJ284" s="7">
        <f t="shared" si="33"/>
        <v>34313637</v>
      </c>
      <c r="BL284" s="7">
        <f>'Gov Fd Rev'!AO284-'Gov Fd Exp'!BJ284</f>
        <v>-2320104</v>
      </c>
      <c r="BN284" s="6">
        <v>5553628</v>
      </c>
      <c r="BP284" s="6">
        <v>0</v>
      </c>
      <c r="BR284" s="6">
        <v>0</v>
      </c>
      <c r="BT284" s="7">
        <f t="shared" si="34"/>
        <v>3233524</v>
      </c>
      <c r="BU284" s="7"/>
      <c r="BV284" s="7">
        <f>BT284-'Gov Fd BS'!AC284</f>
        <v>0</v>
      </c>
      <c r="BW284" s="7"/>
    </row>
    <row r="285" spans="1:75" hidden="1">
      <c r="A285" s="11" t="s">
        <v>796</v>
      </c>
      <c r="B285" s="11"/>
      <c r="C285" s="11" t="s">
        <v>72</v>
      </c>
      <c r="AJ285" s="11" t="s">
        <v>796</v>
      </c>
      <c r="AK285" s="11"/>
      <c r="AL285" s="11" t="s">
        <v>72</v>
      </c>
      <c r="AR285" s="6">
        <v>0</v>
      </c>
      <c r="AZ285" s="7">
        <f t="shared" si="32"/>
        <v>0</v>
      </c>
      <c r="BD285" s="6">
        <v>0</v>
      </c>
      <c r="BF285" s="6">
        <v>0</v>
      </c>
      <c r="BH285" s="6">
        <v>0</v>
      </c>
      <c r="BJ285" s="7">
        <f t="shared" si="33"/>
        <v>0</v>
      </c>
      <c r="BL285" s="7">
        <f>'Gov Fd Rev'!AO285-'Gov Fd Exp'!BJ285</f>
        <v>0</v>
      </c>
      <c r="BR285" s="6">
        <v>0</v>
      </c>
      <c r="BT285" s="7">
        <f t="shared" si="34"/>
        <v>0</v>
      </c>
      <c r="BU285" s="7"/>
      <c r="BV285" s="7">
        <f>BT285-'Gov Fd BS'!AC285</f>
        <v>0</v>
      </c>
      <c r="BW285" s="7"/>
    </row>
    <row r="286" spans="1:75">
      <c r="A286" s="11" t="s">
        <v>525</v>
      </c>
      <c r="B286" s="11"/>
      <c r="C286" s="11" t="s">
        <v>64</v>
      </c>
      <c r="E286" s="6">
        <v>7139881</v>
      </c>
      <c r="G286" s="6">
        <v>2905622</v>
      </c>
      <c r="I286" s="6">
        <v>0</v>
      </c>
      <c r="K286" s="6">
        <v>0</v>
      </c>
      <c r="M286" s="6">
        <v>0</v>
      </c>
      <c r="O286" s="6">
        <v>897512</v>
      </c>
      <c r="Q286" s="6">
        <v>903551</v>
      </c>
      <c r="S286" s="6">
        <v>18605</v>
      </c>
      <c r="U286" s="6">
        <v>1249604</v>
      </c>
      <c r="W286" s="6">
        <v>462753</v>
      </c>
      <c r="Y286" s="6">
        <v>0</v>
      </c>
      <c r="AA286" s="6">
        <v>1428352</v>
      </c>
      <c r="AC286" s="6">
        <v>878222</v>
      </c>
      <c r="AE286" s="6">
        <v>0</v>
      </c>
      <c r="AG286" s="6">
        <v>594888</v>
      </c>
      <c r="AI286" s="6">
        <v>3842</v>
      </c>
      <c r="AJ286" s="11" t="s">
        <v>525</v>
      </c>
      <c r="AK286" s="11"/>
      <c r="AL286" s="11" t="s">
        <v>64</v>
      </c>
      <c r="AN286" s="6">
        <v>466477</v>
      </c>
      <c r="AP286" s="6">
        <v>206241</v>
      </c>
      <c r="AR286" s="6">
        <v>0</v>
      </c>
      <c r="AT286" s="6">
        <v>320695</v>
      </c>
      <c r="AV286" s="6">
        <f>99888+412463</f>
        <v>512351</v>
      </c>
      <c r="AX286" s="6">
        <v>0</v>
      </c>
      <c r="AZ286" s="7">
        <f t="shared" si="32"/>
        <v>17988596</v>
      </c>
      <c r="BB286" s="6">
        <v>27</v>
      </c>
      <c r="BD286" s="6">
        <v>0</v>
      </c>
      <c r="BF286" s="6">
        <v>0</v>
      </c>
      <c r="BH286" s="6">
        <v>0</v>
      </c>
      <c r="BJ286" s="7">
        <f t="shared" si="33"/>
        <v>17988623</v>
      </c>
      <c r="BL286" s="7">
        <f>'Gov Fd Rev'!AO286-'Gov Fd Exp'!BJ286</f>
        <v>548463</v>
      </c>
      <c r="BN286" s="6">
        <v>484907</v>
      </c>
      <c r="BP286" s="6">
        <v>0</v>
      </c>
      <c r="BR286" s="6">
        <v>0</v>
      </c>
      <c r="BT286" s="7">
        <f t="shared" si="34"/>
        <v>1033370</v>
      </c>
      <c r="BU286" s="7"/>
      <c r="BV286" s="7">
        <f>BT286-'Gov Fd BS'!AC286</f>
        <v>0</v>
      </c>
      <c r="BW286" s="7"/>
    </row>
    <row r="287" spans="1:75">
      <c r="A287" s="11" t="s">
        <v>270</v>
      </c>
      <c r="B287" s="11"/>
      <c r="C287" s="11" t="s">
        <v>20</v>
      </c>
      <c r="E287" s="6">
        <v>27778436</v>
      </c>
      <c r="G287" s="6">
        <v>12345548</v>
      </c>
      <c r="I287" s="6">
        <v>2705929</v>
      </c>
      <c r="K287" s="6">
        <v>338715</v>
      </c>
      <c r="M287" s="6">
        <v>3417830</v>
      </c>
      <c r="O287" s="6">
        <v>4382006</v>
      </c>
      <c r="Q287" s="6">
        <v>4498182</v>
      </c>
      <c r="S287" s="6">
        <v>81994</v>
      </c>
      <c r="U287" s="6">
        <v>3484397</v>
      </c>
      <c r="W287" s="6">
        <v>1713983</v>
      </c>
      <c r="Y287" s="6">
        <v>857203</v>
      </c>
      <c r="AA287" s="6">
        <v>7364021</v>
      </c>
      <c r="AC287" s="6">
        <v>74006</v>
      </c>
      <c r="AE287" s="6">
        <v>452185</v>
      </c>
      <c r="AG287" s="6">
        <v>0</v>
      </c>
      <c r="AI287" s="6">
        <v>2585224</v>
      </c>
      <c r="AJ287" s="11" t="s">
        <v>270</v>
      </c>
      <c r="AK287" s="11"/>
      <c r="AL287" s="11" t="s">
        <v>20</v>
      </c>
      <c r="AN287" s="6">
        <v>1376584</v>
      </c>
      <c r="AP287" s="6">
        <v>55764</v>
      </c>
      <c r="AR287" s="6">
        <v>0</v>
      </c>
      <c r="AT287" s="6">
        <v>4303756</v>
      </c>
      <c r="AV287" s="6">
        <v>5262573</v>
      </c>
      <c r="AX287" s="6">
        <v>0</v>
      </c>
      <c r="AZ287" s="7">
        <f t="shared" si="32"/>
        <v>83078336</v>
      </c>
      <c r="BB287" s="6">
        <v>20000</v>
      </c>
      <c r="BD287" s="6">
        <v>0</v>
      </c>
      <c r="BF287" s="6">
        <v>0</v>
      </c>
      <c r="BH287" s="6">
        <v>0</v>
      </c>
      <c r="BJ287" s="7">
        <f t="shared" si="33"/>
        <v>83098336</v>
      </c>
      <c r="BL287" s="7">
        <f>'Gov Fd Rev'!AO287-'Gov Fd Exp'!BJ287</f>
        <v>3094463</v>
      </c>
      <c r="BN287" s="6">
        <v>22221419</v>
      </c>
      <c r="BP287" s="6">
        <v>0</v>
      </c>
      <c r="BR287" s="6">
        <v>0</v>
      </c>
      <c r="BT287" s="7">
        <f t="shared" si="34"/>
        <v>25315882</v>
      </c>
      <c r="BU287" s="7"/>
      <c r="BV287" s="7">
        <f>BT287-'Gov Fd BS'!AC287</f>
        <v>0</v>
      </c>
      <c r="BW287" s="7"/>
    </row>
    <row r="288" spans="1:75">
      <c r="A288" s="11" t="s">
        <v>630</v>
      </c>
      <c r="B288" s="11"/>
      <c r="C288" s="11" t="s">
        <v>42</v>
      </c>
      <c r="E288" s="6">
        <v>11877724</v>
      </c>
      <c r="G288" s="6">
        <v>0</v>
      </c>
      <c r="I288" s="6">
        <v>0</v>
      </c>
      <c r="K288" s="6">
        <v>0</v>
      </c>
      <c r="M288" s="6">
        <v>0</v>
      </c>
      <c r="O288" s="6">
        <v>1342818</v>
      </c>
      <c r="Q288" s="6">
        <v>249370</v>
      </c>
      <c r="S288" s="6">
        <v>70084</v>
      </c>
      <c r="U288" s="6">
        <v>1889853</v>
      </c>
      <c r="W288" s="6">
        <v>620617</v>
      </c>
      <c r="Y288" s="6">
        <v>20952</v>
      </c>
      <c r="AA288" s="6">
        <v>1587658</v>
      </c>
      <c r="AC288" s="6">
        <v>1593860</v>
      </c>
      <c r="AE288" s="6">
        <v>285917</v>
      </c>
      <c r="AG288" s="6">
        <v>0</v>
      </c>
      <c r="AI288" s="6">
        <v>24668</v>
      </c>
      <c r="AJ288" s="11" t="s">
        <v>630</v>
      </c>
      <c r="AK288" s="11"/>
      <c r="AL288" s="11" t="s">
        <v>42</v>
      </c>
      <c r="AN288" s="6">
        <v>404400</v>
      </c>
      <c r="AP288" s="6">
        <v>0</v>
      </c>
      <c r="AR288" s="6">
        <v>0</v>
      </c>
      <c r="AT288" s="6">
        <v>745851</v>
      </c>
      <c r="AV288" s="6">
        <v>460527</v>
      </c>
      <c r="AX288" s="6">
        <v>0</v>
      </c>
      <c r="AZ288" s="7">
        <f t="shared" si="32"/>
        <v>21174299</v>
      </c>
      <c r="BB288" s="6">
        <v>20000</v>
      </c>
      <c r="BD288" s="6">
        <v>0</v>
      </c>
      <c r="BF288" s="6">
        <v>0</v>
      </c>
      <c r="BH288" s="6">
        <v>0</v>
      </c>
      <c r="BJ288" s="7">
        <f t="shared" si="33"/>
        <v>21194299</v>
      </c>
      <c r="BL288" s="7">
        <f>'Gov Fd Rev'!AO288-'Gov Fd Exp'!BJ288</f>
        <v>1577072</v>
      </c>
      <c r="BN288" s="6">
        <v>5675689</v>
      </c>
      <c r="BP288" s="6">
        <v>-7993</v>
      </c>
      <c r="BR288" s="6">
        <v>0</v>
      </c>
      <c r="BT288" s="7">
        <f t="shared" si="34"/>
        <v>7244768</v>
      </c>
      <c r="BU288" s="7"/>
      <c r="BV288" s="7">
        <f>BT288-'Gov Fd BS'!AC288</f>
        <v>0</v>
      </c>
      <c r="BW288" s="7"/>
    </row>
    <row r="289" spans="1:75">
      <c r="A289" s="11" t="s">
        <v>223</v>
      </c>
      <c r="B289" s="11"/>
      <c r="C289" s="11" t="s">
        <v>221</v>
      </c>
      <c r="E289" s="6">
        <v>73724468</v>
      </c>
      <c r="G289" s="6">
        <v>15108862</v>
      </c>
      <c r="I289" s="6">
        <v>258</v>
      </c>
      <c r="K289" s="6">
        <v>0</v>
      </c>
      <c r="M289" s="6">
        <v>5083411</v>
      </c>
      <c r="O289" s="6">
        <v>12781903</v>
      </c>
      <c r="Q289" s="6">
        <v>10608861</v>
      </c>
      <c r="S289" s="6">
        <v>93099</v>
      </c>
      <c r="U289" s="6">
        <v>12593415</v>
      </c>
      <c r="W289" s="6">
        <v>1354628</v>
      </c>
      <c r="Y289" s="6">
        <v>329850</v>
      </c>
      <c r="AA289" s="6">
        <v>13054256</v>
      </c>
      <c r="AC289" s="6">
        <v>14393792</v>
      </c>
      <c r="AE289" s="6">
        <v>3219005</v>
      </c>
      <c r="AG289" s="6">
        <v>0</v>
      </c>
      <c r="AI289" s="6">
        <v>6192026</v>
      </c>
      <c r="AJ289" s="11" t="s">
        <v>223</v>
      </c>
      <c r="AK289" s="11"/>
      <c r="AL289" s="11" t="s">
        <v>221</v>
      </c>
      <c r="AN289" s="6">
        <v>2778846</v>
      </c>
      <c r="AP289" s="6">
        <v>7579315</v>
      </c>
      <c r="AR289" s="6">
        <v>0</v>
      </c>
      <c r="AT289" s="6">
        <v>5305024</v>
      </c>
      <c r="AV289" s="6">
        <v>8127454</v>
      </c>
      <c r="AX289" s="6">
        <v>0</v>
      </c>
      <c r="AZ289" s="7">
        <f t="shared" si="32"/>
        <v>192328473</v>
      </c>
      <c r="BB289" s="6">
        <v>1500000</v>
      </c>
      <c r="BD289" s="6">
        <v>0</v>
      </c>
      <c r="BF289" s="6">
        <v>0</v>
      </c>
      <c r="BH289" s="6">
        <v>0</v>
      </c>
      <c r="BJ289" s="7">
        <f t="shared" si="33"/>
        <v>193828473</v>
      </c>
      <c r="BL289" s="7">
        <f>'Gov Fd Rev'!AO289-'Gov Fd Exp'!BJ289</f>
        <v>-17268132</v>
      </c>
      <c r="BN289" s="6">
        <v>40291524</v>
      </c>
      <c r="BP289" s="6">
        <v>0</v>
      </c>
      <c r="BR289" s="6">
        <v>0</v>
      </c>
      <c r="BT289" s="7">
        <f t="shared" si="34"/>
        <v>23023392</v>
      </c>
      <c r="BU289" s="7"/>
      <c r="BV289" s="7">
        <f>BT289-'Gov Fd BS'!AC289</f>
        <v>0</v>
      </c>
      <c r="BW289" s="7"/>
    </row>
    <row r="290" spans="1:75" hidden="1">
      <c r="A290" s="11" t="s">
        <v>797</v>
      </c>
      <c r="B290" s="11"/>
      <c r="C290" s="11" t="s">
        <v>79</v>
      </c>
      <c r="AJ290" s="11" t="s">
        <v>797</v>
      </c>
      <c r="AK290" s="11"/>
      <c r="AL290" s="11" t="s">
        <v>79</v>
      </c>
      <c r="AR290" s="6">
        <v>0</v>
      </c>
      <c r="AZ290" s="7">
        <f t="shared" si="32"/>
        <v>0</v>
      </c>
      <c r="BD290" s="6">
        <v>0</v>
      </c>
      <c r="BF290" s="6">
        <v>0</v>
      </c>
      <c r="BH290" s="6">
        <v>0</v>
      </c>
      <c r="BJ290" s="7">
        <f t="shared" si="33"/>
        <v>0</v>
      </c>
      <c r="BL290" s="7">
        <f>'Gov Fd Rev'!AO290-'Gov Fd Exp'!BJ290</f>
        <v>0</v>
      </c>
      <c r="BR290" s="6">
        <v>0</v>
      </c>
      <c r="BT290" s="7">
        <f t="shared" si="34"/>
        <v>0</v>
      </c>
      <c r="BU290" s="7"/>
      <c r="BV290" s="7">
        <f>BT290-'Gov Fd BS'!AC290</f>
        <v>0</v>
      </c>
      <c r="BW290" s="7"/>
    </row>
    <row r="291" spans="1:75">
      <c r="A291" s="11" t="s">
        <v>295</v>
      </c>
      <c r="B291" s="11"/>
      <c r="C291" s="11" t="s">
        <v>25</v>
      </c>
      <c r="E291" s="6">
        <v>27325710</v>
      </c>
      <c r="G291" s="6">
        <v>6782966</v>
      </c>
      <c r="I291" s="6">
        <v>1796053</v>
      </c>
      <c r="K291" s="6">
        <v>0</v>
      </c>
      <c r="M291" s="6">
        <v>88813</v>
      </c>
      <c r="O291" s="6">
        <v>3777464</v>
      </c>
      <c r="Q291" s="6">
        <v>4072815</v>
      </c>
      <c r="S291" s="6">
        <v>159360</v>
      </c>
      <c r="U291" s="6">
        <v>4153291</v>
      </c>
      <c r="W291" s="6">
        <v>1211820</v>
      </c>
      <c r="Y291" s="6">
        <v>272601</v>
      </c>
      <c r="AA291" s="6">
        <v>4679532</v>
      </c>
      <c r="AC291" s="6">
        <v>2030856</v>
      </c>
      <c r="AE291" s="6">
        <v>883231</v>
      </c>
      <c r="AG291" s="6">
        <v>2560151</v>
      </c>
      <c r="AI291" s="6">
        <v>1057043</v>
      </c>
      <c r="AJ291" s="11" t="s">
        <v>295</v>
      </c>
      <c r="AK291" s="11"/>
      <c r="AL291" s="11" t="s">
        <v>25</v>
      </c>
      <c r="AN291" s="6">
        <v>1177767</v>
      </c>
      <c r="AP291" s="6">
        <v>350693</v>
      </c>
      <c r="AR291" s="6">
        <v>0</v>
      </c>
      <c r="AT291" s="6">
        <v>147514</v>
      </c>
      <c r="AV291" s="6">
        <v>36725</v>
      </c>
      <c r="AX291" s="6">
        <v>0</v>
      </c>
      <c r="AZ291" s="7">
        <f t="shared" si="32"/>
        <v>62564405</v>
      </c>
      <c r="BB291" s="6">
        <v>14081</v>
      </c>
      <c r="BD291" s="6">
        <v>0</v>
      </c>
      <c r="BF291" s="6">
        <v>0</v>
      </c>
      <c r="BH291" s="6">
        <v>0</v>
      </c>
      <c r="BJ291" s="7">
        <f t="shared" si="33"/>
        <v>62578486</v>
      </c>
      <c r="BL291" s="7">
        <f>'Gov Fd Rev'!AO291-'Gov Fd Exp'!BJ291</f>
        <v>2279987</v>
      </c>
      <c r="BN291" s="6">
        <v>34648544</v>
      </c>
      <c r="BP291" s="6">
        <v>0</v>
      </c>
      <c r="BR291" s="6">
        <v>0</v>
      </c>
      <c r="BT291" s="7">
        <f t="shared" si="34"/>
        <v>36928531</v>
      </c>
      <c r="BU291" s="7"/>
      <c r="BV291" s="7">
        <f>BT291-'Gov Fd BS'!AC291</f>
        <v>0</v>
      </c>
      <c r="BW291" s="7"/>
    </row>
    <row r="292" spans="1:75" hidden="1">
      <c r="A292" s="11" t="s">
        <v>729</v>
      </c>
      <c r="B292" s="11"/>
      <c r="C292" s="11" t="s">
        <v>69</v>
      </c>
      <c r="AJ292" s="11" t="s">
        <v>729</v>
      </c>
      <c r="AK292" s="11"/>
      <c r="AL292" s="11" t="s">
        <v>69</v>
      </c>
      <c r="AR292" s="6">
        <v>0</v>
      </c>
      <c r="AZ292" s="7">
        <f t="shared" si="32"/>
        <v>0</v>
      </c>
      <c r="BB292" s="6">
        <v>0</v>
      </c>
      <c r="BD292" s="6">
        <v>0</v>
      </c>
      <c r="BF292" s="6">
        <v>0</v>
      </c>
      <c r="BH292" s="6">
        <v>0</v>
      </c>
      <c r="BJ292" s="7">
        <f t="shared" si="33"/>
        <v>0</v>
      </c>
      <c r="BL292" s="7">
        <f>'Gov Fd Rev'!AO292-'Gov Fd Exp'!BJ292</f>
        <v>0</v>
      </c>
      <c r="BR292" s="6">
        <v>0</v>
      </c>
      <c r="BT292" s="7">
        <f t="shared" si="34"/>
        <v>0</v>
      </c>
      <c r="BU292" s="7"/>
      <c r="BV292" s="7">
        <f>BT292-'Gov Fd BS'!AC292</f>
        <v>0</v>
      </c>
      <c r="BW292" s="7"/>
    </row>
    <row r="293" spans="1:75">
      <c r="A293" s="11" t="s">
        <v>315</v>
      </c>
      <c r="B293" s="11"/>
      <c r="C293" s="11" t="s">
        <v>30</v>
      </c>
      <c r="E293" s="6">
        <v>2371911</v>
      </c>
      <c r="G293" s="6">
        <v>930393</v>
      </c>
      <c r="I293" s="6">
        <v>102146</v>
      </c>
      <c r="K293" s="6">
        <v>0</v>
      </c>
      <c r="M293" s="6">
        <v>638155</v>
      </c>
      <c r="O293" s="6">
        <v>156162</v>
      </c>
      <c r="Q293" s="6">
        <v>76338</v>
      </c>
      <c r="S293" s="6">
        <v>18258</v>
      </c>
      <c r="U293" s="6">
        <v>556151</v>
      </c>
      <c r="W293" s="6">
        <v>227113</v>
      </c>
      <c r="Y293" s="6">
        <v>0</v>
      </c>
      <c r="AA293" s="6">
        <v>760532</v>
      </c>
      <c r="AC293" s="6">
        <v>506952</v>
      </c>
      <c r="AE293" s="6">
        <v>23749</v>
      </c>
      <c r="AG293" s="6">
        <v>179331</v>
      </c>
      <c r="AI293" s="6">
        <v>2799</v>
      </c>
      <c r="AJ293" s="11" t="s">
        <v>315</v>
      </c>
      <c r="AK293" s="11"/>
      <c r="AL293" s="11" t="s">
        <v>30</v>
      </c>
      <c r="AN293" s="6">
        <v>130622</v>
      </c>
      <c r="AP293" s="6">
        <v>6909</v>
      </c>
      <c r="AR293" s="6">
        <v>0</v>
      </c>
      <c r="AT293" s="6">
        <v>0</v>
      </c>
      <c r="AV293" s="6">
        <v>13379</v>
      </c>
      <c r="AX293" s="6">
        <v>0</v>
      </c>
      <c r="AZ293" s="7">
        <f t="shared" si="32"/>
        <v>6700900</v>
      </c>
      <c r="BB293" s="6">
        <v>57603</v>
      </c>
      <c r="BD293" s="6">
        <v>0</v>
      </c>
      <c r="BF293" s="6">
        <v>0</v>
      </c>
      <c r="BH293" s="6">
        <v>0</v>
      </c>
      <c r="BJ293" s="7">
        <f t="shared" si="33"/>
        <v>6758503</v>
      </c>
      <c r="BL293" s="7">
        <f>'Gov Fd Rev'!AO293-'Gov Fd Exp'!BJ293</f>
        <v>-627919</v>
      </c>
      <c r="BN293" s="6">
        <v>-1761178</v>
      </c>
      <c r="BP293" s="6">
        <v>0</v>
      </c>
      <c r="BR293" s="6">
        <v>0</v>
      </c>
      <c r="BT293" s="7">
        <f t="shared" si="34"/>
        <v>-2389097</v>
      </c>
      <c r="BU293" s="7"/>
      <c r="BV293" s="7">
        <f>BT293-'Gov Fd BS'!AC293</f>
        <v>0</v>
      </c>
      <c r="BW293" s="7"/>
    </row>
    <row r="294" spans="1:75" hidden="1">
      <c r="A294" s="11" t="s">
        <v>763</v>
      </c>
      <c r="B294" s="11"/>
      <c r="C294" s="11" t="s">
        <v>112</v>
      </c>
      <c r="AJ294" s="11" t="s">
        <v>763</v>
      </c>
      <c r="AK294" s="11"/>
      <c r="AL294" s="11" t="s">
        <v>112</v>
      </c>
      <c r="AR294" s="6">
        <v>0</v>
      </c>
      <c r="AZ294" s="7"/>
      <c r="BD294" s="6">
        <v>0</v>
      </c>
      <c r="BF294" s="6">
        <v>0</v>
      </c>
      <c r="BH294" s="6">
        <v>0</v>
      </c>
      <c r="BJ294" s="7"/>
      <c r="BL294" s="7"/>
      <c r="BR294" s="6">
        <v>0</v>
      </c>
      <c r="BT294" s="7"/>
      <c r="BU294" s="7"/>
      <c r="BV294" s="7"/>
      <c r="BW294" s="7"/>
    </row>
    <row r="295" spans="1:75" hidden="1">
      <c r="A295" s="11" t="s">
        <v>681</v>
      </c>
      <c r="B295" s="11"/>
      <c r="C295" s="11" t="s">
        <v>467</v>
      </c>
      <c r="AJ295" s="11" t="s">
        <v>681</v>
      </c>
      <c r="AK295" s="11"/>
      <c r="AL295" s="11" t="s">
        <v>467</v>
      </c>
      <c r="AR295" s="6">
        <v>0</v>
      </c>
      <c r="AZ295" s="7">
        <f t="shared" ref="AZ295:AZ364" si="42">SUM(E295:AX295)</f>
        <v>0</v>
      </c>
      <c r="BD295" s="6">
        <v>0</v>
      </c>
      <c r="BF295" s="6">
        <v>0</v>
      </c>
      <c r="BH295" s="6">
        <v>0</v>
      </c>
      <c r="BJ295" s="7">
        <f t="shared" ref="BJ295:BJ364" si="43">AZ295+BB295+BH295</f>
        <v>0</v>
      </c>
      <c r="BL295" s="7">
        <f>'Gov Fd Rev'!AO295-'Gov Fd Exp'!BJ295</f>
        <v>0</v>
      </c>
      <c r="BR295" s="6">
        <v>0</v>
      </c>
      <c r="BT295" s="7">
        <f t="shared" si="34"/>
        <v>0</v>
      </c>
      <c r="BU295" s="7"/>
      <c r="BV295" s="7">
        <f>BT295-'Gov Fd BS'!AC295</f>
        <v>0</v>
      </c>
      <c r="BW295" s="7"/>
    </row>
    <row r="296" spans="1:75" hidden="1">
      <c r="A296" s="11" t="s">
        <v>798</v>
      </c>
      <c r="B296" s="11"/>
      <c r="C296" s="11" t="s">
        <v>110</v>
      </c>
      <c r="AJ296" s="11" t="s">
        <v>798</v>
      </c>
      <c r="AK296" s="11"/>
      <c r="AL296" s="11" t="s">
        <v>110</v>
      </c>
      <c r="AR296" s="6">
        <v>0</v>
      </c>
      <c r="AZ296" s="7">
        <f t="shared" si="42"/>
        <v>0</v>
      </c>
      <c r="BD296" s="6">
        <v>0</v>
      </c>
      <c r="BF296" s="6">
        <v>0</v>
      </c>
      <c r="BH296" s="6">
        <v>0</v>
      </c>
      <c r="BJ296" s="7">
        <f t="shared" si="43"/>
        <v>0</v>
      </c>
      <c r="BL296" s="7">
        <f>'Gov Fd Rev'!AO296-'Gov Fd Exp'!BJ296</f>
        <v>0</v>
      </c>
      <c r="BR296" s="6">
        <v>0</v>
      </c>
      <c r="BT296" s="7">
        <f t="shared" si="34"/>
        <v>0</v>
      </c>
      <c r="BU296" s="7"/>
      <c r="BV296" s="7">
        <f>BT296-'Gov Fd BS'!AC296</f>
        <v>0</v>
      </c>
      <c r="BW296" s="7"/>
    </row>
    <row r="297" spans="1:75">
      <c r="A297" s="11" t="s">
        <v>799</v>
      </c>
      <c r="B297" s="11"/>
      <c r="C297" s="11" t="s">
        <v>33</v>
      </c>
      <c r="E297" s="6">
        <v>5948010</v>
      </c>
      <c r="G297" s="6">
        <v>1134934</v>
      </c>
      <c r="I297" s="6">
        <v>307482</v>
      </c>
      <c r="K297" s="6">
        <v>0</v>
      </c>
      <c r="M297" s="6">
        <v>0</v>
      </c>
      <c r="O297" s="6">
        <v>1029435</v>
      </c>
      <c r="Q297" s="6">
        <v>771657</v>
      </c>
      <c r="S297" s="6">
        <v>25589</v>
      </c>
      <c r="U297" s="6">
        <v>973615</v>
      </c>
      <c r="W297" s="6">
        <v>325736</v>
      </c>
      <c r="Y297" s="6">
        <v>1480</v>
      </c>
      <c r="AA297" s="6">
        <v>1077750</v>
      </c>
      <c r="AC297" s="6">
        <v>556816</v>
      </c>
      <c r="AE297" s="6">
        <v>122224</v>
      </c>
      <c r="AG297" s="6">
        <v>0</v>
      </c>
      <c r="AI297" s="6">
        <v>494930</v>
      </c>
      <c r="AJ297" s="11" t="s">
        <v>799</v>
      </c>
      <c r="AK297" s="11"/>
      <c r="AL297" s="11" t="s">
        <v>33</v>
      </c>
      <c r="AN297" s="6">
        <v>440624</v>
      </c>
      <c r="AP297" s="6">
        <v>203113</v>
      </c>
      <c r="AR297" s="6">
        <v>0</v>
      </c>
      <c r="AT297" s="6">
        <v>65299</v>
      </c>
      <c r="AV297" s="6">
        <f>59893+504701</f>
        <v>564594</v>
      </c>
      <c r="AX297" s="6">
        <v>0</v>
      </c>
      <c r="AZ297" s="7">
        <f>SUM(E297:AX297)</f>
        <v>14043288</v>
      </c>
      <c r="BB297" s="6">
        <v>569432</v>
      </c>
      <c r="BD297" s="6">
        <v>0</v>
      </c>
      <c r="BF297" s="6">
        <v>0</v>
      </c>
      <c r="BH297" s="6">
        <v>0</v>
      </c>
      <c r="BJ297" s="7">
        <f>AZ297+BB297+BH297</f>
        <v>14612720</v>
      </c>
      <c r="BL297" s="7">
        <f>'Gov Fd Rev'!AO297-'Gov Fd Exp'!BJ297</f>
        <v>1416214</v>
      </c>
      <c r="BN297" s="6">
        <v>5619053</v>
      </c>
      <c r="BP297" s="6">
        <v>0</v>
      </c>
      <c r="BR297" s="6">
        <v>0</v>
      </c>
      <c r="BT297" s="7">
        <f>BL297+BN297+BP297+BR297</f>
        <v>7035267</v>
      </c>
      <c r="BU297" s="7"/>
      <c r="BV297" s="7">
        <f>BT297-'Gov Fd BS'!AC297</f>
        <v>0</v>
      </c>
      <c r="BW297" s="7"/>
    </row>
    <row r="298" spans="1:75">
      <c r="A298" s="11" t="s">
        <v>345</v>
      </c>
      <c r="B298" s="11"/>
      <c r="C298" s="11" t="s">
        <v>34</v>
      </c>
      <c r="E298" s="6">
        <v>4930906</v>
      </c>
      <c r="G298" s="6">
        <v>2206156</v>
      </c>
      <c r="I298" s="6">
        <v>191371</v>
      </c>
      <c r="K298" s="6">
        <f>49385+337146</f>
        <v>386531</v>
      </c>
      <c r="M298" s="6">
        <v>0</v>
      </c>
      <c r="O298" s="6">
        <v>742222</v>
      </c>
      <c r="Q298" s="6">
        <v>417922</v>
      </c>
      <c r="S298" s="6">
        <v>50649</v>
      </c>
      <c r="U298" s="6">
        <v>817012</v>
      </c>
      <c r="W298" s="6">
        <v>386151</v>
      </c>
      <c r="Y298" s="6">
        <v>0</v>
      </c>
      <c r="AA298" s="6">
        <v>771805</v>
      </c>
      <c r="AC298" s="6">
        <v>531964</v>
      </c>
      <c r="AE298" s="6">
        <v>206424</v>
      </c>
      <c r="AG298" s="6">
        <v>0</v>
      </c>
      <c r="AI298" s="6">
        <v>532071</v>
      </c>
      <c r="AJ298" s="11" t="s">
        <v>345</v>
      </c>
      <c r="AK298" s="11"/>
      <c r="AL298" s="11" t="s">
        <v>34</v>
      </c>
      <c r="AN298" s="6">
        <v>492548</v>
      </c>
      <c r="AP298" s="6">
        <v>136754</v>
      </c>
      <c r="AR298" s="6">
        <v>0</v>
      </c>
      <c r="AT298" s="6">
        <v>327418</v>
      </c>
      <c r="AV298" s="6">
        <v>47890</v>
      </c>
      <c r="AX298" s="6">
        <v>0</v>
      </c>
      <c r="AZ298" s="7">
        <f t="shared" si="42"/>
        <v>13175794</v>
      </c>
      <c r="BB298" s="6">
        <v>0</v>
      </c>
      <c r="BD298" s="6">
        <v>0</v>
      </c>
      <c r="BF298" s="6">
        <v>0</v>
      </c>
      <c r="BH298" s="6">
        <v>0</v>
      </c>
      <c r="BJ298" s="7">
        <f t="shared" si="43"/>
        <v>13175794</v>
      </c>
      <c r="BL298" s="7">
        <f>'Gov Fd Rev'!AO298-'Gov Fd Exp'!BJ298</f>
        <v>566085</v>
      </c>
      <c r="BN298" s="6">
        <v>5821151</v>
      </c>
      <c r="BP298" s="6">
        <v>0</v>
      </c>
      <c r="BR298" s="6">
        <v>0</v>
      </c>
      <c r="BT298" s="7">
        <f t="shared" ref="BT298:BT366" si="44">BL298+BN298+BP298+BR298</f>
        <v>6387236</v>
      </c>
      <c r="BU298" s="7"/>
      <c r="BV298" s="7">
        <f>BT298-'Gov Fd BS'!AC298</f>
        <v>0</v>
      </c>
      <c r="BW298" s="7"/>
    </row>
    <row r="299" spans="1:75">
      <c r="A299" s="11" t="s">
        <v>526</v>
      </c>
      <c r="B299" s="11"/>
      <c r="C299" s="11" t="s">
        <v>64</v>
      </c>
      <c r="E299" s="6">
        <v>9144936</v>
      </c>
      <c r="G299" s="6">
        <v>1787235</v>
      </c>
      <c r="I299" s="6">
        <v>0</v>
      </c>
      <c r="K299" s="6">
        <v>0</v>
      </c>
      <c r="M299" s="6">
        <v>0</v>
      </c>
      <c r="O299" s="6">
        <v>478252</v>
      </c>
      <c r="Q299" s="6">
        <v>525097</v>
      </c>
      <c r="S299" s="6">
        <v>17082</v>
      </c>
      <c r="U299" s="6">
        <v>1525583</v>
      </c>
      <c r="W299" s="6">
        <v>421066</v>
      </c>
      <c r="Y299" s="6">
        <v>4077</v>
      </c>
      <c r="AA299" s="6">
        <v>2173596</v>
      </c>
      <c r="AC299" s="6">
        <v>787117</v>
      </c>
      <c r="AE299" s="6">
        <v>40012</v>
      </c>
      <c r="AG299" s="6">
        <v>840823</v>
      </c>
      <c r="AI299" s="6">
        <v>601</v>
      </c>
      <c r="AJ299" s="11" t="s">
        <v>526</v>
      </c>
      <c r="AK299" s="11"/>
      <c r="AL299" s="11" t="s">
        <v>64</v>
      </c>
      <c r="AN299" s="6">
        <v>324201</v>
      </c>
      <c r="AP299" s="6">
        <v>129583</v>
      </c>
      <c r="AR299" s="6">
        <v>0</v>
      </c>
      <c r="AT299" s="6">
        <v>694509</v>
      </c>
      <c r="AV299" s="6">
        <v>427668</v>
      </c>
      <c r="AX299" s="6">
        <v>0</v>
      </c>
      <c r="AZ299" s="7">
        <f t="shared" si="42"/>
        <v>19321438</v>
      </c>
      <c r="BB299" s="6">
        <v>205912</v>
      </c>
      <c r="BD299" s="6">
        <v>0</v>
      </c>
      <c r="BF299" s="6">
        <v>0</v>
      </c>
      <c r="BH299" s="6">
        <v>0</v>
      </c>
      <c r="BJ299" s="7">
        <f t="shared" si="43"/>
        <v>19527350</v>
      </c>
      <c r="BL299" s="7">
        <f>'Gov Fd Rev'!AO299-'Gov Fd Exp'!BJ299</f>
        <v>-907248</v>
      </c>
      <c r="BN299" s="6">
        <v>-2015458</v>
      </c>
      <c r="BP299" s="6">
        <v>0</v>
      </c>
      <c r="BR299" s="6">
        <v>0</v>
      </c>
      <c r="BT299" s="7">
        <f t="shared" si="44"/>
        <v>-2922706</v>
      </c>
      <c r="BU299" s="7"/>
      <c r="BV299" s="7">
        <f>BT299-'Gov Fd BS'!AC299</f>
        <v>0</v>
      </c>
      <c r="BW299" s="7"/>
    </row>
    <row r="300" spans="1:75">
      <c r="A300" s="11" t="s">
        <v>744</v>
      </c>
      <c r="B300" s="11"/>
      <c r="C300" s="11" t="s">
        <v>25</v>
      </c>
      <c r="E300" s="6">
        <v>5139865</v>
      </c>
      <c r="G300" s="6">
        <v>1563607</v>
      </c>
      <c r="I300" s="6">
        <v>245309</v>
      </c>
      <c r="K300" s="6">
        <v>0</v>
      </c>
      <c r="M300" s="6">
        <f>486+65986</f>
        <v>66472</v>
      </c>
      <c r="O300" s="6">
        <v>766772</v>
      </c>
      <c r="Q300" s="6">
        <v>695659</v>
      </c>
      <c r="S300" s="6">
        <v>127541</v>
      </c>
      <c r="U300" s="6">
        <v>1067165</v>
      </c>
      <c r="W300" s="6">
        <v>634133</v>
      </c>
      <c r="Y300" s="6">
        <v>0</v>
      </c>
      <c r="AA300" s="6">
        <v>1676992</v>
      </c>
      <c r="AC300" s="6">
        <v>1041349</v>
      </c>
      <c r="AE300" s="6">
        <v>0</v>
      </c>
      <c r="AG300" s="6">
        <v>0</v>
      </c>
      <c r="AI300" s="6">
        <v>583020</v>
      </c>
      <c r="AJ300" s="11" t="s">
        <v>744</v>
      </c>
      <c r="AK300" s="11"/>
      <c r="AL300" s="11" t="s">
        <v>25</v>
      </c>
      <c r="AN300" s="6">
        <v>676390</v>
      </c>
      <c r="AP300" s="6">
        <v>4555382</v>
      </c>
      <c r="AR300" s="6">
        <v>0</v>
      </c>
      <c r="AT300" s="6">
        <v>727162</v>
      </c>
      <c r="AV300" s="6">
        <v>327054</v>
      </c>
      <c r="AX300" s="6">
        <v>0</v>
      </c>
      <c r="AZ300" s="7">
        <f t="shared" si="42"/>
        <v>19893872</v>
      </c>
      <c r="BB300" s="6">
        <v>0</v>
      </c>
      <c r="BD300" s="6">
        <v>0</v>
      </c>
      <c r="BF300" s="6">
        <v>0</v>
      </c>
      <c r="BH300" s="6">
        <v>0</v>
      </c>
      <c r="BJ300" s="7">
        <f t="shared" si="43"/>
        <v>19893872</v>
      </c>
      <c r="BL300" s="7">
        <f>'Gov Fd Rev'!AO300-'Gov Fd Exp'!BJ300</f>
        <v>-4044706</v>
      </c>
      <c r="BN300" s="6">
        <v>16043117</v>
      </c>
      <c r="BP300" s="6">
        <v>0</v>
      </c>
      <c r="BR300" s="6">
        <v>0</v>
      </c>
      <c r="BT300" s="7">
        <f t="shared" si="44"/>
        <v>11998411</v>
      </c>
      <c r="BU300" s="7"/>
      <c r="BV300" s="7">
        <f>BT300-'Gov Fd BS'!AC300</f>
        <v>0</v>
      </c>
      <c r="BW300" s="7"/>
    </row>
    <row r="301" spans="1:75" hidden="1">
      <c r="A301" s="11" t="s">
        <v>874</v>
      </c>
      <c r="B301" s="11"/>
      <c r="C301" s="11" t="s">
        <v>42</v>
      </c>
      <c r="E301" s="6">
        <v>0</v>
      </c>
      <c r="G301" s="6">
        <v>0</v>
      </c>
      <c r="I301" s="6">
        <v>0</v>
      </c>
      <c r="K301" s="6">
        <v>0</v>
      </c>
      <c r="M301" s="6">
        <v>0</v>
      </c>
      <c r="O301" s="6">
        <v>0</v>
      </c>
      <c r="Q301" s="6">
        <v>0</v>
      </c>
      <c r="S301" s="6">
        <v>0</v>
      </c>
      <c r="U301" s="6">
        <v>0</v>
      </c>
      <c r="W301" s="6">
        <v>0</v>
      </c>
      <c r="Y301" s="6">
        <v>0</v>
      </c>
      <c r="AA301" s="6">
        <v>0</v>
      </c>
      <c r="AC301" s="6">
        <v>0</v>
      </c>
      <c r="AE301" s="6">
        <v>0</v>
      </c>
      <c r="AG301" s="6">
        <v>0</v>
      </c>
      <c r="AI301" s="6">
        <v>0</v>
      </c>
      <c r="AJ301" s="11" t="s">
        <v>874</v>
      </c>
      <c r="AK301" s="11"/>
      <c r="AL301" s="11" t="s">
        <v>42</v>
      </c>
      <c r="AN301" s="6">
        <v>0</v>
      </c>
      <c r="AP301" s="6">
        <v>0</v>
      </c>
      <c r="AR301" s="6">
        <v>0</v>
      </c>
      <c r="AT301" s="6">
        <v>0</v>
      </c>
      <c r="AV301" s="6">
        <v>0</v>
      </c>
      <c r="AX301" s="6">
        <v>0</v>
      </c>
      <c r="AZ301" s="7">
        <f t="shared" si="42"/>
        <v>0</v>
      </c>
      <c r="BB301" s="6">
        <v>0</v>
      </c>
      <c r="BD301" s="6">
        <v>0</v>
      </c>
      <c r="BF301" s="6">
        <v>0</v>
      </c>
      <c r="BH301" s="6">
        <v>0</v>
      </c>
      <c r="BJ301" s="7">
        <f t="shared" si="43"/>
        <v>0</v>
      </c>
      <c r="BL301" s="7">
        <f>'Gov Fd Rev'!AO301-'Gov Fd Exp'!BJ301</f>
        <v>0</v>
      </c>
      <c r="BP301" s="6">
        <v>0</v>
      </c>
      <c r="BR301" s="6">
        <v>0</v>
      </c>
      <c r="BT301" s="7">
        <f t="shared" si="44"/>
        <v>0</v>
      </c>
      <c r="BU301" s="7"/>
      <c r="BV301" s="7">
        <f>BT301-'Gov Fd BS'!AC301</f>
        <v>0</v>
      </c>
      <c r="BW301" s="7"/>
    </row>
    <row r="302" spans="1:75">
      <c r="A302" s="11" t="s">
        <v>375</v>
      </c>
      <c r="B302" s="11"/>
      <c r="C302" s="11" t="s">
        <v>42</v>
      </c>
      <c r="E302" s="6">
        <v>7266692</v>
      </c>
      <c r="G302" s="6">
        <v>1970589</v>
      </c>
      <c r="I302" s="6">
        <v>308846</v>
      </c>
      <c r="K302" s="6">
        <v>0</v>
      </c>
      <c r="M302" s="6">
        <v>48756</v>
      </c>
      <c r="O302" s="6">
        <v>461449</v>
      </c>
      <c r="Q302" s="6">
        <v>802221</v>
      </c>
      <c r="S302" s="6">
        <v>31332</v>
      </c>
      <c r="U302" s="6">
        <v>2129105</v>
      </c>
      <c r="W302" s="6">
        <v>464891</v>
      </c>
      <c r="Y302" s="6">
        <v>136622</v>
      </c>
      <c r="AA302" s="6">
        <v>1834788</v>
      </c>
      <c r="AC302" s="6">
        <v>1392811</v>
      </c>
      <c r="AE302" s="6">
        <v>161639</v>
      </c>
      <c r="AG302" s="6">
        <v>0</v>
      </c>
      <c r="AI302" s="6">
        <v>1099704</v>
      </c>
      <c r="AJ302" s="11" t="s">
        <v>375</v>
      </c>
      <c r="AK302" s="11"/>
      <c r="AL302" s="11" t="s">
        <v>42</v>
      </c>
      <c r="AN302" s="6">
        <v>526988</v>
      </c>
      <c r="AP302" s="6">
        <v>312742</v>
      </c>
      <c r="AR302" s="6">
        <v>0</v>
      </c>
      <c r="AT302" s="6">
        <v>921171</v>
      </c>
      <c r="AV302" s="6">
        <v>508556</v>
      </c>
      <c r="AX302" s="6">
        <v>0</v>
      </c>
      <c r="AZ302" s="7">
        <f t="shared" si="42"/>
        <v>20378902</v>
      </c>
      <c r="BB302" s="6">
        <v>188529</v>
      </c>
      <c r="BD302" s="6">
        <v>0</v>
      </c>
      <c r="BF302" s="6">
        <v>0</v>
      </c>
      <c r="BH302" s="6">
        <v>0</v>
      </c>
      <c r="BJ302" s="7">
        <f>AZ302+BB302+BH302</f>
        <v>20567431</v>
      </c>
      <c r="BL302" s="7">
        <f>'Gov Fd Rev'!AO302-'Gov Fd Exp'!BJ302</f>
        <v>2258536</v>
      </c>
      <c r="BN302" s="6">
        <v>7386198</v>
      </c>
      <c r="BP302" s="6">
        <v>0</v>
      </c>
      <c r="BR302" s="6">
        <v>0</v>
      </c>
      <c r="BT302" s="7">
        <f t="shared" si="44"/>
        <v>9644734</v>
      </c>
      <c r="BU302" s="7"/>
      <c r="BV302" s="7">
        <f>BT302-'Gov Fd BS'!AC302</f>
        <v>0</v>
      </c>
      <c r="BW302" s="7"/>
    </row>
    <row r="303" spans="1:75" hidden="1">
      <c r="A303" s="11" t="s">
        <v>682</v>
      </c>
      <c r="B303" s="11"/>
      <c r="C303" s="11" t="s">
        <v>10</v>
      </c>
      <c r="AJ303" s="11" t="s">
        <v>682</v>
      </c>
      <c r="AK303" s="11"/>
      <c r="AL303" s="11" t="s">
        <v>10</v>
      </c>
      <c r="AR303" s="6">
        <v>0</v>
      </c>
      <c r="AZ303" s="7">
        <f t="shared" si="42"/>
        <v>0</v>
      </c>
      <c r="BD303" s="6">
        <v>0</v>
      </c>
      <c r="BF303" s="6">
        <v>0</v>
      </c>
      <c r="BH303" s="6">
        <v>0</v>
      </c>
      <c r="BJ303" s="7">
        <f t="shared" ref="BJ303:BJ306" si="45">AZ303+BB303+BH303</f>
        <v>0</v>
      </c>
      <c r="BL303" s="7">
        <f>'Gov Fd Rev'!AO303-'Gov Fd Exp'!BJ303</f>
        <v>0</v>
      </c>
      <c r="BR303" s="6">
        <v>0</v>
      </c>
      <c r="BT303" s="7">
        <f t="shared" si="44"/>
        <v>0</v>
      </c>
      <c r="BU303" s="7"/>
      <c r="BV303" s="7">
        <f>BT303-'Gov Fd BS'!AC303</f>
        <v>0</v>
      </c>
      <c r="BW303" s="7"/>
    </row>
    <row r="304" spans="1:75">
      <c r="A304" s="11" t="s">
        <v>541</v>
      </c>
      <c r="B304" s="11"/>
      <c r="C304" s="11" t="s">
        <v>67</v>
      </c>
      <c r="E304" s="6">
        <v>3438640</v>
      </c>
      <c r="G304" s="6">
        <v>1177758</v>
      </c>
      <c r="I304" s="6">
        <v>161064</v>
      </c>
      <c r="K304" s="6">
        <v>664</v>
      </c>
      <c r="M304" s="6">
        <v>832412</v>
      </c>
      <c r="O304" s="6">
        <v>173921</v>
      </c>
      <c r="Q304" s="6">
        <v>283042</v>
      </c>
      <c r="S304" s="6">
        <v>32554</v>
      </c>
      <c r="U304" s="6">
        <v>825040</v>
      </c>
      <c r="W304" s="6">
        <v>302059</v>
      </c>
      <c r="Y304" s="6">
        <v>0</v>
      </c>
      <c r="AA304" s="6">
        <v>628625</v>
      </c>
      <c r="AC304" s="6">
        <v>413098</v>
      </c>
      <c r="AE304" s="6">
        <v>19572</v>
      </c>
      <c r="AG304" s="6">
        <v>363530</v>
      </c>
      <c r="AI304" s="6">
        <v>20766</v>
      </c>
      <c r="AJ304" s="11" t="s">
        <v>541</v>
      </c>
      <c r="AK304" s="11"/>
      <c r="AL304" s="11" t="s">
        <v>67</v>
      </c>
      <c r="AN304" s="6">
        <v>245243</v>
      </c>
      <c r="AP304" s="6">
        <v>143240</v>
      </c>
      <c r="AR304" s="6">
        <v>0</v>
      </c>
      <c r="AT304" s="6">
        <v>395000</v>
      </c>
      <c r="AV304" s="6">
        <v>486251</v>
      </c>
      <c r="AX304" s="6">
        <v>0</v>
      </c>
      <c r="AZ304" s="7">
        <f t="shared" si="42"/>
        <v>9942479</v>
      </c>
      <c r="BB304" s="6">
        <v>119176</v>
      </c>
      <c r="BD304" s="6">
        <v>0</v>
      </c>
      <c r="BF304" s="6">
        <v>0</v>
      </c>
      <c r="BH304" s="6">
        <v>0</v>
      </c>
      <c r="BJ304" s="7">
        <f t="shared" si="45"/>
        <v>10061655</v>
      </c>
      <c r="BL304" s="7">
        <f>'Gov Fd Rev'!AO304-'Gov Fd Exp'!BJ304</f>
        <v>870305</v>
      </c>
      <c r="BN304" s="6">
        <v>11359348</v>
      </c>
      <c r="BP304" s="6">
        <v>0</v>
      </c>
      <c r="BR304" s="6">
        <v>0</v>
      </c>
      <c r="BT304" s="7">
        <f t="shared" si="44"/>
        <v>12229653</v>
      </c>
      <c r="BU304" s="7"/>
      <c r="BV304" s="7">
        <f>BT304-'Gov Fd BS'!AC304</f>
        <v>0</v>
      </c>
      <c r="BW304" s="7"/>
    </row>
    <row r="305" spans="1:75">
      <c r="A305" s="11" t="s">
        <v>766</v>
      </c>
      <c r="B305" s="11"/>
      <c r="C305" s="11" t="s">
        <v>112</v>
      </c>
      <c r="E305" s="6">
        <v>4714603</v>
      </c>
      <c r="G305" s="6">
        <v>1174814</v>
      </c>
      <c r="I305" s="6">
        <v>50191</v>
      </c>
      <c r="K305" s="6">
        <v>0</v>
      </c>
      <c r="M305" s="6">
        <v>136753</v>
      </c>
      <c r="O305" s="6">
        <v>502730</v>
      </c>
      <c r="Q305" s="6">
        <v>492650</v>
      </c>
      <c r="S305" s="6">
        <v>36245</v>
      </c>
      <c r="U305" s="6">
        <v>763664</v>
      </c>
      <c r="W305" s="6">
        <v>304068</v>
      </c>
      <c r="Y305" s="6">
        <v>0</v>
      </c>
      <c r="AA305" s="6">
        <v>627659</v>
      </c>
      <c r="AC305" s="6">
        <v>371025</v>
      </c>
      <c r="AE305" s="6">
        <v>53871</v>
      </c>
      <c r="AG305" s="6">
        <v>465074</v>
      </c>
      <c r="AI305" s="6">
        <v>0</v>
      </c>
      <c r="AJ305" s="11" t="s">
        <v>766</v>
      </c>
      <c r="AK305" s="11"/>
      <c r="AL305" s="11" t="s">
        <v>112</v>
      </c>
      <c r="AN305" s="6">
        <v>372298</v>
      </c>
      <c r="AP305" s="6">
        <v>146903</v>
      </c>
      <c r="AR305" s="6">
        <v>0</v>
      </c>
      <c r="AT305" s="6">
        <v>317248</v>
      </c>
      <c r="AV305" s="6">
        <v>316892</v>
      </c>
      <c r="AX305" s="6">
        <v>0</v>
      </c>
      <c r="AZ305" s="7">
        <f t="shared" si="42"/>
        <v>10846688</v>
      </c>
      <c r="BB305" s="6">
        <v>0</v>
      </c>
      <c r="BD305" s="6">
        <v>0</v>
      </c>
      <c r="BF305" s="6">
        <v>0</v>
      </c>
      <c r="BH305" s="6">
        <v>0</v>
      </c>
      <c r="BJ305" s="7">
        <f t="shared" si="45"/>
        <v>10846688</v>
      </c>
      <c r="BL305" s="7">
        <f>'Gov Fd Rev'!AO305-'Gov Fd Exp'!BJ305</f>
        <v>-211486</v>
      </c>
      <c r="BN305" s="6">
        <v>4520900</v>
      </c>
      <c r="BP305" s="6">
        <v>0</v>
      </c>
      <c r="BR305" s="6">
        <v>0</v>
      </c>
      <c r="BT305" s="7">
        <f t="shared" si="44"/>
        <v>4309414</v>
      </c>
      <c r="BU305" s="7"/>
      <c r="BV305" s="7">
        <f>BT305-'Gov Fd BS'!AC305</f>
        <v>0</v>
      </c>
      <c r="BW305" s="7"/>
    </row>
    <row r="306" spans="1:75">
      <c r="A306" s="11" t="s">
        <v>545</v>
      </c>
      <c r="B306" s="11"/>
      <c r="C306" s="11" t="s">
        <v>69</v>
      </c>
      <c r="E306" s="6">
        <v>12300313</v>
      </c>
      <c r="G306" s="6">
        <v>4419916</v>
      </c>
      <c r="I306" s="6">
        <v>0</v>
      </c>
      <c r="K306" s="6">
        <v>0</v>
      </c>
      <c r="M306" s="6">
        <v>2903905</v>
      </c>
      <c r="O306" s="6">
        <v>1253758</v>
      </c>
      <c r="Q306" s="6">
        <v>527860</v>
      </c>
      <c r="S306" s="6">
        <v>21763</v>
      </c>
      <c r="U306" s="6">
        <v>1936199</v>
      </c>
      <c r="W306" s="6">
        <v>573800</v>
      </c>
      <c r="Y306" s="6">
        <v>180312</v>
      </c>
      <c r="AA306" s="6">
        <v>2914918</v>
      </c>
      <c r="AC306" s="6">
        <v>2803687</v>
      </c>
      <c r="AE306" s="6">
        <v>582952</v>
      </c>
      <c r="AG306" s="6">
        <v>0</v>
      </c>
      <c r="AI306" s="6">
        <v>1266665</v>
      </c>
      <c r="AJ306" s="11" t="s">
        <v>545</v>
      </c>
      <c r="AK306" s="11"/>
      <c r="AL306" s="11" t="s">
        <v>69</v>
      </c>
      <c r="AN306" s="6">
        <v>433345</v>
      </c>
      <c r="AP306" s="6">
        <v>434523</v>
      </c>
      <c r="AR306" s="6">
        <v>0</v>
      </c>
      <c r="AT306" s="6">
        <v>2633051</v>
      </c>
      <c r="AV306" s="6">
        <v>2653507</v>
      </c>
      <c r="AX306" s="6">
        <v>0</v>
      </c>
      <c r="AZ306" s="7">
        <f t="shared" si="42"/>
        <v>37840474</v>
      </c>
      <c r="BB306" s="6">
        <v>0</v>
      </c>
      <c r="BD306" s="6">
        <v>0</v>
      </c>
      <c r="BF306" s="6">
        <v>0</v>
      </c>
      <c r="BH306" s="6">
        <v>0</v>
      </c>
      <c r="BJ306" s="7">
        <f t="shared" si="45"/>
        <v>37840474</v>
      </c>
      <c r="BL306" s="7">
        <f>'Gov Fd Rev'!AO306-'Gov Fd Exp'!BJ306</f>
        <v>5003588</v>
      </c>
      <c r="BN306" s="6">
        <v>624439</v>
      </c>
      <c r="BP306" s="6">
        <v>0</v>
      </c>
      <c r="BR306" s="6">
        <v>0</v>
      </c>
      <c r="BT306" s="7">
        <f t="shared" si="44"/>
        <v>5628027</v>
      </c>
      <c r="BU306" s="7"/>
      <c r="BV306" s="7">
        <f>BT306-'Gov Fd BS'!AC306</f>
        <v>0</v>
      </c>
      <c r="BW306" s="7"/>
    </row>
    <row r="307" spans="1:75" hidden="1">
      <c r="A307" s="11" t="s">
        <v>800</v>
      </c>
      <c r="B307" s="11"/>
      <c r="C307" s="11" t="s">
        <v>32</v>
      </c>
      <c r="E307" s="6">
        <v>0</v>
      </c>
      <c r="G307" s="6">
        <v>0</v>
      </c>
      <c r="I307" s="6">
        <v>0</v>
      </c>
      <c r="K307" s="6">
        <v>0</v>
      </c>
      <c r="M307" s="6">
        <v>0</v>
      </c>
      <c r="O307" s="6">
        <v>0</v>
      </c>
      <c r="Q307" s="6">
        <v>0</v>
      </c>
      <c r="S307" s="6">
        <v>0</v>
      </c>
      <c r="U307" s="6">
        <v>0</v>
      </c>
      <c r="W307" s="6">
        <v>0</v>
      </c>
      <c r="Y307" s="6">
        <v>0</v>
      </c>
      <c r="AA307" s="6">
        <v>0</v>
      </c>
      <c r="AC307" s="6">
        <v>0</v>
      </c>
      <c r="AE307" s="6">
        <v>0</v>
      </c>
      <c r="AG307" s="6">
        <v>0</v>
      </c>
      <c r="AI307" s="6">
        <v>0</v>
      </c>
      <c r="AJ307" s="11" t="s">
        <v>800</v>
      </c>
      <c r="AK307" s="11"/>
      <c r="AL307" s="11" t="s">
        <v>32</v>
      </c>
      <c r="AN307" s="6">
        <v>0</v>
      </c>
      <c r="AP307" s="6">
        <v>0</v>
      </c>
      <c r="AR307" s="6">
        <v>0</v>
      </c>
      <c r="AT307" s="6">
        <v>0</v>
      </c>
      <c r="AV307" s="6">
        <v>0</v>
      </c>
      <c r="AZ307" s="7">
        <f t="shared" si="42"/>
        <v>0</v>
      </c>
      <c r="BD307" s="6">
        <v>0</v>
      </c>
      <c r="BF307" s="6">
        <v>0</v>
      </c>
      <c r="BH307" s="6">
        <v>0</v>
      </c>
      <c r="BJ307" s="7">
        <f t="shared" si="43"/>
        <v>0</v>
      </c>
      <c r="BL307" s="7">
        <f>'Gov Fd Rev'!AO307-'Gov Fd Exp'!BJ307</f>
        <v>0</v>
      </c>
      <c r="BR307" s="6">
        <v>0</v>
      </c>
      <c r="BT307" s="7">
        <f t="shared" si="44"/>
        <v>0</v>
      </c>
      <c r="BU307" s="7"/>
      <c r="BV307" s="7">
        <f>BT307-'Gov Fd BS'!AC307</f>
        <v>0</v>
      </c>
      <c r="BW307" s="7"/>
    </row>
    <row r="308" spans="1:75">
      <c r="A308" s="11" t="s">
        <v>453</v>
      </c>
      <c r="B308" s="11"/>
      <c r="C308" s="11" t="s">
        <v>54</v>
      </c>
      <c r="E308" s="6">
        <v>9230613</v>
      </c>
      <c r="G308" s="6">
        <v>2109782</v>
      </c>
      <c r="I308" s="6">
        <v>13674</v>
      </c>
      <c r="K308" s="6">
        <v>0</v>
      </c>
      <c r="M308" s="6">
        <v>154179</v>
      </c>
      <c r="O308" s="6">
        <v>881997</v>
      </c>
      <c r="Q308" s="6">
        <v>696232</v>
      </c>
      <c r="S308" s="6">
        <v>80677</v>
      </c>
      <c r="U308" s="6">
        <v>1363426</v>
      </c>
      <c r="W308" s="6">
        <v>521852</v>
      </c>
      <c r="Y308" s="6">
        <v>0</v>
      </c>
      <c r="AA308" s="6">
        <v>1879128</v>
      </c>
      <c r="AC308" s="6">
        <v>1784650</v>
      </c>
      <c r="AE308" s="6">
        <v>464943</v>
      </c>
      <c r="AG308" s="6">
        <v>924365</v>
      </c>
      <c r="AI308" s="6">
        <v>0</v>
      </c>
      <c r="AJ308" s="11" t="s">
        <v>453</v>
      </c>
      <c r="AK308" s="11"/>
      <c r="AL308" s="11" t="s">
        <v>54</v>
      </c>
      <c r="AN308" s="6">
        <v>546858</v>
      </c>
      <c r="AP308" s="6">
        <v>381363</v>
      </c>
      <c r="AR308" s="6">
        <v>0</v>
      </c>
      <c r="AT308" s="6">
        <v>0</v>
      </c>
      <c r="AV308" s="6">
        <v>0</v>
      </c>
      <c r="AX308" s="6">
        <v>0</v>
      </c>
      <c r="AZ308" s="7">
        <f t="shared" si="42"/>
        <v>21033739</v>
      </c>
      <c r="BB308" s="6">
        <v>0</v>
      </c>
      <c r="BD308" s="6">
        <v>0</v>
      </c>
      <c r="BF308" s="6">
        <v>0</v>
      </c>
      <c r="BH308" s="6">
        <v>0</v>
      </c>
      <c r="BJ308" s="7">
        <f t="shared" si="43"/>
        <v>21033739</v>
      </c>
      <c r="BL308" s="7">
        <f>'Gov Fd Rev'!AO308-'Gov Fd Exp'!BJ308</f>
        <v>-475391</v>
      </c>
      <c r="BN308" s="6">
        <v>8605670</v>
      </c>
      <c r="BP308" s="6">
        <v>0</v>
      </c>
      <c r="BR308" s="6">
        <v>0</v>
      </c>
      <c r="BT308" s="7">
        <f t="shared" si="44"/>
        <v>8130279</v>
      </c>
      <c r="BU308" s="7"/>
      <c r="BV308" s="7">
        <f>BT308-'Gov Fd BS'!AC308</f>
        <v>0</v>
      </c>
      <c r="BW308" s="7"/>
    </row>
    <row r="309" spans="1:75">
      <c r="A309" s="11" t="s">
        <v>352</v>
      </c>
      <c r="B309" s="11"/>
      <c r="C309" s="11" t="s">
        <v>35</v>
      </c>
      <c r="E309" s="6">
        <v>15811796</v>
      </c>
      <c r="G309" s="6">
        <v>5670181</v>
      </c>
      <c r="I309" s="6">
        <v>499171</v>
      </c>
      <c r="K309" s="6">
        <v>0</v>
      </c>
      <c r="M309" s="6">
        <v>6736</v>
      </c>
      <c r="O309" s="6">
        <v>2686601</v>
      </c>
      <c r="Q309" s="6">
        <v>2919165</v>
      </c>
      <c r="S309" s="6">
        <v>96335</v>
      </c>
      <c r="U309" s="6">
        <v>3114013</v>
      </c>
      <c r="W309" s="6">
        <v>916453</v>
      </c>
      <c r="Y309" s="6">
        <v>0</v>
      </c>
      <c r="AA309" s="6">
        <v>3552432</v>
      </c>
      <c r="AC309" s="6">
        <v>3117827</v>
      </c>
      <c r="AE309" s="6">
        <v>69088</v>
      </c>
      <c r="AG309" s="6">
        <v>0</v>
      </c>
      <c r="AI309" s="6">
        <v>133747</v>
      </c>
      <c r="AJ309" s="11" t="s">
        <v>352</v>
      </c>
      <c r="AK309" s="11"/>
      <c r="AL309" s="11" t="s">
        <v>35</v>
      </c>
      <c r="AN309" s="6">
        <v>698091</v>
      </c>
      <c r="AP309" s="6">
        <v>347022</v>
      </c>
      <c r="AR309" s="6">
        <v>0</v>
      </c>
      <c r="AT309" s="6">
        <v>1390777</v>
      </c>
      <c r="AV309" s="6">
        <v>1900011</v>
      </c>
      <c r="AX309" s="6">
        <v>0</v>
      </c>
      <c r="AZ309" s="7">
        <f t="shared" si="42"/>
        <v>42929446</v>
      </c>
      <c r="BB309" s="6">
        <v>95739</v>
      </c>
      <c r="BD309" s="6">
        <v>0</v>
      </c>
      <c r="BF309" s="6">
        <v>0</v>
      </c>
      <c r="BH309" s="6">
        <v>0</v>
      </c>
      <c r="BJ309" s="7">
        <f t="shared" si="43"/>
        <v>43025185</v>
      </c>
      <c r="BL309" s="7">
        <f>'Gov Fd Rev'!AO309-'Gov Fd Exp'!BJ309</f>
        <v>-2221843</v>
      </c>
      <c r="BN309" s="6">
        <v>16373514</v>
      </c>
      <c r="BP309" s="6">
        <v>-17615</v>
      </c>
      <c r="BR309" s="6">
        <v>0</v>
      </c>
      <c r="BT309" s="7">
        <f t="shared" si="44"/>
        <v>14134056</v>
      </c>
      <c r="BU309" s="7"/>
      <c r="BV309" s="7">
        <f>BT309-'Gov Fd BS'!AC309</f>
        <v>0</v>
      </c>
      <c r="BW309" s="7"/>
    </row>
    <row r="310" spans="1:75">
      <c r="A310" s="11" t="s">
        <v>400</v>
      </c>
      <c r="B310" s="11"/>
      <c r="C310" s="11" t="s">
        <v>398</v>
      </c>
      <c r="E310" s="6">
        <v>8974078</v>
      </c>
      <c r="G310" s="6">
        <v>2743299</v>
      </c>
      <c r="I310" s="6">
        <v>292870</v>
      </c>
      <c r="K310" s="6">
        <v>40980</v>
      </c>
      <c r="M310" s="6">
        <v>1154</v>
      </c>
      <c r="O310" s="6">
        <v>1138545</v>
      </c>
      <c r="Q310" s="6">
        <v>848486</v>
      </c>
      <c r="S310" s="6">
        <v>97692</v>
      </c>
      <c r="U310" s="6">
        <v>1555995</v>
      </c>
      <c r="W310" s="6">
        <v>592156</v>
      </c>
      <c r="Y310" s="6">
        <v>28554</v>
      </c>
      <c r="AA310" s="6">
        <v>2003495</v>
      </c>
      <c r="AC310" s="6">
        <v>755423</v>
      </c>
      <c r="AE310" s="6">
        <v>338012</v>
      </c>
      <c r="AG310" s="6">
        <v>663269</v>
      </c>
      <c r="AI310" s="6">
        <v>157975</v>
      </c>
      <c r="AJ310" s="11" t="s">
        <v>400</v>
      </c>
      <c r="AK310" s="11"/>
      <c r="AL310" s="11" t="s">
        <v>398</v>
      </c>
      <c r="AN310" s="6">
        <v>579053</v>
      </c>
      <c r="AP310" s="6">
        <v>3126168</v>
      </c>
      <c r="AR310" s="6">
        <v>0</v>
      </c>
      <c r="AT310" s="6">
        <v>2098941</v>
      </c>
      <c r="AV310" s="6">
        <f>664290+37790</f>
        <v>702080</v>
      </c>
      <c r="AX310" s="6">
        <v>0</v>
      </c>
      <c r="AZ310" s="7">
        <f t="shared" si="42"/>
        <v>26738225</v>
      </c>
      <c r="BB310" s="6">
        <v>773</v>
      </c>
      <c r="BD310" s="6">
        <v>0</v>
      </c>
      <c r="BF310" s="6">
        <v>0</v>
      </c>
      <c r="BH310" s="6">
        <v>4269200</v>
      </c>
      <c r="BJ310" s="7">
        <f t="shared" si="43"/>
        <v>31008198</v>
      </c>
      <c r="BL310" s="7">
        <f>'Gov Fd Rev'!AO310-'Gov Fd Exp'!BJ310</f>
        <v>-634954</v>
      </c>
      <c r="BN310" s="6">
        <v>8442432</v>
      </c>
      <c r="BP310" s="6">
        <v>0</v>
      </c>
      <c r="BR310" s="6">
        <v>0</v>
      </c>
      <c r="BT310" s="7">
        <f t="shared" si="44"/>
        <v>7807478</v>
      </c>
      <c r="BU310" s="7"/>
      <c r="BV310" s="7">
        <f>BT310-'Gov Fd BS'!AC310</f>
        <v>0</v>
      </c>
      <c r="BW310" s="7"/>
    </row>
    <row r="311" spans="1:75">
      <c r="A311" s="11" t="s">
        <v>386</v>
      </c>
      <c r="B311" s="11"/>
      <c r="C311" s="11" t="s">
        <v>44</v>
      </c>
      <c r="E311" s="6">
        <v>34849550</v>
      </c>
      <c r="G311" s="6">
        <v>9789076</v>
      </c>
      <c r="I311" s="6">
        <v>2775443</v>
      </c>
      <c r="K311" s="6">
        <v>0</v>
      </c>
      <c r="M311" s="6">
        <v>19156535</v>
      </c>
      <c r="O311" s="6">
        <v>4616990</v>
      </c>
      <c r="Q311" s="6">
        <v>7915765</v>
      </c>
      <c r="S311" s="6">
        <v>330965</v>
      </c>
      <c r="U311" s="6">
        <v>6114810</v>
      </c>
      <c r="W311" s="6">
        <v>1347084</v>
      </c>
      <c r="Y311" s="6">
        <v>383985</v>
      </c>
      <c r="AA311" s="6">
        <v>7520414</v>
      </c>
      <c r="AC311" s="6">
        <v>2822907</v>
      </c>
      <c r="AE311" s="6">
        <v>1689057</v>
      </c>
      <c r="AG311" s="6">
        <v>4168542</v>
      </c>
      <c r="AI311" s="6">
        <v>885727</v>
      </c>
      <c r="AJ311" s="11" t="s">
        <v>386</v>
      </c>
      <c r="AK311" s="11"/>
      <c r="AL311" s="11" t="s">
        <v>44</v>
      </c>
      <c r="AN311" s="6">
        <v>1433030</v>
      </c>
      <c r="AP311" s="6">
        <v>3798711</v>
      </c>
      <c r="AR311" s="6">
        <v>0</v>
      </c>
      <c r="AT311" s="6">
        <v>1435000</v>
      </c>
      <c r="AV311" s="6">
        <f>1501189+151378</f>
        <v>1652567</v>
      </c>
      <c r="AX311" s="6">
        <v>0</v>
      </c>
      <c r="AZ311" s="7">
        <f t="shared" si="42"/>
        <v>112686158</v>
      </c>
      <c r="BB311" s="6">
        <v>379685</v>
      </c>
      <c r="BD311" s="6">
        <v>0</v>
      </c>
      <c r="BF311" s="6">
        <v>0</v>
      </c>
      <c r="BH311" s="6">
        <v>9846557</v>
      </c>
      <c r="BJ311" s="7">
        <f t="shared" si="43"/>
        <v>122912400</v>
      </c>
      <c r="BL311" s="7">
        <f>'Gov Fd Rev'!AO311-'Gov Fd Exp'!BJ311</f>
        <v>-1757181</v>
      </c>
      <c r="BN311" s="6">
        <v>55888324</v>
      </c>
      <c r="BP311" s="6">
        <v>0</v>
      </c>
      <c r="BR311" s="6">
        <v>0</v>
      </c>
      <c r="BT311" s="7">
        <f t="shared" si="44"/>
        <v>54131143</v>
      </c>
      <c r="BU311" s="7"/>
      <c r="BV311" s="7">
        <f>BT311-'Gov Fd BS'!AC311</f>
        <v>0</v>
      </c>
      <c r="BW311" s="7"/>
    </row>
    <row r="312" spans="1:75">
      <c r="A312" s="11" t="s">
        <v>527</v>
      </c>
      <c r="B312" s="11"/>
      <c r="C312" s="11" t="s">
        <v>64</v>
      </c>
      <c r="E312" s="6">
        <v>2820356</v>
      </c>
      <c r="G312" s="6">
        <v>690655</v>
      </c>
      <c r="I312" s="6">
        <v>23717</v>
      </c>
      <c r="K312" s="6">
        <v>0</v>
      </c>
      <c r="M312" s="6">
        <v>286095</v>
      </c>
      <c r="O312" s="6">
        <v>141627</v>
      </c>
      <c r="Q312" s="6">
        <v>110913</v>
      </c>
      <c r="S312" s="6">
        <v>120982</v>
      </c>
      <c r="U312" s="6">
        <v>455442</v>
      </c>
      <c r="W312" s="6">
        <v>318923</v>
      </c>
      <c r="Y312" s="6">
        <v>21769</v>
      </c>
      <c r="AA312" s="6">
        <v>1088798</v>
      </c>
      <c r="AC312" s="6">
        <v>240197</v>
      </c>
      <c r="AE312" s="6">
        <v>0</v>
      </c>
      <c r="AG312" s="6">
        <v>168762</v>
      </c>
      <c r="AI312" s="6">
        <v>0</v>
      </c>
      <c r="AJ312" s="11" t="s">
        <v>527</v>
      </c>
      <c r="AK312" s="11"/>
      <c r="AL312" s="11" t="s">
        <v>64</v>
      </c>
      <c r="AN312" s="6">
        <v>223646</v>
      </c>
      <c r="AP312" s="6">
        <v>0</v>
      </c>
      <c r="AR312" s="6">
        <v>0</v>
      </c>
      <c r="AT312" s="6">
        <v>143316</v>
      </c>
      <c r="AV312" s="6">
        <v>114198</v>
      </c>
      <c r="AX312" s="6">
        <v>0</v>
      </c>
      <c r="AZ312" s="7">
        <f t="shared" si="42"/>
        <v>6969396</v>
      </c>
      <c r="BB312" s="6">
        <v>47000</v>
      </c>
      <c r="BD312" s="6">
        <v>0</v>
      </c>
      <c r="BF312" s="6">
        <v>0</v>
      </c>
      <c r="BH312" s="6">
        <v>0</v>
      </c>
      <c r="BJ312" s="7">
        <f t="shared" si="43"/>
        <v>7016396</v>
      </c>
      <c r="BL312" s="7">
        <f>'Gov Fd Rev'!AO312-'Gov Fd Exp'!BJ312</f>
        <v>73704</v>
      </c>
      <c r="BN312" s="6">
        <v>253620</v>
      </c>
      <c r="BP312" s="6">
        <v>0</v>
      </c>
      <c r="BR312" s="6">
        <v>0</v>
      </c>
      <c r="BT312" s="7">
        <f t="shared" si="44"/>
        <v>327324</v>
      </c>
      <c r="BU312" s="7"/>
      <c r="BV312" s="7">
        <f>BT312-'Gov Fd BS'!AC312</f>
        <v>0</v>
      </c>
      <c r="BW312" s="7"/>
    </row>
    <row r="313" spans="1:75">
      <c r="A313" s="11" t="s">
        <v>683</v>
      </c>
      <c r="B313" s="11"/>
      <c r="C313" s="11" t="s">
        <v>11</v>
      </c>
      <c r="E313" s="6">
        <v>5006691</v>
      </c>
      <c r="G313" s="6">
        <v>1444876</v>
      </c>
      <c r="I313" s="6">
        <v>259503</v>
      </c>
      <c r="K313" s="6">
        <v>0</v>
      </c>
      <c r="M313" s="6">
        <v>1143863</v>
      </c>
      <c r="O313" s="6">
        <v>624354</v>
      </c>
      <c r="Q313" s="6">
        <v>938073</v>
      </c>
      <c r="S313" s="6">
        <v>23649</v>
      </c>
      <c r="U313" s="6">
        <v>1068090</v>
      </c>
      <c r="W313" s="6">
        <v>398380</v>
      </c>
      <c r="Y313" s="6">
        <v>7083</v>
      </c>
      <c r="AA313" s="6">
        <v>946350</v>
      </c>
      <c r="AC313" s="6">
        <v>659218</v>
      </c>
      <c r="AE313" s="6">
        <v>117611</v>
      </c>
      <c r="AG313" s="6">
        <v>485074</v>
      </c>
      <c r="AI313" s="6">
        <v>18655</v>
      </c>
      <c r="AJ313" s="11" t="s">
        <v>683</v>
      </c>
      <c r="AK313" s="11"/>
      <c r="AL313" s="11" t="s">
        <v>11</v>
      </c>
      <c r="AN313" s="6">
        <v>427018</v>
      </c>
      <c r="AP313" s="6">
        <v>220785</v>
      </c>
      <c r="AR313" s="6">
        <v>0</v>
      </c>
      <c r="AT313" s="6">
        <v>67159</v>
      </c>
      <c r="AV313" s="6">
        <v>43329</v>
      </c>
      <c r="AX313" s="6">
        <v>0</v>
      </c>
      <c r="AZ313" s="7">
        <f t="shared" si="42"/>
        <v>13899761</v>
      </c>
      <c r="BB313" s="6">
        <v>0</v>
      </c>
      <c r="BD313" s="6">
        <v>0</v>
      </c>
      <c r="BF313" s="6">
        <v>0</v>
      </c>
      <c r="BH313" s="6">
        <v>0</v>
      </c>
      <c r="BJ313" s="7">
        <f t="shared" si="43"/>
        <v>13899761</v>
      </c>
      <c r="BL313" s="7">
        <f>'Gov Fd Rev'!AO313-'Gov Fd Exp'!BJ313</f>
        <v>-582824</v>
      </c>
      <c r="BN313" s="6">
        <v>3858287</v>
      </c>
      <c r="BP313" s="6">
        <v>0</v>
      </c>
      <c r="BR313" s="6">
        <v>0</v>
      </c>
      <c r="BT313" s="7">
        <f t="shared" si="44"/>
        <v>3275463</v>
      </c>
      <c r="BU313" s="7"/>
      <c r="BV313" s="7">
        <f>BT313-'Gov Fd BS'!AC313</f>
        <v>0</v>
      </c>
      <c r="BW313" s="7"/>
    </row>
    <row r="314" spans="1:75">
      <c r="A314" s="11" t="s">
        <v>499</v>
      </c>
      <c r="B314" s="11"/>
      <c r="C314" s="11" t="s">
        <v>62</v>
      </c>
      <c r="E314" s="6">
        <v>12617622</v>
      </c>
      <c r="G314" s="6">
        <v>3252713</v>
      </c>
      <c r="I314" s="6">
        <v>388415</v>
      </c>
      <c r="K314" s="6">
        <v>0</v>
      </c>
      <c r="M314" s="6">
        <v>1009132</v>
      </c>
      <c r="O314" s="6">
        <v>1612852</v>
      </c>
      <c r="Q314" s="6">
        <v>865204</v>
      </c>
      <c r="S314" s="6">
        <v>65987</v>
      </c>
      <c r="U314" s="6">
        <v>1929843</v>
      </c>
      <c r="W314" s="6">
        <v>560788</v>
      </c>
      <c r="Y314" s="6">
        <v>117336</v>
      </c>
      <c r="AA314" s="6">
        <v>2719310</v>
      </c>
      <c r="AC314" s="6">
        <v>1188726</v>
      </c>
      <c r="AE314" s="6">
        <v>99370</v>
      </c>
      <c r="AG314" s="6">
        <v>0</v>
      </c>
      <c r="AI314" s="6">
        <v>1668565</v>
      </c>
      <c r="AJ314" s="11" t="s">
        <v>499</v>
      </c>
      <c r="AK314" s="11"/>
      <c r="AL314" s="11" t="s">
        <v>62</v>
      </c>
      <c r="AN314" s="6">
        <v>925330</v>
      </c>
      <c r="AP314" s="6">
        <v>18379935</v>
      </c>
      <c r="AR314" s="6">
        <v>0</v>
      </c>
      <c r="AT314" s="6">
        <v>970201</v>
      </c>
      <c r="AV314" s="6">
        <v>1140357</v>
      </c>
      <c r="AX314" s="6">
        <v>0</v>
      </c>
      <c r="AZ314" s="7">
        <f t="shared" si="42"/>
        <v>49511686</v>
      </c>
      <c r="BB314" s="6">
        <v>57250</v>
      </c>
      <c r="BD314" s="6">
        <v>0</v>
      </c>
      <c r="BF314" s="6">
        <v>0</v>
      </c>
      <c r="BH314" s="6">
        <v>0</v>
      </c>
      <c r="BJ314" s="7">
        <f t="shared" si="43"/>
        <v>49568936</v>
      </c>
      <c r="BL314" s="7">
        <f>'Gov Fd Rev'!AO314-'Gov Fd Exp'!BJ314</f>
        <v>-19752289</v>
      </c>
      <c r="BN314" s="6">
        <v>24346007</v>
      </c>
      <c r="BP314" s="6">
        <v>0</v>
      </c>
      <c r="BR314" s="6">
        <v>0</v>
      </c>
      <c r="BT314" s="7">
        <f t="shared" si="44"/>
        <v>4593718</v>
      </c>
      <c r="BU314" s="7"/>
      <c r="BV314" s="7">
        <f>BT314-'Gov Fd BS'!AC314</f>
        <v>0</v>
      </c>
      <c r="BW314" s="7"/>
    </row>
    <row r="315" spans="1:75">
      <c r="A315" s="11" t="s">
        <v>324</v>
      </c>
      <c r="B315" s="11"/>
      <c r="C315" s="11" t="s">
        <v>32</v>
      </c>
      <c r="E315" s="6">
        <v>20585311</v>
      </c>
      <c r="G315" s="6">
        <v>5614080</v>
      </c>
      <c r="I315" s="6">
        <v>153905</v>
      </c>
      <c r="K315" s="6">
        <v>0</v>
      </c>
      <c r="M315" s="6">
        <v>889910</v>
      </c>
      <c r="O315" s="6">
        <v>2406590</v>
      </c>
      <c r="Q315" s="6">
        <v>1393787</v>
      </c>
      <c r="S315" s="6">
        <v>85230</v>
      </c>
      <c r="U315" s="6">
        <v>3524771</v>
      </c>
      <c r="W315" s="6">
        <v>1063782</v>
      </c>
      <c r="Y315" s="6">
        <v>239824</v>
      </c>
      <c r="AA315" s="6">
        <v>3211549</v>
      </c>
      <c r="AC315" s="6">
        <v>3232915</v>
      </c>
      <c r="AE315" s="6">
        <v>845453</v>
      </c>
      <c r="AG315" s="6">
        <v>0</v>
      </c>
      <c r="AI315" s="6">
        <v>2190368</v>
      </c>
      <c r="AJ315" s="11" t="s">
        <v>324</v>
      </c>
      <c r="AK315" s="11"/>
      <c r="AL315" s="11" t="s">
        <v>32</v>
      </c>
      <c r="AN315" s="6">
        <v>1253095</v>
      </c>
      <c r="AP315" s="6">
        <v>781116</v>
      </c>
      <c r="AR315" s="6">
        <v>0</v>
      </c>
      <c r="AT315" s="6">
        <v>1443641</v>
      </c>
      <c r="AV315" s="6">
        <v>1661590</v>
      </c>
      <c r="AX315" s="6">
        <v>0</v>
      </c>
      <c r="AZ315" s="7">
        <f t="shared" si="42"/>
        <v>50576917</v>
      </c>
      <c r="BB315" s="6">
        <v>0</v>
      </c>
      <c r="BD315" s="6">
        <v>0</v>
      </c>
      <c r="BF315" s="6">
        <v>0</v>
      </c>
      <c r="BH315" s="6">
        <v>0</v>
      </c>
      <c r="BJ315" s="7">
        <f t="shared" si="43"/>
        <v>50576917</v>
      </c>
      <c r="BL315" s="7">
        <f>'Gov Fd Rev'!AO315-'Gov Fd Exp'!BJ315</f>
        <v>-3954933</v>
      </c>
      <c r="BN315" s="6">
        <v>11315897</v>
      </c>
      <c r="BP315" s="6">
        <v>0</v>
      </c>
      <c r="BR315" s="6">
        <v>0</v>
      </c>
      <c r="BT315" s="7">
        <f t="shared" si="44"/>
        <v>7360964</v>
      </c>
      <c r="BU315" s="7"/>
      <c r="BV315" s="7">
        <f>BT315-'Gov Fd BS'!AC315</f>
        <v>0</v>
      </c>
      <c r="BW315" s="7"/>
    </row>
    <row r="316" spans="1:75">
      <c r="A316" s="11" t="s">
        <v>684</v>
      </c>
      <c r="B316" s="11"/>
      <c r="C316" s="11" t="s">
        <v>45</v>
      </c>
      <c r="E316" s="6">
        <v>2576760</v>
      </c>
      <c r="G316" s="6">
        <v>309218</v>
      </c>
      <c r="I316" s="6">
        <v>32781</v>
      </c>
      <c r="K316" s="6">
        <v>49</v>
      </c>
      <c r="M316" s="6">
        <v>0</v>
      </c>
      <c r="O316" s="6">
        <v>136997</v>
      </c>
      <c r="Q316" s="6">
        <v>310860</v>
      </c>
      <c r="S316" s="6">
        <v>18458</v>
      </c>
      <c r="U316" s="6">
        <v>534167</v>
      </c>
      <c r="W316" s="6">
        <v>155287</v>
      </c>
      <c r="Y316" s="6">
        <v>0</v>
      </c>
      <c r="AA316" s="6">
        <v>505857</v>
      </c>
      <c r="AC316" s="6">
        <v>127127</v>
      </c>
      <c r="AE316" s="6">
        <v>115334</v>
      </c>
      <c r="AG316" s="6">
        <v>258881</v>
      </c>
      <c r="AI316" s="6">
        <v>11647</v>
      </c>
      <c r="AJ316" s="11" t="s">
        <v>684</v>
      </c>
      <c r="AK316" s="11"/>
      <c r="AL316" s="11" t="s">
        <v>45</v>
      </c>
      <c r="AN316" s="6">
        <v>319984</v>
      </c>
      <c r="AP316" s="6">
        <v>0</v>
      </c>
      <c r="AR316" s="6">
        <v>0</v>
      </c>
      <c r="AT316" s="6">
        <v>80000</v>
      </c>
      <c r="AV316" s="6">
        <v>85550</v>
      </c>
      <c r="AX316" s="6">
        <v>0</v>
      </c>
      <c r="AZ316" s="7">
        <f t="shared" si="42"/>
        <v>5578957</v>
      </c>
      <c r="BB316" s="6">
        <v>468058</v>
      </c>
      <c r="BD316" s="6">
        <v>0</v>
      </c>
      <c r="BF316" s="6">
        <v>0</v>
      </c>
      <c r="BH316" s="6">
        <v>0</v>
      </c>
      <c r="BJ316" s="7">
        <f t="shared" si="43"/>
        <v>6047015</v>
      </c>
      <c r="BL316" s="7">
        <f>'Gov Fd Rev'!AO316-'Gov Fd Exp'!BJ316</f>
        <v>251346</v>
      </c>
      <c r="BN316" s="6">
        <v>3906127</v>
      </c>
      <c r="BP316" s="6">
        <v>0</v>
      </c>
      <c r="BR316" s="6">
        <v>0</v>
      </c>
      <c r="BT316" s="7">
        <f t="shared" si="44"/>
        <v>4157473</v>
      </c>
      <c r="BU316" s="7"/>
      <c r="BV316" s="7">
        <f>BT316-'Gov Fd BS'!AC316</f>
        <v>0</v>
      </c>
      <c r="BW316" s="7"/>
    </row>
    <row r="317" spans="1:75">
      <c r="A317" s="11" t="s">
        <v>801</v>
      </c>
      <c r="B317" s="11"/>
      <c r="C317" s="11" t="s">
        <v>110</v>
      </c>
      <c r="E317" s="6">
        <v>1902272</v>
      </c>
      <c r="G317" s="6">
        <v>455780</v>
      </c>
      <c r="I317" s="6">
        <v>444</v>
      </c>
      <c r="K317" s="6">
        <v>0</v>
      </c>
      <c r="M317" s="6">
        <v>407379</v>
      </c>
      <c r="O317" s="6">
        <v>114510</v>
      </c>
      <c r="Q317" s="6">
        <v>382516</v>
      </c>
      <c r="S317" s="6">
        <v>37279</v>
      </c>
      <c r="U317" s="6">
        <v>539031</v>
      </c>
      <c r="W317" s="6">
        <v>258743</v>
      </c>
      <c r="Y317" s="6">
        <v>0</v>
      </c>
      <c r="AA317" s="6">
        <v>546425</v>
      </c>
      <c r="AC317" s="6">
        <v>356845</v>
      </c>
      <c r="AE317" s="6">
        <v>41087</v>
      </c>
      <c r="AG317" s="6">
        <v>224501</v>
      </c>
      <c r="AI317" s="6">
        <v>1269</v>
      </c>
      <c r="AJ317" s="11" t="s">
        <v>801</v>
      </c>
      <c r="AK317" s="11"/>
      <c r="AL317" s="11" t="s">
        <v>110</v>
      </c>
      <c r="AN317" s="6">
        <v>219201</v>
      </c>
      <c r="AP317" s="6">
        <v>0</v>
      </c>
      <c r="AR317" s="6">
        <v>0</v>
      </c>
      <c r="AT317" s="6">
        <v>36000</v>
      </c>
      <c r="AV317" s="6">
        <v>13688</v>
      </c>
      <c r="AX317" s="6">
        <v>0</v>
      </c>
      <c r="AZ317" s="7">
        <f t="shared" si="42"/>
        <v>5536970</v>
      </c>
      <c r="BB317" s="6">
        <v>110000</v>
      </c>
      <c r="BD317" s="6">
        <v>0</v>
      </c>
      <c r="BF317" s="6">
        <v>0</v>
      </c>
      <c r="BH317" s="6">
        <v>0</v>
      </c>
      <c r="BJ317" s="7">
        <f t="shared" si="43"/>
        <v>5646970</v>
      </c>
      <c r="BL317" s="7">
        <f>'Gov Fd Rev'!AO317-'Gov Fd Exp'!BJ317</f>
        <v>676308</v>
      </c>
      <c r="BN317" s="6">
        <v>3909849</v>
      </c>
      <c r="BP317" s="6">
        <v>0</v>
      </c>
      <c r="BR317" s="6">
        <v>0</v>
      </c>
      <c r="BT317" s="7">
        <f t="shared" si="44"/>
        <v>4586157</v>
      </c>
      <c r="BU317" s="7"/>
      <c r="BV317" s="7">
        <f>BT317-'Gov Fd BS'!AC317</f>
        <v>0</v>
      </c>
      <c r="BW317" s="7"/>
    </row>
    <row r="318" spans="1:75">
      <c r="A318" s="11" t="s">
        <v>351</v>
      </c>
      <c r="B318" s="11"/>
      <c r="C318" s="11" t="s">
        <v>348</v>
      </c>
      <c r="E318" s="6">
        <v>5548310</v>
      </c>
      <c r="G318" s="6">
        <v>1137830</v>
      </c>
      <c r="I318" s="6">
        <v>226780</v>
      </c>
      <c r="K318" s="6">
        <v>0</v>
      </c>
      <c r="M318" s="6">
        <v>4821</v>
      </c>
      <c r="O318" s="6">
        <v>443913</v>
      </c>
      <c r="Q318" s="6">
        <v>784368</v>
      </c>
      <c r="S318" s="6">
        <v>52204</v>
      </c>
      <c r="U318" s="6">
        <v>1030289</v>
      </c>
      <c r="W318" s="6">
        <v>340729</v>
      </c>
      <c r="Y318" s="6">
        <v>26672</v>
      </c>
      <c r="AA318" s="6">
        <v>1482983</v>
      </c>
      <c r="AC318" s="6">
        <v>781796</v>
      </c>
      <c r="AE318" s="6">
        <v>12000</v>
      </c>
      <c r="AG318" s="6">
        <v>560313</v>
      </c>
      <c r="AI318" s="6">
        <v>0</v>
      </c>
      <c r="AJ318" s="11" t="s">
        <v>351</v>
      </c>
      <c r="AK318" s="11"/>
      <c r="AL318" s="11" t="s">
        <v>348</v>
      </c>
      <c r="AN318" s="6">
        <v>242579</v>
      </c>
      <c r="AP318" s="6">
        <v>195303</v>
      </c>
      <c r="AR318" s="6">
        <v>0</v>
      </c>
      <c r="AT318" s="6">
        <v>135008</v>
      </c>
      <c r="AV318" s="6">
        <v>56806</v>
      </c>
      <c r="AX318" s="6">
        <v>0</v>
      </c>
      <c r="AZ318" s="7">
        <f t="shared" si="42"/>
        <v>13062704</v>
      </c>
      <c r="BB318" s="6">
        <v>97935</v>
      </c>
      <c r="BD318" s="6">
        <v>0</v>
      </c>
      <c r="BF318" s="6">
        <v>0</v>
      </c>
      <c r="BH318" s="6">
        <v>0</v>
      </c>
      <c r="BJ318" s="7">
        <f t="shared" si="43"/>
        <v>13160639</v>
      </c>
      <c r="BL318" s="7">
        <f>'Gov Fd Rev'!AO318-'Gov Fd Exp'!BJ318</f>
        <v>-107015</v>
      </c>
      <c r="BN318" s="6">
        <v>7998301</v>
      </c>
      <c r="BP318" s="6">
        <v>0</v>
      </c>
      <c r="BR318" s="6">
        <v>0</v>
      </c>
      <c r="BT318" s="7">
        <f t="shared" si="44"/>
        <v>7891286</v>
      </c>
      <c r="BU318" s="7"/>
      <c r="BV318" s="7">
        <f>BT318-'Gov Fd BS'!AC318</f>
        <v>0</v>
      </c>
      <c r="BW318" s="7"/>
    </row>
    <row r="319" spans="1:75">
      <c r="A319" s="11" t="s">
        <v>711</v>
      </c>
      <c r="B319" s="11"/>
      <c r="C319" s="11" t="s">
        <v>50</v>
      </c>
      <c r="E319" s="6">
        <v>15111947</v>
      </c>
      <c r="G319" s="6">
        <v>4636556</v>
      </c>
      <c r="I319" s="6">
        <v>1854482</v>
      </c>
      <c r="K319" s="6">
        <v>16496</v>
      </c>
      <c r="M319" s="6">
        <v>1575462</v>
      </c>
      <c r="O319" s="6">
        <v>2798135</v>
      </c>
      <c r="Q319" s="6">
        <v>2748733</v>
      </c>
      <c r="S319" s="6">
        <v>0</v>
      </c>
      <c r="U319" s="6">
        <f>65164+2971744</f>
        <v>3036908</v>
      </c>
      <c r="W319" s="6">
        <v>617051</v>
      </c>
      <c r="Y319" s="6">
        <v>2032</v>
      </c>
      <c r="AA319" s="6">
        <v>4223245</v>
      </c>
      <c r="AC319" s="6">
        <v>1671804</v>
      </c>
      <c r="AE319" s="6">
        <v>276939</v>
      </c>
      <c r="AG319" s="6">
        <v>0</v>
      </c>
      <c r="AI319" s="6">
        <v>2559039</v>
      </c>
      <c r="AJ319" s="11" t="s">
        <v>711</v>
      </c>
      <c r="AK319" s="11"/>
      <c r="AL319" s="11" t="s">
        <v>50</v>
      </c>
      <c r="AN319" s="6">
        <v>693986</v>
      </c>
      <c r="AP319" s="6">
        <v>3521</v>
      </c>
      <c r="AR319" s="6">
        <v>0</v>
      </c>
      <c r="AT319" s="6">
        <v>1104758</v>
      </c>
      <c r="AV319" s="6">
        <v>574107</v>
      </c>
      <c r="AX319" s="6">
        <v>0</v>
      </c>
      <c r="AZ319" s="7">
        <f t="shared" si="42"/>
        <v>43505201</v>
      </c>
      <c r="BB319" s="6">
        <v>0</v>
      </c>
      <c r="BD319" s="6">
        <v>0</v>
      </c>
      <c r="BF319" s="6">
        <v>0</v>
      </c>
      <c r="BH319" s="6">
        <v>0</v>
      </c>
      <c r="BJ319" s="7">
        <f t="shared" si="43"/>
        <v>43505201</v>
      </c>
      <c r="BL319" s="7">
        <f>'Gov Fd Rev'!AO319-'Gov Fd Exp'!BJ319</f>
        <v>-701661</v>
      </c>
      <c r="BN319" s="6">
        <v>11722925</v>
      </c>
      <c r="BP319" s="6">
        <v>0</v>
      </c>
      <c r="BR319" s="6">
        <v>0</v>
      </c>
      <c r="BT319" s="7">
        <f t="shared" si="44"/>
        <v>11021264</v>
      </c>
      <c r="BU319" s="7"/>
      <c r="BV319" s="7">
        <f>BT319-'Gov Fd BS'!AC319</f>
        <v>0</v>
      </c>
      <c r="BW319" s="7"/>
    </row>
    <row r="320" spans="1:75">
      <c r="A320" s="11" t="s">
        <v>325</v>
      </c>
      <c r="B320" s="11"/>
      <c r="C320" s="11" t="s">
        <v>32</v>
      </c>
      <c r="E320" s="6">
        <v>7582404</v>
      </c>
      <c r="G320" s="6">
        <v>1443711</v>
      </c>
      <c r="I320" s="6">
        <v>0</v>
      </c>
      <c r="K320" s="6">
        <v>0</v>
      </c>
      <c r="M320" s="6">
        <v>166979</v>
      </c>
      <c r="O320" s="6">
        <v>1235290</v>
      </c>
      <c r="Q320" s="6">
        <v>937688</v>
      </c>
      <c r="S320" s="6">
        <v>0</v>
      </c>
      <c r="U320" s="6">
        <f>49581+1082968</f>
        <v>1132549</v>
      </c>
      <c r="W320" s="6">
        <v>531615</v>
      </c>
      <c r="Y320" s="6">
        <v>60075</v>
      </c>
      <c r="AA320" s="6">
        <v>1349962</v>
      </c>
      <c r="AC320" s="6">
        <v>805178</v>
      </c>
      <c r="AE320" s="6">
        <v>710173</v>
      </c>
      <c r="AG320" s="6">
        <v>0</v>
      </c>
      <c r="AI320" s="6">
        <v>862368</v>
      </c>
      <c r="AJ320" s="11" t="s">
        <v>325</v>
      </c>
      <c r="AK320" s="11"/>
      <c r="AL320" s="11" t="s">
        <v>32</v>
      </c>
      <c r="AN320" s="6">
        <v>522916</v>
      </c>
      <c r="AP320" s="6">
        <v>145509</v>
      </c>
      <c r="AR320" s="6">
        <v>0</v>
      </c>
      <c r="AT320" s="6">
        <v>1540893</v>
      </c>
      <c r="AV320" s="6">
        <v>1055286</v>
      </c>
      <c r="AX320" s="6">
        <v>0</v>
      </c>
      <c r="AZ320" s="7">
        <f t="shared" si="42"/>
        <v>20082596</v>
      </c>
      <c r="BB320" s="6">
        <v>300000</v>
      </c>
      <c r="BD320" s="6">
        <v>0</v>
      </c>
      <c r="BF320" s="6">
        <v>0</v>
      </c>
      <c r="BH320" s="6">
        <v>0</v>
      </c>
      <c r="BJ320" s="7">
        <f t="shared" si="43"/>
        <v>20382596</v>
      </c>
      <c r="BL320" s="7">
        <f>'Gov Fd Rev'!AO320-'Gov Fd Exp'!BJ320</f>
        <v>355304</v>
      </c>
      <c r="BN320" s="6">
        <v>10445809</v>
      </c>
      <c r="BP320" s="6">
        <v>0</v>
      </c>
      <c r="BR320" s="6">
        <v>0</v>
      </c>
      <c r="BT320" s="7">
        <f t="shared" si="44"/>
        <v>10801113</v>
      </c>
      <c r="BU320" s="7"/>
      <c r="BV320" s="7">
        <f>BT320-'Gov Fd BS'!AC320</f>
        <v>0</v>
      </c>
      <c r="BW320" s="7"/>
    </row>
    <row r="321" spans="1:75">
      <c r="A321" s="11" t="s">
        <v>224</v>
      </c>
      <c r="B321" s="11"/>
      <c r="C321" s="11" t="s">
        <v>221</v>
      </c>
      <c r="E321" s="6">
        <v>5904124</v>
      </c>
      <c r="G321" s="6">
        <v>1068446</v>
      </c>
      <c r="I321" s="6">
        <v>0</v>
      </c>
      <c r="K321" s="6">
        <v>0</v>
      </c>
      <c r="M321" s="6">
        <v>432704</v>
      </c>
      <c r="O321" s="6">
        <v>667892</v>
      </c>
      <c r="Q321" s="6">
        <v>828218</v>
      </c>
      <c r="S321" s="6">
        <v>72533</v>
      </c>
      <c r="U321" s="6">
        <v>1109798</v>
      </c>
      <c r="W321" s="6">
        <v>234734</v>
      </c>
      <c r="Y321" s="6">
        <v>823</v>
      </c>
      <c r="AA321" s="6">
        <v>1429896</v>
      </c>
      <c r="AC321" s="6">
        <v>1074098</v>
      </c>
      <c r="AE321" s="6">
        <v>436280</v>
      </c>
      <c r="AG321" s="6">
        <v>633715</v>
      </c>
      <c r="AI321" s="6">
        <v>39597</v>
      </c>
      <c r="AJ321" s="11" t="s">
        <v>224</v>
      </c>
      <c r="AK321" s="11"/>
      <c r="AL321" s="11" t="s">
        <v>221</v>
      </c>
      <c r="AN321" s="6">
        <v>445179</v>
      </c>
      <c r="AP321" s="6">
        <v>263236</v>
      </c>
      <c r="AR321" s="6">
        <v>0</v>
      </c>
      <c r="AT321" s="6">
        <v>354081</v>
      </c>
      <c r="AV321" s="6">
        <v>948736</v>
      </c>
      <c r="AX321" s="6">
        <v>0</v>
      </c>
      <c r="AZ321" s="7">
        <f t="shared" si="42"/>
        <v>15944090</v>
      </c>
      <c r="BB321" s="6">
        <v>0</v>
      </c>
      <c r="BD321" s="6">
        <v>0</v>
      </c>
      <c r="BF321" s="6">
        <v>0</v>
      </c>
      <c r="BH321" s="6">
        <v>0</v>
      </c>
      <c r="BJ321" s="7">
        <f t="shared" si="43"/>
        <v>15944090</v>
      </c>
      <c r="BL321" s="7">
        <f>'Gov Fd Rev'!AO321-'Gov Fd Exp'!BJ321</f>
        <v>-55068</v>
      </c>
      <c r="BN321" s="6">
        <v>2683519</v>
      </c>
      <c r="BP321" s="6">
        <v>-7481</v>
      </c>
      <c r="BR321" s="6">
        <v>0</v>
      </c>
      <c r="BT321" s="7">
        <f t="shared" si="44"/>
        <v>2620970</v>
      </c>
      <c r="BU321" s="7"/>
      <c r="BV321" s="7">
        <f>BT321-'Gov Fd BS'!AC321</f>
        <v>0</v>
      </c>
      <c r="BW321" s="7"/>
    </row>
    <row r="322" spans="1:75" hidden="1">
      <c r="A322" s="11" t="s">
        <v>730</v>
      </c>
      <c r="B322" s="11"/>
      <c r="C322" s="11" t="s">
        <v>41</v>
      </c>
      <c r="E322" s="6">
        <v>0</v>
      </c>
      <c r="G322" s="6">
        <v>0</v>
      </c>
      <c r="I322" s="6">
        <v>0</v>
      </c>
      <c r="K322" s="6">
        <v>0</v>
      </c>
      <c r="M322" s="6">
        <v>0</v>
      </c>
      <c r="O322" s="6">
        <v>0</v>
      </c>
      <c r="Q322" s="6">
        <v>0</v>
      </c>
      <c r="S322" s="6">
        <v>0</v>
      </c>
      <c r="U322" s="6">
        <v>0</v>
      </c>
      <c r="W322" s="6">
        <v>0</v>
      </c>
      <c r="Y322" s="6">
        <v>0</v>
      </c>
      <c r="AA322" s="6">
        <v>0</v>
      </c>
      <c r="AC322" s="6">
        <v>0</v>
      </c>
      <c r="AE322" s="6">
        <v>0</v>
      </c>
      <c r="AG322" s="6">
        <v>0</v>
      </c>
      <c r="AI322" s="6">
        <v>0</v>
      </c>
      <c r="AJ322" s="11" t="s">
        <v>730</v>
      </c>
      <c r="AK322" s="11"/>
      <c r="AL322" s="11" t="s">
        <v>41</v>
      </c>
      <c r="AN322" s="6">
        <v>0</v>
      </c>
      <c r="AP322" s="6">
        <v>0</v>
      </c>
      <c r="AR322" s="6">
        <v>0</v>
      </c>
      <c r="AT322" s="6">
        <v>0</v>
      </c>
      <c r="AV322" s="6">
        <v>0</v>
      </c>
      <c r="AX322" s="6">
        <v>0</v>
      </c>
      <c r="AZ322" s="7">
        <f t="shared" si="42"/>
        <v>0</v>
      </c>
      <c r="BD322" s="6">
        <v>0</v>
      </c>
      <c r="BF322" s="6">
        <v>0</v>
      </c>
      <c r="BH322" s="6">
        <v>0</v>
      </c>
      <c r="BJ322" s="7">
        <f t="shared" si="43"/>
        <v>0</v>
      </c>
      <c r="BL322" s="7">
        <f>'Gov Fd Rev'!AO322-'Gov Fd Exp'!BJ322</f>
        <v>0</v>
      </c>
      <c r="BR322" s="6">
        <v>0</v>
      </c>
      <c r="BT322" s="7">
        <f t="shared" si="44"/>
        <v>0</v>
      </c>
      <c r="BU322" s="7"/>
      <c r="BV322" s="7">
        <f>BT322-'Gov Fd BS'!AC322</f>
        <v>0</v>
      </c>
      <c r="BW322" s="7"/>
    </row>
    <row r="323" spans="1:75">
      <c r="A323" s="11" t="s">
        <v>224</v>
      </c>
      <c r="B323" s="11"/>
      <c r="C323" s="11" t="s">
        <v>110</v>
      </c>
      <c r="E323" s="6">
        <v>11826194</v>
      </c>
      <c r="G323" s="6">
        <v>3561529</v>
      </c>
      <c r="I323" s="6">
        <v>2839464</v>
      </c>
      <c r="K323" s="6">
        <v>86194</v>
      </c>
      <c r="M323" s="6">
        <v>2669000</v>
      </c>
      <c r="O323" s="6">
        <v>1273165</v>
      </c>
      <c r="Q323" s="6">
        <v>1871365</v>
      </c>
      <c r="S323" s="6">
        <v>43998</v>
      </c>
      <c r="U323" s="6">
        <v>2292728</v>
      </c>
      <c r="W323" s="6">
        <v>650120</v>
      </c>
      <c r="Y323" s="6">
        <v>57345</v>
      </c>
      <c r="AA323" s="6">
        <v>2729221</v>
      </c>
      <c r="AC323" s="6">
        <v>1512084</v>
      </c>
      <c r="AE323" s="6">
        <v>259350</v>
      </c>
      <c r="AG323" s="6">
        <v>1303074</v>
      </c>
      <c r="AI323" s="6">
        <v>437709</v>
      </c>
      <c r="AJ323" s="11" t="s">
        <v>224</v>
      </c>
      <c r="AK323" s="11"/>
      <c r="AL323" s="11" t="s">
        <v>110</v>
      </c>
      <c r="AN323" s="6">
        <v>614325</v>
      </c>
      <c r="AP323" s="6">
        <v>4029854</v>
      </c>
      <c r="AR323" s="6">
        <v>0</v>
      </c>
      <c r="AT323" s="6">
        <v>0</v>
      </c>
      <c r="AV323" s="6">
        <v>1728385</v>
      </c>
      <c r="AX323" s="6">
        <v>0</v>
      </c>
      <c r="AZ323" s="7">
        <f t="shared" si="42"/>
        <v>39785104</v>
      </c>
      <c r="BB323" s="6">
        <v>2825958</v>
      </c>
      <c r="BD323" s="6">
        <v>0</v>
      </c>
      <c r="BF323" s="6">
        <v>0</v>
      </c>
      <c r="BH323" s="6">
        <v>0</v>
      </c>
      <c r="BJ323" s="7">
        <f t="shared" si="43"/>
        <v>42611062</v>
      </c>
      <c r="BL323" s="7">
        <f>'Gov Fd Rev'!AO323-'Gov Fd Exp'!BJ323</f>
        <v>1855116</v>
      </c>
      <c r="BN323" s="6">
        <v>34156478</v>
      </c>
      <c r="BP323" s="6">
        <v>-2320</v>
      </c>
      <c r="BR323" s="6">
        <v>0</v>
      </c>
      <c r="BT323" s="7">
        <f t="shared" si="44"/>
        <v>36009274</v>
      </c>
      <c r="BU323" s="7"/>
      <c r="BV323" s="7">
        <f>BT323-'Gov Fd BS'!AC323</f>
        <v>0</v>
      </c>
      <c r="BW323" s="7"/>
    </row>
    <row r="324" spans="1:75">
      <c r="A324" s="11" t="s">
        <v>694</v>
      </c>
      <c r="B324" s="11"/>
      <c r="C324" s="11" t="s">
        <v>398</v>
      </c>
      <c r="E324" s="6">
        <v>6966238</v>
      </c>
      <c r="G324" s="6">
        <v>827582</v>
      </c>
      <c r="I324" s="6">
        <v>503211</v>
      </c>
      <c r="K324" s="6">
        <v>0</v>
      </c>
      <c r="M324" s="6">
        <v>14030</v>
      </c>
      <c r="O324" s="6">
        <v>524160</v>
      </c>
      <c r="Q324" s="6">
        <v>838479</v>
      </c>
      <c r="S324" s="6">
        <v>56817</v>
      </c>
      <c r="U324" s="6">
        <v>1405469</v>
      </c>
      <c r="W324" s="6">
        <v>650181</v>
      </c>
      <c r="Y324" s="6">
        <v>1026</v>
      </c>
      <c r="AA324" s="6">
        <v>936576</v>
      </c>
      <c r="AC324" s="6">
        <v>1179822</v>
      </c>
      <c r="AE324" s="6">
        <v>353146</v>
      </c>
      <c r="AG324" s="6">
        <v>516041</v>
      </c>
      <c r="AI324" s="6">
        <v>0</v>
      </c>
      <c r="AJ324" s="11" t="s">
        <v>694</v>
      </c>
      <c r="AK324" s="11"/>
      <c r="AL324" s="11" t="s">
        <v>398</v>
      </c>
      <c r="AN324" s="6">
        <v>527443</v>
      </c>
      <c r="AP324" s="6">
        <v>250018</v>
      </c>
      <c r="AR324" s="6">
        <v>0</v>
      </c>
      <c r="AT324" s="6">
        <v>25000</v>
      </c>
      <c r="AV324" s="6">
        <v>64270</v>
      </c>
      <c r="AX324" s="6">
        <v>0</v>
      </c>
      <c r="AZ324" s="7">
        <f t="shared" si="42"/>
        <v>15639509</v>
      </c>
      <c r="BB324" s="6">
        <v>2290745</v>
      </c>
      <c r="BD324" s="6">
        <v>0</v>
      </c>
      <c r="BF324" s="6">
        <v>0</v>
      </c>
      <c r="BH324" s="6">
        <v>0</v>
      </c>
      <c r="BJ324" s="7">
        <f t="shared" si="43"/>
        <v>17930254</v>
      </c>
      <c r="BL324" s="7">
        <f>'Gov Fd Rev'!AO324-'Gov Fd Exp'!BJ324</f>
        <v>-941285</v>
      </c>
      <c r="BN324" s="6">
        <v>7959891</v>
      </c>
      <c r="BP324" s="6">
        <v>0</v>
      </c>
      <c r="BR324" s="6">
        <v>0</v>
      </c>
      <c r="BT324" s="7">
        <f t="shared" si="44"/>
        <v>7018606</v>
      </c>
      <c r="BU324" s="7"/>
      <c r="BV324" s="7">
        <f>BT324-'Gov Fd BS'!AC324</f>
        <v>0</v>
      </c>
      <c r="BW324" s="7"/>
    </row>
    <row r="325" spans="1:75">
      <c r="A325" s="11" t="s">
        <v>605</v>
      </c>
      <c r="B325" s="11"/>
      <c r="C325" s="11" t="s">
        <v>200</v>
      </c>
      <c r="E325" s="6">
        <v>3911893</v>
      </c>
      <c r="G325" s="6">
        <v>1449673</v>
      </c>
      <c r="I325" s="6">
        <v>629064</v>
      </c>
      <c r="K325" s="6">
        <v>0</v>
      </c>
      <c r="M325" s="6">
        <v>209866</v>
      </c>
      <c r="O325" s="6">
        <v>354005</v>
      </c>
      <c r="Q325" s="6">
        <v>849972</v>
      </c>
      <c r="S325" s="6">
        <v>92388</v>
      </c>
      <c r="U325" s="6">
        <v>598528</v>
      </c>
      <c r="W325" s="6">
        <v>493820</v>
      </c>
      <c r="Y325" s="6">
        <v>0</v>
      </c>
      <c r="AA325" s="6">
        <v>875647</v>
      </c>
      <c r="AC325" s="6">
        <v>578354</v>
      </c>
      <c r="AE325" s="6">
        <v>0</v>
      </c>
      <c r="AG325" s="6">
        <v>502958</v>
      </c>
      <c r="AI325" s="6">
        <v>128881</v>
      </c>
      <c r="AJ325" s="11" t="s">
        <v>605</v>
      </c>
      <c r="AK325" s="11"/>
      <c r="AL325" s="11" t="s">
        <v>200</v>
      </c>
      <c r="AN325" s="6">
        <v>272939</v>
      </c>
      <c r="AP325" s="6">
        <v>409775</v>
      </c>
      <c r="AR325" s="6">
        <v>0</v>
      </c>
      <c r="AT325" s="6">
        <v>10218632</v>
      </c>
      <c r="AV325" s="6">
        <v>941359</v>
      </c>
      <c r="AX325" s="6">
        <v>0</v>
      </c>
      <c r="AZ325" s="7">
        <f t="shared" si="42"/>
        <v>22517754</v>
      </c>
      <c r="BB325" s="6">
        <v>0</v>
      </c>
      <c r="BD325" s="6">
        <v>0</v>
      </c>
      <c r="BF325" s="6">
        <v>0</v>
      </c>
      <c r="BH325" s="6">
        <v>0</v>
      </c>
      <c r="BJ325" s="7">
        <f t="shared" si="43"/>
        <v>22517754</v>
      </c>
      <c r="BL325" s="7">
        <f>'Gov Fd Rev'!AO325-'Gov Fd Exp'!BJ325</f>
        <v>992527</v>
      </c>
      <c r="BN325" s="6">
        <v>6765957</v>
      </c>
      <c r="BP325" s="6">
        <v>0</v>
      </c>
      <c r="BR325" s="6">
        <v>0</v>
      </c>
      <c r="BT325" s="7">
        <f t="shared" si="44"/>
        <v>7758484</v>
      </c>
      <c r="BU325" s="7"/>
      <c r="BV325" s="7">
        <f>BT325-'Gov Fd BS'!AC325</f>
        <v>0</v>
      </c>
      <c r="BW325" s="7"/>
    </row>
    <row r="326" spans="1:75" hidden="1">
      <c r="A326" s="11" t="s">
        <v>805</v>
      </c>
      <c r="B326" s="11"/>
      <c r="C326" s="11" t="s">
        <v>63</v>
      </c>
      <c r="E326" s="6">
        <v>0</v>
      </c>
      <c r="G326" s="6">
        <v>0</v>
      </c>
      <c r="I326" s="6">
        <v>0</v>
      </c>
      <c r="K326" s="6">
        <v>0</v>
      </c>
      <c r="M326" s="6">
        <v>0</v>
      </c>
      <c r="O326" s="6">
        <v>0</v>
      </c>
      <c r="Q326" s="6">
        <v>0</v>
      </c>
      <c r="S326" s="6">
        <v>0</v>
      </c>
      <c r="U326" s="6">
        <v>0</v>
      </c>
      <c r="W326" s="6">
        <v>0</v>
      </c>
      <c r="Y326" s="6">
        <v>0</v>
      </c>
      <c r="AA326" s="6">
        <v>0</v>
      </c>
      <c r="AC326" s="6">
        <v>0</v>
      </c>
      <c r="AE326" s="6">
        <v>0</v>
      </c>
      <c r="AG326" s="6">
        <v>0</v>
      </c>
      <c r="AI326" s="6">
        <v>0</v>
      </c>
      <c r="AJ326" s="11" t="s">
        <v>805</v>
      </c>
      <c r="AK326" s="11"/>
      <c r="AL326" s="11" t="s">
        <v>63</v>
      </c>
      <c r="AN326" s="6">
        <v>0</v>
      </c>
      <c r="AP326" s="6">
        <v>0</v>
      </c>
      <c r="AR326" s="6">
        <v>0</v>
      </c>
      <c r="AT326" s="6">
        <v>0</v>
      </c>
      <c r="AV326" s="6">
        <v>0</v>
      </c>
      <c r="AX326" s="6">
        <v>0</v>
      </c>
      <c r="AZ326" s="7">
        <f t="shared" ref="AZ326" si="46">SUM(E326:AX326)</f>
        <v>0</v>
      </c>
      <c r="BD326" s="6">
        <v>0</v>
      </c>
      <c r="BF326" s="6">
        <v>0</v>
      </c>
      <c r="BH326" s="6">
        <v>0</v>
      </c>
      <c r="BJ326" s="7">
        <f t="shared" ref="BJ326" si="47">AZ326+BB326+BH326</f>
        <v>0</v>
      </c>
      <c r="BL326" s="7">
        <f>'Gov Fd Rev'!AO326-'Gov Fd Exp'!BJ326</f>
        <v>0</v>
      </c>
      <c r="BR326" s="6">
        <v>0</v>
      </c>
      <c r="BT326" s="7">
        <f t="shared" ref="BT326" si="48">BL326+BN326+BP326+BR326</f>
        <v>0</v>
      </c>
      <c r="BU326" s="7"/>
      <c r="BV326" s="7">
        <f>BT326-'Gov Fd BS'!AC326</f>
        <v>0</v>
      </c>
      <c r="BW326" s="7"/>
    </row>
    <row r="327" spans="1:75">
      <c r="A327" s="11" t="s">
        <v>469</v>
      </c>
      <c r="B327" s="11"/>
      <c r="C327" s="11" t="s">
        <v>110</v>
      </c>
      <c r="E327" s="6">
        <v>16223824</v>
      </c>
      <c r="G327" s="6">
        <v>7802569</v>
      </c>
      <c r="I327" s="6">
        <v>1198020</v>
      </c>
      <c r="K327" s="6">
        <v>341772</v>
      </c>
      <c r="M327" s="6">
        <v>12232827</v>
      </c>
      <c r="O327" s="6">
        <v>3622806</v>
      </c>
      <c r="Q327" s="6">
        <v>2871437</v>
      </c>
      <c r="S327" s="6">
        <v>20509</v>
      </c>
      <c r="U327" s="6">
        <v>3012596</v>
      </c>
      <c r="W327" s="6">
        <v>1218504</v>
      </c>
      <c r="Y327" s="6">
        <v>617901</v>
      </c>
      <c r="AA327" s="6">
        <v>8054822</v>
      </c>
      <c r="AC327" s="6">
        <v>2534144</v>
      </c>
      <c r="AE327" s="6">
        <v>2153507</v>
      </c>
      <c r="AG327" s="6">
        <v>2133889</v>
      </c>
      <c r="AI327" s="6">
        <v>1931080</v>
      </c>
      <c r="AJ327" s="11" t="s">
        <v>469</v>
      </c>
      <c r="AK327" s="11"/>
      <c r="AL327" s="11" t="s">
        <v>110</v>
      </c>
      <c r="AN327" s="6">
        <v>839698</v>
      </c>
      <c r="AP327" s="6">
        <v>9506</v>
      </c>
      <c r="AR327" s="6">
        <v>0</v>
      </c>
      <c r="AT327" s="6">
        <v>1232879</v>
      </c>
      <c r="AV327" s="6">
        <v>509762</v>
      </c>
      <c r="AX327" s="6">
        <v>0</v>
      </c>
      <c r="AZ327" s="7">
        <f t="shared" si="42"/>
        <v>68562052</v>
      </c>
      <c r="BB327" s="6">
        <v>2979036</v>
      </c>
      <c r="BD327" s="6">
        <v>0</v>
      </c>
      <c r="BF327" s="6">
        <v>0</v>
      </c>
      <c r="BH327" s="6">
        <v>0</v>
      </c>
      <c r="BJ327" s="7">
        <f t="shared" si="43"/>
        <v>71541088</v>
      </c>
      <c r="BL327" s="7">
        <f>'Gov Fd Rev'!AO327-'Gov Fd Exp'!BJ327</f>
        <v>-5181990</v>
      </c>
      <c r="BN327" s="6">
        <v>16847089</v>
      </c>
      <c r="BP327" s="6">
        <v>0</v>
      </c>
      <c r="BR327" s="6">
        <v>0</v>
      </c>
      <c r="BT327" s="7">
        <f t="shared" si="44"/>
        <v>11665099</v>
      </c>
      <c r="BU327" s="7"/>
      <c r="BV327" s="7">
        <f>BT327-'Gov Fd BS'!AC327</f>
        <v>0</v>
      </c>
      <c r="BW327" s="7"/>
    </row>
    <row r="328" spans="1:75">
      <c r="A328" s="11" t="s">
        <v>722</v>
      </c>
      <c r="B328" s="11"/>
      <c r="C328" s="11" t="s">
        <v>20</v>
      </c>
      <c r="E328" s="6">
        <v>19827715</v>
      </c>
      <c r="G328" s="6">
        <v>3621701</v>
      </c>
      <c r="I328" s="6">
        <v>1411480</v>
      </c>
      <c r="K328" s="6">
        <v>877</v>
      </c>
      <c r="M328" s="6">
        <v>194758</v>
      </c>
      <c r="O328" s="6">
        <v>1556113</v>
      </c>
      <c r="Q328" s="6">
        <v>2189599</v>
      </c>
      <c r="S328" s="6">
        <v>56373</v>
      </c>
      <c r="U328" s="6">
        <v>3097712</v>
      </c>
      <c r="W328" s="6">
        <v>1895630</v>
      </c>
      <c r="Y328" s="6">
        <v>440172</v>
      </c>
      <c r="AA328" s="6">
        <v>3974346</v>
      </c>
      <c r="AC328" s="6">
        <v>1345689</v>
      </c>
      <c r="AE328" s="6">
        <v>39044</v>
      </c>
      <c r="AG328" s="6">
        <v>1692719</v>
      </c>
      <c r="AI328" s="6">
        <v>123430</v>
      </c>
      <c r="AJ328" s="11" t="s">
        <v>722</v>
      </c>
      <c r="AK328" s="11"/>
      <c r="AL328" s="11" t="s">
        <v>20</v>
      </c>
      <c r="AN328" s="6">
        <v>746048</v>
      </c>
      <c r="AP328" s="6">
        <v>38542358</v>
      </c>
      <c r="AR328" s="6">
        <v>0</v>
      </c>
      <c r="AT328" s="6">
        <v>795000</v>
      </c>
      <c r="AV328" s="6">
        <v>2613048</v>
      </c>
      <c r="AX328" s="6">
        <v>0</v>
      </c>
      <c r="AZ328" s="7">
        <f t="shared" si="42"/>
        <v>84163812</v>
      </c>
      <c r="BB328" s="6">
        <v>997044</v>
      </c>
      <c r="BD328" s="6">
        <v>0</v>
      </c>
      <c r="BF328" s="6">
        <v>0</v>
      </c>
      <c r="BH328" s="6">
        <v>0</v>
      </c>
      <c r="BJ328" s="7">
        <f t="shared" si="43"/>
        <v>85160856</v>
      </c>
      <c r="BL328" s="7">
        <f>'Gov Fd Rev'!AO328-'Gov Fd Exp'!BJ328</f>
        <v>-36321621</v>
      </c>
      <c r="BN328" s="6">
        <v>60898691</v>
      </c>
      <c r="BP328" s="6">
        <v>0</v>
      </c>
      <c r="BR328" s="6">
        <v>0</v>
      </c>
      <c r="BT328" s="7">
        <f t="shared" si="44"/>
        <v>24577070</v>
      </c>
      <c r="BU328" s="7"/>
      <c r="BV328" s="7">
        <f>BT328-'Gov Fd BS'!AC328</f>
        <v>0</v>
      </c>
      <c r="BW328" s="7"/>
    </row>
    <row r="329" spans="1:75">
      <c r="A329" s="11" t="s">
        <v>205</v>
      </c>
      <c r="B329" s="11"/>
      <c r="C329" s="11" t="s">
        <v>11</v>
      </c>
      <c r="E329" s="6">
        <v>3523257</v>
      </c>
      <c r="G329" s="6">
        <v>938307</v>
      </c>
      <c r="I329" s="6">
        <v>89748</v>
      </c>
      <c r="K329" s="6">
        <v>0</v>
      </c>
      <c r="M329" s="6">
        <v>777710</v>
      </c>
      <c r="O329" s="6">
        <v>269689</v>
      </c>
      <c r="Q329" s="6">
        <v>347571</v>
      </c>
      <c r="S329" s="6">
        <v>50712</v>
      </c>
      <c r="U329" s="6">
        <v>667390</v>
      </c>
      <c r="W329" s="6">
        <v>353643</v>
      </c>
      <c r="Y329" s="6">
        <v>199</v>
      </c>
      <c r="AA329" s="6">
        <v>676203</v>
      </c>
      <c r="AC329" s="6">
        <v>579942</v>
      </c>
      <c r="AE329" s="6">
        <v>115777</v>
      </c>
      <c r="AG329" s="6">
        <v>356607</v>
      </c>
      <c r="AI329" s="6">
        <v>0</v>
      </c>
      <c r="AJ329" s="11" t="s">
        <v>205</v>
      </c>
      <c r="AK329" s="11"/>
      <c r="AL329" s="11" t="s">
        <v>11</v>
      </c>
      <c r="AN329" s="6">
        <v>259814</v>
      </c>
      <c r="AP329" s="6">
        <v>42218</v>
      </c>
      <c r="AR329" s="6">
        <v>0</v>
      </c>
      <c r="AT329" s="6">
        <v>265000</v>
      </c>
      <c r="AV329" s="6">
        <v>109423</v>
      </c>
      <c r="AX329" s="6">
        <v>0</v>
      </c>
      <c r="AZ329" s="7">
        <f t="shared" si="42"/>
        <v>9423210</v>
      </c>
      <c r="BB329" s="6">
        <v>277844</v>
      </c>
      <c r="BD329" s="6">
        <v>0</v>
      </c>
      <c r="BF329" s="6">
        <v>0</v>
      </c>
      <c r="BH329" s="6">
        <v>0</v>
      </c>
      <c r="BJ329" s="7">
        <f t="shared" si="43"/>
        <v>9701054</v>
      </c>
      <c r="BL329" s="7">
        <f>'Gov Fd Rev'!AO329-'Gov Fd Exp'!BJ329</f>
        <v>-571618</v>
      </c>
      <c r="BN329" s="6">
        <v>2906792</v>
      </c>
      <c r="BP329" s="6">
        <v>0</v>
      </c>
      <c r="BR329" s="6">
        <v>0</v>
      </c>
      <c r="BT329" s="7">
        <f t="shared" si="44"/>
        <v>2335174</v>
      </c>
      <c r="BU329" s="7"/>
      <c r="BV329" s="7">
        <f>BT329-'Gov Fd BS'!AC329</f>
        <v>0</v>
      </c>
      <c r="BW329" s="7"/>
    </row>
    <row r="330" spans="1:75">
      <c r="A330" s="11" t="s">
        <v>528</v>
      </c>
      <c r="B330" s="11"/>
      <c r="C330" s="11" t="s">
        <v>64</v>
      </c>
      <c r="E330" s="6">
        <v>4568725</v>
      </c>
      <c r="G330" s="6">
        <v>845061</v>
      </c>
      <c r="I330" s="6">
        <v>85875</v>
      </c>
      <c r="K330" s="6">
        <v>0</v>
      </c>
      <c r="M330" s="6">
        <v>1078</v>
      </c>
      <c r="O330" s="6">
        <v>453095</v>
      </c>
      <c r="Q330" s="6">
        <v>152561</v>
      </c>
      <c r="S330" s="6">
        <v>34839</v>
      </c>
      <c r="U330" s="6">
        <v>795937</v>
      </c>
      <c r="W330" s="6">
        <v>351491</v>
      </c>
      <c r="Y330" s="6">
        <v>44291</v>
      </c>
      <c r="AA330" s="6">
        <v>878777</v>
      </c>
      <c r="AC330" s="6">
        <v>525373</v>
      </c>
      <c r="AE330" s="6">
        <v>58839</v>
      </c>
      <c r="AG330" s="6">
        <v>427715</v>
      </c>
      <c r="AI330" s="6">
        <v>0</v>
      </c>
      <c r="AJ330" s="11" t="s">
        <v>528</v>
      </c>
      <c r="AK330" s="11"/>
      <c r="AL330" s="11" t="s">
        <v>64</v>
      </c>
      <c r="AN330" s="6">
        <v>248987</v>
      </c>
      <c r="AP330" s="6">
        <v>46370</v>
      </c>
      <c r="AR330" s="6">
        <v>0</v>
      </c>
      <c r="AT330" s="6">
        <v>135000</v>
      </c>
      <c r="AV330" s="6">
        <v>84730</v>
      </c>
      <c r="AX330" s="6">
        <v>0</v>
      </c>
      <c r="AZ330" s="7">
        <f t="shared" si="42"/>
        <v>9738744</v>
      </c>
      <c r="BB330" s="6">
        <v>20131</v>
      </c>
      <c r="BD330" s="6">
        <v>0</v>
      </c>
      <c r="BF330" s="6">
        <v>0</v>
      </c>
      <c r="BH330" s="6">
        <v>0</v>
      </c>
      <c r="BJ330" s="7">
        <f t="shared" si="43"/>
        <v>9758875</v>
      </c>
      <c r="BL330" s="7">
        <f>'Gov Fd Rev'!AO330-'Gov Fd Exp'!BJ330</f>
        <v>-122189</v>
      </c>
      <c r="BN330" s="6">
        <v>2951318</v>
      </c>
      <c r="BP330" s="6">
        <v>0</v>
      </c>
      <c r="BR330" s="6">
        <v>0</v>
      </c>
      <c r="BT330" s="7">
        <f t="shared" si="44"/>
        <v>2829129</v>
      </c>
      <c r="BU330" s="7"/>
      <c r="BV330" s="7">
        <f>BT330-'Gov Fd BS'!AC330</f>
        <v>0</v>
      </c>
      <c r="BW330" s="7"/>
    </row>
    <row r="331" spans="1:75">
      <c r="A331" s="11" t="s">
        <v>288</v>
      </c>
      <c r="B331" s="11"/>
      <c r="C331" s="11" t="s">
        <v>24</v>
      </c>
      <c r="E331" s="6">
        <v>4765157</v>
      </c>
      <c r="G331" s="6">
        <v>1380721</v>
      </c>
      <c r="I331" s="6">
        <v>294980</v>
      </c>
      <c r="K331" s="6">
        <v>0</v>
      </c>
      <c r="M331" s="6">
        <v>708719</v>
      </c>
      <c r="O331" s="6">
        <v>683742</v>
      </c>
      <c r="Q331" s="6">
        <v>796761</v>
      </c>
      <c r="S331" s="6">
        <v>191627</v>
      </c>
      <c r="U331" s="6">
        <v>1014638</v>
      </c>
      <c r="W331" s="6">
        <v>429752</v>
      </c>
      <c r="Y331" s="6">
        <v>0</v>
      </c>
      <c r="AA331" s="6">
        <v>1210891</v>
      </c>
      <c r="AC331" s="6">
        <v>1024532</v>
      </c>
      <c r="AE331" s="6">
        <v>71912</v>
      </c>
      <c r="AG331" s="6">
        <v>588972</v>
      </c>
      <c r="AI331" s="6">
        <v>141428</v>
      </c>
      <c r="AJ331" s="11" t="s">
        <v>288</v>
      </c>
      <c r="AK331" s="11"/>
      <c r="AL331" s="11" t="s">
        <v>24</v>
      </c>
      <c r="AN331" s="6">
        <v>435355</v>
      </c>
      <c r="AP331" s="6">
        <v>147913</v>
      </c>
      <c r="AR331" s="6">
        <v>0</v>
      </c>
      <c r="AT331" s="6">
        <v>96000</v>
      </c>
      <c r="AV331" s="6">
        <v>107046</v>
      </c>
      <c r="AX331" s="6">
        <v>0</v>
      </c>
      <c r="AZ331" s="7">
        <f t="shared" si="42"/>
        <v>14090146</v>
      </c>
      <c r="BB331" s="6">
        <v>81786</v>
      </c>
      <c r="BD331" s="6">
        <v>0</v>
      </c>
      <c r="BF331" s="6">
        <v>0</v>
      </c>
      <c r="BH331" s="6">
        <v>0</v>
      </c>
      <c r="BJ331" s="7">
        <f t="shared" si="43"/>
        <v>14171932</v>
      </c>
      <c r="BL331" s="7">
        <f>'Gov Fd Rev'!AO331-'Gov Fd Exp'!BJ331</f>
        <v>662222</v>
      </c>
      <c r="BN331" s="6">
        <v>207717</v>
      </c>
      <c r="BP331" s="6">
        <v>-5118</v>
      </c>
      <c r="BR331" s="6">
        <v>0</v>
      </c>
      <c r="BT331" s="7">
        <f t="shared" si="44"/>
        <v>864821</v>
      </c>
      <c r="BU331" s="7"/>
      <c r="BV331" s="7">
        <f>BT331-'Gov Fd BS'!AC331</f>
        <v>0</v>
      </c>
      <c r="BW331" s="7"/>
    </row>
    <row r="332" spans="1:75">
      <c r="A332" s="11" t="s">
        <v>326</v>
      </c>
      <c r="B332" s="11"/>
      <c r="C332" s="11" t="s">
        <v>32</v>
      </c>
      <c r="E332" s="6">
        <v>9521340</v>
      </c>
      <c r="G332" s="6">
        <v>1887225</v>
      </c>
      <c r="I332" s="6">
        <v>0</v>
      </c>
      <c r="K332" s="6">
        <v>1028</v>
      </c>
      <c r="M332" s="6">
        <v>140382</v>
      </c>
      <c r="O332" s="6">
        <v>1340854</v>
      </c>
      <c r="Q332" s="6">
        <v>498345</v>
      </c>
      <c r="S332" s="6">
        <v>0</v>
      </c>
      <c r="U332" s="6">
        <f>13234+1564324</f>
        <v>1577558</v>
      </c>
      <c r="W332" s="6">
        <v>537785</v>
      </c>
      <c r="Y332" s="6">
        <v>6806</v>
      </c>
      <c r="AA332" s="6">
        <v>1967762</v>
      </c>
      <c r="AC332" s="6">
        <v>745946</v>
      </c>
      <c r="AE332" s="6">
        <v>899551</v>
      </c>
      <c r="AG332" s="6">
        <v>0</v>
      </c>
      <c r="AI332" s="6">
        <v>173377</v>
      </c>
      <c r="AJ332" s="11" t="s">
        <v>326</v>
      </c>
      <c r="AK332" s="11"/>
      <c r="AL332" s="11" t="s">
        <v>32</v>
      </c>
      <c r="AN332" s="6">
        <v>848100</v>
      </c>
      <c r="AP332" s="6">
        <v>29943605</v>
      </c>
      <c r="AR332" s="6">
        <v>0</v>
      </c>
      <c r="AT332" s="6">
        <v>496499</v>
      </c>
      <c r="AV332" s="6">
        <v>1605173</v>
      </c>
      <c r="AX332" s="6">
        <v>0</v>
      </c>
      <c r="AZ332" s="7">
        <f t="shared" si="42"/>
        <v>52191336</v>
      </c>
      <c r="BB332" s="6">
        <v>899000</v>
      </c>
      <c r="BD332" s="6">
        <v>0</v>
      </c>
      <c r="BF332" s="6">
        <v>0</v>
      </c>
      <c r="BH332" s="6">
        <v>0</v>
      </c>
      <c r="BJ332" s="7">
        <f t="shared" si="43"/>
        <v>53090336</v>
      </c>
      <c r="BL332" s="7">
        <f>'Gov Fd Rev'!AO332-'Gov Fd Exp'!BJ332</f>
        <v>-28147726</v>
      </c>
      <c r="BN332" s="6">
        <v>46170260</v>
      </c>
      <c r="BP332" s="6">
        <v>0</v>
      </c>
      <c r="BR332" s="6">
        <v>0</v>
      </c>
      <c r="BT332" s="7">
        <f t="shared" si="44"/>
        <v>18022534</v>
      </c>
      <c r="BU332" s="7"/>
      <c r="BV332" s="7">
        <f>BT332-'Gov Fd BS'!AC332</f>
        <v>0</v>
      </c>
      <c r="BW332" s="7"/>
    </row>
    <row r="333" spans="1:75" hidden="1">
      <c r="A333" s="11" t="s">
        <v>612</v>
      </c>
      <c r="B333" s="11"/>
      <c r="C333" s="11" t="s">
        <v>70</v>
      </c>
      <c r="E333" s="6">
        <v>0</v>
      </c>
      <c r="G333" s="6">
        <v>0</v>
      </c>
      <c r="I333" s="6">
        <v>0</v>
      </c>
      <c r="K333" s="6">
        <v>0</v>
      </c>
      <c r="M333" s="6">
        <v>0</v>
      </c>
      <c r="O333" s="6">
        <v>0</v>
      </c>
      <c r="Q333" s="6">
        <v>0</v>
      </c>
      <c r="S333" s="6">
        <v>0</v>
      </c>
      <c r="U333" s="6">
        <v>0</v>
      </c>
      <c r="W333" s="6">
        <v>0</v>
      </c>
      <c r="Y333" s="6">
        <v>0</v>
      </c>
      <c r="AA333" s="6">
        <v>0</v>
      </c>
      <c r="AC333" s="6">
        <v>0</v>
      </c>
      <c r="AE333" s="6">
        <v>0</v>
      </c>
      <c r="AG333" s="6">
        <v>0</v>
      </c>
      <c r="AI333" s="6">
        <v>0</v>
      </c>
      <c r="AJ333" s="11" t="s">
        <v>612</v>
      </c>
      <c r="AK333" s="11"/>
      <c r="AL333" s="11" t="s">
        <v>70</v>
      </c>
      <c r="AN333" s="6">
        <v>0</v>
      </c>
      <c r="AP333" s="6">
        <v>0</v>
      </c>
      <c r="AR333" s="6">
        <v>0</v>
      </c>
      <c r="AT333" s="6">
        <v>0</v>
      </c>
      <c r="AV333" s="6">
        <v>0</v>
      </c>
      <c r="AX333" s="6">
        <v>0</v>
      </c>
      <c r="AZ333" s="7">
        <f t="shared" si="42"/>
        <v>0</v>
      </c>
      <c r="BD333" s="6">
        <v>0</v>
      </c>
      <c r="BF333" s="6">
        <v>0</v>
      </c>
      <c r="BH333" s="6">
        <v>0</v>
      </c>
      <c r="BJ333" s="7">
        <f>AZ333+BB333+BH333+BD333</f>
        <v>0</v>
      </c>
      <c r="BL333" s="7">
        <f>'Gov Fd Rev'!AO333-'Gov Fd Exp'!BJ333</f>
        <v>0</v>
      </c>
      <c r="BR333" s="6">
        <v>0</v>
      </c>
      <c r="BT333" s="7">
        <f t="shared" si="44"/>
        <v>0</v>
      </c>
      <c r="BU333" s="7"/>
      <c r="BV333" s="7">
        <f>BT333-'Gov Fd BS'!AC333</f>
        <v>0</v>
      </c>
      <c r="BW333" s="7"/>
    </row>
    <row r="334" spans="1:75">
      <c r="A334" s="11" t="s">
        <v>410</v>
      </c>
      <c r="B334" s="11"/>
      <c r="C334" s="11" t="s">
        <v>46</v>
      </c>
      <c r="E334" s="6">
        <v>31532268</v>
      </c>
      <c r="G334" s="6">
        <v>0</v>
      </c>
      <c r="I334" s="6">
        <v>0</v>
      </c>
      <c r="K334" s="6">
        <v>0</v>
      </c>
      <c r="M334" s="6">
        <v>0</v>
      </c>
      <c r="O334" s="6">
        <v>2668152</v>
      </c>
      <c r="Q334" s="6">
        <v>3473397</v>
      </c>
      <c r="S334" s="6">
        <v>37196</v>
      </c>
      <c r="U334" s="6">
        <v>3635670</v>
      </c>
      <c r="W334" s="6">
        <v>744106</v>
      </c>
      <c r="Y334" s="6">
        <v>454667</v>
      </c>
      <c r="AA334" s="6">
        <v>4369504</v>
      </c>
      <c r="AC334" s="6">
        <v>1070640</v>
      </c>
      <c r="AE334" s="6">
        <v>3739</v>
      </c>
      <c r="AG334" s="6">
        <v>0</v>
      </c>
      <c r="AI334" s="6">
        <v>3006519</v>
      </c>
      <c r="AJ334" s="11" t="s">
        <v>410</v>
      </c>
      <c r="AK334" s="11"/>
      <c r="AL334" s="11" t="s">
        <v>46</v>
      </c>
      <c r="AN334" s="6">
        <v>815248</v>
      </c>
      <c r="AP334" s="6">
        <v>1825308</v>
      </c>
      <c r="AR334" s="6">
        <v>0</v>
      </c>
      <c r="AT334" s="6">
        <v>829173</v>
      </c>
      <c r="AV334" s="6">
        <v>463525</v>
      </c>
      <c r="AX334" s="6">
        <v>0</v>
      </c>
      <c r="AZ334" s="7">
        <f t="shared" si="42"/>
        <v>54929112</v>
      </c>
      <c r="BB334" s="6">
        <v>75000</v>
      </c>
      <c r="BD334" s="6">
        <v>0</v>
      </c>
      <c r="BF334" s="6">
        <v>0</v>
      </c>
      <c r="BH334" s="6">
        <v>0</v>
      </c>
      <c r="BJ334" s="7">
        <f t="shared" si="43"/>
        <v>55004112</v>
      </c>
      <c r="BL334" s="7">
        <f>'Gov Fd Rev'!AO334-'Gov Fd Exp'!BJ334</f>
        <v>-474306</v>
      </c>
      <c r="BN334" s="6">
        <v>15341563</v>
      </c>
      <c r="BP334" s="6">
        <v>0</v>
      </c>
      <c r="BR334" s="6">
        <v>0</v>
      </c>
      <c r="BT334" s="7">
        <f t="shared" si="44"/>
        <v>14867257</v>
      </c>
      <c r="BU334" s="7"/>
      <c r="BV334" s="7">
        <f>BT334-'Gov Fd BS'!AC334</f>
        <v>0</v>
      </c>
      <c r="BW334" s="7"/>
    </row>
    <row r="335" spans="1:75" hidden="1">
      <c r="A335" s="11" t="s">
        <v>685</v>
      </c>
      <c r="B335" s="11"/>
      <c r="C335" s="11" t="s">
        <v>422</v>
      </c>
      <c r="E335" s="6">
        <v>0</v>
      </c>
      <c r="G335" s="6">
        <v>0</v>
      </c>
      <c r="I335" s="6">
        <v>0</v>
      </c>
      <c r="K335" s="6">
        <v>0</v>
      </c>
      <c r="M335" s="6">
        <v>0</v>
      </c>
      <c r="O335" s="6">
        <v>0</v>
      </c>
      <c r="Q335" s="6">
        <v>0</v>
      </c>
      <c r="S335" s="6">
        <v>0</v>
      </c>
      <c r="U335" s="6">
        <v>0</v>
      </c>
      <c r="W335" s="6">
        <v>0</v>
      </c>
      <c r="Y335" s="6">
        <v>0</v>
      </c>
      <c r="AA335" s="6">
        <v>0</v>
      </c>
      <c r="AC335" s="6">
        <v>0</v>
      </c>
      <c r="AE335" s="6">
        <v>0</v>
      </c>
      <c r="AG335" s="6">
        <v>0</v>
      </c>
      <c r="AI335" s="6">
        <v>0</v>
      </c>
      <c r="AJ335" s="11" t="s">
        <v>685</v>
      </c>
      <c r="AK335" s="11"/>
      <c r="AL335" s="11" t="s">
        <v>422</v>
      </c>
      <c r="AN335" s="6">
        <v>0</v>
      </c>
      <c r="AP335" s="6">
        <v>0</v>
      </c>
      <c r="AR335" s="6">
        <v>0</v>
      </c>
      <c r="AT335" s="6">
        <v>0</v>
      </c>
      <c r="AV335" s="6">
        <v>0</v>
      </c>
      <c r="AX335" s="6">
        <v>0</v>
      </c>
      <c r="AZ335" s="7">
        <f t="shared" si="42"/>
        <v>0</v>
      </c>
      <c r="BD335" s="6">
        <v>0</v>
      </c>
      <c r="BF335" s="6">
        <v>0</v>
      </c>
      <c r="BH335" s="6">
        <v>0</v>
      </c>
      <c r="BJ335" s="7">
        <f t="shared" si="43"/>
        <v>0</v>
      </c>
      <c r="BL335" s="7">
        <f>'Gov Fd Rev'!AO335-'Gov Fd Exp'!BJ335</f>
        <v>0</v>
      </c>
      <c r="BR335" s="6">
        <v>0</v>
      </c>
      <c r="BT335" s="7">
        <f t="shared" si="44"/>
        <v>0</v>
      </c>
      <c r="BU335" s="7"/>
      <c r="BV335" s="7">
        <f>BT335-'Gov Fd BS'!AC335</f>
        <v>0</v>
      </c>
      <c r="BW335" s="7"/>
    </row>
    <row r="336" spans="1:75">
      <c r="A336" s="11" t="s">
        <v>500</v>
      </c>
      <c r="B336" s="11"/>
      <c r="C336" s="11" t="s">
        <v>62</v>
      </c>
      <c r="E336" s="6">
        <v>8286425</v>
      </c>
      <c r="G336" s="6">
        <v>2991367</v>
      </c>
      <c r="I336" s="6">
        <v>713323</v>
      </c>
      <c r="K336" s="6">
        <v>0</v>
      </c>
      <c r="M336" s="6">
        <v>1226641</v>
      </c>
      <c r="O336" s="6">
        <v>934569</v>
      </c>
      <c r="Q336" s="6">
        <v>1327266</v>
      </c>
      <c r="S336" s="6">
        <v>20447</v>
      </c>
      <c r="U336" s="6">
        <v>2105167</v>
      </c>
      <c r="W336" s="6">
        <v>547466</v>
      </c>
      <c r="Y336" s="6">
        <v>434775</v>
      </c>
      <c r="AA336" s="6">
        <v>2171298</v>
      </c>
      <c r="AC336" s="6">
        <v>1413185</v>
      </c>
      <c r="AE336" s="6">
        <v>38463</v>
      </c>
      <c r="AG336" s="6">
        <v>987490</v>
      </c>
      <c r="AI336" s="6">
        <v>0</v>
      </c>
      <c r="AJ336" s="11" t="s">
        <v>500</v>
      </c>
      <c r="AK336" s="11"/>
      <c r="AL336" s="11" t="s">
        <v>62</v>
      </c>
      <c r="AN336" s="6">
        <v>1138716</v>
      </c>
      <c r="AP336" s="6">
        <v>1500</v>
      </c>
      <c r="AR336" s="6">
        <v>0</v>
      </c>
      <c r="AT336" s="6">
        <v>89487</v>
      </c>
      <c r="AV336" s="6">
        <v>4273</v>
      </c>
      <c r="AX336" s="6">
        <v>0</v>
      </c>
      <c r="AZ336" s="7">
        <f t="shared" si="42"/>
        <v>24431858</v>
      </c>
      <c r="BB336" s="6">
        <v>260380</v>
      </c>
      <c r="BD336" s="6">
        <v>0</v>
      </c>
      <c r="BF336" s="6">
        <v>0</v>
      </c>
      <c r="BH336" s="6">
        <v>0</v>
      </c>
      <c r="BJ336" s="7">
        <f t="shared" si="43"/>
        <v>24692238</v>
      </c>
      <c r="BL336" s="7">
        <f>'Gov Fd Rev'!AO336-'Gov Fd Exp'!BJ336</f>
        <v>-353158</v>
      </c>
      <c r="BN336" s="6">
        <v>9436725</v>
      </c>
      <c r="BP336" s="6">
        <v>-8754</v>
      </c>
      <c r="BR336" s="6">
        <v>0</v>
      </c>
      <c r="BT336" s="7">
        <f t="shared" si="44"/>
        <v>9074813</v>
      </c>
      <c r="BU336" s="7"/>
      <c r="BV336" s="7">
        <f>BT336-'Gov Fd BS'!AC336</f>
        <v>0</v>
      </c>
      <c r="BW336" s="7"/>
    </row>
    <row r="337" spans="1:75">
      <c r="A337" s="11" t="s">
        <v>216</v>
      </c>
      <c r="B337" s="11"/>
      <c r="C337" s="11" t="s">
        <v>15</v>
      </c>
      <c r="E337" s="6">
        <v>6138915</v>
      </c>
      <c r="G337" s="6">
        <v>1559185</v>
      </c>
      <c r="I337" s="6">
        <v>313333</v>
      </c>
      <c r="K337" s="6">
        <v>0</v>
      </c>
      <c r="M337" s="6">
        <v>70882</v>
      </c>
      <c r="O337" s="6">
        <v>579957</v>
      </c>
      <c r="Q337" s="6">
        <v>423391</v>
      </c>
      <c r="S337" s="6">
        <v>75403</v>
      </c>
      <c r="U337" s="6">
        <v>1075475</v>
      </c>
      <c r="W337" s="6">
        <v>274681</v>
      </c>
      <c r="Y337" s="6">
        <v>0</v>
      </c>
      <c r="AA337" s="6">
        <v>1167996</v>
      </c>
      <c r="AC337" s="6">
        <v>634751</v>
      </c>
      <c r="AE337" s="6">
        <v>156607</v>
      </c>
      <c r="AG337" s="6">
        <v>649419</v>
      </c>
      <c r="AI337" s="6">
        <v>115831</v>
      </c>
      <c r="AJ337" s="11" t="s">
        <v>216</v>
      </c>
      <c r="AK337" s="11"/>
      <c r="AL337" s="11" t="s">
        <v>15</v>
      </c>
      <c r="AN337" s="6">
        <v>319621</v>
      </c>
      <c r="AP337" s="6">
        <v>186440</v>
      </c>
      <c r="AR337" s="6">
        <v>0</v>
      </c>
      <c r="AT337" s="6">
        <v>828355</v>
      </c>
      <c r="AV337" s="6">
        <f>507486+165840</f>
        <v>673326</v>
      </c>
      <c r="AX337" s="6">
        <v>0</v>
      </c>
      <c r="AZ337" s="7">
        <f t="shared" si="42"/>
        <v>15243568</v>
      </c>
      <c r="BB337" s="6">
        <v>56394</v>
      </c>
      <c r="BD337" s="6">
        <v>0</v>
      </c>
      <c r="BF337" s="6">
        <v>0</v>
      </c>
      <c r="BH337" s="6">
        <v>9829973</v>
      </c>
      <c r="BJ337" s="7">
        <f t="shared" si="43"/>
        <v>25129935</v>
      </c>
      <c r="BL337" s="7">
        <f>'Gov Fd Rev'!AO337-'Gov Fd Exp'!BJ337</f>
        <v>1423729</v>
      </c>
      <c r="BN337" s="6">
        <v>-644138</v>
      </c>
      <c r="BP337" s="6">
        <v>0</v>
      </c>
      <c r="BR337" s="6">
        <v>0</v>
      </c>
      <c r="BT337" s="7">
        <f t="shared" si="44"/>
        <v>779591</v>
      </c>
      <c r="BU337" s="7"/>
      <c r="BV337" s="7">
        <f>BT337-'Gov Fd BS'!AC337</f>
        <v>0</v>
      </c>
      <c r="BW337" s="7"/>
    </row>
    <row r="338" spans="1:75">
      <c r="A338" s="11" t="s">
        <v>767</v>
      </c>
      <c r="B338" s="11"/>
      <c r="C338" s="11" t="s">
        <v>66</v>
      </c>
      <c r="E338" s="6">
        <v>22734357</v>
      </c>
      <c r="G338" s="6">
        <v>5481463</v>
      </c>
      <c r="I338" s="6">
        <v>591274</v>
      </c>
      <c r="K338" s="6">
        <v>0</v>
      </c>
      <c r="M338" s="6">
        <v>251822</v>
      </c>
      <c r="O338" s="6">
        <v>3441944</v>
      </c>
      <c r="Q338" s="6">
        <v>3955882</v>
      </c>
      <c r="S338" s="6">
        <v>163064</v>
      </c>
      <c r="U338" s="6">
        <v>3382273</v>
      </c>
      <c r="W338" s="6">
        <v>1184665</v>
      </c>
      <c r="Y338" s="6">
        <v>637840</v>
      </c>
      <c r="AA338" s="6">
        <v>4572880</v>
      </c>
      <c r="AC338" s="6">
        <v>2325292</v>
      </c>
      <c r="AE338" s="6">
        <v>325603</v>
      </c>
      <c r="AG338" s="6">
        <v>2155668</v>
      </c>
      <c r="AI338" s="6">
        <v>127992</v>
      </c>
      <c r="AJ338" s="11" t="s">
        <v>767</v>
      </c>
      <c r="AK338" s="11"/>
      <c r="AL338" s="11" t="s">
        <v>66</v>
      </c>
      <c r="AN338" s="6">
        <v>1019139</v>
      </c>
      <c r="AP338" s="6">
        <v>11985</v>
      </c>
      <c r="AR338" s="6">
        <v>0</v>
      </c>
      <c r="AT338" s="6">
        <v>4133509</v>
      </c>
      <c r="AV338" s="6">
        <v>4251221</v>
      </c>
      <c r="AX338" s="6">
        <v>0</v>
      </c>
      <c r="AZ338" s="7">
        <f t="shared" si="42"/>
        <v>60747873</v>
      </c>
      <c r="BB338" s="6">
        <v>2050076</v>
      </c>
      <c r="BD338" s="6">
        <v>0</v>
      </c>
      <c r="BF338" s="6">
        <v>0</v>
      </c>
      <c r="BH338" s="6">
        <v>0</v>
      </c>
      <c r="BJ338" s="7">
        <f t="shared" si="43"/>
        <v>62797949</v>
      </c>
      <c r="BL338" s="7">
        <f>'Gov Fd Rev'!AO338-'Gov Fd Exp'!BJ338</f>
        <v>-642303</v>
      </c>
      <c r="BN338" s="6">
        <v>4750262</v>
      </c>
      <c r="BP338" s="6">
        <v>0</v>
      </c>
      <c r="BR338" s="6">
        <v>0</v>
      </c>
      <c r="BT338" s="7">
        <f t="shared" si="44"/>
        <v>4107959</v>
      </c>
      <c r="BU338" s="7"/>
      <c r="BV338" s="7">
        <f>BT338-'Gov Fd BS'!AC338</f>
        <v>0</v>
      </c>
      <c r="BW338" s="7"/>
    </row>
    <row r="339" spans="1:75">
      <c r="A339" s="11" t="s">
        <v>546</v>
      </c>
      <c r="B339" s="11"/>
      <c r="C339" s="11" t="s">
        <v>69</v>
      </c>
      <c r="E339" s="6">
        <v>48912134</v>
      </c>
      <c r="G339" s="6">
        <v>13477224</v>
      </c>
      <c r="I339" s="6">
        <v>30564</v>
      </c>
      <c r="K339" s="6">
        <v>0</v>
      </c>
      <c r="M339" s="6">
        <v>1096818</v>
      </c>
      <c r="O339" s="6">
        <v>7042546</v>
      </c>
      <c r="Q339" s="6">
        <v>7896816</v>
      </c>
      <c r="S339" s="6">
        <v>0</v>
      </c>
      <c r="U339" s="6">
        <f>58014+5401632</f>
        <v>5459646</v>
      </c>
      <c r="W339" s="6">
        <v>1766689</v>
      </c>
      <c r="Y339" s="6">
        <v>453580</v>
      </c>
      <c r="AA339" s="6">
        <v>10593149</v>
      </c>
      <c r="AC339" s="6">
        <v>5998494</v>
      </c>
      <c r="AE339" s="6">
        <v>3666498</v>
      </c>
      <c r="AG339" s="6">
        <v>0</v>
      </c>
      <c r="AI339" s="6">
        <v>6300558</v>
      </c>
      <c r="AJ339" s="11" t="s">
        <v>546</v>
      </c>
      <c r="AK339" s="11"/>
      <c r="AL339" s="11" t="s">
        <v>69</v>
      </c>
      <c r="AN339" s="6">
        <v>2868870</v>
      </c>
      <c r="AP339" s="6">
        <v>532743</v>
      </c>
      <c r="AR339" s="6">
        <v>0</v>
      </c>
      <c r="AT339" s="6">
        <v>8612000</v>
      </c>
      <c r="AV339" s="6">
        <v>6246996</v>
      </c>
      <c r="AX339" s="6">
        <v>0</v>
      </c>
      <c r="AZ339" s="7">
        <f t="shared" si="42"/>
        <v>130955325</v>
      </c>
      <c r="BB339" s="6">
        <v>16951461</v>
      </c>
      <c r="BD339" s="6">
        <v>0</v>
      </c>
      <c r="BF339" s="6">
        <v>0</v>
      </c>
      <c r="BH339" s="6">
        <v>0</v>
      </c>
      <c r="BJ339" s="7">
        <f t="shared" si="43"/>
        <v>147906786</v>
      </c>
      <c r="BL339" s="7">
        <f>'Gov Fd Rev'!AO339-'Gov Fd Exp'!BJ339</f>
        <v>-4899634</v>
      </c>
      <c r="BN339" s="6">
        <v>53159698</v>
      </c>
      <c r="BP339" s="6">
        <v>0</v>
      </c>
      <c r="BR339" s="6">
        <v>0</v>
      </c>
      <c r="BT339" s="7">
        <f t="shared" si="44"/>
        <v>48260064</v>
      </c>
      <c r="BU339" s="7"/>
      <c r="BV339" s="7">
        <f>BT339-'Gov Fd BS'!AC339</f>
        <v>0</v>
      </c>
      <c r="BW339" s="7"/>
    </row>
    <row r="340" spans="1:75">
      <c r="A340" s="11" t="s">
        <v>501</v>
      </c>
      <c r="B340" s="11"/>
      <c r="C340" s="11" t="s">
        <v>62</v>
      </c>
      <c r="E340" s="6">
        <v>18673003</v>
      </c>
      <c r="G340" s="6">
        <v>5208403</v>
      </c>
      <c r="I340" s="6">
        <v>1968854</v>
      </c>
      <c r="K340" s="6">
        <v>46504</v>
      </c>
      <c r="M340" s="6">
        <f>190974+847201</f>
        <v>1038175</v>
      </c>
      <c r="O340" s="6">
        <v>3036517</v>
      </c>
      <c r="Q340" s="6">
        <v>1636924</v>
      </c>
      <c r="S340" s="6">
        <v>187410</v>
      </c>
      <c r="U340" s="6">
        <v>3094211</v>
      </c>
      <c r="W340" s="6">
        <v>1087279</v>
      </c>
      <c r="Y340" s="6">
        <v>8109</v>
      </c>
      <c r="AA340" s="6">
        <v>4572261</v>
      </c>
      <c r="AC340" s="6">
        <v>1573489</v>
      </c>
      <c r="AE340" s="6">
        <v>640087</v>
      </c>
      <c r="AG340" s="6">
        <v>1809848</v>
      </c>
      <c r="AI340" s="6">
        <f>211467+29260</f>
        <v>240727</v>
      </c>
      <c r="AJ340" s="11" t="s">
        <v>501</v>
      </c>
      <c r="AK340" s="11"/>
      <c r="AL340" s="11" t="s">
        <v>62</v>
      </c>
      <c r="AN340" s="6">
        <v>1555755</v>
      </c>
      <c r="AP340" s="6">
        <v>0</v>
      </c>
      <c r="AR340" s="6">
        <v>0</v>
      </c>
      <c r="AT340" s="6">
        <v>3365934</v>
      </c>
      <c r="AV340" s="6">
        <f>2095366+58895</f>
        <v>2154261</v>
      </c>
      <c r="AX340" s="6">
        <v>0</v>
      </c>
      <c r="AZ340" s="7">
        <f t="shared" si="42"/>
        <v>51897751</v>
      </c>
      <c r="BB340" s="6">
        <v>0</v>
      </c>
      <c r="BD340" s="6">
        <v>0</v>
      </c>
      <c r="BF340" s="6">
        <v>0</v>
      </c>
      <c r="BH340" s="6">
        <v>3068</v>
      </c>
      <c r="BJ340" s="7">
        <f t="shared" si="43"/>
        <v>51900819</v>
      </c>
      <c r="BL340" s="7">
        <f>'Gov Fd Rev'!AO340-'Gov Fd Exp'!BJ340</f>
        <v>-1814304</v>
      </c>
      <c r="BN340" s="6">
        <v>10356337</v>
      </c>
      <c r="BP340" s="6">
        <v>0</v>
      </c>
      <c r="BR340" s="6">
        <v>0</v>
      </c>
      <c r="BT340" s="7">
        <f t="shared" si="44"/>
        <v>8542033</v>
      </c>
      <c r="BU340" s="7"/>
      <c r="BV340" s="7">
        <f>BT340-'Gov Fd BS'!AC340</f>
        <v>0</v>
      </c>
      <c r="BW340" s="7"/>
    </row>
    <row r="341" spans="1:75">
      <c r="A341" s="11" t="s">
        <v>529</v>
      </c>
      <c r="B341" s="11"/>
      <c r="C341" s="11" t="s">
        <v>64</v>
      </c>
      <c r="E341" s="6">
        <v>4279080</v>
      </c>
      <c r="G341" s="6">
        <v>903812</v>
      </c>
      <c r="I341" s="6">
        <v>86891</v>
      </c>
      <c r="K341" s="6">
        <v>0</v>
      </c>
      <c r="M341" s="6">
        <v>166808</v>
      </c>
      <c r="O341" s="6">
        <v>476885</v>
      </c>
      <c r="Q341" s="6">
        <v>238715</v>
      </c>
      <c r="S341" s="6">
        <v>46874</v>
      </c>
      <c r="U341" s="6">
        <v>875885</v>
      </c>
      <c r="W341" s="6">
        <v>345375</v>
      </c>
      <c r="Y341" s="6">
        <v>4184</v>
      </c>
      <c r="AA341" s="6">
        <v>1024865</v>
      </c>
      <c r="AC341" s="6">
        <v>565064</v>
      </c>
      <c r="AE341" s="6">
        <v>92090</v>
      </c>
      <c r="AG341" s="6">
        <v>288624</v>
      </c>
      <c r="AI341" s="6">
        <v>67022</v>
      </c>
      <c r="AJ341" s="11" t="s">
        <v>529</v>
      </c>
      <c r="AK341" s="11"/>
      <c r="AL341" s="11" t="s">
        <v>64</v>
      </c>
      <c r="AN341" s="6">
        <v>193312</v>
      </c>
      <c r="AP341" s="6">
        <v>0</v>
      </c>
      <c r="AR341" s="6">
        <v>0</v>
      </c>
      <c r="AT341" s="6">
        <v>12961</v>
      </c>
      <c r="AV341" s="6">
        <v>0</v>
      </c>
      <c r="AX341" s="6">
        <v>0</v>
      </c>
      <c r="AZ341" s="7">
        <f t="shared" si="42"/>
        <v>9668447</v>
      </c>
      <c r="BB341" s="6">
        <v>147779</v>
      </c>
      <c r="BD341" s="6">
        <v>0</v>
      </c>
      <c r="BF341" s="6">
        <v>0</v>
      </c>
      <c r="BH341" s="6">
        <v>0</v>
      </c>
      <c r="BJ341" s="7">
        <f t="shared" si="43"/>
        <v>9816226</v>
      </c>
      <c r="BL341" s="7">
        <f>'Gov Fd Rev'!AO341-'Gov Fd Exp'!BJ341</f>
        <v>-342808</v>
      </c>
      <c r="BN341" s="6">
        <v>513932</v>
      </c>
      <c r="BP341" s="6">
        <v>0</v>
      </c>
      <c r="BR341" s="6">
        <v>0</v>
      </c>
      <c r="BT341" s="7">
        <f t="shared" si="44"/>
        <v>171124</v>
      </c>
      <c r="BU341" s="7"/>
      <c r="BV341" s="7">
        <f>BT341-'Gov Fd BS'!AC341</f>
        <v>0</v>
      </c>
      <c r="BW341" s="7"/>
    </row>
    <row r="342" spans="1:75" hidden="1">
      <c r="A342" s="10" t="s">
        <v>878</v>
      </c>
      <c r="B342" s="11"/>
      <c r="C342" s="11" t="s">
        <v>115</v>
      </c>
      <c r="E342" s="6">
        <v>0</v>
      </c>
      <c r="G342" s="6">
        <v>0</v>
      </c>
      <c r="I342" s="6">
        <v>0</v>
      </c>
      <c r="K342" s="6">
        <v>0</v>
      </c>
      <c r="M342" s="6">
        <v>0</v>
      </c>
      <c r="O342" s="6">
        <v>0</v>
      </c>
      <c r="Q342" s="6">
        <v>0</v>
      </c>
      <c r="S342" s="6">
        <v>0</v>
      </c>
      <c r="U342" s="6">
        <v>0</v>
      </c>
      <c r="W342" s="6">
        <v>0</v>
      </c>
      <c r="Y342" s="6">
        <v>0</v>
      </c>
      <c r="AA342" s="6">
        <v>0</v>
      </c>
      <c r="AC342" s="6">
        <v>0</v>
      </c>
      <c r="AE342" s="6">
        <v>0</v>
      </c>
      <c r="AG342" s="6">
        <v>0</v>
      </c>
      <c r="AI342" s="6">
        <v>0</v>
      </c>
      <c r="AJ342" s="10" t="s">
        <v>878</v>
      </c>
      <c r="AK342" s="11"/>
      <c r="AL342" s="11" t="s">
        <v>115</v>
      </c>
      <c r="AN342" s="6">
        <v>0</v>
      </c>
      <c r="AP342" s="6">
        <v>0</v>
      </c>
      <c r="AR342" s="6">
        <v>0</v>
      </c>
      <c r="AT342" s="6">
        <v>0</v>
      </c>
      <c r="AV342" s="6">
        <v>0</v>
      </c>
      <c r="AX342" s="6">
        <v>0</v>
      </c>
      <c r="AZ342" s="7">
        <f t="shared" si="42"/>
        <v>0</v>
      </c>
      <c r="BB342" s="6">
        <v>0</v>
      </c>
      <c r="BD342" s="6">
        <v>0</v>
      </c>
      <c r="BF342" s="6">
        <v>0</v>
      </c>
      <c r="BH342" s="6">
        <v>0</v>
      </c>
      <c r="BJ342" s="7">
        <f t="shared" si="43"/>
        <v>0</v>
      </c>
      <c r="BL342" s="7">
        <f>'Gov Fd Rev'!AO342-'Gov Fd Exp'!BJ342</f>
        <v>0</v>
      </c>
      <c r="BP342" s="6">
        <v>0</v>
      </c>
      <c r="BR342" s="6">
        <v>0</v>
      </c>
      <c r="BT342" s="7">
        <f t="shared" si="44"/>
        <v>0</v>
      </c>
      <c r="BU342" s="7"/>
      <c r="BV342" s="7">
        <f>BT342-'Gov Fd BS'!AC342</f>
        <v>0</v>
      </c>
      <c r="BW342" s="7"/>
    </row>
    <row r="343" spans="1:75">
      <c r="A343" s="11" t="s">
        <v>723</v>
      </c>
      <c r="B343" s="11"/>
      <c r="C343" s="11" t="s">
        <v>20</v>
      </c>
      <c r="E343" s="6">
        <v>24555156</v>
      </c>
      <c r="G343" s="6">
        <v>11927517</v>
      </c>
      <c r="I343" s="6">
        <f>2552854+4609920</f>
        <v>7162774</v>
      </c>
      <c r="K343" s="6">
        <v>18540</v>
      </c>
      <c r="M343" s="6">
        <v>972</v>
      </c>
      <c r="O343" s="6">
        <v>5647928</v>
      </c>
      <c r="Q343" s="6">
        <v>6459034</v>
      </c>
      <c r="S343" s="6">
        <v>118001</v>
      </c>
      <c r="U343" s="6">
        <v>4053798</v>
      </c>
      <c r="W343" s="6">
        <v>1875057</v>
      </c>
      <c r="Y343" s="6">
        <v>283804</v>
      </c>
      <c r="AA343" s="6">
        <v>5935116</v>
      </c>
      <c r="AC343" s="6">
        <v>4764349</v>
      </c>
      <c r="AE343" s="6">
        <v>1104842</v>
      </c>
      <c r="AG343" s="6">
        <v>1222351</v>
      </c>
      <c r="AI343" s="6">
        <v>948664</v>
      </c>
      <c r="AJ343" s="11" t="s">
        <v>723</v>
      </c>
      <c r="AK343" s="11"/>
      <c r="AL343" s="11" t="s">
        <v>20</v>
      </c>
      <c r="AN343" s="6">
        <v>1515161</v>
      </c>
      <c r="AP343" s="6">
        <v>20313362</v>
      </c>
      <c r="AR343" s="6">
        <v>0</v>
      </c>
      <c r="AT343" s="6">
        <v>1518975</v>
      </c>
      <c r="AV343" s="6">
        <v>1926729</v>
      </c>
      <c r="AX343" s="6">
        <v>0</v>
      </c>
      <c r="AZ343" s="7">
        <f t="shared" si="42"/>
        <v>101352130</v>
      </c>
      <c r="BB343" s="6">
        <v>3213319</v>
      </c>
      <c r="BD343" s="6">
        <v>0</v>
      </c>
      <c r="BF343" s="6">
        <v>0</v>
      </c>
      <c r="BH343" s="6">
        <v>0</v>
      </c>
      <c r="BJ343" s="7">
        <f t="shared" si="43"/>
        <v>104565449</v>
      </c>
      <c r="BL343" s="7">
        <f>'Gov Fd Rev'!AO343-'Gov Fd Exp'!BJ343</f>
        <v>-16297953</v>
      </c>
      <c r="BN343" s="6">
        <v>58607499</v>
      </c>
      <c r="BP343" s="6">
        <v>0</v>
      </c>
      <c r="BR343" s="6">
        <v>0</v>
      </c>
      <c r="BT343" s="7">
        <f t="shared" si="44"/>
        <v>42309546</v>
      </c>
      <c r="BU343" s="7"/>
      <c r="BV343" s="7">
        <f>BT343-'Gov Fd BS'!AC343</f>
        <v>0</v>
      </c>
      <c r="BW343" s="7"/>
    </row>
    <row r="344" spans="1:75">
      <c r="A344" s="11" t="s">
        <v>445</v>
      </c>
      <c r="B344" s="11"/>
      <c r="C344" s="11" t="s">
        <v>51</v>
      </c>
      <c r="E344" s="6">
        <v>10026467</v>
      </c>
      <c r="G344" s="6">
        <v>2410984</v>
      </c>
      <c r="I344" s="6">
        <v>127467</v>
      </c>
      <c r="K344" s="6">
        <v>0</v>
      </c>
      <c r="M344" s="6">
        <v>614074</v>
      </c>
      <c r="O344" s="6">
        <v>732302</v>
      </c>
      <c r="Q344" s="6">
        <v>1930405</v>
      </c>
      <c r="S344" s="6">
        <v>46446</v>
      </c>
      <c r="U344" s="6">
        <v>1724339</v>
      </c>
      <c r="W344" s="6">
        <v>413206</v>
      </c>
      <c r="Y344" s="6">
        <v>0</v>
      </c>
      <c r="AA344" s="6">
        <v>2144289</v>
      </c>
      <c r="AC344" s="6">
        <v>1096959</v>
      </c>
      <c r="AE344" s="6">
        <v>53820</v>
      </c>
      <c r="AG344" s="6">
        <v>886667</v>
      </c>
      <c r="AI344" s="6">
        <v>31032</v>
      </c>
      <c r="AJ344" s="11" t="s">
        <v>445</v>
      </c>
      <c r="AK344" s="11"/>
      <c r="AL344" s="11" t="s">
        <v>51</v>
      </c>
      <c r="AN344" s="6">
        <v>588985</v>
      </c>
      <c r="AP344" s="6">
        <v>399545</v>
      </c>
      <c r="AR344" s="6">
        <v>0</v>
      </c>
      <c r="AT344" s="6">
        <v>440526</v>
      </c>
      <c r="AV344" s="6">
        <v>217968</v>
      </c>
      <c r="AX344" s="6">
        <v>0</v>
      </c>
      <c r="AZ344" s="7">
        <f t="shared" si="42"/>
        <v>23885481</v>
      </c>
      <c r="BB344" s="6">
        <v>0</v>
      </c>
      <c r="BD344" s="6">
        <v>0</v>
      </c>
      <c r="BF344" s="6">
        <v>0</v>
      </c>
      <c r="BH344" s="6">
        <v>0</v>
      </c>
      <c r="BJ344" s="7">
        <f t="shared" si="43"/>
        <v>23885481</v>
      </c>
      <c r="BL344" s="7">
        <f>'Gov Fd Rev'!AO344-'Gov Fd Exp'!BJ344</f>
        <v>416308</v>
      </c>
      <c r="BN344" s="6">
        <v>3306684</v>
      </c>
      <c r="BP344" s="6">
        <v>0</v>
      </c>
      <c r="BR344" s="6">
        <v>0</v>
      </c>
      <c r="BT344" s="7">
        <f t="shared" si="44"/>
        <v>3722992</v>
      </c>
      <c r="BU344" s="7"/>
      <c r="BV344" s="7">
        <f>BT344-'Gov Fd BS'!AC344</f>
        <v>0</v>
      </c>
      <c r="BW344" s="7"/>
    </row>
    <row r="345" spans="1:75" hidden="1">
      <c r="A345" s="11" t="s">
        <v>806</v>
      </c>
      <c r="B345" s="11"/>
      <c r="C345" s="11" t="s">
        <v>33</v>
      </c>
      <c r="AJ345" s="11" t="s">
        <v>806</v>
      </c>
      <c r="AK345" s="11"/>
      <c r="AL345" s="11" t="s">
        <v>33</v>
      </c>
      <c r="AR345" s="6">
        <v>0</v>
      </c>
      <c r="AX345" s="6">
        <v>0</v>
      </c>
      <c r="AZ345" s="7">
        <f t="shared" si="42"/>
        <v>0</v>
      </c>
      <c r="BD345" s="6">
        <v>0</v>
      </c>
      <c r="BF345" s="6">
        <v>0</v>
      </c>
      <c r="BH345" s="6">
        <v>0</v>
      </c>
      <c r="BJ345" s="7">
        <f>AZ345+BB345+BH345+BD345</f>
        <v>0</v>
      </c>
      <c r="BL345" s="7">
        <f>'Gov Fd Rev'!AO345-'Gov Fd Exp'!BJ345</f>
        <v>0</v>
      </c>
      <c r="BP345" s="6">
        <v>0</v>
      </c>
      <c r="BR345" s="6">
        <v>0</v>
      </c>
      <c r="BT345" s="7">
        <f t="shared" si="44"/>
        <v>0</v>
      </c>
      <c r="BU345" s="7"/>
      <c r="BV345" s="7">
        <f>BT345-'Gov Fd BS'!AC345</f>
        <v>0</v>
      </c>
      <c r="BW345" s="7"/>
    </row>
    <row r="346" spans="1:75">
      <c r="A346" s="11" t="s">
        <v>638</v>
      </c>
      <c r="B346" s="11"/>
      <c r="C346" s="11" t="s">
        <v>64</v>
      </c>
      <c r="E346" s="6">
        <v>3266407</v>
      </c>
      <c r="G346" s="6">
        <v>600289</v>
      </c>
      <c r="I346" s="6">
        <v>29091</v>
      </c>
      <c r="K346" s="6">
        <v>0</v>
      </c>
      <c r="M346" s="6">
        <v>0</v>
      </c>
      <c r="O346" s="6">
        <v>311551</v>
      </c>
      <c r="Q346" s="6">
        <v>10115</v>
      </c>
      <c r="S346" s="6">
        <v>25782</v>
      </c>
      <c r="U346" s="6">
        <v>441371</v>
      </c>
      <c r="W346" s="6">
        <v>188974</v>
      </c>
      <c r="Y346" s="6">
        <v>0</v>
      </c>
      <c r="AA346" s="6">
        <v>549862</v>
      </c>
      <c r="AC346" s="6">
        <v>185782</v>
      </c>
      <c r="AE346" s="6">
        <v>26699</v>
      </c>
      <c r="AG346" s="6">
        <v>98503</v>
      </c>
      <c r="AI346" s="6">
        <v>3859</v>
      </c>
      <c r="AJ346" s="11" t="s">
        <v>638</v>
      </c>
      <c r="AK346" s="11"/>
      <c r="AL346" s="11" t="s">
        <v>64</v>
      </c>
      <c r="AN346" s="6">
        <v>213070</v>
      </c>
      <c r="AP346" s="6">
        <v>37178</v>
      </c>
      <c r="AR346" s="6">
        <v>0</v>
      </c>
      <c r="AT346" s="6">
        <v>48418</v>
      </c>
      <c r="AV346" s="6">
        <f>46586+85000</f>
        <v>131586</v>
      </c>
      <c r="AX346" s="6">
        <v>0</v>
      </c>
      <c r="AZ346" s="7">
        <f t="shared" si="42"/>
        <v>6168537</v>
      </c>
      <c r="BB346" s="6">
        <v>75000</v>
      </c>
      <c r="BD346" s="6">
        <v>0</v>
      </c>
      <c r="BF346" s="6">
        <v>0</v>
      </c>
      <c r="BH346" s="6">
        <v>0</v>
      </c>
      <c r="BJ346" s="7">
        <f t="shared" si="43"/>
        <v>6243537</v>
      </c>
      <c r="BL346" s="7">
        <f>'Gov Fd Rev'!AO346-'Gov Fd Exp'!BJ346</f>
        <v>1061076</v>
      </c>
      <c r="BN346" s="6">
        <v>-589630</v>
      </c>
      <c r="BP346" s="6">
        <v>0</v>
      </c>
      <c r="BR346" s="6">
        <v>0</v>
      </c>
      <c r="BT346" s="7">
        <f t="shared" si="44"/>
        <v>471446</v>
      </c>
      <c r="BU346" s="7"/>
      <c r="BV346" s="7">
        <f>BT346-'Gov Fd BS'!AC346</f>
        <v>0</v>
      </c>
      <c r="BW346" s="7"/>
    </row>
    <row r="347" spans="1:75">
      <c r="A347" s="11" t="s">
        <v>768</v>
      </c>
      <c r="B347" s="11"/>
      <c r="C347" s="11" t="s">
        <v>228</v>
      </c>
      <c r="E347" s="6">
        <v>4508901</v>
      </c>
      <c r="G347" s="6">
        <v>1524590</v>
      </c>
      <c r="I347" s="6">
        <v>171588</v>
      </c>
      <c r="K347" s="6">
        <v>0</v>
      </c>
      <c r="M347" s="6">
        <v>0</v>
      </c>
      <c r="O347" s="6">
        <v>321294</v>
      </c>
      <c r="Q347" s="6">
        <v>366436</v>
      </c>
      <c r="S347" s="6">
        <v>38394</v>
      </c>
      <c r="U347" s="6">
        <v>857284</v>
      </c>
      <c r="W347" s="6">
        <v>329737</v>
      </c>
      <c r="Y347" s="6">
        <v>0</v>
      </c>
      <c r="AA347" s="6">
        <v>1523020</v>
      </c>
      <c r="AC347" s="6">
        <v>659570</v>
      </c>
      <c r="AE347" s="6">
        <v>132529</v>
      </c>
      <c r="AG347" s="6">
        <v>231728</v>
      </c>
      <c r="AI347" s="6">
        <v>4963</v>
      </c>
      <c r="AJ347" s="11" t="s">
        <v>768</v>
      </c>
      <c r="AK347" s="11"/>
      <c r="AL347" s="11" t="s">
        <v>228</v>
      </c>
      <c r="AN347" s="6">
        <v>305821</v>
      </c>
      <c r="AP347" s="6">
        <v>18866</v>
      </c>
      <c r="AR347" s="6">
        <v>0</v>
      </c>
      <c r="AT347" s="6">
        <v>190001</v>
      </c>
      <c r="AV347" s="6">
        <v>455752</v>
      </c>
      <c r="AX347" s="6">
        <v>0</v>
      </c>
      <c r="AZ347" s="7">
        <f t="shared" si="42"/>
        <v>11640474</v>
      </c>
      <c r="BB347" s="6">
        <v>106545</v>
      </c>
      <c r="BD347" s="6">
        <v>0</v>
      </c>
      <c r="BF347" s="6">
        <v>0</v>
      </c>
      <c r="BH347" s="6">
        <v>0</v>
      </c>
      <c r="BJ347" s="7">
        <f t="shared" si="43"/>
        <v>11747019</v>
      </c>
      <c r="BL347" s="7">
        <f>'Gov Fd Rev'!AO347-'Gov Fd Exp'!BJ347</f>
        <v>-950406</v>
      </c>
      <c r="BN347" s="6">
        <v>1646896</v>
      </c>
      <c r="BP347" s="6">
        <v>0</v>
      </c>
      <c r="BR347" s="6">
        <v>0</v>
      </c>
      <c r="BT347" s="7">
        <f t="shared" si="44"/>
        <v>696490</v>
      </c>
      <c r="BU347" s="7"/>
      <c r="BV347" s="7">
        <f>BT347-'Gov Fd BS'!AC347</f>
        <v>0</v>
      </c>
      <c r="BW347" s="7"/>
    </row>
    <row r="348" spans="1:75">
      <c r="A348" s="11" t="s">
        <v>418</v>
      </c>
      <c r="B348" s="11"/>
      <c r="C348" s="11" t="s">
        <v>47</v>
      </c>
      <c r="E348" s="6">
        <v>34178498</v>
      </c>
      <c r="G348" s="6">
        <v>8241047</v>
      </c>
      <c r="I348" s="6">
        <v>212109</v>
      </c>
      <c r="K348" s="6">
        <v>0</v>
      </c>
      <c r="M348" s="6">
        <v>72385</v>
      </c>
      <c r="O348" s="6">
        <v>3749887</v>
      </c>
      <c r="Q348" s="6">
        <v>4457603</v>
      </c>
      <c r="S348" s="6">
        <v>98812</v>
      </c>
      <c r="U348" s="6">
        <v>4786092</v>
      </c>
      <c r="W348" s="6">
        <v>1507376</v>
      </c>
      <c r="Y348" s="6">
        <v>466173</v>
      </c>
      <c r="AA348" s="6">
        <v>7835720</v>
      </c>
      <c r="AC348" s="6">
        <v>2447326</v>
      </c>
      <c r="AE348" s="6">
        <v>387397</v>
      </c>
      <c r="AG348" s="6">
        <v>2241690</v>
      </c>
      <c r="AI348" s="6">
        <v>552652</v>
      </c>
      <c r="AJ348" s="11" t="s">
        <v>418</v>
      </c>
      <c r="AK348" s="11"/>
      <c r="AL348" s="11" t="s">
        <v>47</v>
      </c>
      <c r="AN348" s="6">
        <v>2129163</v>
      </c>
      <c r="AP348" s="6">
        <v>481249</v>
      </c>
      <c r="AR348" s="6">
        <v>0</v>
      </c>
      <c r="AT348" s="6">
        <v>1302883</v>
      </c>
      <c r="AV348" s="6">
        <f>4153277+2007371</f>
        <v>6160648</v>
      </c>
      <c r="AX348" s="6">
        <v>0</v>
      </c>
      <c r="AZ348" s="7">
        <f t="shared" si="42"/>
        <v>81308710</v>
      </c>
      <c r="BB348" s="6">
        <v>490900</v>
      </c>
      <c r="BD348" s="6">
        <v>0</v>
      </c>
      <c r="BF348" s="6">
        <v>0</v>
      </c>
      <c r="BH348" s="6">
        <v>2582714</v>
      </c>
      <c r="BJ348" s="7">
        <f t="shared" si="43"/>
        <v>84382324</v>
      </c>
      <c r="BL348" s="7">
        <f>'Gov Fd Rev'!AO348-'Gov Fd Exp'!BJ348</f>
        <v>6424377</v>
      </c>
      <c r="BN348" s="6">
        <v>20722614</v>
      </c>
      <c r="BP348" s="6">
        <v>0</v>
      </c>
      <c r="BR348" s="6">
        <v>0</v>
      </c>
      <c r="BT348" s="7">
        <f t="shared" si="44"/>
        <v>27146991</v>
      </c>
      <c r="BU348" s="7"/>
      <c r="BV348" s="7">
        <f>BT348-'Gov Fd BS'!AC348</f>
        <v>0</v>
      </c>
      <c r="BW348" s="7"/>
    </row>
    <row r="349" spans="1:75">
      <c r="A349" s="11" t="s">
        <v>421</v>
      </c>
      <c r="B349" s="11"/>
      <c r="C349" s="11" t="s">
        <v>420</v>
      </c>
      <c r="E349" s="6">
        <v>6613940</v>
      </c>
      <c r="G349" s="6">
        <v>2798375</v>
      </c>
      <c r="I349" s="6">
        <v>1322914</v>
      </c>
      <c r="K349" s="6">
        <v>6350</v>
      </c>
      <c r="M349" s="6">
        <f>150217+1859175</f>
        <v>2009392</v>
      </c>
      <c r="O349" s="6">
        <v>809877</v>
      </c>
      <c r="Q349" s="6">
        <v>799380</v>
      </c>
      <c r="S349" s="6">
        <v>70303</v>
      </c>
      <c r="U349" s="6">
        <v>1756006</v>
      </c>
      <c r="W349" s="6">
        <v>489130</v>
      </c>
      <c r="Y349" s="6">
        <v>0</v>
      </c>
      <c r="AA349" s="6">
        <v>2014525</v>
      </c>
      <c r="AC349" s="6">
        <v>1552930</v>
      </c>
      <c r="AE349" s="6">
        <v>53721</v>
      </c>
      <c r="AG349" s="6">
        <v>0</v>
      </c>
      <c r="AI349" s="6">
        <v>953832</v>
      </c>
      <c r="AJ349" s="11" t="s">
        <v>421</v>
      </c>
      <c r="AK349" s="11"/>
      <c r="AL349" s="11" t="s">
        <v>420</v>
      </c>
      <c r="AN349" s="6">
        <v>395396</v>
      </c>
      <c r="AP349" s="6">
        <v>31758</v>
      </c>
      <c r="AR349" s="6">
        <v>0</v>
      </c>
      <c r="AT349" s="6">
        <v>282118</v>
      </c>
      <c r="AV349" s="6">
        <v>390874</v>
      </c>
      <c r="AX349" s="6">
        <v>0</v>
      </c>
      <c r="AZ349" s="7">
        <f t="shared" si="42"/>
        <v>22350821</v>
      </c>
      <c r="BB349" s="6">
        <v>0</v>
      </c>
      <c r="BD349" s="6">
        <v>0</v>
      </c>
      <c r="BF349" s="6">
        <v>0</v>
      </c>
      <c r="BH349" s="6">
        <v>0</v>
      </c>
      <c r="BJ349" s="7">
        <f t="shared" si="43"/>
        <v>22350821</v>
      </c>
      <c r="BL349" s="7">
        <f>'Gov Fd Rev'!AO349-'Gov Fd Exp'!BJ349</f>
        <v>1590362</v>
      </c>
      <c r="BN349" s="6">
        <v>285209</v>
      </c>
      <c r="BP349" s="6">
        <v>0</v>
      </c>
      <c r="BR349" s="6">
        <v>0</v>
      </c>
      <c r="BT349" s="7">
        <f t="shared" si="44"/>
        <v>1875571</v>
      </c>
      <c r="BU349" s="7"/>
      <c r="BV349" s="7">
        <f>BT349-'Gov Fd BS'!AC349</f>
        <v>0</v>
      </c>
      <c r="BW349" s="7"/>
    </row>
    <row r="350" spans="1:75">
      <c r="A350" s="11" t="s">
        <v>769</v>
      </c>
      <c r="B350" s="11"/>
      <c r="C350" s="11" t="s">
        <v>41</v>
      </c>
      <c r="E350" s="6">
        <v>43259029</v>
      </c>
      <c r="G350" s="6">
        <v>13176953</v>
      </c>
      <c r="I350" s="6">
        <v>1846685</v>
      </c>
      <c r="K350" s="6">
        <v>0</v>
      </c>
      <c r="M350" s="6">
        <v>56869</v>
      </c>
      <c r="O350" s="6">
        <v>6937384</v>
      </c>
      <c r="Q350" s="6">
        <v>6857182</v>
      </c>
      <c r="S350" s="6">
        <v>538033</v>
      </c>
      <c r="U350" s="6">
        <v>5824039</v>
      </c>
      <c r="W350" s="6">
        <v>2422710</v>
      </c>
      <c r="Y350" s="6">
        <v>595192</v>
      </c>
      <c r="AA350" s="6">
        <v>9543235</v>
      </c>
      <c r="AC350" s="6">
        <v>6261940</v>
      </c>
      <c r="AE350" s="6">
        <v>2037233</v>
      </c>
      <c r="AG350" s="6">
        <v>2711502</v>
      </c>
      <c r="AI350" s="6">
        <v>1568990</v>
      </c>
      <c r="AJ350" s="11" t="s">
        <v>769</v>
      </c>
      <c r="AK350" s="11"/>
      <c r="AL350" s="11" t="s">
        <v>41</v>
      </c>
      <c r="AN350" s="6">
        <v>1917563</v>
      </c>
      <c r="AP350" s="6">
        <v>0</v>
      </c>
      <c r="AR350" s="6">
        <v>0</v>
      </c>
      <c r="AT350" s="6">
        <v>2226334</v>
      </c>
      <c r="AV350" s="6">
        <v>73412</v>
      </c>
      <c r="AX350" s="6">
        <v>0</v>
      </c>
      <c r="AZ350" s="7">
        <f t="shared" si="42"/>
        <v>107854285</v>
      </c>
      <c r="BB350" s="6">
        <v>478157</v>
      </c>
      <c r="BD350" s="6">
        <v>0</v>
      </c>
      <c r="BF350" s="6">
        <v>0</v>
      </c>
      <c r="BH350" s="6">
        <v>0</v>
      </c>
      <c r="BJ350" s="7">
        <f t="shared" si="43"/>
        <v>108332442</v>
      </c>
      <c r="BL350" s="7">
        <f>'Gov Fd Rev'!AO350-'Gov Fd Exp'!BJ350</f>
        <v>-1997517</v>
      </c>
      <c r="BN350" s="6">
        <v>55526883</v>
      </c>
      <c r="BP350" s="6">
        <v>0</v>
      </c>
      <c r="BR350" s="6">
        <v>0</v>
      </c>
      <c r="BT350" s="7">
        <f t="shared" si="44"/>
        <v>53529366</v>
      </c>
      <c r="BU350" s="7"/>
      <c r="BV350" s="7">
        <f>BT350-'Gov Fd BS'!AC350</f>
        <v>0</v>
      </c>
      <c r="BW350" s="7"/>
    </row>
    <row r="351" spans="1:75">
      <c r="A351" s="11" t="s">
        <v>424</v>
      </c>
      <c r="B351" s="11"/>
      <c r="C351" s="11" t="s">
        <v>48</v>
      </c>
      <c r="E351" s="6">
        <v>5527139</v>
      </c>
      <c r="G351" s="6">
        <v>981121</v>
      </c>
      <c r="I351" s="6">
        <v>100643</v>
      </c>
      <c r="K351" s="6">
        <v>0</v>
      </c>
      <c r="M351" s="6">
        <v>750045</v>
      </c>
      <c r="O351" s="6">
        <v>658940</v>
      </c>
      <c r="Q351" s="6">
        <v>349404</v>
      </c>
      <c r="S351" s="6">
        <v>22420</v>
      </c>
      <c r="U351" s="6">
        <v>804820</v>
      </c>
      <c r="W351" s="6">
        <v>413834</v>
      </c>
      <c r="Y351" s="6">
        <v>56256</v>
      </c>
      <c r="AA351" s="6">
        <v>1011110</v>
      </c>
      <c r="AC351" s="6">
        <v>825208</v>
      </c>
      <c r="AE351" s="6">
        <v>195706</v>
      </c>
      <c r="AG351" s="6">
        <v>391485</v>
      </c>
      <c r="AI351" s="6">
        <v>31832</v>
      </c>
      <c r="AJ351" s="11" t="s">
        <v>424</v>
      </c>
      <c r="AK351" s="11"/>
      <c r="AL351" s="11" t="s">
        <v>48</v>
      </c>
      <c r="AN351" s="6">
        <v>395927</v>
      </c>
      <c r="AP351" s="6">
        <v>1626701</v>
      </c>
      <c r="AR351" s="6">
        <v>0</v>
      </c>
      <c r="AT351" s="6">
        <v>318882</v>
      </c>
      <c r="AV351" s="6">
        <f>661397+311118</f>
        <v>972515</v>
      </c>
      <c r="AX351" s="6">
        <v>0</v>
      </c>
      <c r="AZ351" s="7">
        <f t="shared" si="42"/>
        <v>15433988</v>
      </c>
      <c r="BB351" s="6">
        <v>71165</v>
      </c>
      <c r="BD351" s="6">
        <v>0</v>
      </c>
      <c r="BF351" s="6">
        <v>0</v>
      </c>
      <c r="BH351" s="6">
        <v>0</v>
      </c>
      <c r="BJ351" s="7">
        <f t="shared" si="43"/>
        <v>15505153</v>
      </c>
      <c r="BL351" s="7">
        <f>'Gov Fd Rev'!AO351-'Gov Fd Exp'!BJ351</f>
        <v>-1306498</v>
      </c>
      <c r="BN351" s="6">
        <v>5225422</v>
      </c>
      <c r="BP351" s="6">
        <v>0</v>
      </c>
      <c r="BR351" s="6">
        <v>0</v>
      </c>
      <c r="BT351" s="7">
        <f t="shared" si="44"/>
        <v>3918924</v>
      </c>
      <c r="BU351" s="7"/>
      <c r="BV351" s="7">
        <f>BT351-'Gov Fd BS'!AC351</f>
        <v>0</v>
      </c>
      <c r="BW351" s="7"/>
    </row>
    <row r="352" spans="1:75">
      <c r="A352" s="11" t="s">
        <v>297</v>
      </c>
      <c r="B352" s="11"/>
      <c r="C352" s="11" t="s">
        <v>26</v>
      </c>
      <c r="E352" s="6">
        <v>8700917</v>
      </c>
      <c r="G352" s="6">
        <v>2645714</v>
      </c>
      <c r="I352" s="6">
        <v>87810</v>
      </c>
      <c r="K352" s="6">
        <v>0</v>
      </c>
      <c r="M352" s="6">
        <v>1926269</v>
      </c>
      <c r="O352" s="6">
        <v>1180452</v>
      </c>
      <c r="Q352" s="6">
        <v>1532931</v>
      </c>
      <c r="S352" s="6">
        <v>0</v>
      </c>
      <c r="U352" s="6">
        <f>52308+2229579</f>
        <v>2281887</v>
      </c>
      <c r="W352" s="6">
        <v>760555</v>
      </c>
      <c r="Y352" s="6">
        <v>103837</v>
      </c>
      <c r="AA352" s="6">
        <v>2036985</v>
      </c>
      <c r="AC352" s="6">
        <v>2066068</v>
      </c>
      <c r="AE352" s="6">
        <v>445263</v>
      </c>
      <c r="AG352" s="6">
        <v>0</v>
      </c>
      <c r="AI352" s="6">
        <v>1119864</v>
      </c>
      <c r="AJ352" s="11" t="s">
        <v>297</v>
      </c>
      <c r="AK352" s="11"/>
      <c r="AL352" s="11" t="s">
        <v>26</v>
      </c>
      <c r="AN352" s="6">
        <v>491296</v>
      </c>
      <c r="AP352" s="6">
        <v>1240245</v>
      </c>
      <c r="AR352" s="6">
        <v>0</v>
      </c>
      <c r="AT352" s="6">
        <v>480000</v>
      </c>
      <c r="AV352" s="6">
        <v>1245538</v>
      </c>
      <c r="AX352" s="6">
        <v>0</v>
      </c>
      <c r="AZ352" s="7">
        <f t="shared" si="42"/>
        <v>28345631</v>
      </c>
      <c r="BB352" s="6">
        <v>3100</v>
      </c>
      <c r="BD352" s="6">
        <v>0</v>
      </c>
      <c r="BF352" s="6">
        <v>0</v>
      </c>
      <c r="BH352" s="6">
        <v>0</v>
      </c>
      <c r="BJ352" s="7">
        <f t="shared" si="43"/>
        <v>28348731</v>
      </c>
      <c r="BL352" s="7">
        <f>'Gov Fd Rev'!AO352-'Gov Fd Exp'!BJ352</f>
        <v>2352471</v>
      </c>
      <c r="BN352" s="6">
        <v>17642581</v>
      </c>
      <c r="BP352" s="6">
        <v>0</v>
      </c>
      <c r="BR352" s="6">
        <v>0</v>
      </c>
      <c r="BT352" s="7">
        <f t="shared" si="44"/>
        <v>19995052</v>
      </c>
      <c r="BU352" s="7"/>
      <c r="BV352" s="7">
        <f>BT352-'Gov Fd BS'!AC352</f>
        <v>0</v>
      </c>
      <c r="BW352" s="7"/>
    </row>
    <row r="353" spans="1:75">
      <c r="A353" s="11" t="s">
        <v>432</v>
      </c>
      <c r="B353" s="11"/>
      <c r="C353" s="11" t="s">
        <v>50</v>
      </c>
      <c r="E353" s="6">
        <v>25623656</v>
      </c>
      <c r="G353" s="6">
        <v>8606291</v>
      </c>
      <c r="I353" s="6">
        <v>528321</v>
      </c>
      <c r="K353" s="6">
        <v>0</v>
      </c>
      <c r="M353" s="6">
        <f>33248+468841</f>
        <v>502089</v>
      </c>
      <c r="O353" s="6">
        <v>3767938</v>
      </c>
      <c r="Q353" s="6">
        <v>1660454</v>
      </c>
      <c r="S353" s="6">
        <v>34933</v>
      </c>
      <c r="U353" s="6">
        <v>3101801</v>
      </c>
      <c r="W353" s="6">
        <v>975215</v>
      </c>
      <c r="Y353" s="6">
        <v>292639</v>
      </c>
      <c r="AA353" s="6">
        <v>4336451</v>
      </c>
      <c r="AC353" s="6">
        <v>3441428</v>
      </c>
      <c r="AE353" s="6">
        <v>577078</v>
      </c>
      <c r="AG353" s="6">
        <v>0</v>
      </c>
      <c r="AI353" s="6">
        <v>3188447</v>
      </c>
      <c r="AJ353" s="11" t="s">
        <v>432</v>
      </c>
      <c r="AK353" s="11"/>
      <c r="AL353" s="11" t="s">
        <v>50</v>
      </c>
      <c r="AN353" s="6">
        <v>972214</v>
      </c>
      <c r="AP353" s="6">
        <v>18875093</v>
      </c>
      <c r="AR353" s="6">
        <v>0</v>
      </c>
      <c r="AT353" s="6">
        <v>17573348</v>
      </c>
      <c r="AV353" s="6">
        <f>3559173+225669</f>
        <v>3784842</v>
      </c>
      <c r="AX353" s="6">
        <v>0</v>
      </c>
      <c r="AZ353" s="7">
        <f t="shared" si="42"/>
        <v>97842238</v>
      </c>
      <c r="BB353" s="6">
        <v>809413</v>
      </c>
      <c r="BD353" s="6">
        <v>0</v>
      </c>
      <c r="BF353" s="6">
        <v>0</v>
      </c>
      <c r="BH353" s="6">
        <v>0</v>
      </c>
      <c r="BJ353" s="7">
        <f t="shared" si="43"/>
        <v>98651651</v>
      </c>
      <c r="BL353" s="7">
        <f>'Gov Fd Rev'!AO353-'Gov Fd Exp'!BJ353</f>
        <v>-16536467</v>
      </c>
      <c r="BN353" s="6">
        <v>38697814</v>
      </c>
      <c r="BP353" s="6">
        <v>0</v>
      </c>
      <c r="BR353" s="6">
        <v>0</v>
      </c>
      <c r="BT353" s="7">
        <f t="shared" si="44"/>
        <v>22161347</v>
      </c>
      <c r="BU353" s="7"/>
      <c r="BV353" s="7">
        <f>BT353-'Gov Fd BS'!AC353</f>
        <v>0</v>
      </c>
      <c r="BW353" s="7"/>
    </row>
    <row r="354" spans="1:75" hidden="1">
      <c r="A354" s="11" t="s">
        <v>812</v>
      </c>
      <c r="B354" s="11"/>
      <c r="C354" s="11" t="s">
        <v>53</v>
      </c>
      <c r="AJ354" s="11" t="s">
        <v>812</v>
      </c>
      <c r="AK354" s="11"/>
      <c r="AL354" s="11" t="s">
        <v>53</v>
      </c>
      <c r="AR354" s="6">
        <v>0</v>
      </c>
      <c r="AX354" s="6">
        <v>0</v>
      </c>
      <c r="AZ354" s="7">
        <f t="shared" si="42"/>
        <v>0</v>
      </c>
      <c r="BD354" s="6">
        <v>0</v>
      </c>
      <c r="BF354" s="6">
        <v>0</v>
      </c>
      <c r="BH354" s="6">
        <v>0</v>
      </c>
      <c r="BJ354" s="7">
        <f t="shared" ref="BJ354" si="49">AZ354+BB354+BH354</f>
        <v>0</v>
      </c>
      <c r="BL354" s="7">
        <f>'Gov Fd Rev'!AO354-'Gov Fd Exp'!BJ354</f>
        <v>0</v>
      </c>
      <c r="BP354" s="6">
        <v>0</v>
      </c>
      <c r="BR354" s="6">
        <v>0</v>
      </c>
      <c r="BT354" s="7">
        <f t="shared" si="44"/>
        <v>0</v>
      </c>
      <c r="BU354" s="7"/>
      <c r="BV354" s="7">
        <f>BT354-'Gov Fd BS'!AC354</f>
        <v>0</v>
      </c>
      <c r="BW354" s="7"/>
    </row>
    <row r="355" spans="1:75">
      <c r="A355" s="11" t="s">
        <v>225</v>
      </c>
      <c r="B355" s="11"/>
      <c r="C355" s="11" t="s">
        <v>221</v>
      </c>
      <c r="E355" s="6">
        <v>27890873</v>
      </c>
      <c r="G355" s="6">
        <v>8087367</v>
      </c>
      <c r="I355" s="6">
        <v>105</v>
      </c>
      <c r="K355" s="6">
        <v>421145</v>
      </c>
      <c r="M355" s="6">
        <v>10793269</v>
      </c>
      <c r="O355" s="6">
        <v>4695154</v>
      </c>
      <c r="Q355" s="6">
        <v>4964134</v>
      </c>
      <c r="S355" s="6">
        <v>56405</v>
      </c>
      <c r="U355" s="6">
        <v>4517281</v>
      </c>
      <c r="W355" s="6">
        <v>717447</v>
      </c>
      <c r="Y355" s="6">
        <v>427734</v>
      </c>
      <c r="AA355" s="6">
        <v>5454243</v>
      </c>
      <c r="AC355" s="6">
        <v>3629508</v>
      </c>
      <c r="AE355" s="6">
        <v>3853759</v>
      </c>
      <c r="AG355" s="6">
        <v>0</v>
      </c>
      <c r="AI355" s="6">
        <v>4382701</v>
      </c>
      <c r="AJ355" s="11" t="s">
        <v>225</v>
      </c>
      <c r="AK355" s="11"/>
      <c r="AL355" s="11" t="s">
        <v>221</v>
      </c>
      <c r="AN355" s="6">
        <v>1017934</v>
      </c>
      <c r="AP355" s="6">
        <v>397027</v>
      </c>
      <c r="AR355" s="6">
        <v>0</v>
      </c>
      <c r="AT355" s="6">
        <v>927375</v>
      </c>
      <c r="AV355" s="6">
        <v>2881709</v>
      </c>
      <c r="AX355" s="6">
        <v>0</v>
      </c>
      <c r="AZ355" s="7">
        <f t="shared" si="42"/>
        <v>85115170</v>
      </c>
      <c r="BB355" s="6">
        <v>620080</v>
      </c>
      <c r="BD355" s="6">
        <v>0</v>
      </c>
      <c r="BF355" s="6">
        <v>0</v>
      </c>
      <c r="BH355" s="6">
        <v>0</v>
      </c>
      <c r="BJ355" s="7">
        <f t="shared" si="43"/>
        <v>85735250</v>
      </c>
      <c r="BL355" s="7">
        <f>'Gov Fd Rev'!AO355-'Gov Fd Exp'!BJ355</f>
        <v>-2798581</v>
      </c>
      <c r="BN355" s="6">
        <v>1911914</v>
      </c>
      <c r="BP355" s="6">
        <v>0</v>
      </c>
      <c r="BR355" s="6">
        <v>0</v>
      </c>
      <c r="BT355" s="7">
        <f t="shared" si="44"/>
        <v>-886667</v>
      </c>
      <c r="BU355" s="7"/>
      <c r="BV355" s="7">
        <f>BT355-'Gov Fd BS'!AC355</f>
        <v>0</v>
      </c>
      <c r="BW355" s="7"/>
    </row>
    <row r="356" spans="1:75">
      <c r="A356" s="11" t="s">
        <v>387</v>
      </c>
      <c r="B356" s="11"/>
      <c r="C356" s="11" t="s">
        <v>44</v>
      </c>
      <c r="E356" s="6">
        <v>14874953</v>
      </c>
      <c r="G356" s="6">
        <v>3020621</v>
      </c>
      <c r="I356" s="6">
        <v>155697</v>
      </c>
      <c r="K356" s="6">
        <v>0</v>
      </c>
      <c r="M356" s="6">
        <v>126540</v>
      </c>
      <c r="O356" s="6">
        <v>1748523</v>
      </c>
      <c r="Q356" s="6">
        <v>463355</v>
      </c>
      <c r="S356" s="6">
        <v>319619</v>
      </c>
      <c r="U356" s="6">
        <v>2571639</v>
      </c>
      <c r="W356" s="6">
        <v>728188</v>
      </c>
      <c r="Y356" s="6">
        <v>364161</v>
      </c>
      <c r="AA356" s="6">
        <v>2500704</v>
      </c>
      <c r="AC356" s="6">
        <v>1457751</v>
      </c>
      <c r="AE356" s="6">
        <v>0</v>
      </c>
      <c r="AG356" s="6">
        <v>0</v>
      </c>
      <c r="AI356" s="6">
        <v>4326</v>
      </c>
      <c r="AJ356" s="11" t="s">
        <v>387</v>
      </c>
      <c r="AK356" s="11"/>
      <c r="AL356" s="11" t="s">
        <v>44</v>
      </c>
      <c r="AN356" s="6">
        <f>37651+536192+162657</f>
        <v>736500</v>
      </c>
      <c r="AP356" s="6">
        <f>167818+11305005+228363</f>
        <v>11701186</v>
      </c>
      <c r="AR356" s="6">
        <v>0</v>
      </c>
      <c r="AT356" s="6">
        <v>870000</v>
      </c>
      <c r="AV356" s="6">
        <v>1330758</v>
      </c>
      <c r="AX356" s="6">
        <v>0</v>
      </c>
      <c r="AZ356" s="7">
        <f t="shared" si="42"/>
        <v>42974521</v>
      </c>
      <c r="BB356" s="6">
        <v>450000</v>
      </c>
      <c r="BD356" s="6">
        <v>0</v>
      </c>
      <c r="BF356" s="6">
        <v>0</v>
      </c>
      <c r="BH356" s="6">
        <v>0</v>
      </c>
      <c r="BJ356" s="7">
        <f t="shared" si="43"/>
        <v>43424521</v>
      </c>
      <c r="BL356" s="7">
        <f>'Gov Fd Rev'!AO356-'Gov Fd Exp'!BJ356</f>
        <v>-3431154</v>
      </c>
      <c r="BN356" s="6">
        <v>13944611</v>
      </c>
      <c r="BP356" s="6">
        <v>0</v>
      </c>
      <c r="BR356" s="6">
        <v>0</v>
      </c>
      <c r="BT356" s="7">
        <f t="shared" si="44"/>
        <v>10513457</v>
      </c>
      <c r="BU356" s="7"/>
      <c r="BV356" s="7">
        <f>BT356-'Gov Fd BS'!AC356</f>
        <v>0</v>
      </c>
      <c r="BW356" s="7"/>
    </row>
    <row r="357" spans="1:75">
      <c r="A357" s="11" t="s">
        <v>770</v>
      </c>
      <c r="B357" s="11"/>
      <c r="C357" s="11" t="s">
        <v>113</v>
      </c>
      <c r="E357" s="6">
        <v>27921185</v>
      </c>
      <c r="G357" s="6">
        <v>6995801</v>
      </c>
      <c r="I357" s="6">
        <v>314129</v>
      </c>
      <c r="K357" s="6">
        <v>0</v>
      </c>
      <c r="M357" s="6">
        <v>246507</v>
      </c>
      <c r="O357" s="6">
        <v>2891842</v>
      </c>
      <c r="Q357" s="6">
        <v>3665870</v>
      </c>
      <c r="S357" s="6">
        <v>0</v>
      </c>
      <c r="U357" s="6">
        <f>72481+3102495</f>
        <v>3174976</v>
      </c>
      <c r="W357" s="6">
        <v>1373386</v>
      </c>
      <c r="Y357" s="6">
        <v>347248</v>
      </c>
      <c r="AA357" s="6">
        <v>4581925</v>
      </c>
      <c r="AC357" s="6">
        <v>5388163</v>
      </c>
      <c r="AE357" s="6">
        <v>917273</v>
      </c>
      <c r="AG357" s="6">
        <v>0</v>
      </c>
      <c r="AI357" s="6">
        <v>4531233</v>
      </c>
      <c r="AJ357" s="11" t="s">
        <v>770</v>
      </c>
      <c r="AK357" s="11"/>
      <c r="AL357" s="11" t="s">
        <v>113</v>
      </c>
      <c r="AN357" s="6">
        <v>1145749</v>
      </c>
      <c r="AP357" s="6">
        <v>268545</v>
      </c>
      <c r="AR357" s="6">
        <v>0</v>
      </c>
      <c r="AT357" s="6">
        <v>912318</v>
      </c>
      <c r="AV357" s="6">
        <f>3133685+59269</f>
        <v>3192954</v>
      </c>
      <c r="AX357" s="6">
        <v>0</v>
      </c>
      <c r="AZ357" s="7">
        <f t="shared" si="42"/>
        <v>67869104</v>
      </c>
      <c r="BB357" s="6">
        <v>0</v>
      </c>
      <c r="BD357" s="6">
        <v>0</v>
      </c>
      <c r="BF357" s="6">
        <v>0</v>
      </c>
      <c r="BH357" s="6">
        <v>2669869</v>
      </c>
      <c r="BJ357" s="7">
        <f t="shared" si="43"/>
        <v>70538973</v>
      </c>
      <c r="BL357" s="7">
        <f>'Gov Fd Rev'!AO357-'Gov Fd Exp'!BJ357</f>
        <v>2570752</v>
      </c>
      <c r="BN357" s="6">
        <v>16134914</v>
      </c>
      <c r="BP357" s="6">
        <v>0</v>
      </c>
      <c r="BR357" s="6">
        <v>0</v>
      </c>
      <c r="BT357" s="7">
        <f t="shared" si="44"/>
        <v>18705666</v>
      </c>
      <c r="BU357" s="7"/>
      <c r="BV357" s="7">
        <f>BT357-'Gov Fd BS'!AC357</f>
        <v>0</v>
      </c>
      <c r="BW357" s="7"/>
    </row>
    <row r="358" spans="1:75" hidden="1">
      <c r="A358" s="11" t="s">
        <v>613</v>
      </c>
      <c r="B358" s="11"/>
      <c r="C358" s="11" t="s">
        <v>552</v>
      </c>
      <c r="AJ358" s="11" t="s">
        <v>613</v>
      </c>
      <c r="AK358" s="11"/>
      <c r="AL358" s="11" t="s">
        <v>552</v>
      </c>
      <c r="AR358" s="6">
        <v>0</v>
      </c>
      <c r="AZ358" s="7">
        <f t="shared" si="42"/>
        <v>0</v>
      </c>
      <c r="BD358" s="6">
        <v>0</v>
      </c>
      <c r="BF358" s="6">
        <v>0</v>
      </c>
      <c r="BH358" s="6">
        <v>0</v>
      </c>
      <c r="BJ358" s="7">
        <f t="shared" si="43"/>
        <v>0</v>
      </c>
      <c r="BL358" s="7">
        <f>'Gov Fd Rev'!AO358-'Gov Fd Exp'!BJ358</f>
        <v>0</v>
      </c>
      <c r="BP358" s="6">
        <v>0</v>
      </c>
      <c r="BR358" s="6">
        <v>0</v>
      </c>
      <c r="BT358" s="7">
        <f t="shared" si="44"/>
        <v>0</v>
      </c>
      <c r="BU358" s="7"/>
      <c r="BV358" s="7">
        <f>BT358-'Gov Fd BS'!AC358</f>
        <v>0</v>
      </c>
      <c r="BW358" s="7"/>
    </row>
    <row r="359" spans="1:75" hidden="1">
      <c r="A359" s="11" t="s">
        <v>892</v>
      </c>
      <c r="B359" s="11"/>
      <c r="C359" s="11" t="s">
        <v>467</v>
      </c>
      <c r="AJ359" s="11" t="s">
        <v>892</v>
      </c>
      <c r="AK359" s="11"/>
      <c r="AL359" s="11" t="s">
        <v>467</v>
      </c>
      <c r="AR359" s="6">
        <v>0</v>
      </c>
      <c r="AZ359" s="7">
        <f t="shared" si="42"/>
        <v>0</v>
      </c>
      <c r="BD359" s="6">
        <v>0</v>
      </c>
      <c r="BF359" s="6">
        <v>0</v>
      </c>
      <c r="BH359" s="6">
        <v>0</v>
      </c>
      <c r="BJ359" s="7">
        <f t="shared" si="43"/>
        <v>0</v>
      </c>
      <c r="BL359" s="7">
        <f>'Gov Fd Rev'!AO359-'Gov Fd Exp'!BJ359</f>
        <v>0</v>
      </c>
      <c r="BP359" s="6">
        <v>0</v>
      </c>
      <c r="BR359" s="6">
        <v>0</v>
      </c>
      <c r="BT359" s="7">
        <f t="shared" si="44"/>
        <v>0</v>
      </c>
      <c r="BU359" s="7"/>
      <c r="BV359" s="7">
        <f>BT359-'Gov Fd BS'!AC359</f>
        <v>0</v>
      </c>
      <c r="BW359" s="7"/>
    </row>
    <row r="360" spans="1:75" hidden="1">
      <c r="A360" s="11" t="s">
        <v>807</v>
      </c>
      <c r="B360" s="11"/>
      <c r="C360" s="11" t="s">
        <v>48</v>
      </c>
      <c r="AJ360" s="11" t="s">
        <v>807</v>
      </c>
      <c r="AK360" s="11"/>
      <c r="AL360" s="11" t="s">
        <v>48</v>
      </c>
      <c r="AR360" s="6">
        <v>0</v>
      </c>
      <c r="AZ360" s="7">
        <f t="shared" si="42"/>
        <v>0</v>
      </c>
      <c r="BD360" s="6">
        <v>0</v>
      </c>
      <c r="BF360" s="6">
        <v>0</v>
      </c>
      <c r="BH360" s="6">
        <v>0</v>
      </c>
      <c r="BJ360" s="7">
        <f t="shared" si="43"/>
        <v>0</v>
      </c>
      <c r="BL360" s="7">
        <f>'Gov Fd Rev'!AO360-'Gov Fd Exp'!BJ360</f>
        <v>0</v>
      </c>
      <c r="BP360" s="6">
        <v>0</v>
      </c>
      <c r="BR360" s="6">
        <v>0</v>
      </c>
      <c r="BT360" s="7">
        <f t="shared" si="44"/>
        <v>0</v>
      </c>
      <c r="BU360" s="7"/>
      <c r="BV360" s="7">
        <f>BT360-'Gov Fd BS'!AC360</f>
        <v>0</v>
      </c>
      <c r="BW360" s="7"/>
    </row>
    <row r="361" spans="1:75">
      <c r="A361" s="11" t="s">
        <v>502</v>
      </c>
      <c r="B361" s="11"/>
      <c r="C361" s="11" t="s">
        <v>62</v>
      </c>
      <c r="E361" s="6">
        <v>8357456</v>
      </c>
      <c r="G361" s="6">
        <v>2545508</v>
      </c>
      <c r="I361" s="6">
        <v>6724</v>
      </c>
      <c r="K361" s="6">
        <v>5283</v>
      </c>
      <c r="M361" s="6">
        <v>0</v>
      </c>
      <c r="O361" s="6">
        <v>787270</v>
      </c>
      <c r="Q361" s="6">
        <v>1016823</v>
      </c>
      <c r="S361" s="6">
        <v>125734</v>
      </c>
      <c r="U361" s="6">
        <v>1593640</v>
      </c>
      <c r="W361" s="6">
        <v>464340</v>
      </c>
      <c r="Y361" s="6">
        <v>114524</v>
      </c>
      <c r="AA361" s="6">
        <v>1179662</v>
      </c>
      <c r="AC361" s="6">
        <v>1115866</v>
      </c>
      <c r="AE361" s="6">
        <v>12468</v>
      </c>
      <c r="AG361" s="6">
        <v>774635</v>
      </c>
      <c r="AI361" s="6">
        <v>25542</v>
      </c>
      <c r="AJ361" s="11" t="s">
        <v>502</v>
      </c>
      <c r="AK361" s="11"/>
      <c r="AL361" s="11" t="s">
        <v>62</v>
      </c>
      <c r="AN361" s="6">
        <v>526130</v>
      </c>
      <c r="AP361" s="6">
        <v>657751</v>
      </c>
      <c r="AR361" s="6">
        <v>0</v>
      </c>
      <c r="AT361" s="6">
        <v>282362</v>
      </c>
      <c r="AV361" s="6">
        <f>779077+49044</f>
        <v>828121</v>
      </c>
      <c r="AX361" s="6">
        <v>0</v>
      </c>
      <c r="AZ361" s="7">
        <f t="shared" si="42"/>
        <v>20419839</v>
      </c>
      <c r="BB361" s="6">
        <v>44255</v>
      </c>
      <c r="BD361" s="6">
        <v>0</v>
      </c>
      <c r="BF361" s="6">
        <v>0</v>
      </c>
      <c r="BH361" s="6">
        <v>2278125</v>
      </c>
      <c r="BJ361" s="7">
        <f t="shared" si="43"/>
        <v>22742219</v>
      </c>
      <c r="BL361" s="7">
        <f>'Gov Fd Rev'!AO361-'Gov Fd Exp'!BJ361</f>
        <v>-414522</v>
      </c>
      <c r="BN361" s="6">
        <v>1476818</v>
      </c>
      <c r="BP361" s="6">
        <v>0</v>
      </c>
      <c r="BR361" s="6">
        <v>0</v>
      </c>
      <c r="BT361" s="7">
        <f t="shared" si="44"/>
        <v>1062296</v>
      </c>
      <c r="BU361" s="7"/>
      <c r="BV361" s="7">
        <f>BT361-'Gov Fd BS'!AC361</f>
        <v>0</v>
      </c>
      <c r="BW361" s="7"/>
    </row>
    <row r="362" spans="1:75">
      <c r="A362" s="11" t="s">
        <v>482</v>
      </c>
      <c r="B362" s="11"/>
      <c r="C362" s="11" t="s">
        <v>59</v>
      </c>
      <c r="E362" s="6">
        <v>7371991</v>
      </c>
      <c r="G362" s="6">
        <v>1545892</v>
      </c>
      <c r="I362" s="6">
        <v>113165</v>
      </c>
      <c r="K362" s="6">
        <v>0</v>
      </c>
      <c r="M362" s="6">
        <v>0</v>
      </c>
      <c r="O362" s="6">
        <v>538124</v>
      </c>
      <c r="Q362" s="6">
        <v>711092</v>
      </c>
      <c r="S362" s="6">
        <v>53803</v>
      </c>
      <c r="U362" s="6">
        <v>1030896</v>
      </c>
      <c r="W362" s="6">
        <v>268099</v>
      </c>
      <c r="Y362" s="6">
        <v>0</v>
      </c>
      <c r="AA362" s="6">
        <v>1445758</v>
      </c>
      <c r="AC362" s="6">
        <v>1053198</v>
      </c>
      <c r="AE362" s="6">
        <v>6178</v>
      </c>
      <c r="AG362" s="6">
        <v>0</v>
      </c>
      <c r="AI362" s="6">
        <v>621155</v>
      </c>
      <c r="AJ362" s="11" t="s">
        <v>482</v>
      </c>
      <c r="AK362" s="11"/>
      <c r="AL362" s="11" t="s">
        <v>59</v>
      </c>
      <c r="AN362" s="6">
        <v>416550</v>
      </c>
      <c r="AP362" s="6">
        <v>53334</v>
      </c>
      <c r="AR362" s="6">
        <v>0</v>
      </c>
      <c r="AT362" s="6">
        <v>379086</v>
      </c>
      <c r="AV362" s="6">
        <v>107296</v>
      </c>
      <c r="AX362" s="6">
        <v>0</v>
      </c>
      <c r="AZ362" s="7">
        <f t="shared" si="42"/>
        <v>15715617</v>
      </c>
      <c r="BB362" s="6">
        <v>0</v>
      </c>
      <c r="BD362" s="6">
        <v>0</v>
      </c>
      <c r="BF362" s="6">
        <v>0</v>
      </c>
      <c r="BH362" s="6">
        <v>0</v>
      </c>
      <c r="BJ362" s="7">
        <f t="shared" si="43"/>
        <v>15715617</v>
      </c>
      <c r="BL362" s="7">
        <f>'Gov Fd Rev'!AO362-'Gov Fd Exp'!BJ362</f>
        <v>104494</v>
      </c>
      <c r="BN362" s="6">
        <v>1451838</v>
      </c>
      <c r="BP362" s="6">
        <v>0</v>
      </c>
      <c r="BR362" s="6">
        <v>0</v>
      </c>
      <c r="BT362" s="7">
        <f t="shared" si="44"/>
        <v>1556332</v>
      </c>
      <c r="BU362" s="7"/>
      <c r="BV362" s="7">
        <f>BT362-'Gov Fd BS'!AC362</f>
        <v>0</v>
      </c>
      <c r="BW362" s="7"/>
    </row>
    <row r="363" spans="1:75">
      <c r="A363" s="11" t="s">
        <v>213</v>
      </c>
      <c r="B363" s="11"/>
      <c r="C363" s="11" t="s">
        <v>14</v>
      </c>
      <c r="E363" s="6">
        <v>4111946</v>
      </c>
      <c r="G363" s="6">
        <v>663311</v>
      </c>
      <c r="I363" s="6">
        <v>211767</v>
      </c>
      <c r="K363" s="6">
        <v>0</v>
      </c>
      <c r="M363" s="6">
        <v>0</v>
      </c>
      <c r="O363" s="6">
        <v>688766</v>
      </c>
      <c r="Q363" s="6">
        <v>322971</v>
      </c>
      <c r="S363" s="6">
        <v>32411</v>
      </c>
      <c r="U363" s="6">
        <v>536321</v>
      </c>
      <c r="W363" s="6">
        <v>253605</v>
      </c>
      <c r="Y363" s="6">
        <v>0</v>
      </c>
      <c r="AA363" s="6">
        <v>884639</v>
      </c>
      <c r="AC363" s="6">
        <v>230152</v>
      </c>
      <c r="AE363" s="6">
        <v>63896</v>
      </c>
      <c r="AG363" s="6">
        <v>0</v>
      </c>
      <c r="AI363" s="6">
        <v>378544</v>
      </c>
      <c r="AJ363" s="11" t="s">
        <v>213</v>
      </c>
      <c r="AK363" s="11"/>
      <c r="AL363" s="11" t="s">
        <v>14</v>
      </c>
      <c r="AN363" s="6">
        <v>381245</v>
      </c>
      <c r="AP363" s="6">
        <v>65640</v>
      </c>
      <c r="AR363" s="6">
        <v>0</v>
      </c>
      <c r="AT363" s="6">
        <v>256733</v>
      </c>
      <c r="AV363" s="6">
        <v>799992</v>
      </c>
      <c r="AX363" s="6">
        <v>0</v>
      </c>
      <c r="AZ363" s="7">
        <f t="shared" si="42"/>
        <v>9881939</v>
      </c>
      <c r="BB363" s="6">
        <v>10000</v>
      </c>
      <c r="BD363" s="6">
        <v>0</v>
      </c>
      <c r="BF363" s="6">
        <v>0</v>
      </c>
      <c r="BH363" s="6">
        <v>0</v>
      </c>
      <c r="BJ363" s="7">
        <f t="shared" si="43"/>
        <v>9891939</v>
      </c>
      <c r="BL363" s="7">
        <f>'Gov Fd Rev'!AO363-'Gov Fd Exp'!BJ363</f>
        <v>-62966</v>
      </c>
      <c r="BN363" s="6">
        <v>1075060</v>
      </c>
      <c r="BP363" s="6">
        <v>0</v>
      </c>
      <c r="BR363" s="6">
        <v>0</v>
      </c>
      <c r="BT363" s="7">
        <f t="shared" si="44"/>
        <v>1012094</v>
      </c>
      <c r="BU363" s="7"/>
      <c r="BV363" s="7">
        <f>BT363-'Gov Fd BS'!AC363</f>
        <v>0</v>
      </c>
      <c r="BW363" s="7"/>
    </row>
    <row r="364" spans="1:75" hidden="1">
      <c r="A364" s="11" t="s">
        <v>640</v>
      </c>
      <c r="B364" s="11"/>
      <c r="C364" s="11" t="s">
        <v>21</v>
      </c>
      <c r="AJ364" s="11" t="s">
        <v>640</v>
      </c>
      <c r="AK364" s="11"/>
      <c r="AL364" s="11" t="s">
        <v>21</v>
      </c>
      <c r="AR364" s="6">
        <v>0</v>
      </c>
      <c r="AX364" s="6">
        <v>0</v>
      </c>
      <c r="AZ364" s="7">
        <f t="shared" si="42"/>
        <v>0</v>
      </c>
      <c r="BD364" s="6">
        <v>0</v>
      </c>
      <c r="BF364" s="6">
        <v>0</v>
      </c>
      <c r="BH364" s="6">
        <v>0</v>
      </c>
      <c r="BJ364" s="7">
        <f t="shared" si="43"/>
        <v>0</v>
      </c>
      <c r="BL364" s="7">
        <f>'Gov Fd Rev'!AO364-'Gov Fd Exp'!BJ364</f>
        <v>0</v>
      </c>
      <c r="BP364" s="6">
        <v>0</v>
      </c>
      <c r="BR364" s="6">
        <v>0</v>
      </c>
      <c r="BT364" s="7">
        <f t="shared" si="44"/>
        <v>0</v>
      </c>
      <c r="BU364" s="7"/>
      <c r="BV364" s="7">
        <f>BT364-'Gov Fd BS'!AC364</f>
        <v>0</v>
      </c>
      <c r="BW364" s="7"/>
    </row>
    <row r="365" spans="1:75">
      <c r="A365" s="11" t="s">
        <v>510</v>
      </c>
      <c r="B365" s="11"/>
      <c r="C365" s="11" t="s">
        <v>63</v>
      </c>
      <c r="E365" s="6">
        <v>4505433</v>
      </c>
      <c r="G365" s="6">
        <v>919876</v>
      </c>
      <c r="I365" s="6">
        <v>109432</v>
      </c>
      <c r="K365" s="6">
        <v>0</v>
      </c>
      <c r="M365" s="6">
        <f>677691+213699</f>
        <v>891390</v>
      </c>
      <c r="O365" s="6">
        <v>361983</v>
      </c>
      <c r="Q365" s="6">
        <v>291349</v>
      </c>
      <c r="S365" s="6">
        <v>63536</v>
      </c>
      <c r="U365" s="6">
        <v>711786</v>
      </c>
      <c r="W365" s="6">
        <v>417266</v>
      </c>
      <c r="Y365" s="6">
        <v>365</v>
      </c>
      <c r="AA365" s="6">
        <v>719838</v>
      </c>
      <c r="AC365" s="6">
        <v>365749</v>
      </c>
      <c r="AE365" s="6">
        <v>44748</v>
      </c>
      <c r="AG365" s="6">
        <v>337249</v>
      </c>
      <c r="AI365" s="6">
        <v>0</v>
      </c>
      <c r="AJ365" s="11" t="s">
        <v>510</v>
      </c>
      <c r="AK365" s="11"/>
      <c r="AL365" s="11" t="s">
        <v>63</v>
      </c>
      <c r="AN365" s="6">
        <v>299658</v>
      </c>
      <c r="AP365" s="6">
        <v>59457</v>
      </c>
      <c r="AR365" s="6">
        <v>0</v>
      </c>
      <c r="AT365" s="6">
        <v>385000</v>
      </c>
      <c r="AV365" s="6">
        <v>450376</v>
      </c>
      <c r="AX365" s="6">
        <v>0</v>
      </c>
      <c r="AZ365" s="7">
        <f t="shared" ref="AZ365:AZ422" si="50">SUM(E365:AX365)</f>
        <v>10934491</v>
      </c>
      <c r="BB365" s="6">
        <v>171115</v>
      </c>
      <c r="BD365" s="6">
        <v>0</v>
      </c>
      <c r="BF365" s="6">
        <v>0</v>
      </c>
      <c r="BH365" s="6">
        <v>0</v>
      </c>
      <c r="BJ365" s="7">
        <f t="shared" ref="BJ365:BJ433" si="51">AZ365+BB365+BH365</f>
        <v>11105606</v>
      </c>
      <c r="BL365" s="7">
        <f>'Gov Fd Rev'!AO365-'Gov Fd Exp'!BJ365</f>
        <v>-421150</v>
      </c>
      <c r="BN365" s="6">
        <v>3472519</v>
      </c>
      <c r="BP365" s="6">
        <v>0</v>
      </c>
      <c r="BR365" s="6">
        <v>0</v>
      </c>
      <c r="BT365" s="7">
        <f t="shared" si="44"/>
        <v>3051369</v>
      </c>
      <c r="BU365" s="7"/>
      <c r="BV365" s="7">
        <f>BT365-'Gov Fd BS'!AC365</f>
        <v>0</v>
      </c>
      <c r="BW365" s="7"/>
    </row>
    <row r="366" spans="1:75" hidden="1">
      <c r="A366" s="11" t="s">
        <v>621</v>
      </c>
      <c r="B366" s="11"/>
      <c r="C366" s="11" t="s">
        <v>558</v>
      </c>
      <c r="AJ366" s="11" t="s">
        <v>621</v>
      </c>
      <c r="AK366" s="11"/>
      <c r="AL366" s="11" t="s">
        <v>558</v>
      </c>
      <c r="AR366" s="6">
        <v>0</v>
      </c>
      <c r="AX366" s="6">
        <v>0</v>
      </c>
      <c r="AZ366" s="7">
        <f t="shared" si="50"/>
        <v>0</v>
      </c>
      <c r="BD366" s="6">
        <v>0</v>
      </c>
      <c r="BF366" s="6">
        <v>0</v>
      </c>
      <c r="BH366" s="6">
        <v>0</v>
      </c>
      <c r="BJ366" s="7">
        <f t="shared" si="51"/>
        <v>0</v>
      </c>
      <c r="BL366" s="7">
        <f>'Gov Fd Rev'!AO366-'Gov Fd Exp'!BJ366</f>
        <v>0</v>
      </c>
      <c r="BP366" s="6">
        <v>0</v>
      </c>
      <c r="BR366" s="6">
        <v>0</v>
      </c>
      <c r="BT366" s="7">
        <f t="shared" si="44"/>
        <v>0</v>
      </c>
      <c r="BU366" s="7"/>
      <c r="BV366" s="7">
        <f>BT366-'Gov Fd BS'!AC366</f>
        <v>0</v>
      </c>
      <c r="BW366" s="7"/>
    </row>
    <row r="367" spans="1:75" hidden="1">
      <c r="A367" s="10" t="s">
        <v>879</v>
      </c>
      <c r="B367" s="11"/>
      <c r="C367" s="11" t="s">
        <v>221</v>
      </c>
      <c r="E367" s="6">
        <v>0</v>
      </c>
      <c r="G367" s="6">
        <v>0</v>
      </c>
      <c r="I367" s="6">
        <v>0</v>
      </c>
      <c r="K367" s="6">
        <v>0</v>
      </c>
      <c r="M367" s="6">
        <v>0</v>
      </c>
      <c r="O367" s="6">
        <v>0</v>
      </c>
      <c r="Q367" s="6">
        <v>0</v>
      </c>
      <c r="S367" s="6">
        <v>0</v>
      </c>
      <c r="U367" s="6">
        <v>0</v>
      </c>
      <c r="W367" s="6">
        <v>0</v>
      </c>
      <c r="Y367" s="6">
        <v>0</v>
      </c>
      <c r="AA367" s="6">
        <v>0</v>
      </c>
      <c r="AC367" s="6">
        <v>0</v>
      </c>
      <c r="AE367" s="6">
        <v>0</v>
      </c>
      <c r="AG367" s="6">
        <v>0</v>
      </c>
      <c r="AI367" s="6">
        <v>0</v>
      </c>
      <c r="AJ367" s="10" t="s">
        <v>879</v>
      </c>
      <c r="AK367" s="11"/>
      <c r="AL367" s="11" t="s">
        <v>221</v>
      </c>
      <c r="AN367" s="6">
        <v>0</v>
      </c>
      <c r="AP367" s="6">
        <v>0</v>
      </c>
      <c r="AR367" s="6">
        <v>0</v>
      </c>
      <c r="AT367" s="6">
        <v>0</v>
      </c>
      <c r="AV367" s="6">
        <v>0</v>
      </c>
      <c r="AX367" s="6">
        <v>0</v>
      </c>
      <c r="AZ367" s="7">
        <f t="shared" si="50"/>
        <v>0</v>
      </c>
      <c r="BB367" s="6">
        <v>0</v>
      </c>
      <c r="BD367" s="6">
        <v>0</v>
      </c>
      <c r="BF367" s="6">
        <v>0</v>
      </c>
      <c r="BH367" s="6">
        <v>0</v>
      </c>
      <c r="BJ367" s="7">
        <f t="shared" si="51"/>
        <v>0</v>
      </c>
      <c r="BL367" s="7">
        <f>'Gov Fd Rev'!AO367-'Gov Fd Exp'!BJ367</f>
        <v>0</v>
      </c>
      <c r="BP367" s="6">
        <v>0</v>
      </c>
      <c r="BR367" s="6">
        <v>0</v>
      </c>
      <c r="BT367" s="7">
        <f t="shared" ref="BT367:BT435" si="52">BL367+BN367+BP367+BR367</f>
        <v>0</v>
      </c>
      <c r="BU367" s="7"/>
      <c r="BV367" s="7">
        <f>BT367-'Gov Fd BS'!AC367</f>
        <v>0</v>
      </c>
      <c r="BW367" s="7"/>
    </row>
    <row r="368" spans="1:75">
      <c r="A368" s="11" t="s">
        <v>356</v>
      </c>
      <c r="B368" s="11"/>
      <c r="C368" s="11" t="s">
        <v>37</v>
      </c>
      <c r="E368" s="6">
        <v>3229629</v>
      </c>
      <c r="G368" s="6">
        <v>668797</v>
      </c>
      <c r="I368" s="6">
        <v>179184</v>
      </c>
      <c r="K368" s="6">
        <v>0</v>
      </c>
      <c r="M368" s="6">
        <v>0</v>
      </c>
      <c r="O368" s="6">
        <v>243488</v>
      </c>
      <c r="Q368" s="6">
        <v>276248</v>
      </c>
      <c r="S368" s="6">
        <v>19014</v>
      </c>
      <c r="U368" s="6">
        <v>635927</v>
      </c>
      <c r="W368" s="6">
        <v>271890</v>
      </c>
      <c r="Y368" s="6">
        <v>1054</v>
      </c>
      <c r="AA368" s="6">
        <v>426289</v>
      </c>
      <c r="AC368" s="6">
        <v>333583</v>
      </c>
      <c r="AE368" s="6">
        <v>1001</v>
      </c>
      <c r="AG368" s="6">
        <v>274128</v>
      </c>
      <c r="AI368" s="6">
        <v>82504</v>
      </c>
      <c r="AJ368" s="11" t="s">
        <v>356</v>
      </c>
      <c r="AK368" s="11"/>
      <c r="AL368" s="11" t="s">
        <v>37</v>
      </c>
      <c r="AN368" s="6">
        <v>211482</v>
      </c>
      <c r="AP368" s="6">
        <f>170000+102045</f>
        <v>272045</v>
      </c>
      <c r="AR368" s="6">
        <v>0</v>
      </c>
      <c r="AT368" s="6">
        <v>135793</v>
      </c>
      <c r="AV368" s="6">
        <v>70334</v>
      </c>
      <c r="AX368" s="6">
        <v>0</v>
      </c>
      <c r="AZ368" s="7">
        <f t="shared" si="50"/>
        <v>7332390</v>
      </c>
      <c r="BB368" s="6">
        <v>0</v>
      </c>
      <c r="BD368" s="6">
        <v>0</v>
      </c>
      <c r="BF368" s="6">
        <v>0</v>
      </c>
      <c r="BH368" s="6">
        <v>0</v>
      </c>
      <c r="BJ368" s="7">
        <f t="shared" si="51"/>
        <v>7332390</v>
      </c>
      <c r="BL368" s="7">
        <f>'Gov Fd Rev'!AO368-'Gov Fd Exp'!BJ368</f>
        <v>-65591</v>
      </c>
      <c r="BN368" s="6">
        <v>978258</v>
      </c>
      <c r="BP368" s="6">
        <v>0</v>
      </c>
      <c r="BR368" s="6">
        <v>0</v>
      </c>
      <c r="BT368" s="7">
        <f t="shared" si="52"/>
        <v>912667</v>
      </c>
      <c r="BU368" s="7"/>
      <c r="BV368" s="7">
        <f>BT368-'Gov Fd BS'!AC368</f>
        <v>0</v>
      </c>
      <c r="BW368" s="7"/>
    </row>
    <row r="369" spans="1:75" hidden="1">
      <c r="A369" s="11" t="s">
        <v>808</v>
      </c>
      <c r="B369" s="11"/>
      <c r="C369" s="11" t="s">
        <v>552</v>
      </c>
      <c r="AJ369" s="11" t="s">
        <v>808</v>
      </c>
      <c r="AK369" s="11"/>
      <c r="AL369" s="11" t="s">
        <v>552</v>
      </c>
      <c r="AR369" s="6">
        <v>0</v>
      </c>
      <c r="AX369" s="6">
        <v>0</v>
      </c>
      <c r="AZ369" s="7">
        <f t="shared" si="50"/>
        <v>0</v>
      </c>
      <c r="BB369" s="6">
        <v>0</v>
      </c>
      <c r="BD369" s="6">
        <v>0</v>
      </c>
      <c r="BF369" s="6">
        <v>0</v>
      </c>
      <c r="BH369" s="6">
        <v>0</v>
      </c>
      <c r="BJ369" s="7">
        <f t="shared" si="51"/>
        <v>0</v>
      </c>
      <c r="BL369" s="7">
        <f>'Gov Fd Rev'!AO369-'Gov Fd Exp'!BJ369</f>
        <v>0</v>
      </c>
      <c r="BP369" s="6">
        <v>0</v>
      </c>
      <c r="BR369" s="6">
        <v>0</v>
      </c>
      <c r="BT369" s="7">
        <f t="shared" si="52"/>
        <v>0</v>
      </c>
      <c r="BU369" s="7"/>
      <c r="BV369" s="7">
        <f>BT369-'Gov Fd BS'!AC369</f>
        <v>0</v>
      </c>
      <c r="BW369" s="7"/>
    </row>
    <row r="370" spans="1:75">
      <c r="A370" s="11" t="s">
        <v>439</v>
      </c>
      <c r="B370" s="11"/>
      <c r="C370" s="11" t="s">
        <v>440</v>
      </c>
      <c r="E370" s="6">
        <v>8978217</v>
      </c>
      <c r="G370" s="6">
        <v>2664223</v>
      </c>
      <c r="I370" s="6">
        <v>1146636</v>
      </c>
      <c r="K370" s="6">
        <v>0</v>
      </c>
      <c r="M370" s="6">
        <v>120126</v>
      </c>
      <c r="O370" s="6">
        <v>630513</v>
      </c>
      <c r="Q370" s="6">
        <v>703078</v>
      </c>
      <c r="S370" s="6">
        <v>46672</v>
      </c>
      <c r="U370" s="6">
        <v>1638617</v>
      </c>
      <c r="W370" s="6">
        <v>687889</v>
      </c>
      <c r="Y370" s="6">
        <v>126236</v>
      </c>
      <c r="AA370" s="6">
        <v>1783335</v>
      </c>
      <c r="AC370" s="6">
        <v>2017530</v>
      </c>
      <c r="AE370" s="6">
        <v>223721</v>
      </c>
      <c r="AG370" s="6">
        <v>0</v>
      </c>
      <c r="AI370" s="6">
        <v>1138249</v>
      </c>
      <c r="AJ370" s="11" t="s">
        <v>439</v>
      </c>
      <c r="AK370" s="11"/>
      <c r="AL370" s="11" t="s">
        <v>440</v>
      </c>
      <c r="AN370" s="6">
        <v>214767</v>
      </c>
      <c r="AP370" s="6">
        <v>67634</v>
      </c>
      <c r="AR370" s="6">
        <v>0</v>
      </c>
      <c r="AT370" s="6">
        <v>495574</v>
      </c>
      <c r="AV370" s="6">
        <f>310374+195404</f>
        <v>505778</v>
      </c>
      <c r="AX370" s="6">
        <v>0</v>
      </c>
      <c r="AZ370" s="7">
        <f t="shared" si="50"/>
        <v>23188795</v>
      </c>
      <c r="BB370" s="6">
        <v>0</v>
      </c>
      <c r="BD370" s="6">
        <v>0</v>
      </c>
      <c r="BF370" s="6">
        <v>0</v>
      </c>
      <c r="BH370" s="6">
        <v>0</v>
      </c>
      <c r="BJ370" s="7">
        <f t="shared" si="51"/>
        <v>23188795</v>
      </c>
      <c r="BL370" s="7">
        <f>'Gov Fd Rev'!AO370-'Gov Fd Exp'!BJ370</f>
        <v>1650108</v>
      </c>
      <c r="BN370" s="6">
        <v>11017491</v>
      </c>
      <c r="BP370" s="6">
        <v>0</v>
      </c>
      <c r="BR370" s="6">
        <v>0</v>
      </c>
      <c r="BT370" s="7">
        <f t="shared" si="52"/>
        <v>12667599</v>
      </c>
      <c r="BU370" s="7"/>
      <c r="BV370" s="7">
        <f>BT370-'Gov Fd BS'!AC370</f>
        <v>0</v>
      </c>
      <c r="BW370" s="7"/>
    </row>
    <row r="371" spans="1:75">
      <c r="A371" s="11" t="s">
        <v>771</v>
      </c>
      <c r="B371" s="11"/>
      <c r="C371" s="11" t="s">
        <v>78</v>
      </c>
      <c r="E371" s="6">
        <v>4673372</v>
      </c>
      <c r="G371" s="6">
        <v>1597342</v>
      </c>
      <c r="I371" s="6">
        <v>268894</v>
      </c>
      <c r="K371" s="6">
        <v>0</v>
      </c>
      <c r="M371" s="6">
        <v>1107896</v>
      </c>
      <c r="O371" s="6">
        <v>973167</v>
      </c>
      <c r="Q371" s="6">
        <v>607978</v>
      </c>
      <c r="S371" s="6">
        <v>0</v>
      </c>
      <c r="U371" s="6">
        <f>44242+988538</f>
        <v>1032780</v>
      </c>
      <c r="W371" s="6">
        <v>521044</v>
      </c>
      <c r="Y371" s="6">
        <v>0</v>
      </c>
      <c r="AA371" s="6">
        <v>1430708</v>
      </c>
      <c r="AC371" s="6">
        <v>527546</v>
      </c>
      <c r="AE371" s="6">
        <v>24172</v>
      </c>
      <c r="AG371" s="6">
        <v>0</v>
      </c>
      <c r="AI371" s="6">
        <v>416069</v>
      </c>
      <c r="AJ371" s="11" t="s">
        <v>771</v>
      </c>
      <c r="AK371" s="11"/>
      <c r="AL371" s="11" t="s">
        <v>78</v>
      </c>
      <c r="AN371" s="6">
        <v>304202</v>
      </c>
      <c r="AP371" s="6">
        <v>32913</v>
      </c>
      <c r="AR371" s="6">
        <v>0</v>
      </c>
      <c r="AT371" s="6">
        <v>508000</v>
      </c>
      <c r="AV371" s="6">
        <f>322499+28241</f>
        <v>350740</v>
      </c>
      <c r="AX371" s="6">
        <v>0</v>
      </c>
      <c r="AZ371" s="7">
        <f t="shared" si="50"/>
        <v>14376823</v>
      </c>
      <c r="BB371" s="6">
        <v>11296</v>
      </c>
      <c r="BD371" s="6">
        <v>0</v>
      </c>
      <c r="BF371" s="6">
        <v>0</v>
      </c>
      <c r="BH371" s="6">
        <v>681459</v>
      </c>
      <c r="BJ371" s="7">
        <f t="shared" si="51"/>
        <v>15069578</v>
      </c>
      <c r="BL371" s="7">
        <f>'Gov Fd Rev'!AO371-'Gov Fd Exp'!BJ371</f>
        <v>291118</v>
      </c>
      <c r="BN371" s="6">
        <v>5390051</v>
      </c>
      <c r="BP371" s="6">
        <v>0</v>
      </c>
      <c r="BR371" s="6">
        <v>0</v>
      </c>
      <c r="BT371" s="7">
        <f t="shared" si="52"/>
        <v>5681169</v>
      </c>
      <c r="BU371" s="7"/>
      <c r="BV371" s="7">
        <f>BT371-'Gov Fd BS'!AC371</f>
        <v>0</v>
      </c>
      <c r="BW371" s="7"/>
    </row>
    <row r="372" spans="1:75" hidden="1">
      <c r="A372" s="10" t="s">
        <v>880</v>
      </c>
      <c r="B372" s="11"/>
      <c r="C372" s="11" t="s">
        <v>40</v>
      </c>
      <c r="E372" s="6">
        <v>0</v>
      </c>
      <c r="G372" s="6">
        <v>0</v>
      </c>
      <c r="I372" s="6">
        <v>0</v>
      </c>
      <c r="K372" s="6">
        <v>0</v>
      </c>
      <c r="M372" s="6">
        <v>0</v>
      </c>
      <c r="O372" s="6">
        <v>0</v>
      </c>
      <c r="Q372" s="6">
        <v>0</v>
      </c>
      <c r="S372" s="6">
        <v>0</v>
      </c>
      <c r="U372" s="6">
        <v>0</v>
      </c>
      <c r="W372" s="6">
        <v>0</v>
      </c>
      <c r="Y372" s="6">
        <v>0</v>
      </c>
      <c r="AA372" s="6">
        <v>0</v>
      </c>
      <c r="AC372" s="6">
        <v>0</v>
      </c>
      <c r="AE372" s="6">
        <v>0</v>
      </c>
      <c r="AG372" s="6">
        <v>0</v>
      </c>
      <c r="AI372" s="6">
        <v>0</v>
      </c>
      <c r="AJ372" s="10" t="s">
        <v>880</v>
      </c>
      <c r="AK372" s="11"/>
      <c r="AL372" s="11" t="s">
        <v>40</v>
      </c>
      <c r="AN372" s="6">
        <v>0</v>
      </c>
      <c r="AP372" s="6">
        <v>0</v>
      </c>
      <c r="AR372" s="6">
        <v>0</v>
      </c>
      <c r="AT372" s="6">
        <v>0</v>
      </c>
      <c r="AV372" s="6">
        <v>0</v>
      </c>
      <c r="AX372" s="6">
        <v>0</v>
      </c>
      <c r="AZ372" s="7">
        <f t="shared" si="50"/>
        <v>0</v>
      </c>
      <c r="BB372" s="6">
        <v>0</v>
      </c>
      <c r="BD372" s="6">
        <v>0</v>
      </c>
      <c r="BF372" s="6">
        <v>0</v>
      </c>
      <c r="BH372" s="6">
        <v>0</v>
      </c>
      <c r="BJ372" s="7">
        <f t="shared" si="51"/>
        <v>0</v>
      </c>
      <c r="BL372" s="7">
        <f>'Gov Fd Rev'!AO372-'Gov Fd Exp'!BJ372</f>
        <v>0</v>
      </c>
      <c r="BP372" s="6">
        <v>0</v>
      </c>
      <c r="BR372" s="6">
        <v>0</v>
      </c>
      <c r="BT372" s="7">
        <f t="shared" si="52"/>
        <v>0</v>
      </c>
      <c r="BU372" s="7"/>
      <c r="BV372" s="7">
        <f>BT372-'Gov Fd BS'!AC372</f>
        <v>0</v>
      </c>
      <c r="BW372" s="7"/>
    </row>
    <row r="373" spans="1:75">
      <c r="A373" s="11" t="s">
        <v>712</v>
      </c>
      <c r="B373" s="11"/>
      <c r="C373" s="11" t="s">
        <v>32</v>
      </c>
      <c r="E373" s="6">
        <v>10798019</v>
      </c>
      <c r="G373" s="6">
        <v>5884341</v>
      </c>
      <c r="I373" s="6">
        <v>182026</v>
      </c>
      <c r="K373" s="6">
        <v>0</v>
      </c>
      <c r="M373" s="6">
        <v>6604051</v>
      </c>
      <c r="O373" s="6">
        <v>2128517</v>
      </c>
      <c r="Q373" s="6">
        <v>3214368</v>
      </c>
      <c r="S373" s="6">
        <v>0</v>
      </c>
      <c r="U373" s="6">
        <f>50939+2446378</f>
        <v>2497317</v>
      </c>
      <c r="W373" s="6">
        <v>885571</v>
      </c>
      <c r="Y373" s="6">
        <v>60939</v>
      </c>
      <c r="AA373" s="6">
        <v>3511138</v>
      </c>
      <c r="AC373" s="6">
        <v>2286379</v>
      </c>
      <c r="AE373" s="6">
        <v>308415</v>
      </c>
      <c r="AG373" s="6">
        <v>0</v>
      </c>
      <c r="AI373" s="6">
        <v>2006780</v>
      </c>
      <c r="AJ373" s="11" t="s">
        <v>712</v>
      </c>
      <c r="AK373" s="11"/>
      <c r="AL373" s="11" t="s">
        <v>32</v>
      </c>
      <c r="AN373" s="6">
        <v>753087</v>
      </c>
      <c r="AP373" s="6">
        <v>1257942</v>
      </c>
      <c r="AR373" s="6">
        <v>0</v>
      </c>
      <c r="AT373" s="6">
        <v>757190</v>
      </c>
      <c r="AV373" s="6">
        <v>1471803</v>
      </c>
      <c r="AX373" s="6">
        <v>0</v>
      </c>
      <c r="AZ373" s="7">
        <f t="shared" si="50"/>
        <v>44607883</v>
      </c>
      <c r="BB373" s="6">
        <v>159068</v>
      </c>
      <c r="BD373" s="6">
        <v>0</v>
      </c>
      <c r="BF373" s="6">
        <v>0</v>
      </c>
      <c r="BH373" s="6">
        <v>0</v>
      </c>
      <c r="BJ373" s="7">
        <f t="shared" si="51"/>
        <v>44766951</v>
      </c>
      <c r="BL373" s="7">
        <f>'Gov Fd Rev'!AO373-'Gov Fd Exp'!BJ373</f>
        <v>752644</v>
      </c>
      <c r="BN373" s="6">
        <v>6307200</v>
      </c>
      <c r="BP373" s="6">
        <v>0</v>
      </c>
      <c r="BR373" s="6">
        <v>0</v>
      </c>
      <c r="BT373" s="7">
        <f t="shared" si="52"/>
        <v>7059844</v>
      </c>
      <c r="BU373" s="7"/>
      <c r="BV373" s="7">
        <f>BT373-'Gov Fd BS'!AC373</f>
        <v>0</v>
      </c>
      <c r="BW373" s="7"/>
    </row>
    <row r="374" spans="1:75" s="28" customFormat="1">
      <c r="A374" s="27" t="s">
        <v>346</v>
      </c>
      <c r="B374" s="27"/>
      <c r="C374" s="27" t="s">
        <v>34</v>
      </c>
      <c r="E374" s="28">
        <v>8315984</v>
      </c>
      <c r="G374" s="28">
        <v>3278610</v>
      </c>
      <c r="I374" s="28">
        <v>261802</v>
      </c>
      <c r="K374" s="28">
        <v>0</v>
      </c>
      <c r="M374" s="28">
        <v>1477876</v>
      </c>
      <c r="O374" s="28">
        <v>1311052</v>
      </c>
      <c r="Q374" s="28">
        <v>1017542</v>
      </c>
      <c r="S374" s="28">
        <v>43166</v>
      </c>
      <c r="U374" s="28">
        <v>1491245</v>
      </c>
      <c r="W374" s="28">
        <v>622820</v>
      </c>
      <c r="Y374" s="28">
        <v>0</v>
      </c>
      <c r="AA374" s="28">
        <v>1609196</v>
      </c>
      <c r="AC374" s="28">
        <v>1003609</v>
      </c>
      <c r="AE374" s="28">
        <v>421976</v>
      </c>
      <c r="AG374" s="28">
        <v>0</v>
      </c>
      <c r="AI374" s="28">
        <v>936933</v>
      </c>
      <c r="AJ374" s="27" t="s">
        <v>346</v>
      </c>
      <c r="AK374" s="27"/>
      <c r="AL374" s="27" t="s">
        <v>34</v>
      </c>
      <c r="AN374" s="28">
        <v>746217</v>
      </c>
      <c r="AP374" s="28">
        <v>131973</v>
      </c>
      <c r="AR374" s="28">
        <v>0</v>
      </c>
      <c r="AT374" s="28">
        <v>902003</v>
      </c>
      <c r="AV374" s="28">
        <v>174663</v>
      </c>
      <c r="AX374" s="28">
        <v>0</v>
      </c>
      <c r="AZ374" s="32">
        <f t="shared" si="50"/>
        <v>23746667</v>
      </c>
      <c r="BB374" s="28">
        <v>220338</v>
      </c>
      <c r="BD374" s="28">
        <v>0</v>
      </c>
      <c r="BF374" s="28">
        <v>0</v>
      </c>
      <c r="BH374" s="28">
        <v>0</v>
      </c>
      <c r="BJ374" s="32">
        <f>AZ374+BB374+BH374</f>
        <v>23967005</v>
      </c>
      <c r="BL374" s="32">
        <f>'Gov Fd Rev'!AO374-'Gov Fd Exp'!BJ374</f>
        <v>574443</v>
      </c>
      <c r="BN374" s="28">
        <v>10336398</v>
      </c>
      <c r="BP374" s="28">
        <v>0</v>
      </c>
      <c r="BR374" s="28">
        <v>0</v>
      </c>
      <c r="BT374" s="32">
        <f t="shared" si="52"/>
        <v>10910841</v>
      </c>
      <c r="BU374" s="32"/>
      <c r="BV374" s="32">
        <f>BT374-'Gov Fd BS'!AC374</f>
        <v>0</v>
      </c>
      <c r="BW374" s="32"/>
    </row>
    <row r="375" spans="1:75" hidden="1">
      <c r="A375" s="11" t="s">
        <v>765</v>
      </c>
      <c r="B375" s="11"/>
      <c r="C375" s="11" t="s">
        <v>57</v>
      </c>
      <c r="AJ375" s="11" t="s">
        <v>765</v>
      </c>
      <c r="AK375" s="11"/>
      <c r="AL375" s="11" t="s">
        <v>57</v>
      </c>
      <c r="AR375" s="6">
        <v>0</v>
      </c>
      <c r="AX375" s="6">
        <v>0</v>
      </c>
      <c r="AZ375" s="7"/>
      <c r="BD375" s="6">
        <v>0</v>
      </c>
      <c r="BF375" s="6">
        <v>0</v>
      </c>
      <c r="BH375" s="6">
        <v>0</v>
      </c>
      <c r="BJ375" s="7"/>
      <c r="BL375" s="7"/>
      <c r="BP375" s="6">
        <v>0</v>
      </c>
      <c r="BR375" s="6">
        <v>0</v>
      </c>
      <c r="BT375" s="7"/>
      <c r="BU375" s="7"/>
      <c r="BV375" s="7"/>
      <c r="BW375" s="7"/>
    </row>
    <row r="376" spans="1:75">
      <c r="A376" s="11" t="s">
        <v>211</v>
      </c>
      <c r="B376" s="11"/>
      <c r="C376" s="11" t="s">
        <v>13</v>
      </c>
      <c r="E376" s="6">
        <v>5118525</v>
      </c>
      <c r="G376" s="6">
        <v>1985743</v>
      </c>
      <c r="I376" s="6">
        <v>171409</v>
      </c>
      <c r="K376" s="6">
        <v>0</v>
      </c>
      <c r="M376" s="6">
        <f>59581+54400</f>
        <v>113981</v>
      </c>
      <c r="O376" s="6">
        <v>330391</v>
      </c>
      <c r="Q376" s="6">
        <v>720805</v>
      </c>
      <c r="S376" s="6">
        <v>69367</v>
      </c>
      <c r="U376" s="6">
        <v>1351156</v>
      </c>
      <c r="W376" s="6">
        <v>364321</v>
      </c>
      <c r="Y376" s="6">
        <v>0</v>
      </c>
      <c r="AA376" s="6">
        <v>1351252</v>
      </c>
      <c r="AC376" s="6">
        <v>1002578</v>
      </c>
      <c r="AE376" s="6">
        <v>0</v>
      </c>
      <c r="AG376" s="6">
        <v>0</v>
      </c>
      <c r="AI376" s="6">
        <v>656510</v>
      </c>
      <c r="AJ376" s="11" t="s">
        <v>211</v>
      </c>
      <c r="AK376" s="11"/>
      <c r="AL376" s="11" t="s">
        <v>13</v>
      </c>
      <c r="AN376" s="6">
        <v>231523</v>
      </c>
      <c r="AP376" s="6">
        <v>4799</v>
      </c>
      <c r="AR376" s="6">
        <v>0</v>
      </c>
      <c r="AT376" s="6">
        <v>339000</v>
      </c>
      <c r="AV376" s="6">
        <v>304598</v>
      </c>
      <c r="AX376" s="6">
        <v>0</v>
      </c>
      <c r="AZ376" s="7">
        <f t="shared" si="50"/>
        <v>14115958</v>
      </c>
      <c r="BB376" s="6">
        <v>400282</v>
      </c>
      <c r="BD376" s="6">
        <v>0</v>
      </c>
      <c r="BF376" s="6">
        <v>0</v>
      </c>
      <c r="BH376" s="6">
        <v>0</v>
      </c>
      <c r="BJ376" s="7">
        <f t="shared" ref="BJ376:BJ406" si="53">AZ376+BB376+BH376</f>
        <v>14516240</v>
      </c>
      <c r="BL376" s="7">
        <f>'Gov Fd Rev'!AO376-'Gov Fd Exp'!BJ376</f>
        <v>907357</v>
      </c>
      <c r="BN376" s="6">
        <v>4186517</v>
      </c>
      <c r="BP376" s="6">
        <v>0</v>
      </c>
      <c r="BR376" s="6">
        <v>0</v>
      </c>
      <c r="BT376" s="7">
        <f t="shared" si="52"/>
        <v>5093874</v>
      </c>
      <c r="BU376" s="7"/>
      <c r="BV376" s="7">
        <f>BT376-'Gov Fd BS'!AC376</f>
        <v>0</v>
      </c>
      <c r="BW376" s="7"/>
    </row>
    <row r="377" spans="1:75">
      <c r="A377" s="11" t="s">
        <v>608</v>
      </c>
      <c r="B377" s="11"/>
      <c r="C377" s="11" t="s">
        <v>27</v>
      </c>
      <c r="E377" s="6">
        <v>23504486</v>
      </c>
      <c r="G377" s="6">
        <v>4387159</v>
      </c>
      <c r="I377" s="6">
        <v>0</v>
      </c>
      <c r="K377" s="6">
        <v>0</v>
      </c>
      <c r="M377" s="6">
        <v>1276835</v>
      </c>
      <c r="O377" s="6">
        <v>3311980</v>
      </c>
      <c r="Q377" s="6">
        <v>4167850</v>
      </c>
      <c r="S377" s="6">
        <v>0</v>
      </c>
      <c r="U377" s="6">
        <f>84179+3691706</f>
        <v>3775885</v>
      </c>
      <c r="W377" s="6">
        <v>0</v>
      </c>
      <c r="Y377" s="6">
        <v>1677910</v>
      </c>
      <c r="AA377" s="6">
        <v>5031596</v>
      </c>
      <c r="AC377" s="6">
        <v>2825927</v>
      </c>
      <c r="AE377" s="6">
        <v>228996</v>
      </c>
      <c r="AG377" s="6">
        <v>1843140</v>
      </c>
      <c r="AI377" s="6">
        <f>24868+274970</f>
        <v>299838</v>
      </c>
      <c r="AJ377" s="11" t="s">
        <v>608</v>
      </c>
      <c r="AK377" s="11"/>
      <c r="AL377" s="11" t="s">
        <v>27</v>
      </c>
      <c r="AN377" s="6">
        <v>1636420</v>
      </c>
      <c r="AP377" s="6">
        <v>0</v>
      </c>
      <c r="AR377" s="6">
        <v>0</v>
      </c>
      <c r="AT377" s="6">
        <f>3960000+5636700</f>
        <v>9596700</v>
      </c>
      <c r="AV377" s="6">
        <f>2664934+369701</f>
        <v>3034635</v>
      </c>
      <c r="AX377" s="6">
        <v>0</v>
      </c>
      <c r="AZ377" s="7">
        <f t="shared" si="50"/>
        <v>66599357</v>
      </c>
      <c r="BB377" s="6">
        <v>272987</v>
      </c>
      <c r="BD377" s="6">
        <v>0</v>
      </c>
      <c r="BF377" s="6">
        <v>0</v>
      </c>
      <c r="BH377" s="6">
        <v>32635175</v>
      </c>
      <c r="BJ377" s="7">
        <f t="shared" si="53"/>
        <v>99507519</v>
      </c>
      <c r="BL377" s="7">
        <f>'Gov Fd Rev'!AO377-'Gov Fd Exp'!BJ377</f>
        <v>-1469337</v>
      </c>
      <c r="BN377" s="6">
        <v>37230403</v>
      </c>
      <c r="BP377" s="6">
        <v>0</v>
      </c>
      <c r="BR377" s="6">
        <v>0</v>
      </c>
      <c r="BT377" s="7">
        <f t="shared" si="52"/>
        <v>35761066</v>
      </c>
      <c r="BU377" s="7"/>
      <c r="BV377" s="7">
        <f>BT377-'Gov Fd BS'!AC377</f>
        <v>0</v>
      </c>
      <c r="BW377" s="7"/>
    </row>
    <row r="378" spans="1:75">
      <c r="A378" s="11" t="s">
        <v>483</v>
      </c>
      <c r="B378" s="11"/>
      <c r="C378" s="11" t="s">
        <v>59</v>
      </c>
      <c r="E378" s="6">
        <v>2363208</v>
      </c>
      <c r="G378" s="6">
        <v>791195</v>
      </c>
      <c r="I378" s="6">
        <v>179</v>
      </c>
      <c r="K378" s="6">
        <v>0</v>
      </c>
      <c r="M378" s="6">
        <v>600</v>
      </c>
      <c r="O378" s="6">
        <v>207594</v>
      </c>
      <c r="Q378" s="6">
        <v>370153</v>
      </c>
      <c r="S378" s="6">
        <v>14636</v>
      </c>
      <c r="U378" s="6">
        <v>495674</v>
      </c>
      <c r="W378" s="6">
        <v>183352</v>
      </c>
      <c r="Y378" s="6">
        <v>0</v>
      </c>
      <c r="AA378" s="6">
        <v>410516</v>
      </c>
      <c r="AC378" s="6">
        <v>107096</v>
      </c>
      <c r="AE378" s="6">
        <v>51802</v>
      </c>
      <c r="AG378" s="6">
        <v>250987</v>
      </c>
      <c r="AI378" s="6">
        <v>0</v>
      </c>
      <c r="AJ378" s="11" t="s">
        <v>483</v>
      </c>
      <c r="AK378" s="11"/>
      <c r="AL378" s="11" t="s">
        <v>59</v>
      </c>
      <c r="AN378" s="6">
        <v>114634</v>
      </c>
      <c r="AP378" s="6">
        <v>11351838</v>
      </c>
      <c r="AR378" s="6">
        <v>0</v>
      </c>
      <c r="AT378" s="6">
        <v>45000</v>
      </c>
      <c r="AV378" s="6">
        <v>148470</v>
      </c>
      <c r="AX378" s="6">
        <v>0</v>
      </c>
      <c r="AZ378" s="7">
        <f t="shared" si="50"/>
        <v>16906934</v>
      </c>
      <c r="BB378" s="6">
        <v>51</v>
      </c>
      <c r="BD378" s="6">
        <v>0</v>
      </c>
      <c r="BF378" s="6">
        <v>0</v>
      </c>
      <c r="BH378" s="6">
        <v>0</v>
      </c>
      <c r="BJ378" s="7">
        <f t="shared" si="53"/>
        <v>16906985</v>
      </c>
      <c r="BL378" s="7">
        <f>'Gov Fd Rev'!AO378-'Gov Fd Exp'!BJ378</f>
        <v>-3726381</v>
      </c>
      <c r="BN378" s="6">
        <v>11442166</v>
      </c>
      <c r="BP378" s="6">
        <v>0</v>
      </c>
      <c r="BR378" s="6">
        <v>0</v>
      </c>
      <c r="BT378" s="7">
        <f t="shared" si="52"/>
        <v>7715785</v>
      </c>
      <c r="BU378" s="7"/>
      <c r="BV378" s="7">
        <f>BT378-'Gov Fd BS'!AC378</f>
        <v>0</v>
      </c>
      <c r="BW378" s="7"/>
    </row>
    <row r="379" spans="1:75">
      <c r="A379" s="11" t="s">
        <v>214</v>
      </c>
      <c r="B379" s="11"/>
      <c r="C379" s="11" t="s">
        <v>14</v>
      </c>
      <c r="E379" s="6">
        <v>4284199</v>
      </c>
      <c r="G379" s="6">
        <v>489503</v>
      </c>
      <c r="I379" s="6">
        <v>150946</v>
      </c>
      <c r="K379" s="6">
        <v>0</v>
      </c>
      <c r="M379" s="6">
        <v>0</v>
      </c>
      <c r="O379" s="6">
        <v>580236</v>
      </c>
      <c r="Q379" s="6">
        <v>606150</v>
      </c>
      <c r="S379" s="6">
        <v>45088</v>
      </c>
      <c r="U379" s="6">
        <v>807962</v>
      </c>
      <c r="W379" s="6">
        <v>211750</v>
      </c>
      <c r="Y379" s="6">
        <v>0</v>
      </c>
      <c r="AA379" s="6">
        <v>929691</v>
      </c>
      <c r="AC379" s="6">
        <v>260104</v>
      </c>
      <c r="AE379" s="6">
        <v>63962</v>
      </c>
      <c r="AG379" s="6">
        <v>0</v>
      </c>
      <c r="AI379" s="6">
        <v>297725</v>
      </c>
      <c r="AJ379" s="11" t="s">
        <v>214</v>
      </c>
      <c r="AK379" s="11"/>
      <c r="AL379" s="11" t="s">
        <v>14</v>
      </c>
      <c r="AN379" s="6">
        <v>427425</v>
      </c>
      <c r="AP379" s="6">
        <v>102155</v>
      </c>
      <c r="AR379" s="6">
        <v>0</v>
      </c>
      <c r="AT379" s="6">
        <v>675000</v>
      </c>
      <c r="AV379" s="6">
        <v>130338</v>
      </c>
      <c r="AX379" s="6">
        <v>0</v>
      </c>
      <c r="AZ379" s="7">
        <f t="shared" si="50"/>
        <v>10062234</v>
      </c>
      <c r="BB379" s="6">
        <v>15000</v>
      </c>
      <c r="BD379" s="6">
        <v>0</v>
      </c>
      <c r="BF379" s="6">
        <v>0</v>
      </c>
      <c r="BH379" s="6">
        <v>0</v>
      </c>
      <c r="BJ379" s="7">
        <f t="shared" si="53"/>
        <v>10077234</v>
      </c>
      <c r="BL379" s="7">
        <f>'Gov Fd Rev'!AO379-'Gov Fd Exp'!BJ379</f>
        <v>477433</v>
      </c>
      <c r="BN379" s="6">
        <v>7150318</v>
      </c>
      <c r="BP379" s="6">
        <v>0</v>
      </c>
      <c r="BR379" s="6">
        <v>0</v>
      </c>
      <c r="BT379" s="7">
        <f t="shared" si="52"/>
        <v>7627751</v>
      </c>
      <c r="BU379" s="7"/>
      <c r="BV379" s="7">
        <f>BT379-'Gov Fd BS'!AC379</f>
        <v>0</v>
      </c>
      <c r="BW379" s="7"/>
    </row>
    <row r="380" spans="1:75" hidden="1">
      <c r="A380" s="11" t="s">
        <v>706</v>
      </c>
      <c r="B380" s="11"/>
      <c r="C380" s="11" t="s">
        <v>14</v>
      </c>
      <c r="AJ380" s="11" t="s">
        <v>706</v>
      </c>
      <c r="AK380" s="11"/>
      <c r="AL380" s="11" t="s">
        <v>14</v>
      </c>
      <c r="AR380" s="6">
        <v>0</v>
      </c>
      <c r="AX380" s="6">
        <v>0</v>
      </c>
      <c r="AZ380" s="7">
        <f t="shared" si="50"/>
        <v>0</v>
      </c>
      <c r="BD380" s="6">
        <v>0</v>
      </c>
      <c r="BF380" s="6">
        <v>0</v>
      </c>
      <c r="BH380" s="6">
        <v>0</v>
      </c>
      <c r="BJ380" s="7">
        <f t="shared" si="53"/>
        <v>0</v>
      </c>
      <c r="BL380" s="7">
        <f>'Gov Fd Rev'!AO380-'Gov Fd Exp'!BJ380</f>
        <v>0</v>
      </c>
      <c r="BP380" s="6">
        <v>0</v>
      </c>
      <c r="BR380" s="6">
        <v>0</v>
      </c>
      <c r="BT380" s="7">
        <f t="shared" si="52"/>
        <v>0</v>
      </c>
      <c r="BU380" s="7"/>
      <c r="BV380" s="7">
        <f>BT380-'Gov Fd BS'!AC380</f>
        <v>0</v>
      </c>
      <c r="BW380" s="7"/>
    </row>
    <row r="381" spans="1:75">
      <c r="A381" s="11" t="s">
        <v>433</v>
      </c>
      <c r="B381" s="11"/>
      <c r="C381" s="11" t="s">
        <v>50</v>
      </c>
      <c r="E381" s="6">
        <v>4581347</v>
      </c>
      <c r="G381" s="6">
        <v>1332869</v>
      </c>
      <c r="I381" s="6">
        <v>0</v>
      </c>
      <c r="K381" s="6">
        <v>0</v>
      </c>
      <c r="M381" s="6">
        <v>332920</v>
      </c>
      <c r="O381" s="6">
        <v>519615</v>
      </c>
      <c r="Q381" s="6">
        <v>858060</v>
      </c>
      <c r="S381" s="6">
        <v>0</v>
      </c>
      <c r="U381" s="6">
        <f>70944+790848</f>
        <v>861792</v>
      </c>
      <c r="W381" s="6">
        <v>277493</v>
      </c>
      <c r="Y381" s="6">
        <v>85440</v>
      </c>
      <c r="AA381" s="6">
        <v>1266406</v>
      </c>
      <c r="AC381" s="6">
        <v>544082</v>
      </c>
      <c r="AE381" s="6">
        <v>199309</v>
      </c>
      <c r="AG381" s="6">
        <v>0</v>
      </c>
      <c r="AI381" s="6">
        <v>389167</v>
      </c>
      <c r="AJ381" s="11" t="s">
        <v>433</v>
      </c>
      <c r="AK381" s="11"/>
      <c r="AL381" s="11" t="s">
        <v>50</v>
      </c>
      <c r="AN381" s="6">
        <v>340411</v>
      </c>
      <c r="AP381" s="6">
        <v>0</v>
      </c>
      <c r="AR381" s="6">
        <v>0</v>
      </c>
      <c r="AT381" s="6">
        <v>264875</v>
      </c>
      <c r="AV381" s="6">
        <f>166225+21180</f>
        <v>187405</v>
      </c>
      <c r="AX381" s="6">
        <v>0</v>
      </c>
      <c r="AZ381" s="7">
        <f t="shared" si="50"/>
        <v>12041191</v>
      </c>
      <c r="BB381" s="6">
        <v>257787</v>
      </c>
      <c r="BD381" s="6">
        <v>0</v>
      </c>
      <c r="BF381" s="6">
        <v>0</v>
      </c>
      <c r="BH381" s="6">
        <v>2080559</v>
      </c>
      <c r="BJ381" s="7">
        <f t="shared" si="53"/>
        <v>14379537</v>
      </c>
      <c r="BL381" s="7">
        <f>'Gov Fd Rev'!AO381-'Gov Fd Exp'!BJ381</f>
        <v>610965</v>
      </c>
      <c r="BN381" s="6">
        <v>5467756</v>
      </c>
      <c r="BP381" s="6">
        <v>0</v>
      </c>
      <c r="BR381" s="6">
        <v>0</v>
      </c>
      <c r="BT381" s="7">
        <f t="shared" si="52"/>
        <v>6078721</v>
      </c>
      <c r="BU381" s="7"/>
      <c r="BV381" s="7">
        <f>BT381-'Gov Fd BS'!AC381</f>
        <v>0</v>
      </c>
      <c r="BW381" s="7"/>
    </row>
    <row r="382" spans="1:75" hidden="1">
      <c r="A382" s="11" t="s">
        <v>809</v>
      </c>
      <c r="B382" s="11"/>
      <c r="C382" s="11" t="s">
        <v>451</v>
      </c>
      <c r="AJ382" s="11" t="s">
        <v>809</v>
      </c>
      <c r="AK382" s="11"/>
      <c r="AL382" s="11" t="s">
        <v>451</v>
      </c>
      <c r="AR382" s="6">
        <v>0</v>
      </c>
      <c r="AX382" s="6">
        <v>0</v>
      </c>
      <c r="AZ382" s="7">
        <f t="shared" si="50"/>
        <v>0</v>
      </c>
      <c r="BD382" s="6">
        <v>0</v>
      </c>
      <c r="BF382" s="6">
        <v>0</v>
      </c>
      <c r="BH382" s="6">
        <v>0</v>
      </c>
      <c r="BJ382" s="7">
        <f t="shared" si="53"/>
        <v>0</v>
      </c>
      <c r="BL382" s="7">
        <f>'Gov Fd Rev'!AO382-'Gov Fd Exp'!BJ382</f>
        <v>0</v>
      </c>
      <c r="BP382" s="6">
        <v>0</v>
      </c>
      <c r="BR382" s="6">
        <v>0</v>
      </c>
      <c r="BT382" s="7">
        <f t="shared" si="52"/>
        <v>0</v>
      </c>
      <c r="BU382" s="7"/>
      <c r="BV382" s="7">
        <f>BT382-'Gov Fd BS'!AC382</f>
        <v>0</v>
      </c>
      <c r="BW382" s="7"/>
    </row>
    <row r="383" spans="1:75">
      <c r="A383" s="11" t="s">
        <v>357</v>
      </c>
      <c r="B383" s="11"/>
      <c r="C383" s="11" t="s">
        <v>37</v>
      </c>
      <c r="E383" s="6">
        <v>4871150</v>
      </c>
      <c r="G383" s="6">
        <v>971604</v>
      </c>
      <c r="I383" s="6">
        <v>460533</v>
      </c>
      <c r="K383" s="6">
        <v>0</v>
      </c>
      <c r="M383" s="6">
        <v>7057</v>
      </c>
      <c r="O383" s="6">
        <v>350874</v>
      </c>
      <c r="Q383" s="6">
        <v>713332</v>
      </c>
      <c r="S383" s="6">
        <v>14436</v>
      </c>
      <c r="U383" s="6">
        <v>823904</v>
      </c>
      <c r="W383" s="6">
        <v>255674</v>
      </c>
      <c r="Y383" s="6">
        <v>0</v>
      </c>
      <c r="AA383" s="6">
        <v>953696</v>
      </c>
      <c r="AC383" s="6">
        <v>631128</v>
      </c>
      <c r="AE383" s="6">
        <v>68469</v>
      </c>
      <c r="AG383" s="6">
        <v>389611</v>
      </c>
      <c r="AI383" s="6">
        <v>76</v>
      </c>
      <c r="AJ383" s="11" t="s">
        <v>357</v>
      </c>
      <c r="AK383" s="11"/>
      <c r="AL383" s="11" t="s">
        <v>37</v>
      </c>
      <c r="AN383" s="6">
        <v>469682</v>
      </c>
      <c r="AP383" s="6">
        <v>0</v>
      </c>
      <c r="AR383" s="6">
        <v>0</v>
      </c>
      <c r="AT383" s="6">
        <v>108024</v>
      </c>
      <c r="AV383" s="6">
        <v>163513</v>
      </c>
      <c r="AX383" s="6">
        <v>0</v>
      </c>
      <c r="AZ383" s="7">
        <f t="shared" si="50"/>
        <v>11252763</v>
      </c>
      <c r="BB383" s="6">
        <v>0</v>
      </c>
      <c r="BD383" s="6">
        <v>0</v>
      </c>
      <c r="BF383" s="6">
        <v>0</v>
      </c>
      <c r="BH383" s="6">
        <v>0</v>
      </c>
      <c r="BJ383" s="7">
        <f t="shared" si="53"/>
        <v>11252763</v>
      </c>
      <c r="BL383" s="7">
        <f>'Gov Fd Rev'!AO383-'Gov Fd Exp'!BJ383</f>
        <v>-391885</v>
      </c>
      <c r="BN383" s="6">
        <v>3010814</v>
      </c>
      <c r="BP383" s="6">
        <v>0</v>
      </c>
      <c r="BR383" s="6">
        <v>0</v>
      </c>
      <c r="BT383" s="7">
        <f t="shared" si="52"/>
        <v>2618929</v>
      </c>
      <c r="BU383" s="7"/>
      <c r="BV383" s="7">
        <f>BT383-'Gov Fd BS'!AC383</f>
        <v>0</v>
      </c>
      <c r="BW383" s="7"/>
    </row>
    <row r="384" spans="1:75">
      <c r="A384" s="11" t="s">
        <v>226</v>
      </c>
      <c r="B384" s="11"/>
      <c r="C384" s="11" t="s">
        <v>221</v>
      </c>
      <c r="E384" s="6">
        <v>3136911</v>
      </c>
      <c r="G384" s="6">
        <v>531305</v>
      </c>
      <c r="I384" s="6">
        <v>0</v>
      </c>
      <c r="K384" s="6">
        <v>0</v>
      </c>
      <c r="M384" s="6">
        <v>34882</v>
      </c>
      <c r="O384" s="6">
        <v>340976</v>
      </c>
      <c r="Q384" s="6">
        <v>252567</v>
      </c>
      <c r="S384" s="6">
        <v>52035</v>
      </c>
      <c r="U384" s="6">
        <v>834374</v>
      </c>
      <c r="W384" s="6">
        <v>193909</v>
      </c>
      <c r="Y384" s="6">
        <v>35639</v>
      </c>
      <c r="AA384" s="6">
        <v>784086</v>
      </c>
      <c r="AC384" s="6">
        <v>465318</v>
      </c>
      <c r="AE384" s="6">
        <v>0</v>
      </c>
      <c r="AG384" s="6">
        <v>503009</v>
      </c>
      <c r="AI384" s="6">
        <v>0</v>
      </c>
      <c r="AJ384" s="11" t="s">
        <v>226</v>
      </c>
      <c r="AK384" s="11"/>
      <c r="AL384" s="11" t="s">
        <v>221</v>
      </c>
      <c r="AN384" s="6">
        <v>144244</v>
      </c>
      <c r="AP384" s="6">
        <v>0</v>
      </c>
      <c r="AR384" s="6">
        <v>0</v>
      </c>
      <c r="AT384" s="6">
        <v>125130</v>
      </c>
      <c r="AV384" s="6">
        <v>127397</v>
      </c>
      <c r="AX384" s="6">
        <v>0</v>
      </c>
      <c r="AZ384" s="7">
        <f t="shared" si="50"/>
        <v>7561782</v>
      </c>
      <c r="BB384" s="6">
        <v>68233</v>
      </c>
      <c r="BD384" s="6">
        <v>0</v>
      </c>
      <c r="BF384" s="6">
        <v>0</v>
      </c>
      <c r="BH384" s="6">
        <v>0</v>
      </c>
      <c r="BJ384" s="7">
        <f t="shared" si="53"/>
        <v>7630015</v>
      </c>
      <c r="BL384" s="7">
        <f>'Gov Fd Rev'!AO384-'Gov Fd Exp'!BJ384</f>
        <v>213187</v>
      </c>
      <c r="BN384" s="6">
        <v>3373882</v>
      </c>
      <c r="BP384" s="6">
        <v>0</v>
      </c>
      <c r="BR384" s="6">
        <v>0</v>
      </c>
      <c r="BT384" s="7">
        <f t="shared" si="52"/>
        <v>3587069</v>
      </c>
      <c r="BU384" s="7"/>
      <c r="BV384" s="7">
        <f>BT384-'Gov Fd BS'!AC384</f>
        <v>0</v>
      </c>
      <c r="BW384" s="7"/>
    </row>
    <row r="385" spans="1:75">
      <c r="A385" s="11" t="s">
        <v>537</v>
      </c>
      <c r="B385" s="11"/>
      <c r="C385" s="11" t="s">
        <v>65</v>
      </c>
      <c r="E385" s="6">
        <v>12181167</v>
      </c>
      <c r="G385" s="6">
        <v>3077452</v>
      </c>
      <c r="I385" s="6">
        <v>126028</v>
      </c>
      <c r="K385" s="6">
        <v>0</v>
      </c>
      <c r="M385" s="6">
        <v>552896</v>
      </c>
      <c r="O385" s="6">
        <v>1422163</v>
      </c>
      <c r="Q385" s="6">
        <v>1048446</v>
      </c>
      <c r="S385" s="6">
        <v>108603</v>
      </c>
      <c r="U385" s="6">
        <v>2404469</v>
      </c>
      <c r="W385" s="6">
        <v>779570</v>
      </c>
      <c r="Y385" s="6">
        <v>0</v>
      </c>
      <c r="AA385" s="6">
        <v>2204253</v>
      </c>
      <c r="AC385" s="6">
        <v>857316</v>
      </c>
      <c r="AE385" s="6">
        <v>0</v>
      </c>
      <c r="AG385" s="6">
        <v>790529</v>
      </c>
      <c r="AI385" s="6">
        <v>414587</v>
      </c>
      <c r="AJ385" s="11" t="s">
        <v>537</v>
      </c>
      <c r="AK385" s="11"/>
      <c r="AL385" s="11" t="s">
        <v>65</v>
      </c>
      <c r="AN385" s="6">
        <v>1253902</v>
      </c>
      <c r="AP385" s="6">
        <v>594282</v>
      </c>
      <c r="AR385" s="6">
        <v>0</v>
      </c>
      <c r="AT385" s="6">
        <v>672072</v>
      </c>
      <c r="AV385" s="6">
        <v>151960</v>
      </c>
      <c r="AX385" s="6">
        <v>0</v>
      </c>
      <c r="AZ385" s="7">
        <f t="shared" si="50"/>
        <v>28639695</v>
      </c>
      <c r="BB385" s="6">
        <v>245000</v>
      </c>
      <c r="BD385" s="6">
        <v>0</v>
      </c>
      <c r="BF385" s="6">
        <v>0</v>
      </c>
      <c r="BH385" s="6">
        <v>0</v>
      </c>
      <c r="BJ385" s="7">
        <f t="shared" si="53"/>
        <v>28884695</v>
      </c>
      <c r="BL385" s="7">
        <f>'Gov Fd Rev'!AO385-'Gov Fd Exp'!BJ385</f>
        <v>-1308290</v>
      </c>
      <c r="BN385" s="6">
        <v>8940226</v>
      </c>
      <c r="BP385" s="6">
        <v>0</v>
      </c>
      <c r="BR385" s="6">
        <v>0</v>
      </c>
      <c r="BT385" s="7">
        <f t="shared" si="52"/>
        <v>7631936</v>
      </c>
      <c r="BU385" s="7"/>
      <c r="BV385" s="7">
        <f>BT385-'Gov Fd BS'!AC385</f>
        <v>0</v>
      </c>
      <c r="BW385" s="7"/>
    </row>
    <row r="386" spans="1:75">
      <c r="A386" s="11" t="s">
        <v>772</v>
      </c>
      <c r="B386" s="11"/>
      <c r="C386" s="11" t="s">
        <v>113</v>
      </c>
      <c r="E386" s="6">
        <v>12706083</v>
      </c>
      <c r="G386" s="6">
        <v>3249063</v>
      </c>
      <c r="I386" s="6">
        <v>0</v>
      </c>
      <c r="K386" s="6">
        <v>12486</v>
      </c>
      <c r="M386" s="6">
        <v>0</v>
      </c>
      <c r="O386" s="6">
        <v>1076732</v>
      </c>
      <c r="Q386" s="6">
        <v>1199555</v>
      </c>
      <c r="S386" s="6">
        <v>83380</v>
      </c>
      <c r="U386" s="6">
        <v>1493488</v>
      </c>
      <c r="W386" s="6">
        <v>786740</v>
      </c>
      <c r="Y386" s="6">
        <v>0</v>
      </c>
      <c r="AA386" s="6">
        <v>3048776</v>
      </c>
      <c r="AC386" s="6">
        <v>1410178</v>
      </c>
      <c r="AE386" s="6">
        <v>359447</v>
      </c>
      <c r="AG386" s="6">
        <v>0</v>
      </c>
      <c r="AI386" s="6">
        <v>8415</v>
      </c>
      <c r="AJ386" s="11" t="s">
        <v>772</v>
      </c>
      <c r="AK386" s="11"/>
      <c r="AL386" s="11" t="s">
        <v>113</v>
      </c>
      <c r="AN386" s="6">
        <v>510557</v>
      </c>
      <c r="AP386" s="6">
        <v>305691</v>
      </c>
      <c r="AR386" s="6">
        <v>0</v>
      </c>
      <c r="AT386" s="6">
        <v>0</v>
      </c>
      <c r="AV386" s="6">
        <v>0</v>
      </c>
      <c r="AX386" s="6">
        <v>0</v>
      </c>
      <c r="AZ386" s="7">
        <f t="shared" si="50"/>
        <v>26250591</v>
      </c>
      <c r="BB386" s="6">
        <v>1013120</v>
      </c>
      <c r="BD386" s="6">
        <v>0</v>
      </c>
      <c r="BF386" s="6">
        <v>0</v>
      </c>
      <c r="BH386" s="6">
        <v>0</v>
      </c>
      <c r="BJ386" s="7">
        <f t="shared" si="53"/>
        <v>27263711</v>
      </c>
      <c r="BL386" s="7">
        <f>'Gov Fd Rev'!AO386-'Gov Fd Exp'!BJ386</f>
        <v>742225</v>
      </c>
      <c r="BN386" s="6">
        <v>20050118</v>
      </c>
      <c r="BP386" s="6">
        <v>0</v>
      </c>
      <c r="BR386" s="6">
        <v>0</v>
      </c>
      <c r="BT386" s="7">
        <f t="shared" si="52"/>
        <v>20792343</v>
      </c>
      <c r="BU386" s="7"/>
      <c r="BV386" s="7">
        <f>BT386-'Gov Fd BS'!AC386</f>
        <v>0</v>
      </c>
      <c r="BW386" s="7"/>
    </row>
    <row r="387" spans="1:75" hidden="1">
      <c r="A387" s="11" t="s">
        <v>810</v>
      </c>
      <c r="B387" s="11"/>
      <c r="C387" s="11" t="s">
        <v>60</v>
      </c>
      <c r="AJ387" s="11" t="s">
        <v>810</v>
      </c>
      <c r="AK387" s="11"/>
      <c r="AL387" s="11" t="s">
        <v>60</v>
      </c>
      <c r="AR387" s="6">
        <v>0</v>
      </c>
      <c r="AX387" s="6">
        <v>0</v>
      </c>
      <c r="AZ387" s="7">
        <f t="shared" si="50"/>
        <v>0</v>
      </c>
      <c r="BD387" s="6">
        <v>0</v>
      </c>
      <c r="BF387" s="6">
        <v>0</v>
      </c>
      <c r="BH387" s="6">
        <v>0</v>
      </c>
      <c r="BJ387" s="7">
        <f t="shared" si="53"/>
        <v>0</v>
      </c>
      <c r="BL387" s="7">
        <f>'Gov Fd Rev'!AO387-'Gov Fd Exp'!BJ387</f>
        <v>0</v>
      </c>
      <c r="BR387" s="6">
        <v>0</v>
      </c>
      <c r="BT387" s="7">
        <f t="shared" si="52"/>
        <v>0</v>
      </c>
      <c r="BU387" s="7"/>
      <c r="BV387" s="7">
        <f>BT387-'Gov Fd BS'!AC387</f>
        <v>0</v>
      </c>
      <c r="BW387" s="7"/>
    </row>
    <row r="388" spans="1:75">
      <c r="A388" s="11" t="s">
        <v>376</v>
      </c>
      <c r="B388" s="11"/>
      <c r="C388" s="11" t="s">
        <v>42</v>
      </c>
      <c r="E388" s="6">
        <v>31743954</v>
      </c>
      <c r="G388" s="6">
        <v>8398638</v>
      </c>
      <c r="I388" s="6">
        <v>315940</v>
      </c>
      <c r="K388" s="6">
        <v>0</v>
      </c>
      <c r="M388" s="6">
        <v>257184</v>
      </c>
      <c r="O388" s="6">
        <v>3492303</v>
      </c>
      <c r="Q388" s="6">
        <v>4289985</v>
      </c>
      <c r="S388" s="6">
        <v>200947</v>
      </c>
      <c r="U388" s="6">
        <v>3500955</v>
      </c>
      <c r="W388" s="6">
        <v>1199870</v>
      </c>
      <c r="Y388" s="6">
        <v>590576</v>
      </c>
      <c r="AA388" s="6">
        <v>6050191</v>
      </c>
      <c r="AC388" s="6">
        <v>2711740</v>
      </c>
      <c r="AE388" s="6">
        <v>870123</v>
      </c>
      <c r="AG388" s="6">
        <v>2482293</v>
      </c>
      <c r="AI388" s="6">
        <v>612583</v>
      </c>
      <c r="AJ388" s="11" t="s">
        <v>376</v>
      </c>
      <c r="AK388" s="11"/>
      <c r="AL388" s="11" t="s">
        <v>42</v>
      </c>
      <c r="AN388" s="6">
        <v>855537</v>
      </c>
      <c r="AP388" s="6">
        <v>23652230</v>
      </c>
      <c r="AR388" s="6">
        <v>0</v>
      </c>
      <c r="AT388" s="6">
        <v>2286202</v>
      </c>
      <c r="AV388" s="6">
        <f>2651892+150358</f>
        <v>2802250</v>
      </c>
      <c r="AX388" s="6">
        <v>0</v>
      </c>
      <c r="AZ388" s="7">
        <f t="shared" si="50"/>
        <v>96313501</v>
      </c>
      <c r="BB388" s="6">
        <v>151606</v>
      </c>
      <c r="BD388" s="6">
        <v>0</v>
      </c>
      <c r="BF388" s="6">
        <v>0</v>
      </c>
      <c r="BH388" s="6">
        <v>10041982</v>
      </c>
      <c r="BJ388" s="7">
        <f t="shared" si="53"/>
        <v>106507089</v>
      </c>
      <c r="BL388" s="7">
        <f>'Gov Fd Rev'!AO388-'Gov Fd Exp'!BJ388</f>
        <v>-10581695</v>
      </c>
      <c r="BN388" s="6">
        <v>42297038</v>
      </c>
      <c r="BP388" s="6">
        <v>10797</v>
      </c>
      <c r="BR388" s="6">
        <v>0</v>
      </c>
      <c r="BT388" s="7">
        <f t="shared" si="52"/>
        <v>31726140</v>
      </c>
      <c r="BU388" s="7"/>
      <c r="BV388" s="7">
        <f>BT388-'Gov Fd BS'!AC388</f>
        <v>0</v>
      </c>
      <c r="BW388" s="7"/>
    </row>
    <row r="389" spans="1:75" hidden="1">
      <c r="A389" s="10" t="s">
        <v>881</v>
      </c>
      <c r="B389" s="11"/>
      <c r="C389" s="11" t="s">
        <v>30</v>
      </c>
      <c r="E389" s="6">
        <v>0</v>
      </c>
      <c r="G389" s="6">
        <v>0</v>
      </c>
      <c r="I389" s="6">
        <v>0</v>
      </c>
      <c r="K389" s="6">
        <v>0</v>
      </c>
      <c r="M389" s="6">
        <v>0</v>
      </c>
      <c r="O389" s="6">
        <v>0</v>
      </c>
      <c r="Q389" s="6">
        <v>0</v>
      </c>
      <c r="S389" s="6">
        <v>0</v>
      </c>
      <c r="U389" s="6">
        <v>0</v>
      </c>
      <c r="W389" s="6">
        <v>0</v>
      </c>
      <c r="Y389" s="6">
        <v>0</v>
      </c>
      <c r="AA389" s="6">
        <v>0</v>
      </c>
      <c r="AC389" s="6">
        <v>0</v>
      </c>
      <c r="AE389" s="6">
        <v>0</v>
      </c>
      <c r="AG389" s="6">
        <v>0</v>
      </c>
      <c r="AI389" s="6">
        <v>0</v>
      </c>
      <c r="AJ389" s="10" t="s">
        <v>881</v>
      </c>
      <c r="AK389" s="11"/>
      <c r="AL389" s="11" t="s">
        <v>30</v>
      </c>
      <c r="AN389" s="6">
        <v>0</v>
      </c>
      <c r="AP389" s="6">
        <v>0</v>
      </c>
      <c r="AR389" s="6">
        <v>0</v>
      </c>
      <c r="AT389" s="6">
        <v>0</v>
      </c>
      <c r="AV389" s="6">
        <v>0</v>
      </c>
      <c r="AX389" s="6">
        <v>0</v>
      </c>
      <c r="AZ389" s="7">
        <f t="shared" si="50"/>
        <v>0</v>
      </c>
      <c r="BB389" s="6">
        <v>0</v>
      </c>
      <c r="BD389" s="6">
        <v>0</v>
      </c>
      <c r="BF389" s="6">
        <v>0</v>
      </c>
      <c r="BH389" s="6">
        <v>0</v>
      </c>
      <c r="BJ389" s="7">
        <f t="shared" si="53"/>
        <v>0</v>
      </c>
      <c r="BL389" s="7">
        <f>'Gov Fd Rev'!AO389-'Gov Fd Exp'!BJ389</f>
        <v>0</v>
      </c>
      <c r="BP389" s="6">
        <v>0</v>
      </c>
      <c r="BR389" s="6">
        <v>0</v>
      </c>
      <c r="BT389" s="7">
        <f t="shared" si="52"/>
        <v>0</v>
      </c>
      <c r="BU389" s="7"/>
      <c r="BV389" s="7">
        <f>BT389-'Gov Fd BS'!AC389</f>
        <v>0</v>
      </c>
      <c r="BW389" s="7"/>
    </row>
    <row r="390" spans="1:75">
      <c r="A390" s="11" t="s">
        <v>773</v>
      </c>
      <c r="B390" s="11"/>
      <c r="C390" s="11" t="s">
        <v>65</v>
      </c>
      <c r="E390" s="6">
        <v>4550269</v>
      </c>
      <c r="G390" s="6">
        <v>1097283</v>
      </c>
      <c r="I390" s="6">
        <v>90880</v>
      </c>
      <c r="K390" s="6">
        <v>5673</v>
      </c>
      <c r="M390" s="6">
        <v>624876</v>
      </c>
      <c r="O390" s="6">
        <v>366761</v>
      </c>
      <c r="Q390" s="6">
        <v>673820</v>
      </c>
      <c r="S390" s="6">
        <v>26263</v>
      </c>
      <c r="U390" s="6">
        <v>971116</v>
      </c>
      <c r="W390" s="6">
        <v>318141</v>
      </c>
      <c r="Y390" s="6">
        <v>0</v>
      </c>
      <c r="AA390" s="6">
        <v>1241240</v>
      </c>
      <c r="AC390" s="6">
        <v>570773</v>
      </c>
      <c r="AE390" s="6">
        <v>291</v>
      </c>
      <c r="AG390" s="6">
        <v>599872</v>
      </c>
      <c r="AI390" s="6">
        <v>39920</v>
      </c>
      <c r="AJ390" s="11" t="s">
        <v>773</v>
      </c>
      <c r="AK390" s="11"/>
      <c r="AL390" s="11" t="s">
        <v>65</v>
      </c>
      <c r="AN390" s="6">
        <v>320290</v>
      </c>
      <c r="AP390" s="6">
        <v>107618</v>
      </c>
      <c r="AR390" s="6">
        <v>0</v>
      </c>
      <c r="AT390" s="6">
        <v>258367</v>
      </c>
      <c r="AV390" s="6">
        <v>89486</v>
      </c>
      <c r="AX390" s="6">
        <v>0</v>
      </c>
      <c r="AZ390" s="7">
        <f t="shared" si="50"/>
        <v>11952939</v>
      </c>
      <c r="BB390" s="6">
        <v>0</v>
      </c>
      <c r="BD390" s="6">
        <v>0</v>
      </c>
      <c r="BF390" s="6">
        <v>0</v>
      </c>
      <c r="BH390" s="6">
        <v>0</v>
      </c>
      <c r="BJ390" s="7">
        <f t="shared" si="53"/>
        <v>11952939</v>
      </c>
      <c r="BL390" s="7">
        <f>'Gov Fd Rev'!AO390-'Gov Fd Exp'!BJ390</f>
        <v>193097</v>
      </c>
      <c r="BN390" s="6">
        <v>540442</v>
      </c>
      <c r="BP390" s="6">
        <v>0</v>
      </c>
      <c r="BR390" s="6">
        <v>0</v>
      </c>
      <c r="BT390" s="7">
        <f t="shared" si="52"/>
        <v>733539</v>
      </c>
      <c r="BU390" s="7"/>
      <c r="BV390" s="7">
        <f>BT390-'Gov Fd BS'!AC390</f>
        <v>0</v>
      </c>
      <c r="BW390" s="7"/>
    </row>
    <row r="391" spans="1:75">
      <c r="A391" s="11" t="s">
        <v>774</v>
      </c>
      <c r="B391" s="11"/>
      <c r="C391" s="11" t="s">
        <v>64</v>
      </c>
      <c r="E391" s="6">
        <v>6064170</v>
      </c>
      <c r="G391" s="6">
        <v>1697814</v>
      </c>
      <c r="I391" s="6">
        <v>187301</v>
      </c>
      <c r="K391" s="6">
        <v>1000</v>
      </c>
      <c r="M391" s="6">
        <v>0</v>
      </c>
      <c r="O391" s="6">
        <v>635359</v>
      </c>
      <c r="Q391" s="6">
        <v>437989</v>
      </c>
      <c r="S391" s="6">
        <v>86370</v>
      </c>
      <c r="U391" s="6">
        <v>1122282</v>
      </c>
      <c r="W391" s="6">
        <v>303248</v>
      </c>
      <c r="Y391" s="6">
        <v>0</v>
      </c>
      <c r="AA391" s="6">
        <v>1085323</v>
      </c>
      <c r="AC391" s="6">
        <v>678431</v>
      </c>
      <c r="AE391" s="6">
        <v>241204</v>
      </c>
      <c r="AG391" s="6">
        <v>501995</v>
      </c>
      <c r="AI391" s="6">
        <v>28213</v>
      </c>
      <c r="AJ391" s="11" t="s">
        <v>774</v>
      </c>
      <c r="AK391" s="11"/>
      <c r="AL391" s="11" t="s">
        <v>64</v>
      </c>
      <c r="AN391" s="6">
        <v>359562</v>
      </c>
      <c r="AP391" s="6">
        <v>446018</v>
      </c>
      <c r="AR391" s="6">
        <v>0</v>
      </c>
      <c r="AT391" s="6">
        <v>155000</v>
      </c>
      <c r="AV391" s="6">
        <f>91565+98827</f>
        <v>190392</v>
      </c>
      <c r="AX391" s="6">
        <v>0</v>
      </c>
      <c r="AZ391" s="7">
        <f t="shared" si="50"/>
        <v>14221671</v>
      </c>
      <c r="BB391" s="6">
        <v>92916</v>
      </c>
      <c r="BD391" s="6">
        <v>0</v>
      </c>
      <c r="BF391" s="6">
        <v>0</v>
      </c>
      <c r="BH391" s="6">
        <v>2872204</v>
      </c>
      <c r="BJ391" s="7">
        <f t="shared" si="53"/>
        <v>17186791</v>
      </c>
      <c r="BL391" s="7">
        <f>'Gov Fd Rev'!AO391-'Gov Fd Exp'!BJ391</f>
        <v>-1252052</v>
      </c>
      <c r="BN391" s="6">
        <v>1915286</v>
      </c>
      <c r="BP391" s="6">
        <v>0</v>
      </c>
      <c r="BR391" s="6">
        <v>0</v>
      </c>
      <c r="BT391" s="7">
        <f t="shared" si="52"/>
        <v>663234</v>
      </c>
      <c r="BU391" s="7"/>
      <c r="BV391" s="7">
        <f>BT391-'Gov Fd BS'!AC391</f>
        <v>0</v>
      </c>
      <c r="BW391" s="7"/>
    </row>
    <row r="392" spans="1:75" hidden="1">
      <c r="A392" s="11" t="s">
        <v>811</v>
      </c>
      <c r="B392" s="11"/>
      <c r="C392" s="11" t="s">
        <v>48</v>
      </c>
      <c r="AJ392" s="11" t="s">
        <v>811</v>
      </c>
      <c r="AK392" s="11"/>
      <c r="AL392" s="11" t="s">
        <v>48</v>
      </c>
      <c r="AR392" s="6">
        <v>0</v>
      </c>
      <c r="AX392" s="6">
        <v>0</v>
      </c>
      <c r="AZ392" s="7">
        <f t="shared" si="50"/>
        <v>0</v>
      </c>
      <c r="BD392" s="6">
        <v>0</v>
      </c>
      <c r="BF392" s="6">
        <v>0</v>
      </c>
      <c r="BJ392" s="7">
        <f t="shared" si="53"/>
        <v>0</v>
      </c>
      <c r="BL392" s="7">
        <f>'Gov Fd Rev'!AO392-'Gov Fd Exp'!BJ392</f>
        <v>0</v>
      </c>
      <c r="BR392" s="6">
        <v>0</v>
      </c>
      <c r="BT392" s="7">
        <f t="shared" si="52"/>
        <v>0</v>
      </c>
      <c r="BU392" s="7"/>
      <c r="BV392" s="7">
        <f>BT392-'Gov Fd BS'!AC392</f>
        <v>0</v>
      </c>
      <c r="BW392" s="7"/>
    </row>
    <row r="393" spans="1:75">
      <c r="A393" s="11" t="s">
        <v>606</v>
      </c>
      <c r="B393" s="11"/>
      <c r="C393" s="11" t="s">
        <v>64</v>
      </c>
      <c r="E393" s="6">
        <v>11149796</v>
      </c>
      <c r="G393" s="6">
        <v>3630879</v>
      </c>
      <c r="I393" s="6">
        <v>103259</v>
      </c>
      <c r="K393" s="6">
        <v>0</v>
      </c>
      <c r="M393" s="6">
        <v>1000898</v>
      </c>
      <c r="O393" s="6">
        <v>1152420</v>
      </c>
      <c r="Q393" s="6">
        <v>1276846</v>
      </c>
      <c r="S393" s="6">
        <v>55574</v>
      </c>
      <c r="U393" s="6">
        <v>2464459</v>
      </c>
      <c r="W393" s="6">
        <v>542163</v>
      </c>
      <c r="Y393" s="6">
        <v>204019</v>
      </c>
      <c r="AA393" s="6">
        <v>1738343</v>
      </c>
      <c r="AC393" s="6">
        <v>1082089</v>
      </c>
      <c r="AE393" s="6">
        <v>266196</v>
      </c>
      <c r="AG393" s="6">
        <v>1298470</v>
      </c>
      <c r="AI393" s="6">
        <v>66907</v>
      </c>
      <c r="AJ393" s="11" t="s">
        <v>606</v>
      </c>
      <c r="AK393" s="11"/>
      <c r="AL393" s="11" t="s">
        <v>64</v>
      </c>
      <c r="AN393" s="6">
        <v>427658</v>
      </c>
      <c r="AP393" s="6">
        <v>22591021</v>
      </c>
      <c r="AR393" s="6">
        <v>0</v>
      </c>
      <c r="AT393" s="6">
        <v>777000</v>
      </c>
      <c r="AV393" s="6">
        <v>930569</v>
      </c>
      <c r="AX393" s="6">
        <v>0</v>
      </c>
      <c r="AZ393" s="7">
        <f t="shared" si="50"/>
        <v>50758566</v>
      </c>
      <c r="BB393" s="6">
        <v>0</v>
      </c>
      <c r="BD393" s="6">
        <v>0</v>
      </c>
      <c r="BF393" s="6">
        <v>0</v>
      </c>
      <c r="BH393" s="6">
        <v>0</v>
      </c>
      <c r="BJ393" s="7">
        <f t="shared" si="53"/>
        <v>50758566</v>
      </c>
      <c r="BL393" s="7">
        <f>'Gov Fd Rev'!AO393-'Gov Fd Exp'!BJ393</f>
        <v>-1199534</v>
      </c>
      <c r="BN393" s="6">
        <v>28408967</v>
      </c>
      <c r="BP393" s="6">
        <v>0</v>
      </c>
      <c r="BR393" s="6">
        <v>0</v>
      </c>
      <c r="BT393" s="7">
        <f t="shared" si="52"/>
        <v>27209433</v>
      </c>
      <c r="BU393" s="7"/>
      <c r="BV393" s="7">
        <f>BT393-'Gov Fd BS'!AC393</f>
        <v>0</v>
      </c>
      <c r="BW393" s="7"/>
    </row>
    <row r="394" spans="1:75">
      <c r="A394" s="11" t="s">
        <v>449</v>
      </c>
      <c r="B394" s="11"/>
      <c r="C394" s="11" t="s">
        <v>52</v>
      </c>
      <c r="E394" s="6">
        <v>4413781</v>
      </c>
      <c r="G394" s="6">
        <v>1145513</v>
      </c>
      <c r="I394" s="6">
        <v>346161</v>
      </c>
      <c r="K394" s="6">
        <v>0</v>
      </c>
      <c r="M394" s="6">
        <v>0</v>
      </c>
      <c r="O394" s="6">
        <v>417381</v>
      </c>
      <c r="Q394" s="6">
        <v>397343</v>
      </c>
      <c r="S394" s="6">
        <v>66524</v>
      </c>
      <c r="U394" s="6">
        <v>1252149</v>
      </c>
      <c r="W394" s="6">
        <v>422563</v>
      </c>
      <c r="Y394" s="6">
        <v>18442</v>
      </c>
      <c r="AA394" s="6">
        <v>855866</v>
      </c>
      <c r="AC394" s="6">
        <v>1032343</v>
      </c>
      <c r="AE394" s="6">
        <v>9009</v>
      </c>
      <c r="AG394" s="6">
        <v>0</v>
      </c>
      <c r="AI394" s="6">
        <v>540173</v>
      </c>
      <c r="AJ394" s="11" t="s">
        <v>449</v>
      </c>
      <c r="AK394" s="11"/>
      <c r="AL394" s="11" t="s">
        <v>52</v>
      </c>
      <c r="AN394" s="6">
        <v>221981</v>
      </c>
      <c r="AP394" s="6">
        <v>100763</v>
      </c>
      <c r="AR394" s="6">
        <v>0</v>
      </c>
      <c r="AT394" s="6">
        <v>6497</v>
      </c>
      <c r="AV394" s="6">
        <v>3964</v>
      </c>
      <c r="AX394" s="6">
        <v>0</v>
      </c>
      <c r="AZ394" s="7">
        <f t="shared" si="50"/>
        <v>11250453</v>
      </c>
      <c r="BB394" s="6">
        <v>428329</v>
      </c>
      <c r="BD394" s="6">
        <v>0</v>
      </c>
      <c r="BF394" s="6">
        <v>0</v>
      </c>
      <c r="BH394" s="6">
        <v>0</v>
      </c>
      <c r="BJ394" s="7">
        <f t="shared" si="53"/>
        <v>11678782</v>
      </c>
      <c r="BL394" s="7">
        <f>'Gov Fd Rev'!AO394-'Gov Fd Exp'!BJ394</f>
        <v>1469818</v>
      </c>
      <c r="BN394" s="6">
        <v>1387501</v>
      </c>
      <c r="BP394" s="6">
        <v>0</v>
      </c>
      <c r="BR394" s="6">
        <v>0</v>
      </c>
      <c r="BT394" s="7">
        <f t="shared" si="52"/>
        <v>2857319</v>
      </c>
      <c r="BU394" s="7"/>
      <c r="BV394" s="7">
        <f>BT394-'Gov Fd BS'!AC394</f>
        <v>0</v>
      </c>
      <c r="BW394" s="7"/>
    </row>
    <row r="395" spans="1:75">
      <c r="A395" s="11" t="s">
        <v>511</v>
      </c>
      <c r="B395" s="11"/>
      <c r="C395" s="11" t="s">
        <v>63</v>
      </c>
      <c r="E395" s="6">
        <v>16641266</v>
      </c>
      <c r="G395" s="6">
        <v>3864295</v>
      </c>
      <c r="I395" s="6">
        <v>107582</v>
      </c>
      <c r="K395" s="6">
        <v>17990</v>
      </c>
      <c r="M395" s="6">
        <v>941216</v>
      </c>
      <c r="O395" s="6">
        <v>3555551</v>
      </c>
      <c r="Q395" s="6">
        <v>846590</v>
      </c>
      <c r="S395" s="6">
        <v>101811</v>
      </c>
      <c r="U395" s="6">
        <v>2641865</v>
      </c>
      <c r="W395" s="6">
        <v>1176202</v>
      </c>
      <c r="Y395" s="6">
        <v>256689</v>
      </c>
      <c r="AA395" s="6">
        <v>3367405</v>
      </c>
      <c r="AC395" s="6">
        <v>2250946</v>
      </c>
      <c r="AE395" s="6">
        <v>741414</v>
      </c>
      <c r="AG395" s="6">
        <v>1220781</v>
      </c>
      <c r="AI395" s="6">
        <v>587911</v>
      </c>
      <c r="AJ395" s="11" t="s">
        <v>511</v>
      </c>
      <c r="AK395" s="11"/>
      <c r="AL395" s="11" t="s">
        <v>63</v>
      </c>
      <c r="AN395" s="6">
        <v>1286482</v>
      </c>
      <c r="AP395" s="6">
        <v>503239</v>
      </c>
      <c r="AR395" s="6">
        <v>0</v>
      </c>
      <c r="AT395" s="6">
        <v>1297917</v>
      </c>
      <c r="AV395" s="6">
        <f>1117525+930580</f>
        <v>2048105</v>
      </c>
      <c r="AX395" s="6">
        <v>0</v>
      </c>
      <c r="AZ395" s="7">
        <f t="shared" si="50"/>
        <v>43455257</v>
      </c>
      <c r="BB395" s="6">
        <v>78089</v>
      </c>
      <c r="BD395" s="6">
        <v>0</v>
      </c>
      <c r="BF395" s="6">
        <v>0</v>
      </c>
      <c r="BH395" s="6">
        <v>0</v>
      </c>
      <c r="BJ395" s="7">
        <f>AZ395+BB395+BH395</f>
        <v>43533346</v>
      </c>
      <c r="BL395" s="7">
        <f>'Gov Fd Rev'!AO395-'Gov Fd Exp'!BJ395</f>
        <v>3459193</v>
      </c>
      <c r="BN395" s="6">
        <v>7507659</v>
      </c>
      <c r="BP395" s="6">
        <v>0</v>
      </c>
      <c r="BR395" s="6">
        <v>0</v>
      </c>
      <c r="BT395" s="7">
        <f t="shared" si="52"/>
        <v>10966852</v>
      </c>
      <c r="BU395" s="7"/>
      <c r="BV395" s="7">
        <f>BT395-'Gov Fd BS'!AC395</f>
        <v>0</v>
      </c>
      <c r="BW395" s="7"/>
    </row>
    <row r="396" spans="1:75">
      <c r="A396" s="11" t="s">
        <v>556</v>
      </c>
      <c r="B396" s="11"/>
      <c r="C396" s="11" t="s">
        <v>72</v>
      </c>
      <c r="E396" s="6">
        <v>2677235</v>
      </c>
      <c r="G396" s="6">
        <v>1439542</v>
      </c>
      <c r="I396" s="6">
        <v>0</v>
      </c>
      <c r="K396" s="6">
        <v>0</v>
      </c>
      <c r="M396" s="6">
        <v>639321</v>
      </c>
      <c r="O396" s="6">
        <v>205256</v>
      </c>
      <c r="Q396" s="6">
        <v>232532</v>
      </c>
      <c r="S396" s="6">
        <v>171670</v>
      </c>
      <c r="U396" s="6">
        <v>632086</v>
      </c>
      <c r="W396" s="6">
        <v>353127</v>
      </c>
      <c r="Y396" s="6">
        <v>0</v>
      </c>
      <c r="AA396" s="6">
        <v>637407</v>
      </c>
      <c r="AC396" s="6">
        <v>295661</v>
      </c>
      <c r="AE396" s="6">
        <v>0</v>
      </c>
      <c r="AG396" s="6">
        <v>283328</v>
      </c>
      <c r="AI396" s="6">
        <v>3900</v>
      </c>
      <c r="AJ396" s="11" t="s">
        <v>556</v>
      </c>
      <c r="AK396" s="11"/>
      <c r="AL396" s="11" t="s">
        <v>72</v>
      </c>
      <c r="AN396" s="6">
        <v>273400</v>
      </c>
      <c r="AP396" s="6">
        <v>12742334</v>
      </c>
      <c r="AR396" s="6">
        <v>0</v>
      </c>
      <c r="AT396" s="6">
        <v>397976</v>
      </c>
      <c r="AV396" s="6">
        <v>370682</v>
      </c>
      <c r="AX396" s="6">
        <v>0</v>
      </c>
      <c r="AZ396" s="7">
        <f t="shared" si="50"/>
        <v>21355457</v>
      </c>
      <c r="BB396" s="6">
        <v>268418</v>
      </c>
      <c r="BD396" s="6">
        <v>0</v>
      </c>
      <c r="BF396" s="6">
        <v>0</v>
      </c>
      <c r="BH396" s="6">
        <v>0</v>
      </c>
      <c r="BJ396" s="7">
        <f t="shared" si="53"/>
        <v>21623875</v>
      </c>
      <c r="BL396" s="7">
        <f>'Gov Fd Rev'!AO396-'Gov Fd Exp'!BJ396</f>
        <v>-10060160</v>
      </c>
      <c r="BN396" s="6">
        <v>17814242</v>
      </c>
      <c r="BP396" s="6">
        <v>0</v>
      </c>
      <c r="BR396" s="6">
        <v>0</v>
      </c>
      <c r="BT396" s="7">
        <f t="shared" si="52"/>
        <v>7754082</v>
      </c>
      <c r="BU396" s="7"/>
      <c r="BV396" s="7">
        <f>BT396-'Gov Fd BS'!AC396</f>
        <v>0</v>
      </c>
      <c r="BW396" s="7"/>
    </row>
    <row r="397" spans="1:75" hidden="1">
      <c r="A397" s="11" t="s">
        <v>813</v>
      </c>
      <c r="B397" s="11"/>
      <c r="C397" s="11" t="s">
        <v>53</v>
      </c>
      <c r="AJ397" s="11" t="s">
        <v>813</v>
      </c>
      <c r="AK397" s="11"/>
      <c r="AL397" s="11" t="s">
        <v>53</v>
      </c>
      <c r="AR397" s="6">
        <v>0</v>
      </c>
      <c r="AX397" s="6">
        <v>0</v>
      </c>
      <c r="AZ397" s="7">
        <f t="shared" si="50"/>
        <v>0</v>
      </c>
      <c r="BD397" s="6">
        <v>0</v>
      </c>
      <c r="BF397" s="6">
        <v>0</v>
      </c>
      <c r="BJ397" s="7">
        <f t="shared" si="53"/>
        <v>0</v>
      </c>
      <c r="BL397" s="7">
        <f>'Gov Fd Rev'!AO397-'Gov Fd Exp'!BJ397</f>
        <v>0</v>
      </c>
      <c r="BR397" s="6">
        <v>0</v>
      </c>
      <c r="BT397" s="7">
        <f t="shared" si="52"/>
        <v>0</v>
      </c>
      <c r="BU397" s="7"/>
      <c r="BV397" s="7">
        <f>BT397-'Gov Fd BS'!AC397</f>
        <v>0</v>
      </c>
      <c r="BW397" s="7"/>
    </row>
    <row r="398" spans="1:75">
      <c r="A398" s="11" t="s">
        <v>503</v>
      </c>
      <c r="B398" s="11"/>
      <c r="C398" s="11" t="s">
        <v>62</v>
      </c>
      <c r="E398" s="6">
        <v>18384327</v>
      </c>
      <c r="G398" s="6">
        <v>2984531</v>
      </c>
      <c r="I398" s="6">
        <v>1808937</v>
      </c>
      <c r="K398" s="6">
        <v>6666</v>
      </c>
      <c r="M398" s="6">
        <v>130971</v>
      </c>
      <c r="O398" s="6">
        <v>3008245</v>
      </c>
      <c r="Q398" s="6">
        <v>2403001</v>
      </c>
      <c r="S398" s="6">
        <v>33530</v>
      </c>
      <c r="U398" s="6">
        <v>3458408</v>
      </c>
      <c r="W398" s="6">
        <v>1044433</v>
      </c>
      <c r="Y398" s="6">
        <v>6288</v>
      </c>
      <c r="AA398" s="6">
        <v>4157127</v>
      </c>
      <c r="AC398" s="6">
        <v>2999957</v>
      </c>
      <c r="AE398" s="6">
        <v>422526</v>
      </c>
      <c r="AG398" s="6">
        <v>1734988</v>
      </c>
      <c r="AI398" s="6">
        <v>288167</v>
      </c>
      <c r="AJ398" s="11" t="s">
        <v>503</v>
      </c>
      <c r="AK398" s="11"/>
      <c r="AL398" s="11" t="s">
        <v>62</v>
      </c>
      <c r="AN398" s="6">
        <v>1318851</v>
      </c>
      <c r="AP398" s="6">
        <f>138296+768121</f>
        <v>906417</v>
      </c>
      <c r="AR398" s="6">
        <v>0</v>
      </c>
      <c r="AT398" s="6">
        <v>1521863</v>
      </c>
      <c r="AV398" s="6">
        <v>483899</v>
      </c>
      <c r="AX398" s="6">
        <v>0</v>
      </c>
      <c r="AZ398" s="7">
        <f t="shared" si="50"/>
        <v>47103132</v>
      </c>
      <c r="BB398" s="6">
        <v>158882</v>
      </c>
      <c r="BD398" s="6">
        <v>0</v>
      </c>
      <c r="BF398" s="6">
        <v>0</v>
      </c>
      <c r="BH398" s="6">
        <v>0</v>
      </c>
      <c r="BJ398" s="7">
        <f t="shared" si="53"/>
        <v>47262014</v>
      </c>
      <c r="BL398" s="7">
        <f>'Gov Fd Rev'!AO398-'Gov Fd Exp'!BJ398</f>
        <v>-988811</v>
      </c>
      <c r="BN398" s="6">
        <v>4601932</v>
      </c>
      <c r="BP398" s="6">
        <v>4300</v>
      </c>
      <c r="BR398" s="6">
        <v>0</v>
      </c>
      <c r="BT398" s="7">
        <f t="shared" si="52"/>
        <v>3617421</v>
      </c>
      <c r="BU398" s="7"/>
      <c r="BV398" s="7">
        <f>BT398-'Gov Fd BS'!AC398</f>
        <v>0</v>
      </c>
      <c r="BW398" s="7"/>
    </row>
    <row r="399" spans="1:75" hidden="1">
      <c r="A399" s="11" t="s">
        <v>814</v>
      </c>
      <c r="B399" s="11"/>
      <c r="C399" s="11" t="s">
        <v>552</v>
      </c>
      <c r="AJ399" s="11" t="s">
        <v>814</v>
      </c>
      <c r="AK399" s="11"/>
      <c r="AL399" s="11" t="s">
        <v>552</v>
      </c>
      <c r="AR399" s="6">
        <v>0</v>
      </c>
      <c r="AX399" s="6">
        <v>0</v>
      </c>
      <c r="AZ399" s="7">
        <f t="shared" si="50"/>
        <v>0</v>
      </c>
      <c r="BD399" s="6">
        <v>0</v>
      </c>
      <c r="BF399" s="6">
        <v>0</v>
      </c>
      <c r="BJ399" s="7">
        <f t="shared" si="53"/>
        <v>0</v>
      </c>
      <c r="BL399" s="7">
        <f>'Gov Fd Rev'!AO399-'Gov Fd Exp'!BJ399</f>
        <v>0</v>
      </c>
      <c r="BR399" s="6">
        <v>0</v>
      </c>
      <c r="BT399" s="7">
        <f t="shared" si="52"/>
        <v>0</v>
      </c>
      <c r="BU399" s="7"/>
      <c r="BV399" s="7">
        <f>BT399-'Gov Fd BS'!AC399</f>
        <v>0</v>
      </c>
      <c r="BW399" s="7"/>
    </row>
    <row r="400" spans="1:75">
      <c r="A400" s="11" t="s">
        <v>709</v>
      </c>
      <c r="B400" s="11"/>
      <c r="C400" s="11" t="s">
        <v>32</v>
      </c>
      <c r="E400" s="6">
        <v>5727988</v>
      </c>
      <c r="G400" s="6">
        <v>2431241</v>
      </c>
      <c r="I400" s="6">
        <v>34784</v>
      </c>
      <c r="K400" s="6">
        <v>0</v>
      </c>
      <c r="M400" s="6">
        <v>939</v>
      </c>
      <c r="O400" s="6">
        <v>1082932</v>
      </c>
      <c r="Q400" s="6">
        <v>1211829</v>
      </c>
      <c r="S400" s="6">
        <v>33658</v>
      </c>
      <c r="U400" s="6">
        <v>931270</v>
      </c>
      <c r="W400" s="6">
        <v>364586</v>
      </c>
      <c r="Y400" s="6">
        <v>13534</v>
      </c>
      <c r="AA400" s="6">
        <v>1137200</v>
      </c>
      <c r="AC400" s="6">
        <v>228811</v>
      </c>
      <c r="AE400" s="6">
        <v>36612</v>
      </c>
      <c r="AG400" s="6">
        <v>930885</v>
      </c>
      <c r="AI400" s="6">
        <v>28763</v>
      </c>
      <c r="AJ400" s="11" t="s">
        <v>709</v>
      </c>
      <c r="AK400" s="11"/>
      <c r="AL400" s="11" t="s">
        <v>32</v>
      </c>
      <c r="AN400" s="6">
        <v>286804</v>
      </c>
      <c r="AP400" s="6">
        <v>1228470</v>
      </c>
      <c r="AR400" s="6">
        <v>0</v>
      </c>
      <c r="AT400" s="6">
        <v>244000</v>
      </c>
      <c r="AV400" s="6">
        <v>582629</v>
      </c>
      <c r="AX400" s="6">
        <v>0</v>
      </c>
      <c r="AZ400" s="7">
        <f t="shared" si="50"/>
        <v>16536935</v>
      </c>
      <c r="BB400" s="6">
        <v>701455</v>
      </c>
      <c r="BD400" s="6">
        <v>0</v>
      </c>
      <c r="BF400" s="6">
        <v>0</v>
      </c>
      <c r="BH400" s="6">
        <v>0</v>
      </c>
      <c r="BJ400" s="7">
        <f t="shared" si="53"/>
        <v>17238390</v>
      </c>
      <c r="BL400" s="7">
        <f>'Gov Fd Rev'!AO400-'Gov Fd Exp'!BJ400</f>
        <v>-435249</v>
      </c>
      <c r="BN400" s="6">
        <v>4019861</v>
      </c>
      <c r="BP400" s="6">
        <v>0</v>
      </c>
      <c r="BR400" s="6">
        <v>0</v>
      </c>
      <c r="BT400" s="7">
        <f t="shared" si="52"/>
        <v>3584612</v>
      </c>
      <c r="BU400" s="7"/>
      <c r="BV400" s="7">
        <f>BT400-'Gov Fd BS'!AC400</f>
        <v>0</v>
      </c>
      <c r="BW400" s="7"/>
    </row>
    <row r="401" spans="1:75">
      <c r="A401" s="11" t="s">
        <v>377</v>
      </c>
      <c r="B401" s="11"/>
      <c r="C401" s="11" t="s">
        <v>42</v>
      </c>
      <c r="E401" s="6">
        <v>5666492</v>
      </c>
      <c r="G401" s="6">
        <v>2720715</v>
      </c>
      <c r="I401" s="6">
        <v>190314</v>
      </c>
      <c r="K401" s="6">
        <v>0</v>
      </c>
      <c r="M401" s="6">
        <v>295876</v>
      </c>
      <c r="O401" s="6">
        <v>1627608</v>
      </c>
      <c r="Q401" s="6">
        <v>72398</v>
      </c>
      <c r="S401" s="6">
        <v>27349</v>
      </c>
      <c r="U401" s="6">
        <v>1109950</v>
      </c>
      <c r="W401" s="6">
        <v>515748</v>
      </c>
      <c r="Y401" s="6">
        <v>0</v>
      </c>
      <c r="AA401" s="6">
        <v>1465115</v>
      </c>
      <c r="AC401" s="6">
        <v>1405332</v>
      </c>
      <c r="AE401" s="6">
        <v>553162</v>
      </c>
      <c r="AG401" s="6">
        <v>529065</v>
      </c>
      <c r="AI401" s="6">
        <v>0</v>
      </c>
      <c r="AJ401" s="11" t="s">
        <v>377</v>
      </c>
      <c r="AK401" s="11"/>
      <c r="AL401" s="11" t="s">
        <v>42</v>
      </c>
      <c r="AN401" s="6">
        <v>624381</v>
      </c>
      <c r="AP401" s="6">
        <v>374433</v>
      </c>
      <c r="AR401" s="6">
        <v>0</v>
      </c>
      <c r="AT401" s="6">
        <v>460000</v>
      </c>
      <c r="AV401" s="6">
        <v>417371</v>
      </c>
      <c r="AX401" s="6">
        <v>0</v>
      </c>
      <c r="AZ401" s="7">
        <f t="shared" si="50"/>
        <v>18055309</v>
      </c>
      <c r="BB401" s="6">
        <v>242577</v>
      </c>
      <c r="BD401" s="6">
        <v>0</v>
      </c>
      <c r="BF401" s="6">
        <v>0</v>
      </c>
      <c r="BH401" s="6">
        <v>0</v>
      </c>
      <c r="BJ401" s="7">
        <f t="shared" si="53"/>
        <v>18297886</v>
      </c>
      <c r="BL401" s="7">
        <f>'Gov Fd Rev'!AO401-'Gov Fd Exp'!BJ401</f>
        <v>218981</v>
      </c>
      <c r="BN401" s="6">
        <v>2049396</v>
      </c>
      <c r="BP401" s="6">
        <v>-3819</v>
      </c>
      <c r="BR401" s="6">
        <v>0</v>
      </c>
      <c r="BT401" s="7">
        <f t="shared" si="52"/>
        <v>2264558</v>
      </c>
      <c r="BU401" s="7"/>
      <c r="BV401" s="7">
        <f>BT401-'Gov Fd BS'!AC401</f>
        <v>0</v>
      </c>
      <c r="BW401" s="7"/>
    </row>
    <row r="402" spans="1:75">
      <c r="A402" s="11" t="s">
        <v>271</v>
      </c>
      <c r="B402" s="11"/>
      <c r="C402" s="11" t="s">
        <v>20</v>
      </c>
      <c r="E402" s="6">
        <v>23707412</v>
      </c>
      <c r="G402" s="6">
        <v>7596228</v>
      </c>
      <c r="I402" s="6">
        <v>449042</v>
      </c>
      <c r="K402" s="6">
        <v>0</v>
      </c>
      <c r="M402" s="6">
        <v>270050</v>
      </c>
      <c r="O402" s="6">
        <v>4648260</v>
      </c>
      <c r="Q402" s="6">
        <v>775360</v>
      </c>
      <c r="S402" s="6">
        <v>293275</v>
      </c>
      <c r="U402" s="6">
        <v>3352357</v>
      </c>
      <c r="W402" s="6">
        <v>1245858</v>
      </c>
      <c r="Y402" s="6">
        <v>180837</v>
      </c>
      <c r="AA402" s="6">
        <v>6830343</v>
      </c>
      <c r="AC402" s="6">
        <v>2542036</v>
      </c>
      <c r="AE402" s="6">
        <v>1100912</v>
      </c>
      <c r="AG402" s="6">
        <v>1684980</v>
      </c>
      <c r="AI402" s="6">
        <v>403714</v>
      </c>
      <c r="AJ402" s="11" t="s">
        <v>271</v>
      </c>
      <c r="AK402" s="11"/>
      <c r="AL402" s="11" t="s">
        <v>20</v>
      </c>
      <c r="AN402" s="6">
        <v>1480777</v>
      </c>
      <c r="AP402" s="6">
        <v>0</v>
      </c>
      <c r="AR402" s="6">
        <v>0</v>
      </c>
      <c r="AT402" s="6">
        <v>85000</v>
      </c>
      <c r="AV402" s="6">
        <v>12597</v>
      </c>
      <c r="AX402" s="6">
        <v>0</v>
      </c>
      <c r="AZ402" s="7">
        <f t="shared" si="50"/>
        <v>56659038</v>
      </c>
      <c r="BB402" s="6">
        <v>140208</v>
      </c>
      <c r="BD402" s="6">
        <v>0</v>
      </c>
      <c r="BF402" s="6">
        <v>0</v>
      </c>
      <c r="BH402" s="6">
        <v>0</v>
      </c>
      <c r="BJ402" s="7">
        <f t="shared" si="53"/>
        <v>56799246</v>
      </c>
      <c r="BL402" s="7">
        <f>'Gov Fd Rev'!AO402-'Gov Fd Exp'!BJ402</f>
        <v>1497604</v>
      </c>
      <c r="BN402" s="6">
        <v>15356532</v>
      </c>
      <c r="BP402" s="6">
        <v>0</v>
      </c>
      <c r="BR402" s="6">
        <v>0</v>
      </c>
      <c r="BT402" s="7">
        <f t="shared" si="52"/>
        <v>16854136</v>
      </c>
      <c r="BU402" s="7"/>
      <c r="BV402" s="7">
        <f>BT402-'Gov Fd BS'!AC402</f>
        <v>0</v>
      </c>
      <c r="BW402" s="7"/>
    </row>
    <row r="403" spans="1:75">
      <c r="A403" s="11" t="s">
        <v>388</v>
      </c>
      <c r="B403" s="11"/>
      <c r="C403" s="11" t="s">
        <v>44</v>
      </c>
      <c r="E403" s="6">
        <v>14257268</v>
      </c>
      <c r="G403" s="6">
        <v>4890747</v>
      </c>
      <c r="I403" s="6">
        <v>110878</v>
      </c>
      <c r="K403" s="6">
        <v>1002</v>
      </c>
      <c r="M403" s="6">
        <v>1525239</v>
      </c>
      <c r="O403" s="6">
        <v>1833762</v>
      </c>
      <c r="Q403" s="6">
        <v>2261856</v>
      </c>
      <c r="S403" s="6">
        <v>119382</v>
      </c>
      <c r="U403" s="6">
        <v>2074402</v>
      </c>
      <c r="W403" s="6">
        <v>799767</v>
      </c>
      <c r="Y403" s="6">
        <v>251317</v>
      </c>
      <c r="AA403" s="6">
        <v>2554880</v>
      </c>
      <c r="AC403" s="6">
        <v>2390744</v>
      </c>
      <c r="AE403" s="6">
        <v>54457</v>
      </c>
      <c r="AG403" s="6">
        <v>1080840</v>
      </c>
      <c r="AI403" s="6">
        <v>375636</v>
      </c>
      <c r="AJ403" s="11" t="s">
        <v>388</v>
      </c>
      <c r="AK403" s="11"/>
      <c r="AL403" s="11" t="s">
        <v>44</v>
      </c>
      <c r="AN403" s="6">
        <v>764130</v>
      </c>
      <c r="AP403" s="6">
        <v>35404</v>
      </c>
      <c r="AR403" s="6">
        <v>0</v>
      </c>
      <c r="AT403" s="6">
        <v>390834</v>
      </c>
      <c r="AV403" s="6">
        <v>91761</v>
      </c>
      <c r="AX403" s="6">
        <v>0</v>
      </c>
      <c r="AZ403" s="7">
        <f t="shared" si="50"/>
        <v>35864306</v>
      </c>
      <c r="BB403" s="6">
        <v>68983</v>
      </c>
      <c r="BD403" s="6">
        <v>0</v>
      </c>
      <c r="BF403" s="6">
        <v>0</v>
      </c>
      <c r="BH403" s="6">
        <v>0</v>
      </c>
      <c r="BJ403" s="7">
        <f t="shared" si="53"/>
        <v>35933289</v>
      </c>
      <c r="BL403" s="7">
        <f>'Gov Fd Rev'!AO403-'Gov Fd Exp'!BJ403</f>
        <v>524843</v>
      </c>
      <c r="BN403" s="6">
        <v>439551</v>
      </c>
      <c r="BP403" s="6">
        <v>0</v>
      </c>
      <c r="BR403" s="6">
        <v>0</v>
      </c>
      <c r="BT403" s="7">
        <f t="shared" si="52"/>
        <v>964394</v>
      </c>
      <c r="BU403" s="7"/>
      <c r="BV403" s="7">
        <f>BT403-'Gov Fd BS'!AC403</f>
        <v>0</v>
      </c>
      <c r="BW403" s="7"/>
    </row>
    <row r="404" spans="1:75">
      <c r="A404" s="11" t="s">
        <v>272</v>
      </c>
      <c r="B404" s="11"/>
      <c r="C404" s="11" t="s">
        <v>20</v>
      </c>
      <c r="E404" s="6">
        <v>24403267</v>
      </c>
      <c r="G404" s="6">
        <v>3207668</v>
      </c>
      <c r="I404" s="6">
        <v>197782</v>
      </c>
      <c r="K404" s="6">
        <v>0</v>
      </c>
      <c r="M404" s="6">
        <v>1189179</v>
      </c>
      <c r="O404" s="6">
        <v>2833344</v>
      </c>
      <c r="Q404" s="6">
        <v>2713289</v>
      </c>
      <c r="S404" s="6">
        <v>37533</v>
      </c>
      <c r="U404" s="6">
        <v>3655960</v>
      </c>
      <c r="W404" s="6">
        <v>1229812</v>
      </c>
      <c r="Y404" s="6">
        <v>354056</v>
      </c>
      <c r="AA404" s="6">
        <v>3488977</v>
      </c>
      <c r="AC404" s="6">
        <v>3273926</v>
      </c>
      <c r="AE404" s="6">
        <v>563885</v>
      </c>
      <c r="AG404" s="6">
        <v>1251036</v>
      </c>
      <c r="AI404" s="6">
        <v>749770</v>
      </c>
      <c r="AJ404" s="11" t="s">
        <v>272</v>
      </c>
      <c r="AK404" s="11"/>
      <c r="AL404" s="11" t="s">
        <v>20</v>
      </c>
      <c r="AN404" s="6">
        <v>1041968</v>
      </c>
      <c r="AP404" s="6">
        <v>3497902</v>
      </c>
      <c r="AR404" s="6">
        <v>0</v>
      </c>
      <c r="AT404" s="6">
        <v>1380000</v>
      </c>
      <c r="AV404" s="6">
        <v>519911</v>
      </c>
      <c r="AX404" s="6">
        <v>0</v>
      </c>
      <c r="AZ404" s="7">
        <f t="shared" si="50"/>
        <v>55589265</v>
      </c>
      <c r="BB404" s="6">
        <v>118000</v>
      </c>
      <c r="BD404" s="6">
        <v>0</v>
      </c>
      <c r="BF404" s="6">
        <v>0</v>
      </c>
      <c r="BH404" s="6">
        <v>0</v>
      </c>
      <c r="BJ404" s="7">
        <f t="shared" si="53"/>
        <v>55707265</v>
      </c>
      <c r="BL404" s="7">
        <f>'Gov Fd Rev'!AO404-'Gov Fd Exp'!BJ404</f>
        <v>-1700165</v>
      </c>
      <c r="BN404" s="6">
        <v>17636060</v>
      </c>
      <c r="BP404" s="6">
        <v>0</v>
      </c>
      <c r="BR404" s="6">
        <v>0</v>
      </c>
      <c r="BT404" s="7">
        <f t="shared" si="52"/>
        <v>15935895</v>
      </c>
      <c r="BU404" s="7"/>
      <c r="BV404" s="7">
        <f>BT404-'Gov Fd BS'!AC404</f>
        <v>0</v>
      </c>
      <c r="BW404" s="7"/>
    </row>
    <row r="405" spans="1:75">
      <c r="A405" s="11" t="s">
        <v>540</v>
      </c>
      <c r="B405" s="11"/>
      <c r="C405" s="11" t="s">
        <v>66</v>
      </c>
      <c r="E405" s="6">
        <v>6890262</v>
      </c>
      <c r="G405" s="6">
        <v>1824367</v>
      </c>
      <c r="I405" s="6">
        <v>803784</v>
      </c>
      <c r="K405" s="6">
        <v>0</v>
      </c>
      <c r="M405" s="6">
        <v>0</v>
      </c>
      <c r="O405" s="6">
        <v>745692</v>
      </c>
      <c r="Q405" s="6">
        <v>961329</v>
      </c>
      <c r="S405" s="6">
        <v>24177</v>
      </c>
      <c r="U405" s="6">
        <v>1068530</v>
      </c>
      <c r="W405" s="6">
        <v>488643</v>
      </c>
      <c r="Y405" s="6">
        <v>0</v>
      </c>
      <c r="AA405" s="6">
        <v>2353426</v>
      </c>
      <c r="AC405" s="6">
        <v>1270784</v>
      </c>
      <c r="AE405" s="6">
        <v>15063</v>
      </c>
      <c r="AG405" s="6">
        <v>0</v>
      </c>
      <c r="AI405" s="6">
        <v>638217</v>
      </c>
      <c r="AJ405" s="11" t="s">
        <v>540</v>
      </c>
      <c r="AK405" s="11"/>
      <c r="AL405" s="11" t="s">
        <v>66</v>
      </c>
      <c r="AN405" s="6">
        <v>380960</v>
      </c>
      <c r="AP405" s="6">
        <v>113335</v>
      </c>
      <c r="AR405" s="6">
        <v>0</v>
      </c>
      <c r="AT405" s="6">
        <v>350000</v>
      </c>
      <c r="AV405" s="6">
        <v>630703</v>
      </c>
      <c r="AX405" s="6">
        <v>10257628</v>
      </c>
      <c r="AZ405" s="7">
        <f t="shared" si="50"/>
        <v>28816900</v>
      </c>
      <c r="BB405" s="6">
        <v>0</v>
      </c>
      <c r="BD405" s="6">
        <v>0</v>
      </c>
      <c r="BF405" s="6">
        <v>0</v>
      </c>
      <c r="BH405" s="6">
        <v>0</v>
      </c>
      <c r="BJ405" s="7">
        <f t="shared" si="53"/>
        <v>28816900</v>
      </c>
      <c r="BL405" s="7">
        <f>'Gov Fd Rev'!AO405-'Gov Fd Exp'!BJ405</f>
        <v>-2663401</v>
      </c>
      <c r="BN405" s="6">
        <v>14114005</v>
      </c>
      <c r="BP405" s="6">
        <v>0</v>
      </c>
      <c r="BR405" s="6">
        <v>0</v>
      </c>
      <c r="BT405" s="7">
        <f t="shared" si="52"/>
        <v>11450604</v>
      </c>
      <c r="BU405" s="7"/>
      <c r="BV405" s="7">
        <f>BT405-'Gov Fd BS'!AC405</f>
        <v>0</v>
      </c>
      <c r="BW405" s="7"/>
    </row>
    <row r="406" spans="1:75">
      <c r="A406" s="11" t="s">
        <v>233</v>
      </c>
      <c r="B406" s="11"/>
      <c r="C406" s="11" t="s">
        <v>17</v>
      </c>
      <c r="E406" s="6">
        <v>14630291</v>
      </c>
      <c r="G406" s="6">
        <v>2980031</v>
      </c>
      <c r="I406" s="6">
        <v>673823</v>
      </c>
      <c r="K406" s="6">
        <v>0</v>
      </c>
      <c r="M406" s="6">
        <f>22522+16495</f>
        <v>39017</v>
      </c>
      <c r="O406" s="6">
        <v>1812104</v>
      </c>
      <c r="Q406" s="6">
        <v>1607020</v>
      </c>
      <c r="S406" s="6">
        <v>70740</v>
      </c>
      <c r="U406" s="6">
        <v>2802164</v>
      </c>
      <c r="W406" s="6">
        <v>800540</v>
      </c>
      <c r="Y406" s="6">
        <v>0</v>
      </c>
      <c r="AA406" s="6">
        <v>2744201</v>
      </c>
      <c r="AC406" s="6">
        <v>2006030</v>
      </c>
      <c r="AE406" s="6">
        <v>65225</v>
      </c>
      <c r="AG406" s="6">
        <v>0</v>
      </c>
      <c r="AI406" s="6">
        <v>1448934</v>
      </c>
      <c r="AJ406" s="11" t="s">
        <v>233</v>
      </c>
      <c r="AK406" s="11"/>
      <c r="AL406" s="11" t="s">
        <v>17</v>
      </c>
      <c r="AN406" s="6">
        <v>1000209</v>
      </c>
      <c r="AP406" s="6">
        <v>118338</v>
      </c>
      <c r="AR406" s="6">
        <v>0</v>
      </c>
      <c r="AT406" s="6">
        <v>673012</v>
      </c>
      <c r="AV406" s="6">
        <v>139513</v>
      </c>
      <c r="AX406" s="6">
        <v>0</v>
      </c>
      <c r="AZ406" s="7">
        <f t="shared" si="50"/>
        <v>33611192</v>
      </c>
      <c r="BB406" s="6">
        <v>8225</v>
      </c>
      <c r="BD406" s="6">
        <v>0</v>
      </c>
      <c r="BF406" s="6">
        <v>0</v>
      </c>
      <c r="BH406" s="6">
        <v>0</v>
      </c>
      <c r="BJ406" s="7">
        <f t="shared" si="53"/>
        <v>33619417</v>
      </c>
      <c r="BL406" s="7">
        <f>'Gov Fd Rev'!AO406-'Gov Fd Exp'!BJ406</f>
        <v>-2433036</v>
      </c>
      <c r="BN406" s="6">
        <v>8498340</v>
      </c>
      <c r="BP406" s="6">
        <v>0</v>
      </c>
      <c r="BR406" s="6">
        <v>0</v>
      </c>
      <c r="BT406" s="7">
        <f t="shared" si="52"/>
        <v>6065304</v>
      </c>
      <c r="BU406" s="7"/>
      <c r="BV406" s="7">
        <f>BT406-'Gov Fd BS'!AC406</f>
        <v>0</v>
      </c>
      <c r="BW406" s="7"/>
    </row>
    <row r="407" spans="1:75" hidden="1">
      <c r="A407" s="11" t="s">
        <v>815</v>
      </c>
      <c r="B407" s="11"/>
      <c r="C407" s="11" t="s">
        <v>22</v>
      </c>
      <c r="AJ407" s="11" t="s">
        <v>815</v>
      </c>
      <c r="AK407" s="11"/>
      <c r="AL407" s="11" t="s">
        <v>22</v>
      </c>
      <c r="AR407" s="6">
        <v>0</v>
      </c>
      <c r="AX407" s="6">
        <v>0</v>
      </c>
      <c r="AZ407" s="7">
        <f t="shared" si="50"/>
        <v>0</v>
      </c>
      <c r="BD407" s="6">
        <v>0</v>
      </c>
      <c r="BF407" s="6">
        <v>0</v>
      </c>
      <c r="BJ407" s="7">
        <f t="shared" si="51"/>
        <v>0</v>
      </c>
      <c r="BL407" s="7">
        <f>'Gov Fd Rev'!AO407-'Gov Fd Exp'!BJ407</f>
        <v>0</v>
      </c>
      <c r="BR407" s="6">
        <v>0</v>
      </c>
      <c r="BT407" s="7">
        <f t="shared" si="52"/>
        <v>0</v>
      </c>
      <c r="BU407" s="7"/>
      <c r="BV407" s="7">
        <f>BT407-'Gov Fd BS'!AC407</f>
        <v>0</v>
      </c>
      <c r="BW407" s="7"/>
    </row>
    <row r="408" spans="1:75" hidden="1">
      <c r="A408" s="11" t="s">
        <v>816</v>
      </c>
      <c r="B408" s="11"/>
      <c r="C408" s="11" t="s">
        <v>451</v>
      </c>
      <c r="AJ408" s="11" t="s">
        <v>816</v>
      </c>
      <c r="AK408" s="11"/>
      <c r="AL408" s="11" t="s">
        <v>451</v>
      </c>
      <c r="AR408" s="6">
        <v>0</v>
      </c>
      <c r="AX408" s="6">
        <v>0</v>
      </c>
      <c r="AZ408" s="7">
        <f t="shared" si="50"/>
        <v>0</v>
      </c>
      <c r="BD408" s="6">
        <v>0</v>
      </c>
      <c r="BF408" s="6">
        <v>0</v>
      </c>
      <c r="BJ408" s="7">
        <f t="shared" ref="BJ408" si="54">AZ408+BB408+BH408</f>
        <v>0</v>
      </c>
      <c r="BL408" s="7">
        <f>'Gov Fd Rev'!AO408-'Gov Fd Exp'!BJ408</f>
        <v>0</v>
      </c>
      <c r="BR408" s="6">
        <v>0</v>
      </c>
      <c r="BT408" s="7">
        <f t="shared" si="52"/>
        <v>0</v>
      </c>
      <c r="BU408" s="7"/>
      <c r="BV408" s="7"/>
      <c r="BW408" s="7"/>
    </row>
    <row r="409" spans="1:75">
      <c r="A409" s="11" t="s">
        <v>434</v>
      </c>
      <c r="B409" s="11"/>
      <c r="C409" s="11" t="s">
        <v>50</v>
      </c>
      <c r="E409" s="6">
        <v>22787798</v>
      </c>
      <c r="G409" s="6">
        <v>9813238</v>
      </c>
      <c r="I409" s="6">
        <v>206786</v>
      </c>
      <c r="K409" s="6">
        <v>0</v>
      </c>
      <c r="M409" s="6">
        <v>10380</v>
      </c>
      <c r="O409" s="6">
        <v>3649279</v>
      </c>
      <c r="Q409" s="6">
        <v>491624</v>
      </c>
      <c r="S409" s="6">
        <v>0</v>
      </c>
      <c r="U409" s="6">
        <f>62112+3293023</f>
        <v>3355135</v>
      </c>
      <c r="W409" s="6">
        <v>1000865</v>
      </c>
      <c r="Y409" s="6">
        <v>433103</v>
      </c>
      <c r="AA409" s="6">
        <v>3705753</v>
      </c>
      <c r="AC409" s="6">
        <v>2536974</v>
      </c>
      <c r="AE409" s="6">
        <v>364047</v>
      </c>
      <c r="AG409" s="6">
        <v>0</v>
      </c>
      <c r="AI409" s="6">
        <v>3595609</v>
      </c>
      <c r="AJ409" s="11" t="s">
        <v>434</v>
      </c>
      <c r="AK409" s="11"/>
      <c r="AL409" s="11" t="s">
        <v>50</v>
      </c>
      <c r="AN409" s="6">
        <v>1255374</v>
      </c>
      <c r="AP409" s="6">
        <v>3209328</v>
      </c>
      <c r="AR409" s="6">
        <v>0</v>
      </c>
      <c r="AT409" s="6">
        <v>127410</v>
      </c>
      <c r="AV409" s="6">
        <f>531671+634526</f>
        <v>1166197</v>
      </c>
      <c r="AX409" s="6">
        <v>0</v>
      </c>
      <c r="AZ409" s="7">
        <f t="shared" si="50"/>
        <v>57708900</v>
      </c>
      <c r="BB409" s="6">
        <v>28500</v>
      </c>
      <c r="BD409" s="6">
        <v>0</v>
      </c>
      <c r="BF409" s="6">
        <v>0</v>
      </c>
      <c r="BH409" s="6">
        <v>0</v>
      </c>
      <c r="BJ409" s="7">
        <f t="shared" si="51"/>
        <v>57737400</v>
      </c>
      <c r="BL409" s="7">
        <f>'Gov Fd Rev'!AO409-'Gov Fd Exp'!BJ409</f>
        <v>57112094</v>
      </c>
      <c r="BN409" s="6">
        <v>6732327</v>
      </c>
      <c r="BP409" s="6">
        <v>0</v>
      </c>
      <c r="BR409" s="6">
        <v>0</v>
      </c>
      <c r="BT409" s="7">
        <f t="shared" si="52"/>
        <v>63844421</v>
      </c>
      <c r="BU409" s="7"/>
      <c r="BV409" s="7">
        <f>BT409-'Gov Fd BS'!AC409</f>
        <v>0</v>
      </c>
      <c r="BW409" s="7"/>
    </row>
    <row r="410" spans="1:75">
      <c r="A410" s="11" t="s">
        <v>442</v>
      </c>
      <c r="B410" s="11"/>
      <c r="C410" s="11" t="s">
        <v>78</v>
      </c>
      <c r="E410" s="6">
        <v>4671887</v>
      </c>
      <c r="G410" s="6">
        <v>1202262</v>
      </c>
      <c r="I410" s="6">
        <v>166546</v>
      </c>
      <c r="K410" s="6">
        <v>0</v>
      </c>
      <c r="M410" s="6">
        <v>984788</v>
      </c>
      <c r="O410" s="6">
        <v>313669</v>
      </c>
      <c r="Q410" s="6">
        <v>764179</v>
      </c>
      <c r="S410" s="6">
        <v>16721</v>
      </c>
      <c r="U410" s="6">
        <v>1163218</v>
      </c>
      <c r="W410" s="6">
        <v>464162</v>
      </c>
      <c r="Y410" s="6">
        <v>0</v>
      </c>
      <c r="AA410" s="6">
        <v>989820</v>
      </c>
      <c r="AC410" s="6">
        <v>869081</v>
      </c>
      <c r="AE410" s="6">
        <v>495</v>
      </c>
      <c r="AG410" s="6">
        <v>430843</v>
      </c>
      <c r="AI410" s="6">
        <v>55</v>
      </c>
      <c r="AJ410" s="11" t="s">
        <v>442</v>
      </c>
      <c r="AK410" s="11"/>
      <c r="AL410" s="11" t="s">
        <v>78</v>
      </c>
      <c r="AN410" s="6">
        <v>348297</v>
      </c>
      <c r="AP410" s="6">
        <v>4757043</v>
      </c>
      <c r="AR410" s="6">
        <v>0</v>
      </c>
      <c r="AT410" s="6">
        <v>250000</v>
      </c>
      <c r="AV410" s="6">
        <v>642963</v>
      </c>
      <c r="AX410" s="6">
        <v>0</v>
      </c>
      <c r="AZ410" s="7">
        <f t="shared" si="50"/>
        <v>18036029</v>
      </c>
      <c r="BB410" s="6">
        <v>0</v>
      </c>
      <c r="BD410" s="6">
        <v>0</v>
      </c>
      <c r="BF410" s="6">
        <v>0</v>
      </c>
      <c r="BH410" s="6">
        <v>0</v>
      </c>
      <c r="BJ410" s="7">
        <f t="shared" si="51"/>
        <v>18036029</v>
      </c>
      <c r="BL410" s="7">
        <f>'Gov Fd Rev'!AO410-'Gov Fd Exp'!BJ410</f>
        <v>-4691169</v>
      </c>
      <c r="BN410" s="6">
        <v>8264455</v>
      </c>
      <c r="BP410" s="6">
        <v>0</v>
      </c>
      <c r="BR410" s="6">
        <v>0</v>
      </c>
      <c r="BT410" s="7">
        <f t="shared" si="52"/>
        <v>3573286</v>
      </c>
      <c r="BU410" s="7"/>
      <c r="BV410" s="7">
        <f>BT410-'Gov Fd BS'!AC410</f>
        <v>0</v>
      </c>
      <c r="BW410" s="7"/>
    </row>
    <row r="411" spans="1:75">
      <c r="A411" s="11" t="s">
        <v>378</v>
      </c>
      <c r="B411" s="11"/>
      <c r="C411" s="11" t="s">
        <v>42</v>
      </c>
      <c r="E411" s="6">
        <v>5320517</v>
      </c>
      <c r="G411" s="6">
        <v>1039275</v>
      </c>
      <c r="I411" s="6">
        <v>25983</v>
      </c>
      <c r="K411" s="6">
        <v>0</v>
      </c>
      <c r="M411" s="6">
        <v>10241</v>
      </c>
      <c r="O411" s="6">
        <v>393518</v>
      </c>
      <c r="Q411" s="6">
        <v>519969</v>
      </c>
      <c r="S411" s="6">
        <v>48900</v>
      </c>
      <c r="U411" s="6">
        <v>833099</v>
      </c>
      <c r="W411" s="6">
        <v>396370</v>
      </c>
      <c r="Y411" s="6">
        <v>0</v>
      </c>
      <c r="AA411" s="6">
        <v>1039533</v>
      </c>
      <c r="AC411" s="6">
        <v>1588971</v>
      </c>
      <c r="AE411" s="6">
        <v>124059</v>
      </c>
      <c r="AG411" s="6">
        <v>383035</v>
      </c>
      <c r="AI411" s="6">
        <v>0</v>
      </c>
      <c r="AJ411" s="11" t="s">
        <v>378</v>
      </c>
      <c r="AK411" s="11"/>
      <c r="AL411" s="11" t="s">
        <v>42</v>
      </c>
      <c r="AN411" s="6">
        <v>221484</v>
      </c>
      <c r="AP411" s="6">
        <v>488593</v>
      </c>
      <c r="AR411" s="6">
        <v>0</v>
      </c>
      <c r="AT411" s="6">
        <v>572590</v>
      </c>
      <c r="AV411" s="6">
        <v>252076</v>
      </c>
      <c r="AX411" s="6">
        <v>0</v>
      </c>
      <c r="AZ411" s="7">
        <f t="shared" si="50"/>
        <v>13258213</v>
      </c>
      <c r="BB411" s="6">
        <v>644</v>
      </c>
      <c r="BD411" s="6">
        <v>0</v>
      </c>
      <c r="BF411" s="6">
        <v>0</v>
      </c>
      <c r="BH411" s="6">
        <v>0</v>
      </c>
      <c r="BJ411" s="7">
        <f t="shared" si="51"/>
        <v>13258857</v>
      </c>
      <c r="BL411" s="7">
        <f>'Gov Fd Rev'!AO411-'Gov Fd Exp'!BJ411</f>
        <v>971803</v>
      </c>
      <c r="BN411" s="6">
        <v>5806325</v>
      </c>
      <c r="BP411" s="6">
        <v>0</v>
      </c>
      <c r="BR411" s="6">
        <v>0</v>
      </c>
      <c r="BT411" s="7">
        <f t="shared" si="52"/>
        <v>6778128</v>
      </c>
      <c r="BU411" s="7"/>
      <c r="BV411" s="7">
        <f>BT411-'Gov Fd BS'!AC411</f>
        <v>0</v>
      </c>
      <c r="BW411" s="7"/>
    </row>
    <row r="412" spans="1:75">
      <c r="A412" s="11" t="s">
        <v>378</v>
      </c>
      <c r="B412" s="11"/>
      <c r="C412" s="11" t="s">
        <v>50</v>
      </c>
      <c r="E412" s="6">
        <v>10135224</v>
      </c>
      <c r="G412" s="6">
        <v>2703737</v>
      </c>
      <c r="I412" s="6">
        <v>125634</v>
      </c>
      <c r="K412" s="6">
        <v>0</v>
      </c>
      <c r="M412" s="6">
        <v>11592</v>
      </c>
      <c r="O412" s="6">
        <v>1618260</v>
      </c>
      <c r="Q412" s="6">
        <v>626037</v>
      </c>
      <c r="S412" s="6">
        <v>35732</v>
      </c>
      <c r="U412" s="6">
        <v>2177250</v>
      </c>
      <c r="W412" s="6">
        <v>412297</v>
      </c>
      <c r="Y412" s="6">
        <v>304495</v>
      </c>
      <c r="AA412" s="6">
        <v>1895971</v>
      </c>
      <c r="AC412" s="6">
        <v>893431</v>
      </c>
      <c r="AE412" s="6">
        <v>51694</v>
      </c>
      <c r="AG412" s="6">
        <v>0</v>
      </c>
      <c r="AI412" s="6">
        <v>1145065</v>
      </c>
      <c r="AJ412" s="11" t="s">
        <v>378</v>
      </c>
      <c r="AK412" s="11"/>
      <c r="AL412" s="11" t="s">
        <v>50</v>
      </c>
      <c r="AN412" s="6">
        <v>476139</v>
      </c>
      <c r="AP412" s="6">
        <v>0</v>
      </c>
      <c r="AR412" s="6">
        <v>0</v>
      </c>
      <c r="AT412" s="6">
        <v>370000</v>
      </c>
      <c r="AV412" s="6">
        <f>178242+86720</f>
        <v>264962</v>
      </c>
      <c r="AX412" s="6">
        <v>0</v>
      </c>
      <c r="AZ412" s="7">
        <f t="shared" si="50"/>
        <v>23247520</v>
      </c>
      <c r="BB412" s="6">
        <v>0</v>
      </c>
      <c r="BD412" s="6">
        <v>0</v>
      </c>
      <c r="BF412" s="6">
        <v>0</v>
      </c>
      <c r="BH412" s="6">
        <v>5566324</v>
      </c>
      <c r="BJ412" s="7">
        <f t="shared" si="51"/>
        <v>28813844</v>
      </c>
      <c r="BL412" s="7">
        <f>'Gov Fd Rev'!AO412-'Gov Fd Exp'!BJ412</f>
        <v>308169</v>
      </c>
      <c r="BN412" s="6">
        <v>7660209</v>
      </c>
      <c r="BP412" s="6">
        <v>0</v>
      </c>
      <c r="BR412" s="6">
        <v>0</v>
      </c>
      <c r="BT412" s="7">
        <f t="shared" si="52"/>
        <v>7968378</v>
      </c>
      <c r="BU412" s="7"/>
      <c r="BV412" s="7">
        <f>BT412-'Gov Fd BS'!AC412</f>
        <v>0</v>
      </c>
      <c r="BW412" s="7"/>
    </row>
    <row r="413" spans="1:75">
      <c r="A413" s="11" t="s">
        <v>327</v>
      </c>
      <c r="B413" s="11"/>
      <c r="C413" s="11" t="s">
        <v>32</v>
      </c>
      <c r="E413" s="6">
        <v>37397407</v>
      </c>
      <c r="G413" s="6">
        <v>10878763</v>
      </c>
      <c r="I413" s="6">
        <v>64994</v>
      </c>
      <c r="K413" s="6">
        <v>0</v>
      </c>
      <c r="M413" s="6">
        <f>711415+94586</f>
        <v>806001</v>
      </c>
      <c r="O413" s="6">
        <v>5734490</v>
      </c>
      <c r="Q413" s="6">
        <v>6676607</v>
      </c>
      <c r="S413" s="6">
        <v>173521</v>
      </c>
      <c r="U413" s="6">
        <v>5694393</v>
      </c>
      <c r="W413" s="6">
        <v>1965954</v>
      </c>
      <c r="Y413" s="6">
        <v>448021</v>
      </c>
      <c r="AA413" s="6">
        <v>6753373</v>
      </c>
      <c r="AC413" s="6">
        <v>4753428</v>
      </c>
      <c r="AE413" s="6">
        <v>1593639</v>
      </c>
      <c r="AG413" s="6">
        <v>0</v>
      </c>
      <c r="AI413" s="6">
        <v>6456083</v>
      </c>
      <c r="AJ413" s="11" t="s">
        <v>327</v>
      </c>
      <c r="AK413" s="11"/>
      <c r="AL413" s="11" t="s">
        <v>32</v>
      </c>
      <c r="AN413" s="6">
        <v>1902618</v>
      </c>
      <c r="AP413" s="6">
        <v>554874</v>
      </c>
      <c r="AR413" s="6">
        <v>0</v>
      </c>
      <c r="AT413" s="6">
        <v>1070000</v>
      </c>
      <c r="AV413" s="6">
        <v>775790</v>
      </c>
      <c r="AX413" s="6">
        <v>0</v>
      </c>
      <c r="AZ413" s="7">
        <f t="shared" si="50"/>
        <v>93699956</v>
      </c>
      <c r="BB413" s="6">
        <v>100000</v>
      </c>
      <c r="BD413" s="6">
        <v>0</v>
      </c>
      <c r="BF413" s="6">
        <v>0</v>
      </c>
      <c r="BH413" s="6">
        <v>0</v>
      </c>
      <c r="BJ413" s="7">
        <f t="shared" si="51"/>
        <v>93799956</v>
      </c>
      <c r="BL413" s="7">
        <f>'Gov Fd Rev'!AO413-'Gov Fd Exp'!BJ413</f>
        <v>1878990</v>
      </c>
      <c r="BN413" s="6">
        <v>33027626</v>
      </c>
      <c r="BP413" s="6">
        <v>0</v>
      </c>
      <c r="BR413" s="6">
        <v>0</v>
      </c>
      <c r="BT413" s="7">
        <f t="shared" si="52"/>
        <v>34906616</v>
      </c>
      <c r="BU413" s="7"/>
      <c r="BV413" s="7">
        <f>BT413-'Gov Fd BS'!AC413</f>
        <v>0</v>
      </c>
      <c r="BW413" s="7"/>
    </row>
    <row r="414" spans="1:75">
      <c r="A414" s="11" t="s">
        <v>597</v>
      </c>
      <c r="B414" s="11"/>
      <c r="C414" s="11" t="s">
        <v>59</v>
      </c>
      <c r="E414" s="6">
        <v>8113383</v>
      </c>
      <c r="G414" s="6">
        <v>1378663</v>
      </c>
      <c r="I414" s="6">
        <v>84266</v>
      </c>
      <c r="K414" s="6">
        <v>0</v>
      </c>
      <c r="M414" s="6">
        <v>637784</v>
      </c>
      <c r="O414" s="6">
        <v>550715</v>
      </c>
      <c r="Q414" s="6">
        <v>1183732</v>
      </c>
      <c r="S414" s="6">
        <v>27020</v>
      </c>
      <c r="U414" s="6">
        <v>1278607</v>
      </c>
      <c r="W414" s="6">
        <v>283430</v>
      </c>
      <c r="Y414" s="6">
        <v>0</v>
      </c>
      <c r="AA414" s="6">
        <v>1702192</v>
      </c>
      <c r="AC414" s="6">
        <v>1783063</v>
      </c>
      <c r="AE414" s="6">
        <v>6226</v>
      </c>
      <c r="AG414" s="6">
        <v>0</v>
      </c>
      <c r="AI414" s="6">
        <v>876154</v>
      </c>
      <c r="AJ414" s="11" t="s">
        <v>597</v>
      </c>
      <c r="AK414" s="11"/>
      <c r="AL414" s="11" t="s">
        <v>59</v>
      </c>
      <c r="AN414" s="6">
        <v>259811</v>
      </c>
      <c r="AP414" s="6">
        <v>204621</v>
      </c>
      <c r="AR414" s="6">
        <v>0</v>
      </c>
      <c r="AT414" s="6">
        <v>477000</v>
      </c>
      <c r="AV414" s="6">
        <v>85913</v>
      </c>
      <c r="AX414" s="6">
        <v>0</v>
      </c>
      <c r="AZ414" s="7">
        <f t="shared" si="50"/>
        <v>18932580</v>
      </c>
      <c r="BB414" s="6">
        <v>89500</v>
      </c>
      <c r="BD414" s="6">
        <v>0</v>
      </c>
      <c r="BF414" s="6">
        <v>0</v>
      </c>
      <c r="BH414" s="6">
        <v>0</v>
      </c>
      <c r="BJ414" s="7">
        <f t="shared" si="51"/>
        <v>19022080</v>
      </c>
      <c r="BL414" s="7">
        <f>'Gov Fd Rev'!AO414-'Gov Fd Exp'!BJ414</f>
        <v>-459229</v>
      </c>
      <c r="BN414" s="6">
        <v>654285</v>
      </c>
      <c r="BP414" s="6">
        <v>0</v>
      </c>
      <c r="BR414" s="6">
        <v>0</v>
      </c>
      <c r="BT414" s="7">
        <f t="shared" si="52"/>
        <v>195056</v>
      </c>
      <c r="BU414" s="7"/>
      <c r="BV414" s="7">
        <f>BT414-'Gov Fd BS'!AC414</f>
        <v>0</v>
      </c>
      <c r="BW414" s="7"/>
    </row>
    <row r="415" spans="1:75">
      <c r="A415" s="11" t="s">
        <v>327</v>
      </c>
      <c r="B415" s="11"/>
      <c r="C415" s="11" t="s">
        <v>62</v>
      </c>
      <c r="E415" s="6">
        <v>8250799</v>
      </c>
      <c r="G415" s="6">
        <v>2044754</v>
      </c>
      <c r="I415" s="6">
        <v>186614</v>
      </c>
      <c r="K415" s="6">
        <v>0</v>
      </c>
      <c r="M415" s="6">
        <v>150023</v>
      </c>
      <c r="O415" s="6">
        <v>687779</v>
      </c>
      <c r="Q415" s="6">
        <v>138746</v>
      </c>
      <c r="S415" s="6">
        <v>91529</v>
      </c>
      <c r="U415" s="6">
        <v>1816797</v>
      </c>
      <c r="W415" s="6">
        <v>504055</v>
      </c>
      <c r="Y415" s="6">
        <v>0</v>
      </c>
      <c r="AA415" s="6">
        <v>2091265</v>
      </c>
      <c r="AC415" s="6">
        <v>1188175</v>
      </c>
      <c r="AE415" s="6">
        <v>307071</v>
      </c>
      <c r="AG415" s="6">
        <v>648803</v>
      </c>
      <c r="AI415" s="6">
        <v>105277</v>
      </c>
      <c r="AJ415" s="11" t="s">
        <v>327</v>
      </c>
      <c r="AK415" s="11"/>
      <c r="AL415" s="11" t="s">
        <v>62</v>
      </c>
      <c r="AN415" s="6">
        <v>366133</v>
      </c>
      <c r="AP415" s="6">
        <v>17084241</v>
      </c>
      <c r="AR415" s="6">
        <v>0</v>
      </c>
      <c r="AT415" s="6">
        <v>971000</v>
      </c>
      <c r="AV415" s="6">
        <f>711552+223759</f>
        <v>935311</v>
      </c>
      <c r="AX415" s="6">
        <v>0</v>
      </c>
      <c r="AZ415" s="7">
        <f t="shared" si="50"/>
        <v>37568372</v>
      </c>
      <c r="BB415" s="6">
        <v>470000</v>
      </c>
      <c r="BD415" s="6">
        <v>0</v>
      </c>
      <c r="BF415" s="6">
        <v>0</v>
      </c>
      <c r="BH415" s="6">
        <v>15467585</v>
      </c>
      <c r="BJ415" s="7">
        <f t="shared" si="51"/>
        <v>53505957</v>
      </c>
      <c r="BL415" s="7">
        <f>'Gov Fd Rev'!AO415-'Gov Fd Exp'!BJ415</f>
        <v>-6368819</v>
      </c>
      <c r="BN415" s="6">
        <v>15817459</v>
      </c>
      <c r="BP415" s="6">
        <v>-2635</v>
      </c>
      <c r="BR415" s="6">
        <v>0</v>
      </c>
      <c r="BT415" s="7">
        <f t="shared" si="52"/>
        <v>9446005</v>
      </c>
      <c r="BU415" s="7"/>
      <c r="BV415" s="7">
        <f>BT415-'Gov Fd BS'!AC415</f>
        <v>0</v>
      </c>
      <c r="BW415" s="7"/>
    </row>
    <row r="416" spans="1:75">
      <c r="A416" s="11" t="s">
        <v>234</v>
      </c>
      <c r="B416" s="11"/>
      <c r="C416" s="11" t="s">
        <v>17</v>
      </c>
      <c r="E416" s="6">
        <v>8026418</v>
      </c>
      <c r="G416" s="6">
        <v>2213170</v>
      </c>
      <c r="I416" s="6">
        <v>0</v>
      </c>
      <c r="K416" s="6">
        <v>0</v>
      </c>
      <c r="M416" s="6">
        <v>7062</v>
      </c>
      <c r="O416" s="6">
        <v>651320</v>
      </c>
      <c r="Q416" s="6">
        <v>770076</v>
      </c>
      <c r="S416" s="6">
        <v>65748</v>
      </c>
      <c r="U416" s="6">
        <v>1192134</v>
      </c>
      <c r="W416" s="6">
        <v>480063</v>
      </c>
      <c r="Y416" s="6">
        <v>0</v>
      </c>
      <c r="AA416" s="6">
        <v>1226348</v>
      </c>
      <c r="AC416" s="6">
        <v>1109605</v>
      </c>
      <c r="AE416" s="6">
        <v>56467</v>
      </c>
      <c r="AG416" s="6">
        <v>0</v>
      </c>
      <c r="AI416" s="6">
        <v>679681</v>
      </c>
      <c r="AJ416" s="11" t="s">
        <v>234</v>
      </c>
      <c r="AK416" s="11"/>
      <c r="AL416" s="11" t="s">
        <v>17</v>
      </c>
      <c r="AN416" s="6">
        <v>457277</v>
      </c>
      <c r="AP416" s="6">
        <v>7188040</v>
      </c>
      <c r="AR416" s="6">
        <v>0</v>
      </c>
      <c r="AT416" s="6">
        <v>530000</v>
      </c>
      <c r="AV416" s="6">
        <v>1754855</v>
      </c>
      <c r="AX416" s="6">
        <v>0</v>
      </c>
      <c r="AZ416" s="7">
        <f t="shared" si="50"/>
        <v>26408264</v>
      </c>
      <c r="BB416" s="6">
        <v>1110721</v>
      </c>
      <c r="BD416" s="6">
        <v>0</v>
      </c>
      <c r="BF416" s="6">
        <v>0</v>
      </c>
      <c r="BH416" s="6">
        <v>0</v>
      </c>
      <c r="BJ416" s="7">
        <f t="shared" si="51"/>
        <v>27518985</v>
      </c>
      <c r="BL416" s="7">
        <f>'Gov Fd Rev'!AO416-'Gov Fd Exp'!BJ416</f>
        <v>7180135</v>
      </c>
      <c r="BN416" s="6">
        <v>36068706</v>
      </c>
      <c r="BP416" s="6">
        <v>0</v>
      </c>
      <c r="BR416" s="6">
        <v>0</v>
      </c>
      <c r="BT416" s="7">
        <f t="shared" si="52"/>
        <v>43248841</v>
      </c>
      <c r="BU416" s="7"/>
      <c r="BV416" s="7">
        <f>BT416-'Gov Fd BS'!AC416</f>
        <v>0</v>
      </c>
      <c r="BW416" s="7"/>
    </row>
    <row r="417" spans="1:75" hidden="1">
      <c r="A417" s="11" t="s">
        <v>739</v>
      </c>
      <c r="B417" s="11"/>
      <c r="C417" s="11" t="s">
        <v>71</v>
      </c>
      <c r="AJ417" s="11" t="s">
        <v>739</v>
      </c>
      <c r="AK417" s="11"/>
      <c r="AL417" s="11" t="s">
        <v>71</v>
      </c>
      <c r="AR417" s="6">
        <v>0</v>
      </c>
      <c r="AX417" s="6">
        <v>0</v>
      </c>
      <c r="AZ417" s="7"/>
      <c r="BD417" s="6">
        <v>0</v>
      </c>
      <c r="BF417" s="6">
        <v>0</v>
      </c>
      <c r="BH417" s="6">
        <v>0</v>
      </c>
      <c r="BJ417" s="7"/>
      <c r="BL417" s="7"/>
      <c r="BP417" s="6">
        <v>0</v>
      </c>
      <c r="BR417" s="6">
        <v>0</v>
      </c>
      <c r="BT417" s="7"/>
      <c r="BU417" s="7"/>
      <c r="BV417" s="7"/>
      <c r="BW417" s="7"/>
    </row>
    <row r="418" spans="1:75" hidden="1">
      <c r="A418" s="10" t="s">
        <v>882</v>
      </c>
      <c r="B418" s="11"/>
      <c r="C418" s="11" t="s">
        <v>72</v>
      </c>
      <c r="E418" s="6">
        <v>0</v>
      </c>
      <c r="G418" s="6">
        <v>0</v>
      </c>
      <c r="I418" s="6">
        <v>0</v>
      </c>
      <c r="K418" s="6">
        <v>0</v>
      </c>
      <c r="M418" s="6">
        <v>0</v>
      </c>
      <c r="O418" s="6">
        <v>0</v>
      </c>
      <c r="Q418" s="6">
        <v>0</v>
      </c>
      <c r="S418" s="6">
        <v>0</v>
      </c>
      <c r="U418" s="6">
        <v>0</v>
      </c>
      <c r="W418" s="6">
        <v>0</v>
      </c>
      <c r="Y418" s="6">
        <v>0</v>
      </c>
      <c r="AA418" s="6">
        <v>0</v>
      </c>
      <c r="AC418" s="6">
        <v>0</v>
      </c>
      <c r="AE418" s="6">
        <v>0</v>
      </c>
      <c r="AG418" s="6">
        <v>0</v>
      </c>
      <c r="AI418" s="6">
        <v>0</v>
      </c>
      <c r="AJ418" s="10" t="s">
        <v>882</v>
      </c>
      <c r="AK418" s="11"/>
      <c r="AL418" s="11" t="s">
        <v>72</v>
      </c>
      <c r="AN418" s="6">
        <v>0</v>
      </c>
      <c r="AP418" s="6">
        <v>0</v>
      </c>
      <c r="AR418" s="6">
        <v>0</v>
      </c>
      <c r="AT418" s="6">
        <v>0</v>
      </c>
      <c r="AV418" s="6">
        <v>0</v>
      </c>
      <c r="AX418" s="6">
        <v>0</v>
      </c>
      <c r="AZ418" s="7">
        <f t="shared" si="50"/>
        <v>0</v>
      </c>
      <c r="BB418" s="6">
        <v>0</v>
      </c>
      <c r="BD418" s="6">
        <v>0</v>
      </c>
      <c r="BF418" s="6">
        <v>0</v>
      </c>
      <c r="BH418" s="6">
        <v>0</v>
      </c>
      <c r="BJ418" s="7">
        <f t="shared" si="51"/>
        <v>0</v>
      </c>
      <c r="BL418" s="7">
        <f>'Gov Fd Rev'!AO418-'Gov Fd Exp'!BJ418</f>
        <v>0</v>
      </c>
      <c r="BP418" s="6">
        <v>0</v>
      </c>
      <c r="BR418" s="6">
        <v>0</v>
      </c>
      <c r="BT418" s="7">
        <f t="shared" si="52"/>
        <v>0</v>
      </c>
      <c r="BU418" s="7"/>
      <c r="BV418" s="7">
        <f>BT418-'Gov Fd BS'!AC418</f>
        <v>0</v>
      </c>
      <c r="BW418" s="7"/>
    </row>
    <row r="419" spans="1:75">
      <c r="A419" s="11" t="s">
        <v>512</v>
      </c>
      <c r="B419" s="11"/>
      <c r="C419" s="11" t="s">
        <v>63</v>
      </c>
      <c r="E419" s="6">
        <v>10573202</v>
      </c>
      <c r="G419" s="6">
        <v>2013582</v>
      </c>
      <c r="I419" s="6">
        <v>633464</v>
      </c>
      <c r="K419" s="6">
        <v>5485</v>
      </c>
      <c r="M419" s="6">
        <v>403966</v>
      </c>
      <c r="O419" s="6">
        <v>701237</v>
      </c>
      <c r="Q419" s="6">
        <v>1152133</v>
      </c>
      <c r="S419" s="6">
        <v>43483</v>
      </c>
      <c r="U419" s="6">
        <v>1623591</v>
      </c>
      <c r="W419" s="6">
        <v>564425</v>
      </c>
      <c r="Y419" s="6">
        <v>196883</v>
      </c>
      <c r="AA419" s="6">
        <v>1716653</v>
      </c>
      <c r="AC419" s="6">
        <v>1472221</v>
      </c>
      <c r="AE419" s="6">
        <v>113053</v>
      </c>
      <c r="AG419" s="6">
        <v>860280</v>
      </c>
      <c r="AI419" s="6">
        <v>586</v>
      </c>
      <c r="AJ419" s="11" t="s">
        <v>512</v>
      </c>
      <c r="AK419" s="11"/>
      <c r="AL419" s="11" t="s">
        <v>63</v>
      </c>
      <c r="AN419" s="6">
        <v>485333</v>
      </c>
      <c r="AP419" s="6">
        <v>201731</v>
      </c>
      <c r="AR419" s="6">
        <v>0</v>
      </c>
      <c r="AT419" s="6">
        <v>38489</v>
      </c>
      <c r="AV419" s="6">
        <v>2047</v>
      </c>
      <c r="AX419" s="6">
        <v>0</v>
      </c>
      <c r="AZ419" s="7">
        <f t="shared" si="50"/>
        <v>22801844</v>
      </c>
      <c r="BB419" s="6">
        <v>0</v>
      </c>
      <c r="BD419" s="6">
        <v>0</v>
      </c>
      <c r="BF419" s="6">
        <v>0</v>
      </c>
      <c r="BH419" s="6">
        <v>0</v>
      </c>
      <c r="BJ419" s="7">
        <f>AZ419+BB419+BH419</f>
        <v>22801844</v>
      </c>
      <c r="BL419" s="7">
        <f>'Gov Fd Rev'!AO419-'Gov Fd Exp'!BJ419</f>
        <v>395606</v>
      </c>
      <c r="BN419" s="6">
        <v>6595959</v>
      </c>
      <c r="BP419" s="6">
        <v>0</v>
      </c>
      <c r="BR419" s="6">
        <v>0</v>
      </c>
      <c r="BT419" s="7">
        <f>BL419+BN419+BP419+BR419</f>
        <v>6991565</v>
      </c>
      <c r="BU419" s="7"/>
      <c r="BV419" s="7">
        <f>BT419-'Gov Fd BS'!AC419</f>
        <v>0</v>
      </c>
      <c r="BW419" s="7"/>
    </row>
    <row r="420" spans="1:75">
      <c r="A420" s="11" t="s">
        <v>358</v>
      </c>
      <c r="B420" s="11"/>
      <c r="C420" s="11" t="s">
        <v>37</v>
      </c>
      <c r="E420" s="6">
        <v>11087849</v>
      </c>
      <c r="G420" s="6">
        <v>3298665</v>
      </c>
      <c r="I420" s="6">
        <v>112718</v>
      </c>
      <c r="K420" s="6">
        <v>21670</v>
      </c>
      <c r="M420" s="6">
        <v>1527712</v>
      </c>
      <c r="O420" s="6">
        <v>1101514</v>
      </c>
      <c r="Q420" s="6">
        <v>1932546</v>
      </c>
      <c r="S420" s="6">
        <v>45652</v>
      </c>
      <c r="U420" s="6">
        <v>1882597</v>
      </c>
      <c r="W420" s="6">
        <v>557500</v>
      </c>
      <c r="Y420" s="6">
        <v>76101</v>
      </c>
      <c r="AA420" s="6">
        <v>2377866</v>
      </c>
      <c r="AC420" s="6">
        <v>729422</v>
      </c>
      <c r="AE420" s="6">
        <v>91581</v>
      </c>
      <c r="AG420" s="6">
        <v>1099255</v>
      </c>
      <c r="AI420" s="6">
        <v>511415</v>
      </c>
      <c r="AJ420" s="11" t="s">
        <v>358</v>
      </c>
      <c r="AK420" s="11"/>
      <c r="AL420" s="11" t="s">
        <v>37</v>
      </c>
      <c r="AN420" s="6">
        <v>690928</v>
      </c>
      <c r="AP420" s="6">
        <v>461410</v>
      </c>
      <c r="AR420" s="6">
        <v>0</v>
      </c>
      <c r="AT420" s="6">
        <v>590000</v>
      </c>
      <c r="AV420" s="6">
        <v>442913</v>
      </c>
      <c r="AX420" s="6">
        <v>0</v>
      </c>
      <c r="AZ420" s="7">
        <f t="shared" si="50"/>
        <v>28639314</v>
      </c>
      <c r="BB420" s="6">
        <v>85000</v>
      </c>
      <c r="BD420" s="6">
        <v>0</v>
      </c>
      <c r="BF420" s="6">
        <v>0</v>
      </c>
      <c r="BH420" s="6">
        <v>0</v>
      </c>
      <c r="BJ420" s="7">
        <f t="shared" si="51"/>
        <v>28724314</v>
      </c>
      <c r="BL420" s="7">
        <f>'Gov Fd Rev'!AO420-'Gov Fd Exp'!BJ420</f>
        <v>-1101730</v>
      </c>
      <c r="BN420" s="6">
        <v>11872938</v>
      </c>
      <c r="BP420" s="6">
        <v>0</v>
      </c>
      <c r="BR420" s="6">
        <v>0</v>
      </c>
      <c r="BT420" s="7">
        <f t="shared" si="52"/>
        <v>10771208</v>
      </c>
      <c r="BU420" s="7"/>
      <c r="BV420" s="7">
        <f>BT420-'Gov Fd BS'!AC420</f>
        <v>0</v>
      </c>
      <c r="BW420" s="7"/>
    </row>
    <row r="421" spans="1:75" hidden="1">
      <c r="A421" s="11" t="s">
        <v>817</v>
      </c>
      <c r="B421" s="11"/>
      <c r="C421" s="11" t="s">
        <v>71</v>
      </c>
      <c r="AJ421" s="11" t="s">
        <v>817</v>
      </c>
      <c r="AK421" s="11"/>
      <c r="AL421" s="11" t="s">
        <v>71</v>
      </c>
      <c r="AR421" s="6">
        <v>0</v>
      </c>
      <c r="AX421" s="6">
        <v>0</v>
      </c>
      <c r="AZ421" s="7">
        <f t="shared" ref="AZ421" si="55">SUM(E421:AX421)</f>
        <v>0</v>
      </c>
      <c r="BD421" s="6">
        <v>0</v>
      </c>
      <c r="BF421" s="6">
        <v>0</v>
      </c>
      <c r="BH421" s="6">
        <v>0</v>
      </c>
      <c r="BJ421" s="7">
        <f t="shared" ref="BJ421" si="56">AZ421+BB421+BH421</f>
        <v>0</v>
      </c>
      <c r="BL421" s="7">
        <f>'Gov Fd Rev'!AO421-'Gov Fd Exp'!BJ421</f>
        <v>0</v>
      </c>
      <c r="BP421" s="6">
        <v>0</v>
      </c>
      <c r="BR421" s="6">
        <v>0</v>
      </c>
      <c r="BT421" s="7">
        <f t="shared" ref="BT421" si="57">BL421+BN421+BP421+BR421</f>
        <v>0</v>
      </c>
      <c r="BU421" s="7"/>
      <c r="BV421" s="7">
        <f>BT421-'Gov Fd BS'!AC421</f>
        <v>0</v>
      </c>
      <c r="BW421" s="7"/>
    </row>
    <row r="422" spans="1:75">
      <c r="A422" s="11" t="s">
        <v>631</v>
      </c>
      <c r="B422" s="11"/>
      <c r="C422" s="11" t="s">
        <v>32</v>
      </c>
      <c r="E422" s="6">
        <v>11463899</v>
      </c>
      <c r="G422" s="6">
        <v>3466133</v>
      </c>
      <c r="I422" s="6">
        <v>0</v>
      </c>
      <c r="K422" s="6">
        <v>0</v>
      </c>
      <c r="M422" s="6">
        <v>1058369</v>
      </c>
      <c r="O422" s="6">
        <v>1761771</v>
      </c>
      <c r="Q422" s="6">
        <v>1731565</v>
      </c>
      <c r="S422" s="6">
        <v>0</v>
      </c>
      <c r="U422" s="6">
        <f>31880+1554272</f>
        <v>1586152</v>
      </c>
      <c r="W422" s="6">
        <v>611708</v>
      </c>
      <c r="Y422" s="6">
        <v>96575</v>
      </c>
      <c r="AA422" s="6">
        <v>2116169</v>
      </c>
      <c r="AC422" s="6">
        <v>467711</v>
      </c>
      <c r="AE422" s="6">
        <v>335592</v>
      </c>
      <c r="AG422" s="6">
        <v>0</v>
      </c>
      <c r="AI422" s="6">
        <v>1258572</v>
      </c>
      <c r="AJ422" s="11" t="s">
        <v>631</v>
      </c>
      <c r="AK422" s="11"/>
      <c r="AL422" s="11" t="s">
        <v>32</v>
      </c>
      <c r="AN422" s="6">
        <v>517064</v>
      </c>
      <c r="AP422" s="6">
        <v>95279</v>
      </c>
      <c r="AR422" s="6">
        <v>0</v>
      </c>
      <c r="AT422" s="6">
        <v>235700</v>
      </c>
      <c r="AV422" s="6">
        <v>239258</v>
      </c>
      <c r="AX422" s="6">
        <v>0</v>
      </c>
      <c r="AZ422" s="7">
        <f t="shared" si="50"/>
        <v>27041517</v>
      </c>
      <c r="BB422" s="6">
        <v>1016333</v>
      </c>
      <c r="BD422" s="6">
        <v>0</v>
      </c>
      <c r="BF422" s="6">
        <v>0</v>
      </c>
      <c r="BH422" s="6">
        <v>0</v>
      </c>
      <c r="BJ422" s="7">
        <f t="shared" si="51"/>
        <v>28057850</v>
      </c>
      <c r="BL422" s="7">
        <f>'Gov Fd Rev'!AO422-'Gov Fd Exp'!BJ422</f>
        <v>2076112</v>
      </c>
      <c r="BN422" s="6">
        <v>6394746</v>
      </c>
      <c r="BP422" s="6">
        <v>0</v>
      </c>
      <c r="BR422" s="6">
        <v>0</v>
      </c>
      <c r="BT422" s="7">
        <f t="shared" si="52"/>
        <v>8470858</v>
      </c>
      <c r="BU422" s="7"/>
      <c r="BV422" s="7">
        <f>BT422-'Gov Fd BS'!AC422</f>
        <v>0</v>
      </c>
      <c r="BW422" s="7"/>
    </row>
    <row r="423" spans="1:75" hidden="1">
      <c r="A423" s="11" t="s">
        <v>738</v>
      </c>
      <c r="B423" s="11"/>
      <c r="C423" s="11" t="s">
        <v>38</v>
      </c>
      <c r="AJ423" s="11" t="s">
        <v>738</v>
      </c>
      <c r="AK423" s="11"/>
      <c r="AL423" s="11" t="s">
        <v>38</v>
      </c>
      <c r="AR423" s="6">
        <v>0</v>
      </c>
      <c r="AX423" s="6">
        <v>0</v>
      </c>
      <c r="AZ423" s="7"/>
      <c r="BD423" s="6">
        <v>0</v>
      </c>
      <c r="BF423" s="6">
        <v>0</v>
      </c>
      <c r="BH423" s="6">
        <v>0</v>
      </c>
      <c r="BJ423" s="7"/>
      <c r="BL423" s="7"/>
      <c r="BP423" s="6">
        <v>0</v>
      </c>
      <c r="BR423" s="6">
        <v>0</v>
      </c>
      <c r="BT423" s="7"/>
      <c r="BU423" s="7"/>
      <c r="BV423" s="7"/>
      <c r="BW423" s="7"/>
    </row>
    <row r="424" spans="1:75">
      <c r="A424" s="11" t="s">
        <v>328</v>
      </c>
      <c r="B424" s="11"/>
      <c r="C424" s="11" t="s">
        <v>32</v>
      </c>
      <c r="E424" s="6">
        <v>32494697</v>
      </c>
      <c r="G424" s="6">
        <v>8303352</v>
      </c>
      <c r="I424" s="6">
        <v>149</v>
      </c>
      <c r="K424" s="6">
        <v>0</v>
      </c>
      <c r="M424" s="6">
        <v>232155</v>
      </c>
      <c r="O424" s="6">
        <v>5310530</v>
      </c>
      <c r="Q424" s="6">
        <v>5482111</v>
      </c>
      <c r="S424" s="6">
        <v>0</v>
      </c>
      <c r="U424" s="6">
        <f>730144+4967698</f>
        <v>5697842</v>
      </c>
      <c r="W424" s="6">
        <v>1230560</v>
      </c>
      <c r="Y424" s="6">
        <v>353546</v>
      </c>
      <c r="AA424" s="6">
        <v>5972480</v>
      </c>
      <c r="AC424" s="6">
        <v>2891707</v>
      </c>
      <c r="AE424" s="6">
        <v>489965</v>
      </c>
      <c r="AG424" s="6">
        <v>0</v>
      </c>
      <c r="AI424" s="6">
        <v>4006914</v>
      </c>
      <c r="AJ424" s="11" t="s">
        <v>328</v>
      </c>
      <c r="AK424" s="11"/>
      <c r="AL424" s="11" t="s">
        <v>32</v>
      </c>
      <c r="AN424" s="6">
        <v>2037662</v>
      </c>
      <c r="AP424" s="6">
        <v>436704</v>
      </c>
      <c r="AR424" s="6">
        <v>0</v>
      </c>
      <c r="AT424" s="6">
        <v>1689000</v>
      </c>
      <c r="AV424" s="6">
        <v>1757064</v>
      </c>
      <c r="AX424" s="6">
        <v>0</v>
      </c>
      <c r="AZ424" s="7">
        <f t="shared" ref="AZ424:AZ436" si="58">SUM(E424:AX424)</f>
        <v>78386438</v>
      </c>
      <c r="BB424" s="6">
        <v>371484</v>
      </c>
      <c r="BD424" s="6">
        <v>0</v>
      </c>
      <c r="BF424" s="6">
        <v>0</v>
      </c>
      <c r="BH424" s="6">
        <v>0</v>
      </c>
      <c r="BJ424" s="7">
        <f t="shared" si="51"/>
        <v>78757922</v>
      </c>
      <c r="BL424" s="7">
        <f>'Gov Fd Rev'!AO424-'Gov Fd Exp'!BJ424</f>
        <v>-644615</v>
      </c>
      <c r="BN424" s="6">
        <v>28875960</v>
      </c>
      <c r="BP424" s="6">
        <v>0</v>
      </c>
      <c r="BR424" s="6">
        <v>0</v>
      </c>
      <c r="BT424" s="7">
        <f t="shared" si="52"/>
        <v>28231345</v>
      </c>
      <c r="BU424" s="7"/>
      <c r="BV424" s="7">
        <f>BT424-'Gov Fd BS'!AC424</f>
        <v>0</v>
      </c>
      <c r="BW424" s="7"/>
    </row>
    <row r="425" spans="1:75">
      <c r="A425" s="11" t="s">
        <v>435</v>
      </c>
      <c r="B425" s="11"/>
      <c r="C425" s="11" t="s">
        <v>50</v>
      </c>
      <c r="E425" s="6">
        <v>13061064</v>
      </c>
      <c r="G425" s="6">
        <v>2903255</v>
      </c>
      <c r="I425" s="6">
        <v>2247</v>
      </c>
      <c r="K425" s="6">
        <v>0</v>
      </c>
      <c r="M425" s="6">
        <v>189129</v>
      </c>
      <c r="O425" s="6">
        <v>1491741</v>
      </c>
      <c r="Q425" s="6">
        <v>303059</v>
      </c>
      <c r="S425" s="6">
        <v>22431</v>
      </c>
      <c r="U425" s="6">
        <v>1882804</v>
      </c>
      <c r="W425" s="6">
        <v>749889</v>
      </c>
      <c r="Y425" s="6">
        <v>5420</v>
      </c>
      <c r="AA425" s="6">
        <v>2209325</v>
      </c>
      <c r="AC425" s="6">
        <v>273257</v>
      </c>
      <c r="AE425" s="6">
        <v>632928</v>
      </c>
      <c r="AG425" s="6">
        <v>0</v>
      </c>
      <c r="AI425" s="6">
        <v>673469</v>
      </c>
      <c r="AJ425" s="11" t="s">
        <v>435</v>
      </c>
      <c r="AK425" s="11"/>
      <c r="AL425" s="11" t="s">
        <v>50</v>
      </c>
      <c r="AN425" s="6">
        <v>1067737</v>
      </c>
      <c r="AP425" s="6">
        <v>282113</v>
      </c>
      <c r="AR425" s="6">
        <v>0</v>
      </c>
      <c r="AT425" s="6">
        <v>425000</v>
      </c>
      <c r="AV425" s="6">
        <v>587141</v>
      </c>
      <c r="AX425" s="6">
        <v>0</v>
      </c>
      <c r="AZ425" s="7">
        <f t="shared" si="58"/>
        <v>26762009</v>
      </c>
      <c r="BB425" s="6">
        <v>350572</v>
      </c>
      <c r="BD425" s="6">
        <v>0</v>
      </c>
      <c r="BF425" s="6">
        <v>0</v>
      </c>
      <c r="BH425" s="6">
        <v>0</v>
      </c>
      <c r="BJ425" s="7">
        <f t="shared" si="51"/>
        <v>27112581</v>
      </c>
      <c r="BL425" s="7">
        <f>'Gov Fd Rev'!AO425-'Gov Fd Exp'!BJ425</f>
        <v>303265</v>
      </c>
      <c r="BN425" s="6">
        <v>1245875</v>
      </c>
      <c r="BP425" s="6">
        <v>0</v>
      </c>
      <c r="BR425" s="6">
        <v>0</v>
      </c>
      <c r="BT425" s="7">
        <f t="shared" si="52"/>
        <v>1549140</v>
      </c>
      <c r="BU425" s="7"/>
      <c r="BV425" s="7">
        <f>BT425-'Gov Fd BS'!AC425</f>
        <v>0</v>
      </c>
      <c r="BW425" s="7"/>
    </row>
    <row r="426" spans="1:75">
      <c r="A426" s="11" t="s">
        <v>389</v>
      </c>
      <c r="B426" s="11"/>
      <c r="C426" s="11" t="s">
        <v>44</v>
      </c>
      <c r="E426" s="6">
        <v>7144509</v>
      </c>
      <c r="G426" s="6">
        <v>1288316</v>
      </c>
      <c r="I426" s="6">
        <v>101653</v>
      </c>
      <c r="K426" s="6">
        <v>0</v>
      </c>
      <c r="M426" s="6">
        <v>16549</v>
      </c>
      <c r="O426" s="6">
        <v>1042727</v>
      </c>
      <c r="Q426" s="6">
        <v>452711</v>
      </c>
      <c r="S426" s="6">
        <v>29868</v>
      </c>
      <c r="U426" s="6">
        <v>1316440</v>
      </c>
      <c r="W426" s="6">
        <v>389313</v>
      </c>
      <c r="Y426" s="6">
        <v>75143</v>
      </c>
      <c r="AA426" s="6">
        <v>1494476</v>
      </c>
      <c r="AC426" s="6">
        <v>438150</v>
      </c>
      <c r="AE426" s="6">
        <v>53046</v>
      </c>
      <c r="AG426" s="6">
        <v>432081</v>
      </c>
      <c r="AI426" s="6">
        <v>1975</v>
      </c>
      <c r="AJ426" s="11" t="s">
        <v>389</v>
      </c>
      <c r="AK426" s="11"/>
      <c r="AL426" s="11" t="s">
        <v>44</v>
      </c>
      <c r="AN426" s="6">
        <v>319773</v>
      </c>
      <c r="AP426" s="6">
        <v>0</v>
      </c>
      <c r="AR426" s="6">
        <v>0</v>
      </c>
      <c r="AT426" s="6">
        <v>75841</v>
      </c>
      <c r="AV426" s="6">
        <v>22193</v>
      </c>
      <c r="AX426" s="6">
        <v>0</v>
      </c>
      <c r="AZ426" s="7">
        <f t="shared" si="58"/>
        <v>14694764</v>
      </c>
      <c r="BB426" s="6">
        <v>55978</v>
      </c>
      <c r="BD426" s="6">
        <v>0</v>
      </c>
      <c r="BF426" s="6">
        <v>0</v>
      </c>
      <c r="BH426" s="6">
        <v>0</v>
      </c>
      <c r="BJ426" s="7">
        <f t="shared" si="51"/>
        <v>14750742</v>
      </c>
      <c r="BL426" s="7">
        <f>'Gov Fd Rev'!AO426-'Gov Fd Exp'!BJ426</f>
        <v>929926</v>
      </c>
      <c r="BN426" s="6">
        <v>682393</v>
      </c>
      <c r="BP426" s="6">
        <v>0</v>
      </c>
      <c r="BR426" s="6">
        <v>0</v>
      </c>
      <c r="BT426" s="7">
        <f t="shared" si="52"/>
        <v>1612319</v>
      </c>
      <c r="BU426" s="7"/>
      <c r="BV426" s="7">
        <f>BT426-'Gov Fd BS'!AC426</f>
        <v>0</v>
      </c>
      <c r="BW426" s="7"/>
    </row>
    <row r="427" spans="1:75" hidden="1">
      <c r="A427" s="11" t="s">
        <v>614</v>
      </c>
      <c r="B427" s="11"/>
      <c r="C427" s="11" t="s">
        <v>60</v>
      </c>
      <c r="AJ427" s="11" t="s">
        <v>614</v>
      </c>
      <c r="AK427" s="11"/>
      <c r="AL427" s="11" t="s">
        <v>60</v>
      </c>
      <c r="AR427" s="6">
        <v>0</v>
      </c>
      <c r="AX427" s="6">
        <v>0</v>
      </c>
      <c r="AZ427" s="7">
        <f t="shared" si="58"/>
        <v>0</v>
      </c>
      <c r="BD427" s="6">
        <v>0</v>
      </c>
      <c r="BF427" s="6">
        <v>0</v>
      </c>
      <c r="BH427" s="6">
        <v>0</v>
      </c>
      <c r="BJ427" s="7">
        <f t="shared" si="51"/>
        <v>0</v>
      </c>
      <c r="BL427" s="7">
        <f>'Gov Fd Rev'!AO427-'Gov Fd Exp'!BJ427</f>
        <v>0</v>
      </c>
      <c r="BP427" s="6">
        <v>0</v>
      </c>
      <c r="BR427" s="6">
        <v>0</v>
      </c>
      <c r="BT427" s="7">
        <f t="shared" si="52"/>
        <v>0</v>
      </c>
      <c r="BU427" s="7"/>
      <c r="BV427" s="7">
        <f>BT427-'Gov Fd BS'!AC427</f>
        <v>0</v>
      </c>
      <c r="BW427" s="7"/>
    </row>
    <row r="428" spans="1:75">
      <c r="A428" s="11" t="s">
        <v>284</v>
      </c>
      <c r="B428" s="11"/>
      <c r="C428" s="11" t="s">
        <v>23</v>
      </c>
      <c r="E428" s="6">
        <v>81173204</v>
      </c>
      <c r="G428" s="6">
        <v>19022024</v>
      </c>
      <c r="I428" s="6">
        <v>920697</v>
      </c>
      <c r="K428" s="6">
        <v>0</v>
      </c>
      <c r="M428" s="6">
        <v>0</v>
      </c>
      <c r="O428" s="6">
        <v>7235596</v>
      </c>
      <c r="Q428" s="6">
        <v>9578325</v>
      </c>
      <c r="S428" s="6">
        <v>0</v>
      </c>
      <c r="U428" s="6">
        <f>7849556+514618</f>
        <v>8364174</v>
      </c>
      <c r="W428" s="6">
        <v>0</v>
      </c>
      <c r="Y428" s="6">
        <v>3915732</v>
      </c>
      <c r="AA428" s="6">
        <f>13370928+368639</f>
        <v>13739567</v>
      </c>
      <c r="AC428" s="6">
        <v>8516401</v>
      </c>
      <c r="AE428" s="6">
        <v>2526579</v>
      </c>
      <c r="AG428" s="6">
        <v>7314161</v>
      </c>
      <c r="AI428" s="6">
        <v>462201</v>
      </c>
      <c r="AJ428" s="11" t="s">
        <v>284</v>
      </c>
      <c r="AK428" s="11"/>
      <c r="AL428" s="11" t="s">
        <v>23</v>
      </c>
      <c r="AN428" s="6">
        <v>3436815</v>
      </c>
      <c r="AP428" s="6">
        <v>8453053</v>
      </c>
      <c r="AR428" s="6">
        <v>0</v>
      </c>
      <c r="AT428" s="6">
        <v>12714142</v>
      </c>
      <c r="AV428" s="6">
        <v>18105744</v>
      </c>
      <c r="AX428" s="6">
        <v>10464375</v>
      </c>
      <c r="AZ428" s="7">
        <f t="shared" si="58"/>
        <v>215942790</v>
      </c>
      <c r="BB428" s="6">
        <v>0</v>
      </c>
      <c r="BD428" s="6">
        <v>0</v>
      </c>
      <c r="BF428" s="6">
        <v>0</v>
      </c>
      <c r="BH428" s="6">
        <v>0</v>
      </c>
      <c r="BJ428" s="7">
        <f t="shared" si="51"/>
        <v>215942790</v>
      </c>
      <c r="BL428" s="7">
        <f>'Gov Fd Rev'!AO428-'Gov Fd Exp'!BJ428</f>
        <v>-4215619</v>
      </c>
      <c r="BN428" s="6">
        <v>90869595</v>
      </c>
      <c r="BP428" s="6">
        <v>0</v>
      </c>
      <c r="BR428" s="6">
        <v>0</v>
      </c>
      <c r="BT428" s="7">
        <f t="shared" si="52"/>
        <v>86653976</v>
      </c>
      <c r="BU428" s="7"/>
      <c r="BV428" s="7">
        <f>BT428-'Gov Fd BS'!AC428</f>
        <v>0</v>
      </c>
      <c r="BW428" s="7"/>
    </row>
    <row r="429" spans="1:75">
      <c r="A429" s="11" t="s">
        <v>273</v>
      </c>
      <c r="B429" s="11"/>
      <c r="C429" s="11" t="s">
        <v>20</v>
      </c>
      <c r="E429" s="6">
        <v>17461108</v>
      </c>
      <c r="G429" s="6">
        <v>6141183</v>
      </c>
      <c r="I429" s="6">
        <v>317428</v>
      </c>
      <c r="K429" s="6">
        <v>0</v>
      </c>
      <c r="M429" s="6">
        <v>152257</v>
      </c>
      <c r="O429" s="6">
        <v>1765475</v>
      </c>
      <c r="Q429" s="6">
        <v>1265426</v>
      </c>
      <c r="S429" s="6">
        <v>160443</v>
      </c>
      <c r="U429" s="6">
        <v>2505061</v>
      </c>
      <c r="W429" s="6">
        <v>1148158</v>
      </c>
      <c r="Y429" s="6">
        <v>0</v>
      </c>
      <c r="AA429" s="6">
        <v>3570125</v>
      </c>
      <c r="AC429" s="6">
        <v>1765205</v>
      </c>
      <c r="AE429" s="6">
        <v>915393</v>
      </c>
      <c r="AG429" s="6">
        <v>0</v>
      </c>
      <c r="AI429" s="6">
        <v>1168596</v>
      </c>
      <c r="AJ429" s="11" t="s">
        <v>273</v>
      </c>
      <c r="AK429" s="11"/>
      <c r="AL429" s="11" t="s">
        <v>20</v>
      </c>
      <c r="AN429" s="6">
        <v>1723740</v>
      </c>
      <c r="AP429" s="6">
        <v>268304</v>
      </c>
      <c r="AR429" s="6">
        <v>0</v>
      </c>
      <c r="AT429" s="6">
        <v>1222538</v>
      </c>
      <c r="AV429" s="6">
        <v>1596636</v>
      </c>
      <c r="AX429" s="6">
        <v>0</v>
      </c>
      <c r="AZ429" s="7">
        <f t="shared" si="58"/>
        <v>43147076</v>
      </c>
      <c r="BB429" s="6">
        <v>700000</v>
      </c>
      <c r="BD429" s="6">
        <v>0</v>
      </c>
      <c r="BF429" s="6">
        <v>0</v>
      </c>
      <c r="BH429" s="6">
        <v>0</v>
      </c>
      <c r="BJ429" s="7">
        <f>AZ429+BB429+BH429</f>
        <v>43847076</v>
      </c>
      <c r="BL429" s="7">
        <f>'Gov Fd Rev'!AO429-'Gov Fd Exp'!BJ429</f>
        <v>1169898</v>
      </c>
      <c r="BN429" s="6">
        <v>8502252</v>
      </c>
      <c r="BP429" s="6">
        <v>0</v>
      </c>
      <c r="BR429" s="6">
        <v>0</v>
      </c>
      <c r="BT429" s="7">
        <f t="shared" si="52"/>
        <v>9672150</v>
      </c>
      <c r="BU429" s="7"/>
      <c r="BV429" s="7">
        <f>BT429-'Gov Fd BS'!AC429</f>
        <v>0</v>
      </c>
      <c r="BW429" s="7"/>
    </row>
    <row r="430" spans="1:75">
      <c r="A430" s="11" t="s">
        <v>470</v>
      </c>
      <c r="B430" s="11"/>
      <c r="C430" s="11" t="s">
        <v>110</v>
      </c>
      <c r="E430" s="6">
        <v>6899176</v>
      </c>
      <c r="G430" s="6">
        <v>1494843</v>
      </c>
      <c r="I430" s="6">
        <v>236125</v>
      </c>
      <c r="K430" s="6">
        <v>0</v>
      </c>
      <c r="M430" s="6">
        <v>508070</v>
      </c>
      <c r="O430" s="6">
        <v>878244</v>
      </c>
      <c r="Q430" s="6">
        <v>939253</v>
      </c>
      <c r="S430" s="6">
        <v>96588</v>
      </c>
      <c r="U430" s="6">
        <v>1385994</v>
      </c>
      <c r="W430" s="6">
        <v>539858</v>
      </c>
      <c r="Y430" s="6">
        <v>0</v>
      </c>
      <c r="AA430" s="6">
        <v>1732717</v>
      </c>
      <c r="AC430" s="6">
        <v>917447</v>
      </c>
      <c r="AE430" s="6">
        <v>55989</v>
      </c>
      <c r="AG430" s="6">
        <v>788995</v>
      </c>
      <c r="AI430" s="6">
        <v>1173</v>
      </c>
      <c r="AJ430" s="11" t="s">
        <v>470</v>
      </c>
      <c r="AK430" s="11"/>
      <c r="AL430" s="11" t="s">
        <v>110</v>
      </c>
      <c r="AN430" s="6">
        <v>718874</v>
      </c>
      <c r="AP430" s="6">
        <f>16787+1310063</f>
        <v>1326850</v>
      </c>
      <c r="AR430" s="6">
        <v>0</v>
      </c>
      <c r="AT430" s="6">
        <v>1111991</v>
      </c>
      <c r="AV430" s="6">
        <v>567607</v>
      </c>
      <c r="AX430" s="6">
        <v>0</v>
      </c>
      <c r="AZ430" s="7">
        <f t="shared" si="58"/>
        <v>20199794</v>
      </c>
      <c r="BB430" s="6">
        <v>0</v>
      </c>
      <c r="BD430" s="6">
        <v>0</v>
      </c>
      <c r="BF430" s="6">
        <v>0</v>
      </c>
      <c r="BH430" s="6">
        <v>0</v>
      </c>
      <c r="BJ430" s="7">
        <f t="shared" si="51"/>
        <v>20199794</v>
      </c>
      <c r="BL430" s="7">
        <f>'Gov Fd Rev'!AO430-'Gov Fd Exp'!BJ430</f>
        <v>-760037</v>
      </c>
      <c r="BN430" s="6">
        <v>8129848</v>
      </c>
      <c r="BP430" s="6">
        <v>8563</v>
      </c>
      <c r="BR430" s="6">
        <v>0</v>
      </c>
      <c r="BT430" s="7">
        <f t="shared" si="52"/>
        <v>7378374</v>
      </c>
      <c r="BU430" s="7"/>
      <c r="BV430" s="7">
        <f>BT430-'Gov Fd BS'!AC430</f>
        <v>0</v>
      </c>
      <c r="BW430" s="7"/>
    </row>
    <row r="431" spans="1:75">
      <c r="A431" s="11" t="s">
        <v>274</v>
      </c>
      <c r="B431" s="11"/>
      <c r="C431" s="11" t="s">
        <v>20</v>
      </c>
      <c r="E431" s="6">
        <v>18675485</v>
      </c>
      <c r="G431" s="6">
        <v>6300173</v>
      </c>
      <c r="I431" s="6">
        <v>420324</v>
      </c>
      <c r="K431" s="6">
        <v>0</v>
      </c>
      <c r="M431" s="6">
        <v>0</v>
      </c>
      <c r="O431" s="6">
        <v>3702792</v>
      </c>
      <c r="Q431" s="6">
        <v>3989498</v>
      </c>
      <c r="S431" s="6">
        <v>78336</v>
      </c>
      <c r="U431" s="6">
        <v>3359159</v>
      </c>
      <c r="W431" s="6">
        <v>1357424</v>
      </c>
      <c r="Y431" s="6">
        <v>545458</v>
      </c>
      <c r="AA431" s="6">
        <v>4347981</v>
      </c>
      <c r="AC431" s="6">
        <v>3637659</v>
      </c>
      <c r="AE431" s="6">
        <v>1033121</v>
      </c>
      <c r="AG431" s="6">
        <v>682617</v>
      </c>
      <c r="AI431" s="6">
        <v>640367</v>
      </c>
      <c r="AJ431" s="11" t="s">
        <v>274</v>
      </c>
      <c r="AK431" s="11"/>
      <c r="AL431" s="11" t="s">
        <v>20</v>
      </c>
      <c r="AN431" s="6">
        <v>1566991</v>
      </c>
      <c r="AP431" s="6">
        <v>2491781</v>
      </c>
      <c r="AR431" s="6">
        <v>0</v>
      </c>
      <c r="AT431" s="6">
        <v>1536508</v>
      </c>
      <c r="AV431" s="6">
        <v>936879</v>
      </c>
      <c r="AX431" s="6">
        <v>0</v>
      </c>
      <c r="AZ431" s="7">
        <f t="shared" si="58"/>
        <v>55302553</v>
      </c>
      <c r="BB431" s="6">
        <v>531819</v>
      </c>
      <c r="BD431" s="6">
        <v>0</v>
      </c>
      <c r="BF431" s="6">
        <v>0</v>
      </c>
      <c r="BH431" s="6">
        <v>0</v>
      </c>
      <c r="BJ431" s="7">
        <f t="shared" si="51"/>
        <v>55834372</v>
      </c>
      <c r="BL431" s="7">
        <f>'Gov Fd Rev'!AO431-'Gov Fd Exp'!BJ431</f>
        <v>42956</v>
      </c>
      <c r="BN431" s="6">
        <v>38694364</v>
      </c>
      <c r="BP431" s="6">
        <v>0</v>
      </c>
      <c r="BR431" s="6">
        <v>0</v>
      </c>
      <c r="BT431" s="7">
        <f t="shared" si="52"/>
        <v>38737320</v>
      </c>
      <c r="BU431" s="7"/>
      <c r="BV431" s="7">
        <f>BT431-'Gov Fd BS'!AC431</f>
        <v>0</v>
      </c>
      <c r="BW431" s="7"/>
    </row>
    <row r="432" spans="1:75">
      <c r="A432" s="11" t="s">
        <v>391</v>
      </c>
      <c r="B432" s="11"/>
      <c r="C432" s="11" t="s">
        <v>115</v>
      </c>
      <c r="E432" s="6">
        <v>16170603</v>
      </c>
      <c r="G432" s="6">
        <v>5503467</v>
      </c>
      <c r="I432" s="6">
        <v>2429743</v>
      </c>
      <c r="K432" s="6">
        <v>302142</v>
      </c>
      <c r="M432" s="6">
        <v>147761</v>
      </c>
      <c r="O432" s="6">
        <v>1476307</v>
      </c>
      <c r="Q432" s="6">
        <v>2721315</v>
      </c>
      <c r="S432" s="6">
        <v>54953</v>
      </c>
      <c r="U432" s="6">
        <v>2732527</v>
      </c>
      <c r="W432" s="6">
        <v>997073</v>
      </c>
      <c r="Y432" s="6">
        <v>325720</v>
      </c>
      <c r="AA432" s="6">
        <v>3999166</v>
      </c>
      <c r="AC432" s="6">
        <v>1785679</v>
      </c>
      <c r="AE432" s="6">
        <v>0</v>
      </c>
      <c r="AG432" s="6">
        <v>1610009</v>
      </c>
      <c r="AI432" s="6">
        <v>341384</v>
      </c>
      <c r="AJ432" s="11" t="s">
        <v>391</v>
      </c>
      <c r="AK432" s="11"/>
      <c r="AL432" s="11" t="s">
        <v>115</v>
      </c>
      <c r="AN432" s="6">
        <v>1085634</v>
      </c>
      <c r="AP432" s="6">
        <v>1372749</v>
      </c>
      <c r="AR432" s="6">
        <v>0</v>
      </c>
      <c r="AT432" s="6">
        <v>1241397</v>
      </c>
      <c r="AV432" s="6">
        <f>1877660+58687</f>
        <v>1936347</v>
      </c>
      <c r="AX432" s="6">
        <v>0</v>
      </c>
      <c r="AZ432" s="7">
        <f t="shared" si="58"/>
        <v>46233976</v>
      </c>
      <c r="BB432" s="6">
        <v>105864</v>
      </c>
      <c r="BD432" s="6">
        <v>0</v>
      </c>
      <c r="BF432" s="6">
        <v>0</v>
      </c>
      <c r="BH432" s="6">
        <v>2500344</v>
      </c>
      <c r="BJ432" s="7">
        <f t="shared" si="51"/>
        <v>48840184</v>
      </c>
      <c r="BL432" s="7">
        <f>'Gov Fd Rev'!AO432-'Gov Fd Exp'!BJ432</f>
        <v>950106</v>
      </c>
      <c r="BN432" s="6">
        <v>11059887</v>
      </c>
      <c r="BP432" s="6">
        <v>-9454</v>
      </c>
      <c r="BR432" s="6">
        <v>0</v>
      </c>
      <c r="BT432" s="7">
        <f t="shared" si="52"/>
        <v>12000539</v>
      </c>
      <c r="BU432" s="7"/>
      <c r="BV432" s="7">
        <f>BT432-'Gov Fd BS'!AC432</f>
        <v>0</v>
      </c>
      <c r="BW432" s="7"/>
    </row>
    <row r="433" spans="1:75" hidden="1">
      <c r="A433" s="11" t="s">
        <v>818</v>
      </c>
      <c r="B433" s="11"/>
      <c r="C433" s="11" t="s">
        <v>71</v>
      </c>
      <c r="AJ433" s="11" t="s">
        <v>818</v>
      </c>
      <c r="AK433" s="11"/>
      <c r="AL433" s="11" t="s">
        <v>71</v>
      </c>
      <c r="AR433" s="6">
        <v>0</v>
      </c>
      <c r="AX433" s="6">
        <v>0</v>
      </c>
      <c r="AZ433" s="7">
        <f t="shared" si="58"/>
        <v>0</v>
      </c>
      <c r="BD433" s="6">
        <v>0</v>
      </c>
      <c r="BF433" s="6">
        <v>0</v>
      </c>
      <c r="BH433" s="6">
        <v>0</v>
      </c>
      <c r="BJ433" s="7">
        <f t="shared" si="51"/>
        <v>0</v>
      </c>
      <c r="BL433" s="7">
        <f>'Gov Fd Rev'!AO433-'Gov Fd Exp'!BJ433</f>
        <v>0</v>
      </c>
      <c r="BP433" s="6">
        <v>0</v>
      </c>
      <c r="BR433" s="6">
        <v>0</v>
      </c>
      <c r="BT433" s="7">
        <f t="shared" si="52"/>
        <v>0</v>
      </c>
      <c r="BU433" s="7"/>
      <c r="BV433" s="7">
        <f>BT433-'Gov Fd BS'!AC433</f>
        <v>0</v>
      </c>
      <c r="BW433" s="7"/>
    </row>
    <row r="434" spans="1:75" hidden="1">
      <c r="A434" s="10" t="s">
        <v>883</v>
      </c>
      <c r="B434" s="11"/>
      <c r="C434" s="11" t="s">
        <v>62</v>
      </c>
      <c r="E434" s="6">
        <v>0</v>
      </c>
      <c r="G434" s="6">
        <v>0</v>
      </c>
      <c r="I434" s="6">
        <v>0</v>
      </c>
      <c r="K434" s="6">
        <v>0</v>
      </c>
      <c r="M434" s="6">
        <v>0</v>
      </c>
      <c r="O434" s="6">
        <v>0</v>
      </c>
      <c r="Q434" s="6">
        <v>0</v>
      </c>
      <c r="S434" s="6">
        <v>0</v>
      </c>
      <c r="U434" s="6">
        <v>0</v>
      </c>
      <c r="W434" s="6">
        <v>0</v>
      </c>
      <c r="Y434" s="6">
        <v>0</v>
      </c>
      <c r="AA434" s="6">
        <v>0</v>
      </c>
      <c r="AC434" s="6">
        <v>0</v>
      </c>
      <c r="AE434" s="6">
        <v>0</v>
      </c>
      <c r="AG434" s="6">
        <v>0</v>
      </c>
      <c r="AI434" s="6">
        <v>0</v>
      </c>
      <c r="AJ434" s="10" t="s">
        <v>883</v>
      </c>
      <c r="AK434" s="11"/>
      <c r="AL434" s="11" t="s">
        <v>62</v>
      </c>
      <c r="AN434" s="6">
        <v>0</v>
      </c>
      <c r="AP434" s="6">
        <v>0</v>
      </c>
      <c r="AR434" s="6">
        <v>0</v>
      </c>
      <c r="AT434" s="6">
        <v>0</v>
      </c>
      <c r="AV434" s="6">
        <v>0</v>
      </c>
      <c r="AX434" s="6">
        <v>0</v>
      </c>
      <c r="AZ434" s="7">
        <f t="shared" si="58"/>
        <v>0</v>
      </c>
      <c r="BB434" s="6">
        <v>0</v>
      </c>
      <c r="BD434" s="6">
        <v>0</v>
      </c>
      <c r="BF434" s="6">
        <v>0</v>
      </c>
      <c r="BH434" s="6">
        <v>0</v>
      </c>
      <c r="BJ434" s="7">
        <f t="shared" ref="BJ434:BJ487" si="59">AZ434+BB434+BH434</f>
        <v>0</v>
      </c>
      <c r="BL434" s="7">
        <f>'Gov Fd Rev'!AO434-'Gov Fd Exp'!BJ434</f>
        <v>0</v>
      </c>
      <c r="BP434" s="6">
        <v>0</v>
      </c>
      <c r="BR434" s="6">
        <v>0</v>
      </c>
      <c r="BT434" s="7">
        <f t="shared" si="52"/>
        <v>0</v>
      </c>
      <c r="BU434" s="7"/>
      <c r="BV434" s="7">
        <f>BT434-'Gov Fd BS'!AC434</f>
        <v>0</v>
      </c>
      <c r="BW434" s="7"/>
    </row>
    <row r="435" spans="1:75">
      <c r="A435" s="11" t="s">
        <v>557</v>
      </c>
      <c r="B435" s="11"/>
      <c r="C435" s="11" t="s">
        <v>72</v>
      </c>
      <c r="E435" s="6">
        <v>6308276</v>
      </c>
      <c r="G435" s="6">
        <v>1883258</v>
      </c>
      <c r="I435" s="6">
        <v>3936</v>
      </c>
      <c r="K435" s="6">
        <v>0</v>
      </c>
      <c r="M435" s="6">
        <v>0</v>
      </c>
      <c r="O435" s="6">
        <v>715629</v>
      </c>
      <c r="Q435" s="6">
        <v>246240</v>
      </c>
      <c r="S435" s="6">
        <v>39983</v>
      </c>
      <c r="U435" s="6">
        <v>964466</v>
      </c>
      <c r="W435" s="6">
        <v>382633</v>
      </c>
      <c r="Y435" s="6">
        <v>6246</v>
      </c>
      <c r="AA435" s="6">
        <v>937072</v>
      </c>
      <c r="AC435" s="6">
        <v>934806</v>
      </c>
      <c r="AE435" s="6">
        <v>0</v>
      </c>
      <c r="AG435" s="6">
        <v>0</v>
      </c>
      <c r="AI435" s="6">
        <v>637862</v>
      </c>
      <c r="AJ435" s="11" t="s">
        <v>557</v>
      </c>
      <c r="AK435" s="11"/>
      <c r="AL435" s="11" t="s">
        <v>72</v>
      </c>
      <c r="AN435" s="6">
        <v>327826</v>
      </c>
      <c r="AP435" s="6">
        <v>11995941</v>
      </c>
      <c r="AR435" s="6">
        <v>0</v>
      </c>
      <c r="AT435" s="6">
        <v>534024</v>
      </c>
      <c r="AV435" s="6">
        <f>716769+310976</f>
        <v>1027745</v>
      </c>
      <c r="AX435" s="6">
        <v>0</v>
      </c>
      <c r="AZ435" s="7">
        <f t="shared" si="58"/>
        <v>26945943</v>
      </c>
      <c r="BB435" s="6">
        <v>108997</v>
      </c>
      <c r="BD435" s="6">
        <v>0</v>
      </c>
      <c r="BF435" s="6">
        <v>0</v>
      </c>
      <c r="BH435" s="6">
        <v>0</v>
      </c>
      <c r="BJ435" s="7">
        <f t="shared" si="59"/>
        <v>27054940</v>
      </c>
      <c r="BL435" s="7">
        <f>'Gov Fd Rev'!AO435-'Gov Fd Exp'!BJ435</f>
        <v>404533</v>
      </c>
      <c r="BN435" s="6">
        <v>11259307</v>
      </c>
      <c r="BP435" s="6">
        <v>0</v>
      </c>
      <c r="BR435" s="6">
        <v>0</v>
      </c>
      <c r="BT435" s="7">
        <f t="shared" si="52"/>
        <v>11663840</v>
      </c>
      <c r="BU435" s="7"/>
      <c r="BV435" s="7">
        <f>BT435-'Gov Fd BS'!AC435</f>
        <v>0</v>
      </c>
      <c r="BW435" s="7"/>
    </row>
    <row r="436" spans="1:75">
      <c r="A436" s="11" t="s">
        <v>392</v>
      </c>
      <c r="B436" s="11"/>
      <c r="C436" s="11" t="s">
        <v>115</v>
      </c>
      <c r="E436" s="6">
        <v>0</v>
      </c>
      <c r="G436" s="6">
        <v>0</v>
      </c>
      <c r="I436" s="6">
        <v>0</v>
      </c>
      <c r="K436" s="6">
        <v>0</v>
      </c>
      <c r="M436" s="6">
        <v>9272555</v>
      </c>
      <c r="O436" s="6">
        <v>681107</v>
      </c>
      <c r="Q436" s="6">
        <v>508827</v>
      </c>
      <c r="S436" s="6">
        <v>40850</v>
      </c>
      <c r="U436" s="6">
        <v>932377</v>
      </c>
      <c r="W436" s="6">
        <v>510370</v>
      </c>
      <c r="Y436" s="6">
        <v>0</v>
      </c>
      <c r="AA436" s="6">
        <v>1107508</v>
      </c>
      <c r="AC436" s="6">
        <v>40854</v>
      </c>
      <c r="AE436" s="6">
        <v>124857</v>
      </c>
      <c r="AG436" s="6">
        <v>0</v>
      </c>
      <c r="AI436" s="6">
        <v>380111</v>
      </c>
      <c r="AJ436" s="11" t="s">
        <v>392</v>
      </c>
      <c r="AK436" s="11"/>
      <c r="AL436" s="11" t="s">
        <v>115</v>
      </c>
      <c r="AN436" s="6">
        <v>623789</v>
      </c>
      <c r="AP436" s="6">
        <v>265398</v>
      </c>
      <c r="AR436" s="6">
        <v>0</v>
      </c>
      <c r="AT436" s="6">
        <v>430000</v>
      </c>
      <c r="AV436" s="6">
        <v>56238</v>
      </c>
      <c r="AX436" s="6">
        <v>0</v>
      </c>
      <c r="AZ436" s="7">
        <f t="shared" si="58"/>
        <v>14974841</v>
      </c>
      <c r="BB436" s="6">
        <v>126430</v>
      </c>
      <c r="BD436" s="6">
        <v>0</v>
      </c>
      <c r="BF436" s="6">
        <v>0</v>
      </c>
      <c r="BH436" s="6">
        <v>0</v>
      </c>
      <c r="BJ436" s="7">
        <f t="shared" si="59"/>
        <v>15101271</v>
      </c>
      <c r="BL436" s="7">
        <f>'Gov Fd Rev'!AO436-'Gov Fd Exp'!BJ436</f>
        <v>3350</v>
      </c>
      <c r="BN436" s="6">
        <v>4066376</v>
      </c>
      <c r="BP436" s="6">
        <v>0</v>
      </c>
      <c r="BR436" s="6">
        <v>0</v>
      </c>
      <c r="BT436" s="7">
        <f t="shared" ref="BT436:BT487" si="60">BL436+BN436+BP436+BR436</f>
        <v>4069726</v>
      </c>
      <c r="BU436" s="7"/>
      <c r="BV436" s="7">
        <f>BT436-'Gov Fd BS'!AC436</f>
        <v>0</v>
      </c>
      <c r="BW436" s="7"/>
    </row>
    <row r="437" spans="1:75" hidden="1">
      <c r="A437" s="11" t="s">
        <v>710</v>
      </c>
      <c r="B437" s="11"/>
      <c r="C437" s="11" t="s">
        <v>467</v>
      </c>
      <c r="AJ437" s="11" t="s">
        <v>710</v>
      </c>
      <c r="AK437" s="11"/>
      <c r="AL437" s="11" t="s">
        <v>467</v>
      </c>
      <c r="AR437" s="6">
        <v>0</v>
      </c>
      <c r="AX437" s="6">
        <v>0</v>
      </c>
      <c r="AZ437" s="7">
        <f t="shared" ref="AZ437:AZ487" si="61">SUM(E437:AX437)</f>
        <v>0</v>
      </c>
      <c r="BD437" s="6">
        <v>0</v>
      </c>
      <c r="BF437" s="6">
        <v>0</v>
      </c>
      <c r="BJ437" s="7">
        <f t="shared" si="59"/>
        <v>0</v>
      </c>
      <c r="BL437" s="7">
        <f>'Gov Fd Rev'!AO437-'Gov Fd Exp'!BJ437</f>
        <v>0</v>
      </c>
      <c r="BR437" s="6">
        <v>0</v>
      </c>
      <c r="BT437" s="7">
        <f t="shared" si="60"/>
        <v>0</v>
      </c>
      <c r="BU437" s="7"/>
      <c r="BV437" s="7">
        <f>BT437-'Gov Fd BS'!AC437</f>
        <v>0</v>
      </c>
      <c r="BW437" s="7"/>
    </row>
    <row r="438" spans="1:75" hidden="1">
      <c r="A438" s="11" t="s">
        <v>819</v>
      </c>
      <c r="B438" s="11"/>
      <c r="C438" s="11" t="s">
        <v>467</v>
      </c>
      <c r="AJ438" s="11" t="s">
        <v>819</v>
      </c>
      <c r="AK438" s="11"/>
      <c r="AL438" s="11" t="s">
        <v>467</v>
      </c>
      <c r="AR438" s="6">
        <v>0</v>
      </c>
      <c r="AX438" s="6">
        <v>0</v>
      </c>
      <c r="AZ438" s="7">
        <f t="shared" si="61"/>
        <v>0</v>
      </c>
      <c r="BD438" s="6">
        <v>0</v>
      </c>
      <c r="BF438" s="6">
        <v>0</v>
      </c>
      <c r="BJ438" s="7">
        <f t="shared" si="59"/>
        <v>0</v>
      </c>
      <c r="BL438" s="7">
        <f>'Gov Fd Rev'!AO438-'Gov Fd Exp'!BJ438</f>
        <v>0</v>
      </c>
      <c r="BR438" s="6">
        <v>0</v>
      </c>
      <c r="BT438" s="7">
        <f t="shared" si="60"/>
        <v>0</v>
      </c>
      <c r="BU438" s="7"/>
      <c r="BV438" s="7">
        <f>BT438-'Gov Fd BS'!AC438</f>
        <v>0</v>
      </c>
      <c r="BW438" s="7"/>
    </row>
    <row r="439" spans="1:75" hidden="1">
      <c r="A439" s="11" t="s">
        <v>820</v>
      </c>
      <c r="B439" s="11"/>
      <c r="C439" s="11" t="s">
        <v>41</v>
      </c>
      <c r="AJ439" s="11" t="s">
        <v>820</v>
      </c>
      <c r="AK439" s="11"/>
      <c r="AL439" s="11" t="s">
        <v>41</v>
      </c>
      <c r="AR439" s="6">
        <v>0</v>
      </c>
      <c r="AX439" s="6">
        <v>0</v>
      </c>
      <c r="AZ439" s="7">
        <f t="shared" si="61"/>
        <v>0</v>
      </c>
      <c r="BD439" s="6">
        <v>0</v>
      </c>
      <c r="BF439" s="6">
        <v>0</v>
      </c>
      <c r="BJ439" s="7">
        <f t="shared" si="59"/>
        <v>0</v>
      </c>
      <c r="BL439" s="7">
        <f>'Gov Fd Rev'!AO439-'Gov Fd Exp'!BJ439</f>
        <v>0</v>
      </c>
      <c r="BR439" s="6">
        <v>0</v>
      </c>
      <c r="BT439" s="7">
        <f t="shared" si="60"/>
        <v>0</v>
      </c>
      <c r="BU439" s="7"/>
      <c r="BV439" s="7">
        <f>BT439-'Gov Fd BS'!AC439</f>
        <v>0</v>
      </c>
      <c r="BW439" s="7"/>
    </row>
    <row r="440" spans="1:75" hidden="1">
      <c r="A440" s="11" t="s">
        <v>784</v>
      </c>
      <c r="B440" s="11"/>
      <c r="C440" s="11" t="s">
        <v>41</v>
      </c>
      <c r="AJ440" s="11" t="s">
        <v>784</v>
      </c>
      <c r="AK440" s="11"/>
      <c r="AL440" s="11" t="s">
        <v>41</v>
      </c>
      <c r="AR440" s="6">
        <v>0</v>
      </c>
      <c r="AX440" s="6">
        <v>0</v>
      </c>
      <c r="AZ440" s="7">
        <f t="shared" si="61"/>
        <v>0</v>
      </c>
      <c r="BD440" s="6">
        <v>0</v>
      </c>
      <c r="BF440" s="6">
        <v>0</v>
      </c>
      <c r="BJ440" s="7">
        <f t="shared" si="59"/>
        <v>0</v>
      </c>
      <c r="BL440" s="7">
        <f>'Gov Fd Rev'!AO440-'Gov Fd Exp'!BJ440</f>
        <v>0</v>
      </c>
      <c r="BR440" s="6">
        <v>0</v>
      </c>
      <c r="BT440" s="7">
        <f t="shared" si="60"/>
        <v>0</v>
      </c>
      <c r="BU440" s="7"/>
      <c r="BV440" s="7">
        <f>BT440-'Gov Fd BS'!AC440</f>
        <v>0</v>
      </c>
      <c r="BW440" s="7"/>
    </row>
    <row r="441" spans="1:75">
      <c r="A441" s="11" t="s">
        <v>475</v>
      </c>
      <c r="B441" s="11"/>
      <c r="C441" s="11" t="s">
        <v>58</v>
      </c>
      <c r="E441" s="6">
        <v>4694678</v>
      </c>
      <c r="G441" s="6">
        <v>1707078</v>
      </c>
      <c r="I441" s="6">
        <v>3868</v>
      </c>
      <c r="K441" s="6">
        <v>0</v>
      </c>
      <c r="M441" s="6">
        <v>1117170</v>
      </c>
      <c r="O441" s="6">
        <v>347446</v>
      </c>
      <c r="Q441" s="6">
        <v>153685</v>
      </c>
      <c r="S441" s="6">
        <v>184713</v>
      </c>
      <c r="U441" s="6">
        <v>715389</v>
      </c>
      <c r="W441" s="6">
        <v>360141</v>
      </c>
      <c r="Y441" s="6">
        <v>0</v>
      </c>
      <c r="AA441" s="6">
        <v>979831</v>
      </c>
      <c r="AC441" s="6">
        <v>610197</v>
      </c>
      <c r="AE441" s="6">
        <v>17455</v>
      </c>
      <c r="AG441" s="6">
        <v>0</v>
      </c>
      <c r="AI441" s="6">
        <v>370969</v>
      </c>
      <c r="AJ441" s="11" t="s">
        <v>475</v>
      </c>
      <c r="AK441" s="11"/>
      <c r="AL441" s="11" t="s">
        <v>58</v>
      </c>
      <c r="AN441" s="6">
        <v>267172</v>
      </c>
      <c r="AP441" s="6">
        <v>23625</v>
      </c>
      <c r="AR441" s="6">
        <v>0</v>
      </c>
      <c r="AT441" s="6">
        <v>147278</v>
      </c>
      <c r="AV441" s="6">
        <v>32398</v>
      </c>
      <c r="AX441" s="6">
        <v>0</v>
      </c>
      <c r="AZ441" s="7">
        <f t="shared" si="61"/>
        <v>11733093</v>
      </c>
      <c r="BB441" s="6">
        <v>877</v>
      </c>
      <c r="BD441" s="6">
        <v>0</v>
      </c>
      <c r="BF441" s="6">
        <v>0</v>
      </c>
      <c r="BH441" s="6">
        <v>0</v>
      </c>
      <c r="BJ441" s="7">
        <f t="shared" si="59"/>
        <v>11733970</v>
      </c>
      <c r="BL441" s="7">
        <f>'Gov Fd Rev'!AO441-'Gov Fd Exp'!BJ441</f>
        <v>-541503</v>
      </c>
      <c r="BN441" s="6">
        <v>3708961</v>
      </c>
      <c r="BP441" s="6">
        <v>0</v>
      </c>
      <c r="BR441" s="6">
        <v>0</v>
      </c>
      <c r="BT441" s="7">
        <f t="shared" si="60"/>
        <v>3167458</v>
      </c>
      <c r="BU441" s="7"/>
      <c r="BV441" s="7">
        <f>BT441-'Gov Fd BS'!AC441</f>
        <v>0</v>
      </c>
      <c r="BW441" s="7"/>
    </row>
    <row r="442" spans="1:75" hidden="1">
      <c r="A442" s="11" t="s">
        <v>686</v>
      </c>
      <c r="B442" s="11"/>
      <c r="C442" s="11" t="s">
        <v>467</v>
      </c>
      <c r="AJ442" s="11" t="s">
        <v>686</v>
      </c>
      <c r="AK442" s="11"/>
      <c r="AL442" s="11" t="s">
        <v>467</v>
      </c>
      <c r="AR442" s="6">
        <v>0</v>
      </c>
      <c r="AX442" s="6">
        <v>0</v>
      </c>
      <c r="AZ442" s="7">
        <f t="shared" si="61"/>
        <v>0</v>
      </c>
      <c r="BD442" s="6">
        <v>0</v>
      </c>
      <c r="BF442" s="6">
        <v>0</v>
      </c>
      <c r="BJ442" s="7">
        <f t="shared" si="59"/>
        <v>0</v>
      </c>
      <c r="BL442" s="7">
        <f>'Gov Fd Rev'!AO442-'Gov Fd Exp'!BJ442</f>
        <v>0</v>
      </c>
      <c r="BR442" s="6">
        <v>0</v>
      </c>
      <c r="BT442" s="7">
        <f t="shared" si="60"/>
        <v>0</v>
      </c>
      <c r="BU442" s="7"/>
      <c r="BV442" s="7">
        <f>BT442-'Gov Fd BS'!AC442</f>
        <v>0</v>
      </c>
      <c r="BW442" s="7"/>
    </row>
    <row r="443" spans="1:75" hidden="1">
      <c r="A443" s="11" t="s">
        <v>687</v>
      </c>
      <c r="B443" s="11"/>
      <c r="C443" s="11" t="s">
        <v>422</v>
      </c>
      <c r="AJ443" s="11" t="s">
        <v>687</v>
      </c>
      <c r="AK443" s="11"/>
      <c r="AL443" s="11" t="s">
        <v>422</v>
      </c>
      <c r="AR443" s="6">
        <v>0</v>
      </c>
      <c r="AX443" s="6">
        <v>0</v>
      </c>
      <c r="AZ443" s="7">
        <f t="shared" si="61"/>
        <v>0</v>
      </c>
      <c r="BD443" s="6">
        <v>0</v>
      </c>
      <c r="BF443" s="6">
        <v>0</v>
      </c>
      <c r="BJ443" s="7">
        <f t="shared" si="59"/>
        <v>0</v>
      </c>
      <c r="BL443" s="7">
        <f>'Gov Fd Rev'!AO443-'Gov Fd Exp'!BJ443</f>
        <v>0</v>
      </c>
      <c r="BR443" s="6">
        <v>0</v>
      </c>
      <c r="BT443" s="7">
        <f t="shared" si="60"/>
        <v>0</v>
      </c>
      <c r="BU443" s="7"/>
      <c r="BV443" s="7">
        <f>BT443-'Gov Fd BS'!AC443</f>
        <v>0</v>
      </c>
      <c r="BW443" s="7"/>
    </row>
    <row r="444" spans="1:75">
      <c r="A444" s="11" t="s">
        <v>275</v>
      </c>
      <c r="B444" s="11"/>
      <c r="C444" s="11" t="s">
        <v>20</v>
      </c>
      <c r="E444" s="6">
        <v>57963665</v>
      </c>
      <c r="G444" s="6">
        <v>21162241</v>
      </c>
      <c r="I444" s="6">
        <v>2849654</v>
      </c>
      <c r="K444" s="6">
        <v>895792</v>
      </c>
      <c r="M444" s="6">
        <v>234929</v>
      </c>
      <c r="O444" s="6">
        <v>11035358</v>
      </c>
      <c r="Q444" s="6">
        <v>9270050</v>
      </c>
      <c r="S444" s="6">
        <v>780878</v>
      </c>
      <c r="U444" s="6">
        <v>10236892</v>
      </c>
      <c r="W444" s="6">
        <v>2794314</v>
      </c>
      <c r="Y444" s="6">
        <v>857740</v>
      </c>
      <c r="AA444" s="6">
        <v>9484213</v>
      </c>
      <c r="AC444" s="6">
        <v>5536863</v>
      </c>
      <c r="AE444" s="6">
        <v>3002938</v>
      </c>
      <c r="AG444" s="6">
        <v>0</v>
      </c>
      <c r="AI444" s="6">
        <v>3017749</v>
      </c>
      <c r="AJ444" s="11" t="s">
        <v>275</v>
      </c>
      <c r="AK444" s="11"/>
      <c r="AL444" s="11" t="s">
        <v>20</v>
      </c>
      <c r="AN444" s="6">
        <v>3086458</v>
      </c>
      <c r="AP444" s="6">
        <v>1179207</v>
      </c>
      <c r="AR444" s="6">
        <v>0</v>
      </c>
      <c r="AT444" s="6">
        <v>5517936</v>
      </c>
      <c r="AV444" s="6">
        <v>1508054</v>
      </c>
      <c r="AX444" s="6">
        <v>0</v>
      </c>
      <c r="AZ444" s="7">
        <f t="shared" si="61"/>
        <v>150414931</v>
      </c>
      <c r="BB444" s="6">
        <v>1399958</v>
      </c>
      <c r="BD444" s="6">
        <v>0</v>
      </c>
      <c r="BF444" s="6">
        <v>0</v>
      </c>
      <c r="BH444" s="6">
        <v>0</v>
      </c>
      <c r="BJ444" s="7">
        <f t="shared" si="59"/>
        <v>151814889</v>
      </c>
      <c r="BL444" s="7">
        <f>'Gov Fd Rev'!AO444-'Gov Fd Exp'!BJ444</f>
        <v>6866576</v>
      </c>
      <c r="BN444" s="6">
        <v>15767796</v>
      </c>
      <c r="BP444" s="6">
        <v>0</v>
      </c>
      <c r="BR444" s="6">
        <v>0</v>
      </c>
      <c r="BT444" s="7">
        <f t="shared" si="60"/>
        <v>22634372</v>
      </c>
      <c r="BU444" s="7"/>
      <c r="BV444" s="7">
        <f>BT444-'Gov Fd BS'!AC444</f>
        <v>0</v>
      </c>
      <c r="BW444" s="7"/>
    </row>
    <row r="445" spans="1:75">
      <c r="A445" s="11" t="s">
        <v>347</v>
      </c>
      <c r="B445" s="11"/>
      <c r="C445" s="11" t="s">
        <v>34</v>
      </c>
      <c r="E445" s="6">
        <v>4086174</v>
      </c>
      <c r="G445" s="6">
        <v>1007745</v>
      </c>
      <c r="I445" s="6">
        <v>51231</v>
      </c>
      <c r="K445" s="6">
        <v>0</v>
      </c>
      <c r="M445" s="6">
        <f>714+527901</f>
        <v>528615</v>
      </c>
      <c r="O445" s="6">
        <v>556121</v>
      </c>
      <c r="Q445" s="6">
        <v>714923</v>
      </c>
      <c r="S445" s="6">
        <v>37395</v>
      </c>
      <c r="U445" s="6">
        <v>1215565</v>
      </c>
      <c r="W445" s="6">
        <v>404961</v>
      </c>
      <c r="Y445" s="6">
        <v>232117</v>
      </c>
      <c r="AA445" s="6">
        <v>900235</v>
      </c>
      <c r="AC445" s="6">
        <v>659498</v>
      </c>
      <c r="AE445" s="6">
        <v>221680</v>
      </c>
      <c r="AG445" s="6">
        <v>0</v>
      </c>
      <c r="AI445" s="6">
        <v>517199</v>
      </c>
      <c r="AJ445" s="11" t="s">
        <v>347</v>
      </c>
      <c r="AK445" s="11"/>
      <c r="AL445" s="11" t="s">
        <v>34</v>
      </c>
      <c r="AN445" s="6">
        <v>412100</v>
      </c>
      <c r="AP445" s="6">
        <v>0</v>
      </c>
      <c r="AR445" s="6">
        <v>0</v>
      </c>
      <c r="AT445" s="6">
        <v>141334</v>
      </c>
      <c r="AV445" s="6">
        <v>269041</v>
      </c>
      <c r="AX445" s="6">
        <v>0</v>
      </c>
      <c r="AZ445" s="7">
        <f t="shared" si="61"/>
        <v>11955934</v>
      </c>
      <c r="BB445" s="6">
        <v>67335</v>
      </c>
      <c r="BD445" s="6">
        <v>0</v>
      </c>
      <c r="BF445" s="6">
        <v>0</v>
      </c>
      <c r="BH445" s="6">
        <v>0</v>
      </c>
      <c r="BJ445" s="7">
        <f t="shared" si="59"/>
        <v>12023269</v>
      </c>
      <c r="BL445" s="7">
        <f>'Gov Fd Rev'!AO445-'Gov Fd Exp'!BJ445</f>
        <v>177780</v>
      </c>
      <c r="BN445" s="6">
        <v>2125813</v>
      </c>
      <c r="BP445" s="6">
        <v>0</v>
      </c>
      <c r="BR445" s="6">
        <v>0</v>
      </c>
      <c r="BT445" s="7">
        <f t="shared" si="60"/>
        <v>2303593</v>
      </c>
      <c r="BU445" s="7"/>
      <c r="BV445" s="7">
        <f>BT445-'Gov Fd BS'!AC445</f>
        <v>0</v>
      </c>
      <c r="BW445" s="7"/>
    </row>
    <row r="446" spans="1:75" hidden="1">
      <c r="A446" s="11" t="s">
        <v>775</v>
      </c>
      <c r="B446" s="11"/>
      <c r="C446" s="11" t="s">
        <v>450</v>
      </c>
      <c r="AJ446" s="11" t="s">
        <v>775</v>
      </c>
      <c r="AK446" s="11"/>
      <c r="AL446" s="11" t="s">
        <v>450</v>
      </c>
      <c r="AR446" s="6">
        <v>0</v>
      </c>
      <c r="AX446" s="6">
        <v>0</v>
      </c>
      <c r="AZ446" s="7">
        <f t="shared" si="61"/>
        <v>0</v>
      </c>
      <c r="BD446" s="6">
        <v>0</v>
      </c>
      <c r="BF446" s="6">
        <v>0</v>
      </c>
      <c r="BH446" s="6">
        <v>0</v>
      </c>
      <c r="BJ446" s="7">
        <f t="shared" si="59"/>
        <v>0</v>
      </c>
      <c r="BL446" s="7">
        <f>'Gov Fd Rev'!AO446-'Gov Fd Exp'!BJ446</f>
        <v>0</v>
      </c>
      <c r="BR446" s="6">
        <v>0</v>
      </c>
      <c r="BT446" s="7">
        <f t="shared" si="60"/>
        <v>0</v>
      </c>
      <c r="BU446" s="7"/>
      <c r="BV446" s="7">
        <f>BT446-'Gov Fd BS'!AC446</f>
        <v>0</v>
      </c>
      <c r="BW446" s="7"/>
    </row>
    <row r="447" spans="1:75">
      <c r="A447" s="11" t="s">
        <v>289</v>
      </c>
      <c r="B447" s="11"/>
      <c r="C447" s="11" t="s">
        <v>24</v>
      </c>
      <c r="E447" s="6">
        <v>10743078</v>
      </c>
      <c r="G447" s="6">
        <v>3054269</v>
      </c>
      <c r="I447" s="6">
        <v>190671</v>
      </c>
      <c r="K447" s="6">
        <v>0</v>
      </c>
      <c r="M447" s="6">
        <v>762357</v>
      </c>
      <c r="O447" s="6">
        <v>1928236</v>
      </c>
      <c r="Q447" s="6">
        <v>1733966</v>
      </c>
      <c r="S447" s="6">
        <v>75565</v>
      </c>
      <c r="U447" s="6">
        <v>1581992</v>
      </c>
      <c r="W447" s="6">
        <v>570356</v>
      </c>
      <c r="Y447" s="6">
        <v>1433</v>
      </c>
      <c r="AA447" s="6">
        <v>1880618</v>
      </c>
      <c r="AC447" s="6">
        <v>1028067</v>
      </c>
      <c r="AE447" s="6">
        <v>320442</v>
      </c>
      <c r="AG447" s="6">
        <v>878469</v>
      </c>
      <c r="AI447" s="6">
        <v>52303</v>
      </c>
      <c r="AJ447" s="11" t="s">
        <v>289</v>
      </c>
      <c r="AK447" s="11"/>
      <c r="AL447" s="11" t="s">
        <v>24</v>
      </c>
      <c r="AN447" s="6">
        <v>693554</v>
      </c>
      <c r="AP447" s="6">
        <f>3048489+1479280</f>
        <v>4527769</v>
      </c>
      <c r="AR447" s="6">
        <v>0</v>
      </c>
      <c r="AT447" s="6">
        <v>1312412</v>
      </c>
      <c r="AV447" s="6">
        <v>113896</v>
      </c>
      <c r="AX447" s="6">
        <v>0</v>
      </c>
      <c r="AZ447" s="7">
        <f t="shared" si="61"/>
        <v>31449453</v>
      </c>
      <c r="BB447" s="6">
        <v>1429322</v>
      </c>
      <c r="BD447" s="6">
        <v>0</v>
      </c>
      <c r="BF447" s="6">
        <v>0</v>
      </c>
      <c r="BH447" s="6">
        <v>0</v>
      </c>
      <c r="BJ447" s="7">
        <f t="shared" si="59"/>
        <v>32878775</v>
      </c>
      <c r="BL447" s="7">
        <f>'Gov Fd Rev'!AO447-'Gov Fd Exp'!BJ447</f>
        <v>-3328394</v>
      </c>
      <c r="BN447" s="6">
        <v>6055552</v>
      </c>
      <c r="BP447" s="6">
        <v>-9092</v>
      </c>
      <c r="BR447" s="6">
        <v>0</v>
      </c>
      <c r="BT447" s="7">
        <f t="shared" si="60"/>
        <v>2718066</v>
      </c>
      <c r="BU447" s="7"/>
      <c r="BV447" s="7">
        <f>BT447-'Gov Fd BS'!AC447</f>
        <v>0</v>
      </c>
      <c r="BW447" s="7"/>
    </row>
    <row r="448" spans="1:75" hidden="1">
      <c r="A448" s="11" t="s">
        <v>688</v>
      </c>
      <c r="B448" s="11"/>
      <c r="C448" s="11" t="s">
        <v>10</v>
      </c>
      <c r="AJ448" s="11" t="s">
        <v>688</v>
      </c>
      <c r="AK448" s="11"/>
      <c r="AL448" s="11" t="s">
        <v>10</v>
      </c>
      <c r="AR448" s="6">
        <v>0</v>
      </c>
      <c r="AX448" s="6">
        <v>0</v>
      </c>
      <c r="AZ448" s="7">
        <f t="shared" si="61"/>
        <v>0</v>
      </c>
      <c r="BB448" s="6">
        <v>0</v>
      </c>
      <c r="BD448" s="6">
        <v>0</v>
      </c>
      <c r="BF448" s="6">
        <v>0</v>
      </c>
      <c r="BH448" s="6">
        <v>0</v>
      </c>
      <c r="BJ448" s="7">
        <f t="shared" si="59"/>
        <v>0</v>
      </c>
      <c r="BL448" s="7">
        <f>'Gov Fd Rev'!AO448-'Gov Fd Exp'!BJ448</f>
        <v>0</v>
      </c>
      <c r="BR448" s="6">
        <v>0</v>
      </c>
      <c r="BT448" s="7">
        <f t="shared" si="60"/>
        <v>0</v>
      </c>
      <c r="BU448" s="7"/>
      <c r="BV448" s="7">
        <f>BT448-'Gov Fd BS'!AC448</f>
        <v>0</v>
      </c>
      <c r="BW448" s="7"/>
    </row>
    <row r="449" spans="1:75">
      <c r="A449" s="11" t="s">
        <v>202</v>
      </c>
      <c r="B449" s="11"/>
      <c r="C449" s="11" t="s">
        <v>41</v>
      </c>
      <c r="E449" s="6">
        <v>10447967</v>
      </c>
      <c r="G449" s="6">
        <v>419055</v>
      </c>
      <c r="I449" s="6">
        <v>202928</v>
      </c>
      <c r="K449" s="6">
        <v>0</v>
      </c>
      <c r="M449" s="6">
        <v>1878772</v>
      </c>
      <c r="O449" s="6">
        <v>1539970</v>
      </c>
      <c r="Q449" s="6">
        <v>1596610</v>
      </c>
      <c r="S449" s="6">
        <v>89755</v>
      </c>
      <c r="U449" s="6">
        <v>1403451</v>
      </c>
      <c r="W449" s="6">
        <v>719264</v>
      </c>
      <c r="Y449" s="6">
        <v>249617</v>
      </c>
      <c r="AA449" s="6">
        <v>3370601</v>
      </c>
      <c r="AC449" s="6">
        <v>1306283</v>
      </c>
      <c r="AE449" s="6">
        <v>22819</v>
      </c>
      <c r="AG449" s="6">
        <v>952921</v>
      </c>
      <c r="AI449" s="6">
        <f>180454+9526</f>
        <v>189980</v>
      </c>
      <c r="AJ449" s="11" t="s">
        <v>202</v>
      </c>
      <c r="AK449" s="11"/>
      <c r="AL449" s="11" t="s">
        <v>41</v>
      </c>
      <c r="AN449" s="6">
        <v>1356845</v>
      </c>
      <c r="AP449" s="6">
        <v>1513026</v>
      </c>
      <c r="AR449" s="6">
        <v>0</v>
      </c>
      <c r="AT449" s="6">
        <v>218532</v>
      </c>
      <c r="AV449" s="6">
        <v>43751</v>
      </c>
      <c r="AX449" s="6">
        <v>0</v>
      </c>
      <c r="AZ449" s="7">
        <f t="shared" si="61"/>
        <v>27522147</v>
      </c>
      <c r="BB449" s="6">
        <v>2123000</v>
      </c>
      <c r="BD449" s="6">
        <v>0</v>
      </c>
      <c r="BF449" s="6">
        <v>0</v>
      </c>
      <c r="BH449" s="6">
        <v>0</v>
      </c>
      <c r="BJ449" s="7">
        <f t="shared" si="59"/>
        <v>29645147</v>
      </c>
      <c r="BL449" s="7">
        <f>'Gov Fd Rev'!AO449-'Gov Fd Exp'!BJ449</f>
        <v>545845</v>
      </c>
      <c r="BN449" s="6">
        <v>34462647</v>
      </c>
      <c r="BP449" s="6">
        <v>0</v>
      </c>
      <c r="BR449" s="6">
        <v>0</v>
      </c>
      <c r="BT449" s="7">
        <f t="shared" si="60"/>
        <v>35008492</v>
      </c>
      <c r="BU449" s="7"/>
      <c r="BV449" s="7">
        <f>BT449-'Gov Fd BS'!AC449</f>
        <v>0</v>
      </c>
      <c r="BW449" s="7"/>
    </row>
    <row r="450" spans="1:75">
      <c r="A450" s="11" t="s">
        <v>202</v>
      </c>
      <c r="B450" s="11"/>
      <c r="C450" s="11" t="s">
        <v>62</v>
      </c>
      <c r="E450" s="6">
        <v>19281972</v>
      </c>
      <c r="G450" s="6">
        <v>3935707</v>
      </c>
      <c r="I450" s="6">
        <v>1936588</v>
      </c>
      <c r="K450" s="6">
        <v>9216</v>
      </c>
      <c r="M450" s="6">
        <v>164442</v>
      </c>
      <c r="O450" s="6">
        <v>2894762</v>
      </c>
      <c r="Q450" s="6">
        <v>1890922</v>
      </c>
      <c r="S450" s="6">
        <v>146958</v>
      </c>
      <c r="U450" s="6">
        <v>2805691</v>
      </c>
      <c r="W450" s="6">
        <v>764879</v>
      </c>
      <c r="Y450" s="6">
        <v>203648</v>
      </c>
      <c r="AA450" s="6">
        <v>4380536</v>
      </c>
      <c r="AC450" s="6">
        <v>2041031</v>
      </c>
      <c r="AE450" s="6">
        <v>722841</v>
      </c>
      <c r="AG450" s="6">
        <v>0</v>
      </c>
      <c r="AI450" s="6">
        <v>2265059</v>
      </c>
      <c r="AJ450" s="11" t="s">
        <v>202</v>
      </c>
      <c r="AK450" s="11"/>
      <c r="AL450" s="11" t="s">
        <v>62</v>
      </c>
      <c r="AN450" s="6">
        <v>1237020</v>
      </c>
      <c r="AP450" s="6">
        <v>5189044</v>
      </c>
      <c r="AR450" s="6">
        <v>0</v>
      </c>
      <c r="AT450" s="6">
        <v>214390</v>
      </c>
      <c r="AV450" s="6">
        <v>139091</v>
      </c>
      <c r="AX450" s="6">
        <v>0</v>
      </c>
      <c r="AZ450" s="7">
        <f t="shared" si="61"/>
        <v>50223797</v>
      </c>
      <c r="BB450" s="6">
        <v>0</v>
      </c>
      <c r="BD450" s="6">
        <v>0</v>
      </c>
      <c r="BF450" s="6">
        <v>0</v>
      </c>
      <c r="BH450" s="6">
        <v>0</v>
      </c>
      <c r="BJ450" s="7">
        <f t="shared" si="59"/>
        <v>50223797</v>
      </c>
      <c r="BL450" s="7">
        <f>'Gov Fd Rev'!AO450-'Gov Fd Exp'!BJ450</f>
        <v>-6175802</v>
      </c>
      <c r="BN450" s="6">
        <v>25818618</v>
      </c>
      <c r="BP450" s="6">
        <v>0</v>
      </c>
      <c r="BR450" s="6">
        <v>0</v>
      </c>
      <c r="BT450" s="7">
        <f t="shared" si="60"/>
        <v>19642816</v>
      </c>
      <c r="BU450" s="7"/>
      <c r="BV450" s="7">
        <f>BT450-'Gov Fd BS'!AC450</f>
        <v>0</v>
      </c>
      <c r="BW450" s="7"/>
    </row>
    <row r="451" spans="1:75">
      <c r="A451" s="11" t="s">
        <v>776</v>
      </c>
      <c r="B451" s="11"/>
      <c r="C451" s="11" t="s">
        <v>72</v>
      </c>
      <c r="E451" s="6">
        <v>22379919</v>
      </c>
      <c r="G451" s="6">
        <v>4740349</v>
      </c>
      <c r="I451" s="6">
        <v>87067</v>
      </c>
      <c r="K451" s="6">
        <v>0</v>
      </c>
      <c r="M451" s="6">
        <v>0</v>
      </c>
      <c r="O451" s="6">
        <v>2438143</v>
      </c>
      <c r="Q451" s="6">
        <v>664864</v>
      </c>
      <c r="S451" s="6">
        <v>31928</v>
      </c>
      <c r="U451" s="6">
        <v>3024682</v>
      </c>
      <c r="W451" s="6">
        <v>924204</v>
      </c>
      <c r="Y451" s="6">
        <v>46182</v>
      </c>
      <c r="AA451" s="6">
        <v>3825755</v>
      </c>
      <c r="AC451" s="6">
        <v>1599760</v>
      </c>
      <c r="AE451" s="6">
        <v>775658</v>
      </c>
      <c r="AG451" s="6">
        <v>1697256</v>
      </c>
      <c r="AI451" s="6">
        <v>284167</v>
      </c>
      <c r="AJ451" s="11" t="s">
        <v>776</v>
      </c>
      <c r="AK451" s="11"/>
      <c r="AL451" s="11" t="s">
        <v>72</v>
      </c>
      <c r="AN451" s="6">
        <v>1673201</v>
      </c>
      <c r="AP451" s="6">
        <v>1868032</v>
      </c>
      <c r="AR451" s="6">
        <v>0</v>
      </c>
      <c r="AT451" s="6">
        <v>2200578</v>
      </c>
      <c r="AV451" s="6">
        <v>1124239</v>
      </c>
      <c r="AX451" s="6">
        <v>0</v>
      </c>
      <c r="AZ451" s="7">
        <f t="shared" si="61"/>
        <v>49385984</v>
      </c>
      <c r="BB451" s="6">
        <v>0</v>
      </c>
      <c r="BD451" s="6">
        <v>0</v>
      </c>
      <c r="BF451" s="6">
        <v>0</v>
      </c>
      <c r="BH451" s="6">
        <v>0</v>
      </c>
      <c r="BJ451" s="7">
        <f t="shared" si="59"/>
        <v>49385984</v>
      </c>
      <c r="BL451" s="7">
        <f>'Gov Fd Rev'!AO451-'Gov Fd Exp'!BJ451</f>
        <v>-3600107</v>
      </c>
      <c r="BN451" s="6">
        <v>8018078</v>
      </c>
      <c r="BP451" s="6">
        <v>0</v>
      </c>
      <c r="BR451" s="6">
        <v>0</v>
      </c>
      <c r="BT451" s="7">
        <f t="shared" si="60"/>
        <v>4417971</v>
      </c>
      <c r="BU451" s="7"/>
      <c r="BV451" s="7">
        <f>BT451-'Gov Fd BS'!AC451</f>
        <v>0</v>
      </c>
      <c r="BW451" s="7"/>
    </row>
    <row r="452" spans="1:75" hidden="1">
      <c r="A452" s="11" t="s">
        <v>896</v>
      </c>
      <c r="B452" s="11"/>
      <c r="C452" s="11" t="s">
        <v>28</v>
      </c>
      <c r="AJ452" s="11" t="s">
        <v>896</v>
      </c>
      <c r="AK452" s="11"/>
      <c r="AL452" s="11" t="s">
        <v>28</v>
      </c>
      <c r="AR452" s="6">
        <v>0</v>
      </c>
      <c r="AX452" s="6">
        <v>0</v>
      </c>
      <c r="AZ452" s="7">
        <f t="shared" si="61"/>
        <v>0</v>
      </c>
      <c r="BD452" s="6">
        <v>0</v>
      </c>
      <c r="BF452" s="6">
        <v>0</v>
      </c>
      <c r="BJ452" s="7">
        <f t="shared" si="59"/>
        <v>0</v>
      </c>
      <c r="BL452" s="7">
        <f>'Gov Fd Rev'!AO452-'Gov Fd Exp'!BJ452</f>
        <v>0</v>
      </c>
      <c r="BR452" s="6">
        <v>0</v>
      </c>
      <c r="BT452" s="7">
        <f t="shared" si="60"/>
        <v>0</v>
      </c>
      <c r="BU452" s="7"/>
      <c r="BV452" s="7">
        <f>BT452-'Gov Fd BS'!AC452</f>
        <v>0</v>
      </c>
      <c r="BW452" s="7"/>
    </row>
    <row r="453" spans="1:75">
      <c r="A453" s="11" t="s">
        <v>296</v>
      </c>
      <c r="B453" s="11"/>
      <c r="C453" s="11" t="s">
        <v>25</v>
      </c>
      <c r="E453" s="6">
        <v>43181514</v>
      </c>
      <c r="G453" s="6">
        <v>8155136</v>
      </c>
      <c r="I453" s="6">
        <v>418464</v>
      </c>
      <c r="K453" s="6">
        <v>0</v>
      </c>
      <c r="M453" s="6">
        <v>3410655</v>
      </c>
      <c r="O453" s="6">
        <v>4787908</v>
      </c>
      <c r="Q453" s="6">
        <v>5102064</v>
      </c>
      <c r="S453" s="6">
        <v>522884</v>
      </c>
      <c r="U453" s="6">
        <v>7954131</v>
      </c>
      <c r="W453" s="6">
        <v>1854292</v>
      </c>
      <c r="Y453" s="6">
        <v>535674</v>
      </c>
      <c r="AA453" s="6">
        <v>9991213</v>
      </c>
      <c r="AC453" s="6">
        <v>5385979</v>
      </c>
      <c r="AE453" s="6">
        <v>165403</v>
      </c>
      <c r="AG453" s="6">
        <v>3839705</v>
      </c>
      <c r="AI453" s="6">
        <v>48703</v>
      </c>
      <c r="AJ453" s="11" t="s">
        <v>296</v>
      </c>
      <c r="AK453" s="11"/>
      <c r="AL453" s="11" t="s">
        <v>25</v>
      </c>
      <c r="AN453" s="6">
        <v>2053384</v>
      </c>
      <c r="AP453" s="6">
        <v>28439867</v>
      </c>
      <c r="AR453" s="6">
        <v>0</v>
      </c>
      <c r="AT453" s="6">
        <v>10078171</v>
      </c>
      <c r="AV453" s="6">
        <v>4996076</v>
      </c>
      <c r="AX453" s="6">
        <v>0</v>
      </c>
      <c r="AZ453" s="7">
        <f t="shared" si="61"/>
        <v>140921223</v>
      </c>
      <c r="BB453" s="6">
        <v>1100000</v>
      </c>
      <c r="BD453" s="6">
        <v>0</v>
      </c>
      <c r="BF453" s="6">
        <v>0</v>
      </c>
      <c r="BH453" s="6">
        <v>0</v>
      </c>
      <c r="BJ453" s="7">
        <f t="shared" si="59"/>
        <v>142021223</v>
      </c>
      <c r="BL453" s="7">
        <f>'Gov Fd Rev'!AO453-'Gov Fd Exp'!BJ453</f>
        <v>-4941512</v>
      </c>
      <c r="BN453" s="6">
        <v>43844385</v>
      </c>
      <c r="BP453" s="6">
        <v>0</v>
      </c>
      <c r="BR453" s="6">
        <v>0</v>
      </c>
      <c r="BT453" s="7">
        <f t="shared" si="60"/>
        <v>38902873</v>
      </c>
      <c r="BU453" s="7"/>
      <c r="BV453" s="7">
        <f>BT453-'Gov Fd BS'!AC453</f>
        <v>0</v>
      </c>
      <c r="BW453" s="7"/>
    </row>
    <row r="454" spans="1:75" hidden="1">
      <c r="A454" s="11" t="s">
        <v>821</v>
      </c>
      <c r="B454" s="11"/>
      <c r="C454" s="11" t="s">
        <v>28</v>
      </c>
      <c r="AJ454" s="11" t="s">
        <v>821</v>
      </c>
      <c r="AK454" s="11"/>
      <c r="AL454" s="11" t="s">
        <v>28</v>
      </c>
      <c r="AR454" s="6">
        <v>0</v>
      </c>
      <c r="AX454" s="6">
        <v>0</v>
      </c>
      <c r="AZ454" s="7">
        <f t="shared" si="61"/>
        <v>0</v>
      </c>
      <c r="BD454" s="6">
        <v>0</v>
      </c>
      <c r="BF454" s="6">
        <v>0</v>
      </c>
      <c r="BH454" s="6">
        <v>0</v>
      </c>
      <c r="BJ454" s="7">
        <f t="shared" si="59"/>
        <v>0</v>
      </c>
      <c r="BL454" s="7">
        <f>'Gov Fd Rev'!AO454-'Gov Fd Exp'!BJ454</f>
        <v>0</v>
      </c>
      <c r="BR454" s="6">
        <v>0</v>
      </c>
      <c r="BT454" s="7">
        <f t="shared" si="60"/>
        <v>0</v>
      </c>
      <c r="BU454" s="7"/>
      <c r="BV454" s="7">
        <f>BT454-'Gov Fd BS'!AC454</f>
        <v>0</v>
      </c>
      <c r="BW454" s="7"/>
    </row>
    <row r="455" spans="1:75">
      <c r="A455" s="11" t="s">
        <v>425</v>
      </c>
      <c r="B455" s="11"/>
      <c r="C455" s="11" t="s">
        <v>48</v>
      </c>
      <c r="E455" s="6">
        <v>20101326</v>
      </c>
      <c r="G455" s="6">
        <v>0</v>
      </c>
      <c r="I455" s="6">
        <v>0</v>
      </c>
      <c r="K455" s="6">
        <v>0</v>
      </c>
      <c r="M455" s="6">
        <v>0</v>
      </c>
      <c r="O455" s="6">
        <v>1331123</v>
      </c>
      <c r="Q455" s="6">
        <v>2084488</v>
      </c>
      <c r="S455" s="6">
        <v>24845</v>
      </c>
      <c r="U455" s="6">
        <v>2293806</v>
      </c>
      <c r="W455" s="6">
        <v>654313</v>
      </c>
      <c r="Y455" s="6">
        <v>6432</v>
      </c>
      <c r="AA455" s="6">
        <v>2732303</v>
      </c>
      <c r="AC455" s="6">
        <v>1563661</v>
      </c>
      <c r="AE455" s="6">
        <v>294528</v>
      </c>
      <c r="AG455" s="6">
        <v>0</v>
      </c>
      <c r="AI455" s="6">
        <v>255659</v>
      </c>
      <c r="AJ455" s="11" t="s">
        <v>425</v>
      </c>
      <c r="AK455" s="11"/>
      <c r="AL455" s="11" t="s">
        <v>48</v>
      </c>
      <c r="AN455" s="6">
        <v>792826</v>
      </c>
      <c r="AP455" s="6">
        <v>3532815</v>
      </c>
      <c r="AR455" s="6">
        <v>0</v>
      </c>
      <c r="AT455" s="6">
        <v>29831000</v>
      </c>
      <c r="AV455" s="6">
        <v>954701</v>
      </c>
      <c r="AX455" s="6">
        <v>0</v>
      </c>
      <c r="AZ455" s="7">
        <f t="shared" si="61"/>
        <v>66453826</v>
      </c>
      <c r="BB455" s="6">
        <v>300079</v>
      </c>
      <c r="BD455" s="6">
        <v>0</v>
      </c>
      <c r="BF455" s="6">
        <v>0</v>
      </c>
      <c r="BH455" s="6">
        <v>0</v>
      </c>
      <c r="BJ455" s="7">
        <f t="shared" si="59"/>
        <v>66753905</v>
      </c>
      <c r="BL455" s="7">
        <f>'Gov Fd Rev'!AO455-'Gov Fd Exp'!BJ455</f>
        <v>28989750</v>
      </c>
      <c r="BN455" s="6">
        <v>13926039</v>
      </c>
      <c r="BP455" s="6">
        <v>-14943</v>
      </c>
      <c r="BR455" s="6">
        <v>0</v>
      </c>
      <c r="BT455" s="7">
        <f t="shared" si="60"/>
        <v>42900846</v>
      </c>
      <c r="BU455" s="7"/>
      <c r="BV455" s="7">
        <f>BT455-'Gov Fd BS'!AC455</f>
        <v>0</v>
      </c>
      <c r="BW455" s="7"/>
    </row>
    <row r="456" spans="1:75">
      <c r="A456" s="11" t="s">
        <v>306</v>
      </c>
      <c r="B456" s="11"/>
      <c r="C456" s="11" t="s">
        <v>62</v>
      </c>
      <c r="E456" s="6">
        <v>23371648</v>
      </c>
      <c r="G456" s="6">
        <v>6255830</v>
      </c>
      <c r="I456" s="6">
        <v>1249422</v>
      </c>
      <c r="K456" s="6">
        <v>0</v>
      </c>
      <c r="M456" s="6">
        <v>219804</v>
      </c>
      <c r="O456" s="6">
        <v>2704533</v>
      </c>
      <c r="Q456" s="6">
        <v>3650710</v>
      </c>
      <c r="S456" s="6">
        <v>87365</v>
      </c>
      <c r="U456" s="6">
        <v>3456594</v>
      </c>
      <c r="W456" s="6">
        <v>1087991</v>
      </c>
      <c r="Y456" s="6">
        <v>155803</v>
      </c>
      <c r="AA456" s="6">
        <v>5955999</v>
      </c>
      <c r="AC456" s="6">
        <v>2925362</v>
      </c>
      <c r="AE456" s="6">
        <v>209288</v>
      </c>
      <c r="AG456" s="6">
        <v>2401750</v>
      </c>
      <c r="AI456" s="6">
        <v>528256</v>
      </c>
      <c r="AJ456" s="11" t="s">
        <v>306</v>
      </c>
      <c r="AK456" s="11"/>
      <c r="AL456" s="11" t="s">
        <v>62</v>
      </c>
      <c r="AN456" s="6">
        <v>1355317</v>
      </c>
      <c r="AP456" s="6">
        <v>0</v>
      </c>
      <c r="AR456" s="6">
        <v>0</v>
      </c>
      <c r="AT456" s="6">
        <v>1134913</v>
      </c>
      <c r="AV456" s="6">
        <f>1724279+534381</f>
        <v>2258660</v>
      </c>
      <c r="AX456" s="6">
        <v>0</v>
      </c>
      <c r="AZ456" s="7">
        <f t="shared" si="61"/>
        <v>59009245</v>
      </c>
      <c r="BB456" s="6">
        <v>0</v>
      </c>
      <c r="BD456" s="6">
        <v>0</v>
      </c>
      <c r="BF456" s="6">
        <v>0</v>
      </c>
      <c r="BH456" s="6">
        <v>52852433</v>
      </c>
      <c r="BJ456" s="7">
        <f t="shared" si="59"/>
        <v>111861678</v>
      </c>
      <c r="BL456" s="7">
        <f>'Gov Fd Rev'!AO456-'Gov Fd Exp'!BJ456</f>
        <v>-680509</v>
      </c>
      <c r="BN456" s="6">
        <v>12519812</v>
      </c>
      <c r="BP456" s="6">
        <v>7863</v>
      </c>
      <c r="BR456" s="6">
        <v>0</v>
      </c>
      <c r="BT456" s="7">
        <f t="shared" si="60"/>
        <v>11847166</v>
      </c>
      <c r="BU456" s="7"/>
      <c r="BV456" s="7">
        <f>BT456-'Gov Fd BS'!AC456</f>
        <v>0</v>
      </c>
      <c r="BW456" s="7"/>
    </row>
    <row r="457" spans="1:75">
      <c r="A457" s="11" t="s">
        <v>411</v>
      </c>
      <c r="B457" s="11"/>
      <c r="C457" s="11" t="s">
        <v>46</v>
      </c>
      <c r="E457" s="6">
        <v>7065706</v>
      </c>
      <c r="G457" s="6">
        <v>898367</v>
      </c>
      <c r="I457" s="6">
        <v>118066</v>
      </c>
      <c r="K457" s="6">
        <v>0</v>
      </c>
      <c r="M457" s="6">
        <v>0</v>
      </c>
      <c r="O457" s="6">
        <v>318711</v>
      </c>
      <c r="Q457" s="6">
        <v>346238</v>
      </c>
      <c r="S457" s="6">
        <v>117339</v>
      </c>
      <c r="U457" s="6">
        <v>988281</v>
      </c>
      <c r="W457" s="6">
        <v>306203</v>
      </c>
      <c r="Y457" s="6">
        <v>0</v>
      </c>
      <c r="AA457" s="6">
        <v>930770</v>
      </c>
      <c r="AC457" s="6">
        <v>457558</v>
      </c>
      <c r="AE457" s="6">
        <v>0</v>
      </c>
      <c r="AG457" s="6">
        <v>0</v>
      </c>
      <c r="AI457" s="6">
        <v>588649</v>
      </c>
      <c r="AJ457" s="11" t="s">
        <v>411</v>
      </c>
      <c r="AK457" s="11"/>
      <c r="AL457" s="11" t="s">
        <v>46</v>
      </c>
      <c r="AN457" s="6">
        <v>419997</v>
      </c>
      <c r="AP457" s="6">
        <v>6842</v>
      </c>
      <c r="AR457" s="6">
        <v>0</v>
      </c>
      <c r="AT457" s="6">
        <v>289039</v>
      </c>
      <c r="AV457" s="6">
        <v>48922</v>
      </c>
      <c r="AX457" s="6">
        <v>0</v>
      </c>
      <c r="AZ457" s="7">
        <f t="shared" si="61"/>
        <v>12900688</v>
      </c>
      <c r="BB457" s="6">
        <v>13704</v>
      </c>
      <c r="BD457" s="6">
        <v>0</v>
      </c>
      <c r="BF457" s="6">
        <v>0</v>
      </c>
      <c r="BH457" s="6">
        <v>0</v>
      </c>
      <c r="BJ457" s="7">
        <f t="shared" si="59"/>
        <v>12914392</v>
      </c>
      <c r="BL457" s="7">
        <f>'Gov Fd Rev'!AO457-'Gov Fd Exp'!BJ457</f>
        <v>-125333</v>
      </c>
      <c r="BN457" s="6">
        <v>5081307</v>
      </c>
      <c r="BP457" s="6">
        <v>0</v>
      </c>
      <c r="BR457" s="6">
        <v>0</v>
      </c>
      <c r="BT457" s="7">
        <f t="shared" si="60"/>
        <v>4955974</v>
      </c>
      <c r="BU457" s="7"/>
      <c r="BV457" s="7">
        <f>BT457-'Gov Fd BS'!AC457</f>
        <v>0</v>
      </c>
      <c r="BW457" s="7"/>
    </row>
    <row r="458" spans="1:75">
      <c r="A458" s="11" t="s">
        <v>471</v>
      </c>
      <c r="B458" s="11"/>
      <c r="C458" s="11" t="s">
        <v>110</v>
      </c>
      <c r="E458" s="6">
        <v>3541011</v>
      </c>
      <c r="G458" s="6">
        <v>879181</v>
      </c>
      <c r="I458" s="6">
        <v>152728</v>
      </c>
      <c r="K458" s="6">
        <v>0</v>
      </c>
      <c r="M458" s="6">
        <v>516517</v>
      </c>
      <c r="O458" s="6">
        <v>494445</v>
      </c>
      <c r="Q458" s="6">
        <v>510016</v>
      </c>
      <c r="S458" s="6">
        <v>17944</v>
      </c>
      <c r="U458" s="6">
        <v>709908</v>
      </c>
      <c r="W458" s="6">
        <v>226946</v>
      </c>
      <c r="Y458" s="6">
        <v>6545</v>
      </c>
      <c r="AA458" s="6">
        <v>897472</v>
      </c>
      <c r="AC458" s="6">
        <v>482357</v>
      </c>
      <c r="AE458" s="6">
        <v>56484</v>
      </c>
      <c r="AG458" s="6">
        <v>447409</v>
      </c>
      <c r="AI458" s="6">
        <v>0</v>
      </c>
      <c r="AJ458" s="11" t="s">
        <v>471</v>
      </c>
      <c r="AK458" s="11"/>
      <c r="AL458" s="11" t="s">
        <v>110</v>
      </c>
      <c r="AN458" s="6">
        <v>377652</v>
      </c>
      <c r="AP458" s="6">
        <v>3032</v>
      </c>
      <c r="AR458" s="6">
        <v>0</v>
      </c>
      <c r="AT458" s="6">
        <v>127343</v>
      </c>
      <c r="AV458" s="6">
        <v>92338</v>
      </c>
      <c r="AX458" s="6">
        <v>0</v>
      </c>
      <c r="AZ458" s="7">
        <f t="shared" si="61"/>
        <v>9539328</v>
      </c>
      <c r="BB458" s="6">
        <v>16000</v>
      </c>
      <c r="BD458" s="6">
        <v>0</v>
      </c>
      <c r="BF458" s="6">
        <v>0</v>
      </c>
      <c r="BH458" s="6">
        <v>0</v>
      </c>
      <c r="BJ458" s="7">
        <f t="shared" si="59"/>
        <v>9555328</v>
      </c>
      <c r="BL458" s="7">
        <f>'Gov Fd Rev'!AO458-'Gov Fd Exp'!BJ458</f>
        <v>64603</v>
      </c>
      <c r="BN458" s="6">
        <v>3810733</v>
      </c>
      <c r="BP458" s="6">
        <v>0</v>
      </c>
      <c r="BR458" s="6">
        <v>0</v>
      </c>
      <c r="BT458" s="7">
        <f t="shared" si="60"/>
        <v>3875336</v>
      </c>
      <c r="BU458" s="7"/>
      <c r="BV458" s="7">
        <f>BT458-'Gov Fd BS'!AC458</f>
        <v>0</v>
      </c>
      <c r="BW458" s="7"/>
    </row>
    <row r="459" spans="1:75">
      <c r="A459" s="11" t="s">
        <v>724</v>
      </c>
      <c r="B459" s="11"/>
      <c r="C459" s="11" t="s">
        <v>45</v>
      </c>
      <c r="E459" s="6">
        <v>10147800</v>
      </c>
      <c r="G459" s="6">
        <v>1720797</v>
      </c>
      <c r="I459" s="6">
        <v>158462</v>
      </c>
      <c r="K459" s="6">
        <v>125658</v>
      </c>
      <c r="M459" s="6">
        <v>5977</v>
      </c>
      <c r="O459" s="6">
        <v>1440030</v>
      </c>
      <c r="Q459" s="6">
        <v>562050</v>
      </c>
      <c r="S459" s="6">
        <v>19729</v>
      </c>
      <c r="U459" s="6">
        <v>1529831</v>
      </c>
      <c r="W459" s="6">
        <v>569983</v>
      </c>
      <c r="Y459" s="6">
        <v>448</v>
      </c>
      <c r="AA459" s="6">
        <v>1828326</v>
      </c>
      <c r="AC459" s="6">
        <v>861567</v>
      </c>
      <c r="AE459" s="6">
        <v>6236</v>
      </c>
      <c r="AG459" s="6">
        <v>809715</v>
      </c>
      <c r="AI459" s="6">
        <v>245519</v>
      </c>
      <c r="AJ459" s="11" t="s">
        <v>724</v>
      </c>
      <c r="AK459" s="11"/>
      <c r="AL459" s="11" t="s">
        <v>45</v>
      </c>
      <c r="AN459" s="6">
        <v>689038</v>
      </c>
      <c r="AP459" s="6">
        <v>301253</v>
      </c>
      <c r="AR459" s="6">
        <v>0</v>
      </c>
      <c r="AT459" s="6">
        <v>914572</v>
      </c>
      <c r="AV459" s="6">
        <v>573970</v>
      </c>
      <c r="AX459" s="6">
        <v>0</v>
      </c>
      <c r="AZ459" s="7">
        <f t="shared" si="61"/>
        <v>22510961</v>
      </c>
      <c r="BB459" s="6">
        <v>4500</v>
      </c>
      <c r="BD459" s="6">
        <v>0</v>
      </c>
      <c r="BF459" s="6">
        <v>0</v>
      </c>
      <c r="BH459" s="6">
        <v>0</v>
      </c>
      <c r="BJ459" s="7">
        <f t="shared" si="59"/>
        <v>22515461</v>
      </c>
      <c r="BL459" s="7">
        <f>'Gov Fd Rev'!AO459-'Gov Fd Exp'!BJ459</f>
        <v>-539734</v>
      </c>
      <c r="BN459" s="6">
        <v>1396112</v>
      </c>
      <c r="BP459" s="6">
        <v>0</v>
      </c>
      <c r="BR459" s="6">
        <v>0</v>
      </c>
      <c r="BT459" s="7">
        <f t="shared" si="60"/>
        <v>856378</v>
      </c>
      <c r="BU459" s="7"/>
      <c r="BV459" s="7">
        <f>BT459-'Gov Fd BS'!AC459</f>
        <v>0</v>
      </c>
      <c r="BW459" s="7"/>
    </row>
    <row r="460" spans="1:75" hidden="1">
      <c r="A460" s="11" t="s">
        <v>822</v>
      </c>
      <c r="B460" s="11"/>
      <c r="C460" s="11" t="s">
        <v>53</v>
      </c>
      <c r="AJ460" s="11" t="s">
        <v>822</v>
      </c>
      <c r="AK460" s="11"/>
      <c r="AL460" s="11" t="s">
        <v>53</v>
      </c>
      <c r="AR460" s="6">
        <v>0</v>
      </c>
      <c r="AX460" s="6">
        <v>0</v>
      </c>
      <c r="AZ460" s="7">
        <f t="shared" si="61"/>
        <v>0</v>
      </c>
      <c r="BD460" s="6">
        <v>0</v>
      </c>
      <c r="BF460" s="6">
        <v>0</v>
      </c>
      <c r="BH460" s="6">
        <v>0</v>
      </c>
      <c r="BJ460" s="7">
        <f t="shared" si="59"/>
        <v>0</v>
      </c>
      <c r="BL460" s="7">
        <f>'Gov Fd Rev'!AO460-'Gov Fd Exp'!BJ460</f>
        <v>0</v>
      </c>
      <c r="BR460" s="6">
        <v>0</v>
      </c>
      <c r="BT460" s="7">
        <f t="shared" si="60"/>
        <v>0</v>
      </c>
      <c r="BU460" s="7"/>
      <c r="BV460" s="7">
        <f>BT460-'Gov Fd BS'!AC460</f>
        <v>0</v>
      </c>
      <c r="BW460" s="7"/>
    </row>
    <row r="461" spans="1:75">
      <c r="A461" s="11" t="s">
        <v>484</v>
      </c>
      <c r="B461" s="11"/>
      <c r="C461" s="11" t="s">
        <v>59</v>
      </c>
      <c r="E461" s="6">
        <v>13175623</v>
      </c>
      <c r="G461" s="6">
        <v>5731335</v>
      </c>
      <c r="I461" s="6">
        <v>422490</v>
      </c>
      <c r="K461" s="6">
        <v>0</v>
      </c>
      <c r="M461" s="6">
        <v>359941</v>
      </c>
      <c r="O461" s="6">
        <v>1119554</v>
      </c>
      <c r="Q461" s="6">
        <v>1781000</v>
      </c>
      <c r="S461" s="6">
        <v>19937</v>
      </c>
      <c r="U461" s="6">
        <v>1565886</v>
      </c>
      <c r="W461" s="6">
        <v>620254</v>
      </c>
      <c r="Y461" s="6">
        <v>85285</v>
      </c>
      <c r="AA461" s="6">
        <v>2514806</v>
      </c>
      <c r="AC461" s="6">
        <v>535935</v>
      </c>
      <c r="AE461" s="6">
        <v>23704</v>
      </c>
      <c r="AG461" s="6">
        <v>1107063</v>
      </c>
      <c r="AI461" s="6">
        <v>296435</v>
      </c>
      <c r="AJ461" s="11" t="s">
        <v>484</v>
      </c>
      <c r="AK461" s="11"/>
      <c r="AL461" s="11" t="s">
        <v>59</v>
      </c>
      <c r="AN461" s="6">
        <v>348408</v>
      </c>
      <c r="AP461" s="6">
        <v>620168</v>
      </c>
      <c r="AR461" s="6">
        <v>0</v>
      </c>
      <c r="AT461" s="6">
        <v>672945</v>
      </c>
      <c r="AV461" s="6">
        <f>452429+60338</f>
        <v>512767</v>
      </c>
      <c r="AX461" s="6">
        <v>0</v>
      </c>
      <c r="AZ461" s="7">
        <f t="shared" si="61"/>
        <v>31513536</v>
      </c>
      <c r="BB461" s="6">
        <v>3420</v>
      </c>
      <c r="BD461" s="6">
        <v>0</v>
      </c>
      <c r="BF461" s="6">
        <v>0</v>
      </c>
      <c r="BH461" s="6">
        <v>3057702</v>
      </c>
      <c r="BJ461" s="7">
        <f t="shared" si="59"/>
        <v>34574658</v>
      </c>
      <c r="BL461" s="7">
        <f>'Gov Fd Rev'!AO461-'Gov Fd Exp'!BJ461</f>
        <v>-386103</v>
      </c>
      <c r="BN461" s="6">
        <v>5685696</v>
      </c>
      <c r="BP461" s="6">
        <v>0</v>
      </c>
      <c r="BR461" s="6">
        <v>0</v>
      </c>
      <c r="BT461" s="7">
        <f t="shared" si="60"/>
        <v>5299593</v>
      </c>
      <c r="BU461" s="7"/>
      <c r="BV461" s="7">
        <f>BT461-'Gov Fd BS'!AC461</f>
        <v>0</v>
      </c>
      <c r="BW461" s="7"/>
    </row>
    <row r="462" spans="1:75" hidden="1">
      <c r="A462" s="11" t="s">
        <v>689</v>
      </c>
      <c r="B462" s="11"/>
      <c r="C462" s="11" t="s">
        <v>57</v>
      </c>
      <c r="AJ462" s="11" t="s">
        <v>689</v>
      </c>
      <c r="AK462" s="11"/>
      <c r="AL462" s="11" t="s">
        <v>57</v>
      </c>
      <c r="AR462" s="6">
        <v>0</v>
      </c>
      <c r="AX462" s="6">
        <v>0</v>
      </c>
      <c r="AZ462" s="7">
        <f t="shared" si="61"/>
        <v>0</v>
      </c>
      <c r="BD462" s="6">
        <v>0</v>
      </c>
      <c r="BF462" s="6">
        <v>0</v>
      </c>
      <c r="BH462" s="6">
        <v>0</v>
      </c>
      <c r="BJ462" s="7">
        <f t="shared" si="59"/>
        <v>0</v>
      </c>
      <c r="BL462" s="7">
        <f>'Gov Fd Rev'!AO462-'Gov Fd Exp'!BJ462</f>
        <v>0</v>
      </c>
      <c r="BR462" s="6">
        <v>0</v>
      </c>
      <c r="BT462" s="7">
        <f t="shared" si="60"/>
        <v>0</v>
      </c>
      <c r="BU462" s="7"/>
      <c r="BV462" s="7">
        <f>BT462-'Gov Fd BS'!AC462</f>
        <v>0</v>
      </c>
      <c r="BW462" s="7"/>
    </row>
    <row r="463" spans="1:75">
      <c r="A463" s="11" t="s">
        <v>329</v>
      </c>
      <c r="B463" s="11"/>
      <c r="C463" s="11" t="s">
        <v>32</v>
      </c>
      <c r="E463" s="6">
        <v>31711828</v>
      </c>
      <c r="G463" s="6">
        <v>8293225</v>
      </c>
      <c r="I463" s="6">
        <v>115408</v>
      </c>
      <c r="K463" s="6">
        <v>0</v>
      </c>
      <c r="M463" s="6">
        <v>2229522</v>
      </c>
      <c r="O463" s="6">
        <v>4113558</v>
      </c>
      <c r="Q463" s="6">
        <v>6979434</v>
      </c>
      <c r="S463" s="6">
        <v>224251</v>
      </c>
      <c r="U463" s="6">
        <v>5934410</v>
      </c>
      <c r="W463" s="6">
        <v>2026008</v>
      </c>
      <c r="Y463" s="6">
        <v>185583</v>
      </c>
      <c r="AA463" s="6">
        <v>7072906</v>
      </c>
      <c r="AC463" s="6">
        <v>4482907</v>
      </c>
      <c r="AE463" s="6">
        <v>1427616</v>
      </c>
      <c r="AG463" s="6">
        <v>0</v>
      </c>
      <c r="AI463" s="6">
        <v>4175626</v>
      </c>
      <c r="AJ463" s="11" t="s">
        <v>329</v>
      </c>
      <c r="AK463" s="11"/>
      <c r="AL463" s="11" t="s">
        <v>32</v>
      </c>
      <c r="AN463" s="6">
        <v>1079342</v>
      </c>
      <c r="AP463" s="6">
        <v>18814067</v>
      </c>
      <c r="AR463" s="6">
        <v>0</v>
      </c>
      <c r="AT463" s="6">
        <v>1642570</v>
      </c>
      <c r="AV463" s="6">
        <f>10931934+236004</f>
        <v>11167938</v>
      </c>
      <c r="AX463" s="6">
        <v>0</v>
      </c>
      <c r="AZ463" s="7">
        <f t="shared" si="61"/>
        <v>111676199</v>
      </c>
      <c r="BB463" s="6">
        <v>1141801</v>
      </c>
      <c r="BD463" s="6">
        <v>0</v>
      </c>
      <c r="BF463" s="6">
        <v>0</v>
      </c>
      <c r="BH463" s="6">
        <v>237997</v>
      </c>
      <c r="BJ463" s="7">
        <f t="shared" si="59"/>
        <v>113055997</v>
      </c>
      <c r="BL463" s="7">
        <f>'Gov Fd Rev'!AO463-'Gov Fd Exp'!BJ463</f>
        <v>-7810686</v>
      </c>
      <c r="BN463" s="6">
        <v>144719003</v>
      </c>
      <c r="BP463" s="6">
        <v>0</v>
      </c>
      <c r="BR463" s="6">
        <v>0</v>
      </c>
      <c r="BT463" s="7">
        <f t="shared" si="60"/>
        <v>136908317</v>
      </c>
      <c r="BU463" s="7"/>
      <c r="BV463" s="7">
        <f>BT463-'Gov Fd BS'!AC463</f>
        <v>0</v>
      </c>
      <c r="BW463" s="7"/>
    </row>
    <row r="464" spans="1:75" hidden="1">
      <c r="A464" s="11" t="s">
        <v>823</v>
      </c>
      <c r="B464" s="11"/>
      <c r="C464" s="11" t="s">
        <v>53</v>
      </c>
      <c r="AJ464" s="11" t="s">
        <v>823</v>
      </c>
      <c r="AK464" s="11"/>
      <c r="AL464" s="11" t="s">
        <v>53</v>
      </c>
      <c r="AR464" s="6">
        <v>0</v>
      </c>
      <c r="AX464" s="6">
        <v>0</v>
      </c>
      <c r="AZ464" s="7">
        <f t="shared" ref="AZ464" si="62">SUM(E464:AX464)</f>
        <v>0</v>
      </c>
      <c r="BD464" s="6">
        <v>0</v>
      </c>
      <c r="BF464" s="6">
        <v>0</v>
      </c>
      <c r="BH464" s="6">
        <v>0</v>
      </c>
      <c r="BJ464" s="7">
        <f t="shared" ref="BJ464" si="63">AZ464+BB464+BH464</f>
        <v>0</v>
      </c>
      <c r="BL464" s="7">
        <f>'Gov Fd Rev'!AO464-'Gov Fd Exp'!BJ464</f>
        <v>0</v>
      </c>
      <c r="BR464" s="6">
        <v>0</v>
      </c>
      <c r="BT464" s="7">
        <f t="shared" si="60"/>
        <v>0</v>
      </c>
      <c r="BU464" s="7"/>
      <c r="BV464" s="7">
        <f>BT464-'Gov Fd BS'!AC464</f>
        <v>0</v>
      </c>
      <c r="BW464" s="7"/>
    </row>
    <row r="465" spans="1:75" hidden="1">
      <c r="A465" s="11" t="s">
        <v>824</v>
      </c>
      <c r="B465" s="11"/>
      <c r="C465" s="11" t="s">
        <v>12</v>
      </c>
      <c r="AJ465" s="11" t="s">
        <v>824</v>
      </c>
      <c r="AK465" s="11"/>
      <c r="AL465" s="11" t="s">
        <v>12</v>
      </c>
      <c r="AR465" s="6">
        <v>0</v>
      </c>
      <c r="AX465" s="6">
        <v>0</v>
      </c>
      <c r="AZ465" s="7">
        <f t="shared" si="61"/>
        <v>0</v>
      </c>
      <c r="BD465" s="6">
        <v>0</v>
      </c>
      <c r="BF465" s="6">
        <v>0</v>
      </c>
      <c r="BH465" s="6">
        <v>0</v>
      </c>
      <c r="BJ465" s="7">
        <f t="shared" si="59"/>
        <v>0</v>
      </c>
      <c r="BL465" s="7">
        <f>'Gov Fd Rev'!AO465-'Gov Fd Exp'!BJ465</f>
        <v>0</v>
      </c>
      <c r="BR465" s="6">
        <v>0</v>
      </c>
      <c r="BT465" s="7">
        <f t="shared" si="60"/>
        <v>0</v>
      </c>
      <c r="BU465" s="7"/>
      <c r="BV465" s="7">
        <f>BT465-'Gov Fd BS'!AC465</f>
        <v>0</v>
      </c>
      <c r="BW465" s="7"/>
    </row>
    <row r="466" spans="1:75">
      <c r="A466" s="11" t="s">
        <v>632</v>
      </c>
      <c r="B466" s="11"/>
      <c r="C466" s="11" t="s">
        <v>56</v>
      </c>
      <c r="E466" s="6">
        <v>11419774</v>
      </c>
      <c r="G466" s="6">
        <v>5254957</v>
      </c>
      <c r="I466" s="6">
        <v>360306</v>
      </c>
      <c r="K466" s="6">
        <v>0</v>
      </c>
      <c r="M466" s="6">
        <v>2014943</v>
      </c>
      <c r="O466" s="6">
        <v>1436318</v>
      </c>
      <c r="Q466" s="6">
        <v>930216</v>
      </c>
      <c r="S466" s="6">
        <v>44077</v>
      </c>
      <c r="U466" s="6">
        <v>2491994</v>
      </c>
      <c r="W466" s="6">
        <v>715190</v>
      </c>
      <c r="Y466" s="6">
        <v>270257</v>
      </c>
      <c r="AA466" s="6">
        <v>3056646</v>
      </c>
      <c r="AC466" s="6">
        <v>1441301</v>
      </c>
      <c r="AE466" s="6">
        <v>711085</v>
      </c>
      <c r="AG466" s="6">
        <v>1311576</v>
      </c>
      <c r="AI466" s="6">
        <v>259143</v>
      </c>
      <c r="AJ466" s="11" t="s">
        <v>632</v>
      </c>
      <c r="AK466" s="11"/>
      <c r="AL466" s="11" t="s">
        <v>56</v>
      </c>
      <c r="AN466" s="6">
        <v>744899</v>
      </c>
      <c r="AP466" s="6">
        <v>1089050</v>
      </c>
      <c r="AR466" s="6">
        <v>0</v>
      </c>
      <c r="AT466" s="6">
        <v>754013</v>
      </c>
      <c r="AV466" s="6">
        <v>666175</v>
      </c>
      <c r="AX466" s="6">
        <v>0</v>
      </c>
      <c r="AZ466" s="7">
        <f t="shared" si="61"/>
        <v>34971920</v>
      </c>
      <c r="BB466" s="6">
        <v>246539</v>
      </c>
      <c r="BD466" s="6">
        <v>0</v>
      </c>
      <c r="BF466" s="6">
        <v>0</v>
      </c>
      <c r="BH466" s="6">
        <v>0</v>
      </c>
      <c r="BJ466" s="7">
        <f t="shared" si="59"/>
        <v>35218459</v>
      </c>
      <c r="BL466" s="7">
        <f>'Gov Fd Rev'!AO466-'Gov Fd Exp'!BJ466</f>
        <v>-1792525</v>
      </c>
      <c r="BN466" s="6">
        <v>4654427</v>
      </c>
      <c r="BP466" s="6">
        <v>0</v>
      </c>
      <c r="BR466" s="6">
        <v>0</v>
      </c>
      <c r="BT466" s="7">
        <f t="shared" si="60"/>
        <v>2861902</v>
      </c>
      <c r="BU466" s="7"/>
      <c r="BV466" s="7">
        <f>BT466-'Gov Fd BS'!AC466</f>
        <v>0</v>
      </c>
      <c r="BW466" s="7"/>
    </row>
    <row r="467" spans="1:75">
      <c r="A467" s="11" t="s">
        <v>330</v>
      </c>
      <c r="B467" s="11"/>
      <c r="C467" s="11" t="s">
        <v>32</v>
      </c>
      <c r="E467" s="6">
        <v>6939642</v>
      </c>
      <c r="G467" s="6">
        <v>2337837</v>
      </c>
      <c r="I467" s="6">
        <v>2678</v>
      </c>
      <c r="K467" s="6">
        <v>0</v>
      </c>
      <c r="M467" s="6">
        <v>595815</v>
      </c>
      <c r="O467" s="6">
        <v>1020015</v>
      </c>
      <c r="Q467" s="6">
        <v>302389</v>
      </c>
      <c r="S467" s="6">
        <v>54443</v>
      </c>
      <c r="U467" s="6">
        <v>1384869</v>
      </c>
      <c r="W467" s="6">
        <v>343602</v>
      </c>
      <c r="Y467" s="6">
        <v>0</v>
      </c>
      <c r="AA467" s="6">
        <v>1045167</v>
      </c>
      <c r="AC467" s="6">
        <v>267733</v>
      </c>
      <c r="AE467" s="6">
        <v>305509</v>
      </c>
      <c r="AG467" s="6">
        <v>0</v>
      </c>
      <c r="AI467" s="6">
        <v>1438076</v>
      </c>
      <c r="AJ467" s="11" t="s">
        <v>330</v>
      </c>
      <c r="AK467" s="11"/>
      <c r="AL467" s="11" t="s">
        <v>32</v>
      </c>
      <c r="AN467" s="6">
        <v>517923</v>
      </c>
      <c r="AP467" s="6">
        <v>189416</v>
      </c>
      <c r="AR467" s="6">
        <v>0</v>
      </c>
      <c r="AT467" s="6">
        <v>103227</v>
      </c>
      <c r="AV467" s="6">
        <v>14147</v>
      </c>
      <c r="AX467" s="6">
        <v>0</v>
      </c>
      <c r="AZ467" s="7">
        <f t="shared" si="61"/>
        <v>16862488</v>
      </c>
      <c r="BB467" s="6">
        <v>59300</v>
      </c>
      <c r="BD467" s="6">
        <v>0</v>
      </c>
      <c r="BF467" s="6">
        <v>0</v>
      </c>
      <c r="BH467" s="6">
        <v>0</v>
      </c>
      <c r="BJ467" s="7">
        <f t="shared" si="59"/>
        <v>16921788</v>
      </c>
      <c r="BL467" s="7">
        <f>'Gov Fd Rev'!AO467-'Gov Fd Exp'!BJ467</f>
        <v>592443</v>
      </c>
      <c r="BN467" s="6">
        <v>4397031</v>
      </c>
      <c r="BP467" s="6">
        <v>0</v>
      </c>
      <c r="BR467" s="6">
        <v>0</v>
      </c>
      <c r="BT467" s="7">
        <f t="shared" si="60"/>
        <v>4989474</v>
      </c>
      <c r="BU467" s="7"/>
      <c r="BV467" s="7">
        <f>BT467-'Gov Fd BS'!AC467</f>
        <v>0</v>
      </c>
      <c r="BW467" s="7"/>
    </row>
    <row r="468" spans="1:75">
      <c r="A468" s="11" t="s">
        <v>513</v>
      </c>
      <c r="B468" s="11"/>
      <c r="C468" s="11" t="s">
        <v>63</v>
      </c>
      <c r="E468" s="6">
        <v>14592271</v>
      </c>
      <c r="G468" s="6">
        <v>934250</v>
      </c>
      <c r="I468" s="6">
        <v>302521</v>
      </c>
      <c r="K468" s="6">
        <v>0</v>
      </c>
      <c r="M468" s="6">
        <f>1919362+797291</f>
        <v>2716653</v>
      </c>
      <c r="O468" s="6">
        <v>1675870</v>
      </c>
      <c r="Q468" s="6">
        <v>1312697</v>
      </c>
      <c r="S468" s="6">
        <v>370130</v>
      </c>
      <c r="U468" s="6">
        <v>2262226</v>
      </c>
      <c r="W468" s="6">
        <v>1268311</v>
      </c>
      <c r="Y468" s="6">
        <v>87240</v>
      </c>
      <c r="AA468" s="6">
        <v>6324581</v>
      </c>
      <c r="AC468" s="6">
        <v>2309561</v>
      </c>
      <c r="AE468" s="6">
        <v>333496</v>
      </c>
      <c r="AG468" s="6">
        <v>849669</v>
      </c>
      <c r="AI468" s="6">
        <v>342214</v>
      </c>
      <c r="AJ468" s="11" t="s">
        <v>513</v>
      </c>
      <c r="AK468" s="11"/>
      <c r="AL468" s="11" t="s">
        <v>63</v>
      </c>
      <c r="AN468" s="6">
        <v>1226297</v>
      </c>
      <c r="AP468" s="6">
        <v>100</v>
      </c>
      <c r="AR468" s="6">
        <v>0</v>
      </c>
      <c r="AT468" s="6">
        <v>1095000</v>
      </c>
      <c r="AV468" s="6">
        <v>476057</v>
      </c>
      <c r="AX468" s="6">
        <v>0</v>
      </c>
      <c r="AZ468" s="7">
        <f t="shared" si="61"/>
        <v>38479144</v>
      </c>
      <c r="BB468" s="6">
        <v>80000</v>
      </c>
      <c r="BD468" s="6">
        <v>0</v>
      </c>
      <c r="BF468" s="6">
        <v>0</v>
      </c>
      <c r="BH468" s="6">
        <v>0</v>
      </c>
      <c r="BJ468" s="7">
        <f t="shared" si="59"/>
        <v>38559144</v>
      </c>
      <c r="BL468" s="7">
        <f>'Gov Fd Rev'!AO468-'Gov Fd Exp'!BJ468</f>
        <v>2004580</v>
      </c>
      <c r="BN468" s="6">
        <v>17400456</v>
      </c>
      <c r="BP468" s="6">
        <v>0</v>
      </c>
      <c r="BR468" s="6">
        <v>0</v>
      </c>
      <c r="BT468" s="7">
        <f t="shared" si="60"/>
        <v>19405036</v>
      </c>
      <c r="BU468" s="7"/>
      <c r="BV468" s="7">
        <f>BT468-'Gov Fd BS'!AC468</f>
        <v>0</v>
      </c>
      <c r="BW468" s="7"/>
    </row>
    <row r="469" spans="1:75" hidden="1">
      <c r="A469" s="11" t="s">
        <v>825</v>
      </c>
      <c r="B469" s="11"/>
      <c r="C469" s="11" t="s">
        <v>27</v>
      </c>
      <c r="AJ469" s="11" t="s">
        <v>825</v>
      </c>
      <c r="AK469" s="11"/>
      <c r="AL469" s="11" t="s">
        <v>27</v>
      </c>
      <c r="AR469" s="6">
        <v>0</v>
      </c>
      <c r="AX469" s="6">
        <v>0</v>
      </c>
      <c r="AZ469" s="7">
        <f t="shared" si="61"/>
        <v>0</v>
      </c>
      <c r="BD469" s="6">
        <v>0</v>
      </c>
      <c r="BF469" s="6">
        <v>0</v>
      </c>
      <c r="BH469" s="6">
        <v>0</v>
      </c>
      <c r="BJ469" s="7">
        <f t="shared" si="59"/>
        <v>0</v>
      </c>
      <c r="BL469" s="7">
        <f>'Gov Fd Rev'!AO469-'Gov Fd Exp'!BJ469</f>
        <v>0</v>
      </c>
      <c r="BR469" s="6">
        <v>0</v>
      </c>
      <c r="BT469" s="7">
        <f t="shared" si="60"/>
        <v>0</v>
      </c>
      <c r="BU469" s="7"/>
      <c r="BV469" s="7">
        <f>BT469-'Gov Fd BS'!AC469</f>
        <v>0</v>
      </c>
      <c r="BW469" s="7"/>
    </row>
    <row r="470" spans="1:75">
      <c r="A470" s="11" t="s">
        <v>276</v>
      </c>
      <c r="B470" s="11"/>
      <c r="C470" s="11" t="s">
        <v>20</v>
      </c>
      <c r="E470" s="6">
        <v>5355748</v>
      </c>
      <c r="G470" s="6">
        <v>1997783</v>
      </c>
      <c r="I470" s="6">
        <v>134831</v>
      </c>
      <c r="K470" s="6">
        <v>0</v>
      </c>
      <c r="M470" s="6">
        <v>0</v>
      </c>
      <c r="O470" s="6">
        <v>796242</v>
      </c>
      <c r="Q470" s="6">
        <v>194531</v>
      </c>
      <c r="S470" s="6">
        <v>499173</v>
      </c>
      <c r="U470" s="6">
        <v>1057813</v>
      </c>
      <c r="W470" s="6">
        <v>447338</v>
      </c>
      <c r="Y470" s="6">
        <v>1643</v>
      </c>
      <c r="AA470" s="6">
        <v>934636</v>
      </c>
      <c r="AC470" s="6">
        <v>1076093</v>
      </c>
      <c r="AE470" s="6">
        <v>137983</v>
      </c>
      <c r="AG470" s="6">
        <v>0</v>
      </c>
      <c r="AI470" s="6">
        <v>6793</v>
      </c>
      <c r="AJ470" s="11" t="s">
        <v>276</v>
      </c>
      <c r="AK470" s="11"/>
      <c r="AL470" s="11" t="s">
        <v>20</v>
      </c>
      <c r="AN470" s="6">
        <v>316949</v>
      </c>
      <c r="AP470" s="6">
        <v>151114</v>
      </c>
      <c r="AR470" s="6">
        <v>0</v>
      </c>
      <c r="AT470" s="6">
        <v>70589</v>
      </c>
      <c r="AV470" s="6">
        <v>52599</v>
      </c>
      <c r="AX470" s="6">
        <v>0</v>
      </c>
      <c r="AZ470" s="7">
        <f t="shared" si="61"/>
        <v>13231858</v>
      </c>
      <c r="BB470" s="6">
        <v>139430</v>
      </c>
      <c r="BD470" s="6">
        <v>0</v>
      </c>
      <c r="BF470" s="6">
        <v>0</v>
      </c>
      <c r="BH470" s="6">
        <v>0</v>
      </c>
      <c r="BJ470" s="7">
        <f t="shared" si="59"/>
        <v>13371288</v>
      </c>
      <c r="BL470" s="7">
        <f>'Gov Fd Rev'!AO470-'Gov Fd Exp'!BJ470</f>
        <v>-1778835</v>
      </c>
      <c r="BN470" s="6">
        <v>1614823</v>
      </c>
      <c r="BP470" s="6">
        <v>0</v>
      </c>
      <c r="BR470" s="6">
        <v>0</v>
      </c>
      <c r="BT470" s="7">
        <f t="shared" si="60"/>
        <v>-164012</v>
      </c>
      <c r="BU470" s="7"/>
      <c r="BV470" s="7">
        <f>BT470-'Gov Fd BS'!AC470</f>
        <v>0</v>
      </c>
      <c r="BW470" s="7"/>
    </row>
    <row r="471" spans="1:75">
      <c r="A471" s="11" t="s">
        <v>412</v>
      </c>
      <c r="B471" s="11"/>
      <c r="C471" s="11" t="s">
        <v>46</v>
      </c>
      <c r="E471" s="6">
        <v>3118301</v>
      </c>
      <c r="G471" s="6">
        <v>637551</v>
      </c>
      <c r="I471" s="6">
        <v>206691</v>
      </c>
      <c r="K471" s="6">
        <v>0</v>
      </c>
      <c r="M471" s="6">
        <f>698+1096063</f>
        <v>1096761</v>
      </c>
      <c r="O471" s="6">
        <v>273935</v>
      </c>
      <c r="Q471" s="6">
        <v>301004</v>
      </c>
      <c r="S471" s="6">
        <v>38047</v>
      </c>
      <c r="U471" s="6">
        <v>698063</v>
      </c>
      <c r="W471" s="6">
        <v>229001</v>
      </c>
      <c r="Y471" s="6">
        <v>0</v>
      </c>
      <c r="AA471" s="6">
        <v>560606</v>
      </c>
      <c r="AC471" s="6">
        <v>416378</v>
      </c>
      <c r="AE471" s="6">
        <v>46672</v>
      </c>
      <c r="AG471" s="6">
        <v>348686</v>
      </c>
      <c r="AI471" s="6">
        <v>13374</v>
      </c>
      <c r="AJ471" s="11" t="s">
        <v>412</v>
      </c>
      <c r="AK471" s="11"/>
      <c r="AL471" s="11" t="s">
        <v>46</v>
      </c>
      <c r="AN471" s="6">
        <v>225352</v>
      </c>
      <c r="AP471" s="6">
        <v>0</v>
      </c>
      <c r="AR471" s="6">
        <v>0</v>
      </c>
      <c r="AT471" s="6">
        <v>66918</v>
      </c>
      <c r="AV471" s="6">
        <v>10993</v>
      </c>
      <c r="AX471" s="6">
        <v>0</v>
      </c>
      <c r="AZ471" s="7">
        <f t="shared" si="61"/>
        <v>8288333</v>
      </c>
      <c r="BB471" s="6">
        <v>0</v>
      </c>
      <c r="BD471" s="6">
        <v>0</v>
      </c>
      <c r="BF471" s="6">
        <v>0</v>
      </c>
      <c r="BH471" s="6">
        <v>0</v>
      </c>
      <c r="BJ471" s="7">
        <f t="shared" si="59"/>
        <v>8288333</v>
      </c>
      <c r="BL471" s="7">
        <f>'Gov Fd Rev'!AO471-'Gov Fd Exp'!BJ471</f>
        <v>685750</v>
      </c>
      <c r="BN471" s="6">
        <v>2787340</v>
      </c>
      <c r="BP471" s="6">
        <v>0</v>
      </c>
      <c r="BR471" s="6">
        <v>0</v>
      </c>
      <c r="BT471" s="7">
        <f t="shared" si="60"/>
        <v>3473090</v>
      </c>
      <c r="BU471" s="7"/>
      <c r="BV471" s="7">
        <f>BT471-'Gov Fd BS'!AC471</f>
        <v>0</v>
      </c>
      <c r="BW471" s="7"/>
    </row>
    <row r="472" spans="1:75" hidden="1">
      <c r="A472" s="11" t="s">
        <v>897</v>
      </c>
      <c r="B472" s="11"/>
      <c r="C472" s="11" t="s">
        <v>339</v>
      </c>
      <c r="E472" s="6">
        <v>0</v>
      </c>
      <c r="G472" s="6">
        <v>0</v>
      </c>
      <c r="I472" s="6">
        <v>0</v>
      </c>
      <c r="K472" s="6">
        <v>0</v>
      </c>
      <c r="M472" s="6">
        <v>0</v>
      </c>
      <c r="O472" s="6">
        <v>0</v>
      </c>
      <c r="Q472" s="6">
        <v>0</v>
      </c>
      <c r="S472" s="6">
        <v>0</v>
      </c>
      <c r="U472" s="6">
        <v>0</v>
      </c>
      <c r="W472" s="6">
        <v>0</v>
      </c>
      <c r="Y472" s="6">
        <v>0</v>
      </c>
      <c r="AA472" s="6">
        <v>0</v>
      </c>
      <c r="AC472" s="6">
        <v>0</v>
      </c>
      <c r="AE472" s="6">
        <v>0</v>
      </c>
      <c r="AG472" s="6">
        <v>0</v>
      </c>
      <c r="AI472" s="6">
        <v>0</v>
      </c>
      <c r="AJ472" s="11" t="s">
        <v>897</v>
      </c>
      <c r="AK472" s="11"/>
      <c r="AL472" s="11" t="s">
        <v>339</v>
      </c>
      <c r="AN472" s="6">
        <v>0</v>
      </c>
      <c r="AP472" s="6">
        <v>0</v>
      </c>
      <c r="AR472" s="6">
        <v>0</v>
      </c>
      <c r="AT472" s="6">
        <v>0</v>
      </c>
      <c r="AV472" s="6">
        <v>0</v>
      </c>
      <c r="AX472" s="6">
        <v>0</v>
      </c>
      <c r="AZ472" s="7">
        <f t="shared" si="61"/>
        <v>0</v>
      </c>
      <c r="BB472" s="6">
        <v>0</v>
      </c>
      <c r="BD472" s="6">
        <v>0</v>
      </c>
      <c r="BF472" s="6">
        <v>0</v>
      </c>
      <c r="BH472" s="6">
        <v>0</v>
      </c>
      <c r="BJ472" s="7">
        <f t="shared" si="59"/>
        <v>0</v>
      </c>
      <c r="BL472" s="7">
        <f>'Gov Fd Rev'!AO472-'Gov Fd Exp'!BJ472</f>
        <v>0</v>
      </c>
      <c r="BP472" s="6">
        <v>0</v>
      </c>
      <c r="BR472" s="6">
        <v>0</v>
      </c>
      <c r="BT472" s="7">
        <f t="shared" si="60"/>
        <v>0</v>
      </c>
      <c r="BU472" s="7"/>
      <c r="BV472" s="7">
        <f>BT472-'Gov Fd BS'!AC472</f>
        <v>0</v>
      </c>
      <c r="BW472" s="7"/>
    </row>
    <row r="473" spans="1:75">
      <c r="A473" s="11" t="s">
        <v>254</v>
      </c>
      <c r="B473" s="11"/>
      <c r="C473" s="11" t="s">
        <v>19</v>
      </c>
      <c r="E473" s="6">
        <v>5043742</v>
      </c>
      <c r="G473" s="6">
        <v>1006716</v>
      </c>
      <c r="I473" s="6">
        <v>242544</v>
      </c>
      <c r="K473" s="6">
        <v>0</v>
      </c>
      <c r="M473" s="6">
        <v>50709</v>
      </c>
      <c r="O473" s="6">
        <v>577645</v>
      </c>
      <c r="Q473" s="6">
        <v>492752</v>
      </c>
      <c r="S473" s="6">
        <v>20297</v>
      </c>
      <c r="U473" s="6">
        <v>904400</v>
      </c>
      <c r="W473" s="6">
        <v>369087</v>
      </c>
      <c r="Y473" s="6">
        <v>15121</v>
      </c>
      <c r="AA473" s="6">
        <v>1425218</v>
      </c>
      <c r="AC473" s="6">
        <v>1041336</v>
      </c>
      <c r="AE473" s="6">
        <v>3102</v>
      </c>
      <c r="AG473" s="6">
        <v>679924</v>
      </c>
      <c r="AI473" s="6">
        <v>0</v>
      </c>
      <c r="AJ473" s="11" t="s">
        <v>254</v>
      </c>
      <c r="AK473" s="11"/>
      <c r="AL473" s="11" t="s">
        <v>19</v>
      </c>
      <c r="AN473" s="6">
        <v>392814</v>
      </c>
      <c r="AP473" s="6">
        <v>58640</v>
      </c>
      <c r="AR473" s="6">
        <v>0</v>
      </c>
      <c r="AT473" s="6">
        <v>222742</v>
      </c>
      <c r="AV473" s="6">
        <v>110658</v>
      </c>
      <c r="AX473" s="6">
        <v>0</v>
      </c>
      <c r="AZ473" s="7">
        <f t="shared" si="61"/>
        <v>12657447</v>
      </c>
      <c r="BB473" s="6">
        <v>0</v>
      </c>
      <c r="BD473" s="6">
        <v>0</v>
      </c>
      <c r="BF473" s="6">
        <v>0</v>
      </c>
      <c r="BH473" s="6">
        <v>0</v>
      </c>
      <c r="BJ473" s="7">
        <f t="shared" si="59"/>
        <v>12657447</v>
      </c>
      <c r="BL473" s="7">
        <f>'Gov Fd Rev'!AO473-'Gov Fd Exp'!BJ473</f>
        <v>549090</v>
      </c>
      <c r="BN473" s="6">
        <v>3534046</v>
      </c>
      <c r="BP473" s="6">
        <v>0</v>
      </c>
      <c r="BR473" s="6">
        <v>0</v>
      </c>
      <c r="BT473" s="7">
        <f t="shared" si="60"/>
        <v>4083136</v>
      </c>
      <c r="BU473" s="7"/>
      <c r="BV473" s="7">
        <f>BT473-'Gov Fd BS'!AC473</f>
        <v>0</v>
      </c>
      <c r="BW473" s="7"/>
    </row>
    <row r="474" spans="1:75" hidden="1">
      <c r="A474" s="11" t="s">
        <v>826</v>
      </c>
      <c r="B474" s="11"/>
      <c r="C474" s="11" t="s">
        <v>77</v>
      </c>
      <c r="AJ474" s="11" t="s">
        <v>826</v>
      </c>
      <c r="AK474" s="11"/>
      <c r="AL474" s="11" t="s">
        <v>77</v>
      </c>
      <c r="AR474" s="6">
        <v>0</v>
      </c>
      <c r="AX474" s="6">
        <v>0</v>
      </c>
      <c r="AZ474" s="7">
        <f t="shared" si="61"/>
        <v>0</v>
      </c>
      <c r="BD474" s="6">
        <v>0</v>
      </c>
      <c r="BF474" s="6">
        <v>0</v>
      </c>
      <c r="BH474" s="6">
        <v>0</v>
      </c>
      <c r="BJ474" s="7">
        <f t="shared" si="59"/>
        <v>0</v>
      </c>
      <c r="BL474" s="7">
        <f>'Gov Fd Rev'!AO474-'Gov Fd Exp'!BJ474</f>
        <v>0</v>
      </c>
      <c r="BR474" s="6">
        <v>0</v>
      </c>
      <c r="BT474" s="7">
        <f t="shared" si="60"/>
        <v>0</v>
      </c>
      <c r="BU474" s="7"/>
      <c r="BV474" s="7">
        <f>BT474-'Gov Fd BS'!AC474</f>
        <v>0</v>
      </c>
      <c r="BW474" s="7"/>
    </row>
    <row r="475" spans="1:75" hidden="1">
      <c r="A475" s="11" t="s">
        <v>827</v>
      </c>
      <c r="B475" s="11"/>
      <c r="C475" s="11" t="s">
        <v>71</v>
      </c>
      <c r="AJ475" s="11" t="s">
        <v>827</v>
      </c>
      <c r="AK475" s="11"/>
      <c r="AL475" s="11" t="s">
        <v>71</v>
      </c>
      <c r="AR475" s="6">
        <v>0</v>
      </c>
      <c r="AX475" s="6">
        <v>0</v>
      </c>
      <c r="AZ475" s="7">
        <f t="shared" si="61"/>
        <v>0</v>
      </c>
      <c r="BD475" s="6">
        <v>0</v>
      </c>
      <c r="BF475" s="6">
        <v>0</v>
      </c>
      <c r="BH475" s="6">
        <v>0</v>
      </c>
      <c r="BJ475" s="7">
        <f t="shared" si="59"/>
        <v>0</v>
      </c>
      <c r="BL475" s="7">
        <f>'Gov Fd Rev'!AO475-'Gov Fd Exp'!BJ475</f>
        <v>0</v>
      </c>
      <c r="BR475" s="6">
        <v>0</v>
      </c>
      <c r="BT475" s="7">
        <f t="shared" si="60"/>
        <v>0</v>
      </c>
      <c r="BU475" s="7"/>
      <c r="BV475" s="7">
        <f>BT475-'Gov Fd BS'!AC475</f>
        <v>0</v>
      </c>
      <c r="BW475" s="7"/>
    </row>
    <row r="476" spans="1:75">
      <c r="A476" s="11" t="s">
        <v>413</v>
      </c>
      <c r="B476" s="11"/>
      <c r="C476" s="11" t="s">
        <v>46</v>
      </c>
      <c r="E476" s="6">
        <v>8178023</v>
      </c>
      <c r="G476" s="6">
        <v>1665625</v>
      </c>
      <c r="I476" s="6">
        <v>260899</v>
      </c>
      <c r="K476" s="6">
        <v>0</v>
      </c>
      <c r="M476" s="6">
        <v>0</v>
      </c>
      <c r="O476" s="6">
        <v>423254</v>
      </c>
      <c r="Q476" s="6">
        <v>920449</v>
      </c>
      <c r="S476" s="6">
        <v>17974</v>
      </c>
      <c r="U476" s="6">
        <v>1449274</v>
      </c>
      <c r="W476" s="6">
        <v>448419</v>
      </c>
      <c r="Y476" s="6">
        <v>52255</v>
      </c>
      <c r="AA476" s="6">
        <v>1344345</v>
      </c>
      <c r="AC476" s="6">
        <v>1386846</v>
      </c>
      <c r="AE476" s="6">
        <v>81908</v>
      </c>
      <c r="AG476" s="6">
        <v>0</v>
      </c>
      <c r="AI476" s="6">
        <v>763377</v>
      </c>
      <c r="AJ476" s="11" t="s">
        <v>413</v>
      </c>
      <c r="AK476" s="11"/>
      <c r="AL476" s="11" t="s">
        <v>46</v>
      </c>
      <c r="AN476" s="6">
        <v>399311</v>
      </c>
      <c r="AP476" s="6">
        <v>382310</v>
      </c>
      <c r="AR476" s="6">
        <v>0</v>
      </c>
      <c r="AT476" s="6">
        <v>945395</v>
      </c>
      <c r="AV476" s="6">
        <v>557369</v>
      </c>
      <c r="AX476" s="6">
        <v>0</v>
      </c>
      <c r="AZ476" s="7">
        <f t="shared" si="61"/>
        <v>19277033</v>
      </c>
      <c r="BB476" s="6">
        <v>45000</v>
      </c>
      <c r="BD476" s="6">
        <v>0</v>
      </c>
      <c r="BF476" s="6">
        <v>0</v>
      </c>
      <c r="BH476" s="6">
        <v>0</v>
      </c>
      <c r="BJ476" s="7">
        <f t="shared" si="59"/>
        <v>19322033</v>
      </c>
      <c r="BL476" s="7">
        <f>'Gov Fd Rev'!AO476-'Gov Fd Exp'!BJ476</f>
        <v>342433</v>
      </c>
      <c r="BN476" s="6">
        <v>5356966</v>
      </c>
      <c r="BP476" s="6">
        <v>0</v>
      </c>
      <c r="BR476" s="6">
        <v>0</v>
      </c>
      <c r="BT476" s="7">
        <f t="shared" si="60"/>
        <v>5699399</v>
      </c>
      <c r="BU476" s="7"/>
      <c r="BV476" s="7">
        <f>BT476-'Gov Fd BS'!AC476</f>
        <v>0</v>
      </c>
      <c r="BW476" s="7"/>
    </row>
    <row r="477" spans="1:75">
      <c r="A477" s="11" t="s">
        <v>255</v>
      </c>
      <c r="B477" s="11"/>
      <c r="C477" s="11" t="s">
        <v>19</v>
      </c>
      <c r="E477" s="6">
        <v>9719628</v>
      </c>
      <c r="G477" s="6">
        <v>2368904</v>
      </c>
      <c r="I477" s="6">
        <v>353409</v>
      </c>
      <c r="K477" s="6">
        <v>0</v>
      </c>
      <c r="M477" s="6">
        <v>0</v>
      </c>
      <c r="O477" s="6">
        <v>858446</v>
      </c>
      <c r="Q477" s="6">
        <v>1398107</v>
      </c>
      <c r="S477" s="6">
        <v>54242</v>
      </c>
      <c r="U477" s="6">
        <v>1537604</v>
      </c>
      <c r="W477" s="6">
        <v>691309</v>
      </c>
      <c r="Y477" s="6">
        <v>0</v>
      </c>
      <c r="AA477" s="6">
        <v>1883242</v>
      </c>
      <c r="AC477" s="6">
        <v>1598017</v>
      </c>
      <c r="AE477" s="6">
        <v>749903</v>
      </c>
      <c r="AG477" s="6">
        <v>974004</v>
      </c>
      <c r="AI477" s="6">
        <v>8567</v>
      </c>
      <c r="AJ477" s="11" t="s">
        <v>255</v>
      </c>
      <c r="AK477" s="11"/>
      <c r="AL477" s="11" t="s">
        <v>19</v>
      </c>
      <c r="AN477" s="6">
        <v>393806</v>
      </c>
      <c r="AP477" s="6">
        <v>7873</v>
      </c>
      <c r="AR477" s="6">
        <v>0</v>
      </c>
      <c r="AT477" s="6">
        <v>167767</v>
      </c>
      <c r="AV477" s="6">
        <v>61138</v>
      </c>
      <c r="AX477" s="6">
        <v>0</v>
      </c>
      <c r="AZ477" s="7">
        <f t="shared" si="61"/>
        <v>22825966</v>
      </c>
      <c r="BB477" s="6">
        <v>0</v>
      </c>
      <c r="BD477" s="6">
        <v>0</v>
      </c>
      <c r="BF477" s="6">
        <v>0</v>
      </c>
      <c r="BH477" s="6">
        <v>0</v>
      </c>
      <c r="BJ477" s="7">
        <f t="shared" si="59"/>
        <v>22825966</v>
      </c>
      <c r="BL477" s="7">
        <f>'Gov Fd Rev'!AO477-'Gov Fd Exp'!BJ477</f>
        <v>1230968</v>
      </c>
      <c r="BN477" s="6">
        <v>5657065</v>
      </c>
      <c r="BP477" s="6">
        <v>0</v>
      </c>
      <c r="BR477" s="6">
        <v>0</v>
      </c>
      <c r="BT477" s="7">
        <f t="shared" si="60"/>
        <v>6888033</v>
      </c>
      <c r="BU477" s="7"/>
      <c r="BV477" s="7">
        <f>BT477-'Gov Fd BS'!AC477</f>
        <v>0</v>
      </c>
      <c r="BW477" s="7"/>
    </row>
    <row r="478" spans="1:75" hidden="1">
      <c r="A478" s="11" t="s">
        <v>828</v>
      </c>
      <c r="B478" s="11"/>
      <c r="C478" s="11" t="s">
        <v>339</v>
      </c>
      <c r="AJ478" s="11" t="s">
        <v>828</v>
      </c>
      <c r="AK478" s="11"/>
      <c r="AL478" s="11" t="s">
        <v>339</v>
      </c>
      <c r="AR478" s="6">
        <v>0</v>
      </c>
      <c r="AX478" s="6">
        <v>0</v>
      </c>
      <c r="AZ478" s="7">
        <f t="shared" si="61"/>
        <v>0</v>
      </c>
      <c r="BD478" s="6">
        <v>0</v>
      </c>
      <c r="BF478" s="6">
        <v>0</v>
      </c>
      <c r="BH478" s="6">
        <v>0</v>
      </c>
      <c r="BJ478" s="7">
        <f t="shared" si="59"/>
        <v>0</v>
      </c>
      <c r="BL478" s="7">
        <f>'Gov Fd Rev'!AO478-'Gov Fd Exp'!BJ478</f>
        <v>0</v>
      </c>
      <c r="BR478" s="6">
        <v>0</v>
      </c>
      <c r="BT478" s="7">
        <f t="shared" si="60"/>
        <v>0</v>
      </c>
      <c r="BU478" s="7"/>
      <c r="BV478" s="7">
        <f>BT478-'Gov Fd BS'!AC478</f>
        <v>0</v>
      </c>
      <c r="BW478" s="7"/>
    </row>
    <row r="479" spans="1:75" s="28" customFormat="1">
      <c r="A479" s="27" t="s">
        <v>379</v>
      </c>
      <c r="B479" s="27"/>
      <c r="C479" s="27" t="s">
        <v>41</v>
      </c>
      <c r="E479" s="28">
        <v>19386551</v>
      </c>
      <c r="G479" s="28">
        <v>4022749</v>
      </c>
      <c r="I479" s="28">
        <v>0</v>
      </c>
      <c r="K479" s="28">
        <v>0</v>
      </c>
      <c r="M479" s="28">
        <v>1821276</v>
      </c>
      <c r="O479" s="28">
        <v>2068084</v>
      </c>
      <c r="Q479" s="28">
        <v>1382584</v>
      </c>
      <c r="S479" s="28">
        <v>20995</v>
      </c>
      <c r="U479" s="28">
        <v>4265411</v>
      </c>
      <c r="W479" s="28">
        <v>1107478</v>
      </c>
      <c r="Y479" s="28">
        <v>5331</v>
      </c>
      <c r="AA479" s="28">
        <v>4566503</v>
      </c>
      <c r="AC479" s="28">
        <v>3633667</v>
      </c>
      <c r="AE479" s="28">
        <v>47347</v>
      </c>
      <c r="AG479" s="28">
        <v>29114</v>
      </c>
      <c r="AI479" s="28">
        <v>30548</v>
      </c>
      <c r="AJ479" s="27" t="s">
        <v>379</v>
      </c>
      <c r="AK479" s="27"/>
      <c r="AL479" s="27" t="s">
        <v>41</v>
      </c>
      <c r="AN479" s="28">
        <v>715365</v>
      </c>
      <c r="AP479" s="28">
        <v>174286</v>
      </c>
      <c r="AR479" s="28">
        <v>0</v>
      </c>
      <c r="AT479" s="28">
        <v>735534</v>
      </c>
      <c r="AV479" s="28">
        <v>146232</v>
      </c>
      <c r="AX479" s="28">
        <v>0</v>
      </c>
      <c r="AZ479" s="32">
        <f t="shared" si="61"/>
        <v>44159055</v>
      </c>
      <c r="BB479" s="28">
        <v>82555</v>
      </c>
      <c r="BD479" s="28">
        <v>0</v>
      </c>
      <c r="BF479" s="28">
        <v>0</v>
      </c>
      <c r="BH479" s="28">
        <v>0</v>
      </c>
      <c r="BJ479" s="32">
        <f t="shared" si="59"/>
        <v>44241610</v>
      </c>
      <c r="BL479" s="32">
        <f>'Gov Fd Rev'!AO479-'Gov Fd Exp'!BJ479</f>
        <v>2311692</v>
      </c>
      <c r="BN479" s="28">
        <v>826994</v>
      </c>
      <c r="BP479" s="28">
        <v>-45832</v>
      </c>
      <c r="BR479" s="28">
        <v>0</v>
      </c>
      <c r="BT479" s="32">
        <f t="shared" si="60"/>
        <v>3092854</v>
      </c>
      <c r="BU479" s="32"/>
      <c r="BV479" s="32">
        <f>BT479-'Gov Fd BS'!AC479</f>
        <v>0</v>
      </c>
      <c r="BW479" s="32"/>
    </row>
    <row r="480" spans="1:75">
      <c r="A480" s="11" t="s">
        <v>379</v>
      </c>
      <c r="B480" s="11"/>
      <c r="C480" s="11" t="s">
        <v>43</v>
      </c>
      <c r="E480" s="6">
        <v>3707066</v>
      </c>
      <c r="G480" s="6">
        <v>1019984</v>
      </c>
      <c r="I480" s="6">
        <v>136807</v>
      </c>
      <c r="K480" s="6">
        <v>0</v>
      </c>
      <c r="M480" s="6">
        <v>0</v>
      </c>
      <c r="O480" s="6">
        <v>153482</v>
      </c>
      <c r="Q480" s="6">
        <v>253039</v>
      </c>
      <c r="S480" s="6">
        <v>15298</v>
      </c>
      <c r="U480" s="6">
        <v>382477</v>
      </c>
      <c r="W480" s="6">
        <v>258140</v>
      </c>
      <c r="Y480" s="6">
        <v>21017</v>
      </c>
      <c r="AA480" s="6">
        <v>828582</v>
      </c>
      <c r="AC480" s="6">
        <v>415204</v>
      </c>
      <c r="AE480" s="6">
        <v>147832</v>
      </c>
      <c r="AG480" s="6">
        <v>362170</v>
      </c>
      <c r="AI480" s="6">
        <v>500</v>
      </c>
      <c r="AJ480" s="11" t="s">
        <v>379</v>
      </c>
      <c r="AK480" s="11"/>
      <c r="AL480" s="11" t="s">
        <v>43</v>
      </c>
      <c r="AN480" s="6">
        <v>183072</v>
      </c>
      <c r="AP480" s="6">
        <v>0</v>
      </c>
      <c r="AR480" s="6">
        <v>0</v>
      </c>
      <c r="AT480" s="6">
        <v>180000</v>
      </c>
      <c r="AV480" s="6">
        <v>61683</v>
      </c>
      <c r="AX480" s="6">
        <v>0</v>
      </c>
      <c r="AZ480" s="7">
        <f t="shared" si="61"/>
        <v>8126353</v>
      </c>
      <c r="BB480" s="6">
        <v>0</v>
      </c>
      <c r="BD480" s="6">
        <v>0</v>
      </c>
      <c r="BF480" s="6">
        <v>0</v>
      </c>
      <c r="BH480" s="6">
        <v>0</v>
      </c>
      <c r="BJ480" s="7">
        <f t="shared" si="59"/>
        <v>8126353</v>
      </c>
      <c r="BL480" s="7">
        <f>'Gov Fd Rev'!AO480-'Gov Fd Exp'!BJ480</f>
        <v>-68467</v>
      </c>
      <c r="BN480" s="6">
        <v>1101472</v>
      </c>
      <c r="BP480" s="6">
        <v>0</v>
      </c>
      <c r="BR480" s="6">
        <v>0</v>
      </c>
      <c r="BT480" s="7">
        <f t="shared" si="60"/>
        <v>1033005</v>
      </c>
      <c r="BU480" s="7"/>
      <c r="BV480" s="7">
        <f>BT480-'Gov Fd BS'!AC480</f>
        <v>0</v>
      </c>
      <c r="BW480" s="7"/>
    </row>
    <row r="481" spans="1:75">
      <c r="A481" s="11" t="s">
        <v>370</v>
      </c>
      <c r="B481" s="11"/>
      <c r="C481" s="11" t="s">
        <v>366</v>
      </c>
      <c r="E481" s="6">
        <v>8970756</v>
      </c>
      <c r="G481" s="6">
        <v>2336074</v>
      </c>
      <c r="I481" s="6">
        <v>247684</v>
      </c>
      <c r="K481" s="6">
        <v>0</v>
      </c>
      <c r="M481" s="6">
        <v>0</v>
      </c>
      <c r="O481" s="6">
        <v>625181</v>
      </c>
      <c r="Q481" s="6">
        <v>428631</v>
      </c>
      <c r="S481" s="6">
        <v>501276</v>
      </c>
      <c r="U481" s="6">
        <v>1082587</v>
      </c>
      <c r="W481" s="6">
        <v>362520</v>
      </c>
      <c r="Y481" s="6">
        <v>0</v>
      </c>
      <c r="AA481" s="6">
        <v>2387876</v>
      </c>
      <c r="AC481" s="6">
        <v>1082821</v>
      </c>
      <c r="AE481" s="6">
        <v>112121</v>
      </c>
      <c r="AG481" s="6">
        <v>860655</v>
      </c>
      <c r="AI481" s="6">
        <v>229</v>
      </c>
      <c r="AJ481" s="11" t="s">
        <v>370</v>
      </c>
      <c r="AK481" s="11"/>
      <c r="AL481" s="11" t="s">
        <v>366</v>
      </c>
      <c r="AN481" s="6">
        <v>320198</v>
      </c>
      <c r="AP481" s="6">
        <v>671973</v>
      </c>
      <c r="AR481" s="6">
        <v>0</v>
      </c>
      <c r="AT481" s="6">
        <v>0</v>
      </c>
      <c r="AV481" s="6">
        <v>0</v>
      </c>
      <c r="AX481" s="6">
        <v>0</v>
      </c>
      <c r="AZ481" s="7">
        <f t="shared" si="61"/>
        <v>19990582</v>
      </c>
      <c r="BB481" s="6">
        <v>640000</v>
      </c>
      <c r="BD481" s="6">
        <v>0</v>
      </c>
      <c r="BF481" s="6">
        <v>0</v>
      </c>
      <c r="BH481" s="6">
        <v>0</v>
      </c>
      <c r="BJ481" s="7">
        <f t="shared" si="59"/>
        <v>20630582</v>
      </c>
      <c r="BL481" s="7">
        <f>'Gov Fd Rev'!AO481-'Gov Fd Exp'!BJ481</f>
        <v>3333786</v>
      </c>
      <c r="BN481" s="6">
        <v>4404051</v>
      </c>
      <c r="BP481" s="6">
        <v>0</v>
      </c>
      <c r="BR481" s="6">
        <v>0</v>
      </c>
      <c r="BT481" s="7">
        <f t="shared" si="60"/>
        <v>7737837</v>
      </c>
      <c r="BU481" s="7"/>
      <c r="BV481" s="7">
        <f>BT481-'Gov Fd BS'!AC481</f>
        <v>0</v>
      </c>
      <c r="BW481" s="7"/>
    </row>
    <row r="482" spans="1:75">
      <c r="A482" s="11" t="s">
        <v>713</v>
      </c>
      <c r="B482" s="11"/>
      <c r="C482" s="11" t="s">
        <v>20</v>
      </c>
      <c r="E482" s="6">
        <v>14512892</v>
      </c>
      <c r="G482" s="6">
        <v>4068858</v>
      </c>
      <c r="I482" s="6">
        <v>537264</v>
      </c>
      <c r="K482" s="6">
        <v>0</v>
      </c>
      <c r="M482" s="6">
        <v>40233</v>
      </c>
      <c r="O482" s="6">
        <v>2212290</v>
      </c>
      <c r="Q482" s="6">
        <v>1417043</v>
      </c>
      <c r="S482" s="6">
        <v>35785</v>
      </c>
      <c r="U482" s="6">
        <v>1818026</v>
      </c>
      <c r="W482" s="6">
        <v>1012905</v>
      </c>
      <c r="Y482" s="6">
        <v>520189</v>
      </c>
      <c r="AA482" s="6">
        <v>3406352</v>
      </c>
      <c r="AC482" s="6">
        <v>1733713</v>
      </c>
      <c r="AE482" s="6">
        <v>743407</v>
      </c>
      <c r="AG482" s="6">
        <v>433324</v>
      </c>
      <c r="AI482" s="6">
        <v>1358160</v>
      </c>
      <c r="AJ482" s="11" t="s">
        <v>713</v>
      </c>
      <c r="AK482" s="11"/>
      <c r="AL482" s="11" t="s">
        <v>20</v>
      </c>
      <c r="AN482" s="6">
        <v>1191961</v>
      </c>
      <c r="AP482" s="6">
        <v>17339334</v>
      </c>
      <c r="AR482" s="6">
        <v>0</v>
      </c>
      <c r="AT482" s="6">
        <v>2583193</v>
      </c>
      <c r="AV482" s="6">
        <v>3001103</v>
      </c>
      <c r="AX482" s="6">
        <v>0</v>
      </c>
      <c r="AZ482" s="7">
        <f t="shared" si="61"/>
        <v>57966032</v>
      </c>
      <c r="BB482" s="6">
        <v>50000</v>
      </c>
      <c r="BD482" s="6">
        <v>0</v>
      </c>
      <c r="BF482" s="6">
        <v>0</v>
      </c>
      <c r="BH482" s="6">
        <v>0</v>
      </c>
      <c r="BJ482" s="7">
        <f t="shared" si="59"/>
        <v>58016032</v>
      </c>
      <c r="BL482" s="7">
        <f>'Gov Fd Rev'!AO482-'Gov Fd Exp'!BJ482</f>
        <v>-17865565</v>
      </c>
      <c r="BN482" s="6">
        <v>42891036</v>
      </c>
      <c r="BP482" s="6">
        <v>0</v>
      </c>
      <c r="BR482" s="6">
        <v>0</v>
      </c>
      <c r="BT482" s="7">
        <f t="shared" si="60"/>
        <v>25025471</v>
      </c>
      <c r="BU482" s="7"/>
      <c r="BV482" s="7">
        <f>BT482-'Gov Fd BS'!AC482</f>
        <v>0</v>
      </c>
      <c r="BW482" s="7"/>
    </row>
    <row r="483" spans="1:75">
      <c r="A483" s="11" t="s">
        <v>321</v>
      </c>
      <c r="B483" s="11"/>
      <c r="C483" s="11" t="s">
        <v>31</v>
      </c>
      <c r="E483" s="6">
        <v>7265602</v>
      </c>
      <c r="G483" s="6">
        <v>2196546</v>
      </c>
      <c r="I483" s="6">
        <v>215274</v>
      </c>
      <c r="K483" s="6">
        <v>0</v>
      </c>
      <c r="M483" s="6">
        <v>1696956</v>
      </c>
      <c r="O483" s="6">
        <v>530448</v>
      </c>
      <c r="Q483" s="6">
        <v>1075119</v>
      </c>
      <c r="S483" s="6">
        <v>27802</v>
      </c>
      <c r="U483" s="6">
        <v>1395021</v>
      </c>
      <c r="W483" s="6">
        <v>575438</v>
      </c>
      <c r="Y483" s="6">
        <v>0</v>
      </c>
      <c r="AA483" s="6">
        <v>1561543</v>
      </c>
      <c r="AC483" s="6">
        <v>1003606</v>
      </c>
      <c r="AE483" s="6">
        <v>78413</v>
      </c>
      <c r="AG483" s="6">
        <v>947953</v>
      </c>
      <c r="AI483" s="6">
        <v>9889</v>
      </c>
      <c r="AJ483" s="11" t="s">
        <v>321</v>
      </c>
      <c r="AK483" s="11"/>
      <c r="AL483" s="11" t="s">
        <v>31</v>
      </c>
      <c r="AN483" s="6">
        <v>256035</v>
      </c>
      <c r="AP483" s="6">
        <v>324514</v>
      </c>
      <c r="AR483" s="6">
        <v>0</v>
      </c>
      <c r="AT483" s="6">
        <v>40000</v>
      </c>
      <c r="AV483" s="6">
        <v>20390</v>
      </c>
      <c r="AX483" s="6">
        <v>0</v>
      </c>
      <c r="AZ483" s="7">
        <f t="shared" si="61"/>
        <v>19220549</v>
      </c>
      <c r="BB483" s="6">
        <v>85792</v>
      </c>
      <c r="BD483" s="6">
        <v>0</v>
      </c>
      <c r="BF483" s="6">
        <v>0</v>
      </c>
      <c r="BH483" s="6">
        <v>0</v>
      </c>
      <c r="BJ483" s="7">
        <f t="shared" si="59"/>
        <v>19306341</v>
      </c>
      <c r="BL483" s="7">
        <f>'Gov Fd Rev'!AO483-'Gov Fd Exp'!BJ483</f>
        <v>1101277</v>
      </c>
      <c r="BN483" s="6">
        <v>2881424</v>
      </c>
      <c r="BP483" s="6">
        <v>0</v>
      </c>
      <c r="BR483" s="6">
        <v>0</v>
      </c>
      <c r="BT483" s="7">
        <f t="shared" si="60"/>
        <v>3982701</v>
      </c>
      <c r="BU483" s="7"/>
      <c r="BV483" s="7">
        <f>BT483-'Gov Fd BS'!AC483</f>
        <v>0</v>
      </c>
      <c r="BW483" s="7"/>
    </row>
    <row r="484" spans="1:75">
      <c r="A484" s="11" t="s">
        <v>462</v>
      </c>
      <c r="B484" s="11"/>
      <c r="C484" s="11" t="s">
        <v>56</v>
      </c>
      <c r="E484" s="6">
        <v>4675779</v>
      </c>
      <c r="G484" s="6">
        <v>1081608</v>
      </c>
      <c r="I484" s="6">
        <v>194374</v>
      </c>
      <c r="K484" s="6">
        <v>0</v>
      </c>
      <c r="M484" s="6">
        <f>3932+624981</f>
        <v>628913</v>
      </c>
      <c r="O484" s="6">
        <v>538505</v>
      </c>
      <c r="Q484" s="6">
        <v>370635</v>
      </c>
      <c r="S484" s="6">
        <v>25543</v>
      </c>
      <c r="U484" s="6">
        <v>846509</v>
      </c>
      <c r="W484" s="6">
        <v>365441</v>
      </c>
      <c r="Y484" s="6">
        <v>13631</v>
      </c>
      <c r="AA484" s="6">
        <v>1243310</v>
      </c>
      <c r="AC484" s="6">
        <v>651293</v>
      </c>
      <c r="AE484" s="6">
        <v>811</v>
      </c>
      <c r="AG484" s="6">
        <v>360075</v>
      </c>
      <c r="AI484" s="6">
        <v>1273</v>
      </c>
      <c r="AJ484" s="11" t="s">
        <v>462</v>
      </c>
      <c r="AK484" s="11"/>
      <c r="AL484" s="11" t="s">
        <v>56</v>
      </c>
      <c r="AN484" s="6">
        <v>354472</v>
      </c>
      <c r="AP484" s="6">
        <v>61926</v>
      </c>
      <c r="AR484" s="6">
        <v>0</v>
      </c>
      <c r="AT484" s="6">
        <v>0</v>
      </c>
      <c r="AV484" s="6">
        <v>0</v>
      </c>
      <c r="AX484" s="6">
        <v>0</v>
      </c>
      <c r="AZ484" s="7">
        <f t="shared" si="61"/>
        <v>11414098</v>
      </c>
      <c r="BB484" s="6">
        <v>0</v>
      </c>
      <c r="BD484" s="6">
        <v>0</v>
      </c>
      <c r="BF484" s="6">
        <v>0</v>
      </c>
      <c r="BH484" s="6">
        <v>0</v>
      </c>
      <c r="BJ484" s="7">
        <f t="shared" si="59"/>
        <v>11414098</v>
      </c>
      <c r="BL484" s="7">
        <f>'Gov Fd Rev'!AO484-'Gov Fd Exp'!BJ484</f>
        <v>829808</v>
      </c>
      <c r="BN484" s="6">
        <v>715682</v>
      </c>
      <c r="BP484" s="6">
        <v>0</v>
      </c>
      <c r="BR484" s="6">
        <v>0</v>
      </c>
      <c r="BT484" s="7">
        <f t="shared" si="60"/>
        <v>1545490</v>
      </c>
      <c r="BU484" s="7"/>
      <c r="BV484" s="7">
        <f>BT484-'Gov Fd BS'!AC484</f>
        <v>0</v>
      </c>
      <c r="BW484" s="7"/>
    </row>
    <row r="485" spans="1:75">
      <c r="A485" s="11" t="s">
        <v>714</v>
      </c>
      <c r="B485" s="11"/>
      <c r="C485" s="11" t="s">
        <v>221</v>
      </c>
      <c r="E485" s="6">
        <v>11301198</v>
      </c>
      <c r="G485" s="6">
        <v>1804323</v>
      </c>
      <c r="I485" s="6">
        <v>0</v>
      </c>
      <c r="K485" s="6">
        <v>0</v>
      </c>
      <c r="M485" s="6">
        <v>784868</v>
      </c>
      <c r="O485" s="6">
        <v>893991</v>
      </c>
      <c r="Q485" s="6">
        <v>1373748</v>
      </c>
      <c r="S485" s="6">
        <v>21793</v>
      </c>
      <c r="U485" s="6">
        <v>1959531</v>
      </c>
      <c r="W485" s="6">
        <v>660933</v>
      </c>
      <c r="Y485" s="6">
        <v>0</v>
      </c>
      <c r="AA485" s="6">
        <v>1792949</v>
      </c>
      <c r="AC485" s="6">
        <v>1553332</v>
      </c>
      <c r="AE485" s="6">
        <v>7200</v>
      </c>
      <c r="AG485" s="6">
        <v>1109067</v>
      </c>
      <c r="AI485" s="6">
        <v>620547</v>
      </c>
      <c r="AJ485" s="11" t="s">
        <v>714</v>
      </c>
      <c r="AK485" s="11"/>
      <c r="AL485" s="11" t="s">
        <v>221</v>
      </c>
      <c r="AN485" s="6">
        <v>304550</v>
      </c>
      <c r="AP485" s="6">
        <v>2371432</v>
      </c>
      <c r="AR485" s="6">
        <v>0</v>
      </c>
      <c r="AT485" s="6">
        <v>1074577</v>
      </c>
      <c r="AV485" s="6">
        <f>665337+135190</f>
        <v>800527</v>
      </c>
      <c r="AX485" s="6">
        <v>0</v>
      </c>
      <c r="AZ485" s="7">
        <f t="shared" si="61"/>
        <v>28434566</v>
      </c>
      <c r="BB485" s="6">
        <v>6981844</v>
      </c>
      <c r="BD485" s="6">
        <v>0</v>
      </c>
      <c r="BF485" s="6">
        <v>0</v>
      </c>
      <c r="BH485" s="6">
        <v>0</v>
      </c>
      <c r="BJ485" s="7">
        <f t="shared" si="59"/>
        <v>35416410</v>
      </c>
      <c r="BL485" s="7">
        <f>'Gov Fd Rev'!AO485-'Gov Fd Exp'!BJ485</f>
        <v>315544</v>
      </c>
      <c r="BN485" s="6">
        <v>13073502</v>
      </c>
      <c r="BP485" s="6">
        <v>0</v>
      </c>
      <c r="BR485" s="6">
        <v>0</v>
      </c>
      <c r="BT485" s="7">
        <f t="shared" si="60"/>
        <v>13389046</v>
      </c>
      <c r="BU485" s="7"/>
      <c r="BV485" s="7">
        <f>BT485-'Gov Fd BS'!AC485</f>
        <v>0</v>
      </c>
      <c r="BW485" s="7"/>
    </row>
    <row r="486" spans="1:75" ht="12" customHeight="1">
      <c r="A486" s="11" t="s">
        <v>777</v>
      </c>
      <c r="B486" s="11"/>
      <c r="C486" s="11" t="s">
        <v>72</v>
      </c>
      <c r="E486" s="6">
        <v>11279235</v>
      </c>
      <c r="G486" s="6">
        <v>2487364</v>
      </c>
      <c r="I486" s="6">
        <v>303254</v>
      </c>
      <c r="K486" s="6">
        <v>26828</v>
      </c>
      <c r="M486" s="6">
        <v>0</v>
      </c>
      <c r="O486" s="6">
        <v>1899244</v>
      </c>
      <c r="Q486" s="6">
        <v>1474254</v>
      </c>
      <c r="S486" s="6">
        <v>48582</v>
      </c>
      <c r="U486" s="6">
        <v>2145769</v>
      </c>
      <c r="W486" s="6">
        <v>450175</v>
      </c>
      <c r="Y486" s="6">
        <v>115407</v>
      </c>
      <c r="AA486" s="6">
        <v>2198075</v>
      </c>
      <c r="AC486" s="6">
        <v>968241</v>
      </c>
      <c r="AE486" s="6">
        <v>562560</v>
      </c>
      <c r="AG486" s="6">
        <v>0</v>
      </c>
      <c r="AI486" s="6">
        <v>1030330</v>
      </c>
      <c r="AJ486" s="11" t="s">
        <v>777</v>
      </c>
      <c r="AK486" s="11"/>
      <c r="AL486" s="11" t="s">
        <v>72</v>
      </c>
      <c r="AN486" s="6">
        <v>731953</v>
      </c>
      <c r="AP486" s="6">
        <v>31039</v>
      </c>
      <c r="AR486" s="6">
        <v>0</v>
      </c>
      <c r="AT486" s="6">
        <v>0</v>
      </c>
      <c r="AV486" s="6">
        <v>0</v>
      </c>
      <c r="AX486" s="6">
        <v>0</v>
      </c>
      <c r="AZ486" s="7">
        <f t="shared" si="61"/>
        <v>25752310</v>
      </c>
      <c r="BB486" s="6">
        <v>72500</v>
      </c>
      <c r="BD486" s="6">
        <v>0</v>
      </c>
      <c r="BF486" s="6">
        <v>0</v>
      </c>
      <c r="BH486" s="6">
        <v>0</v>
      </c>
      <c r="BJ486" s="7">
        <f t="shared" si="59"/>
        <v>25824810</v>
      </c>
      <c r="BL486" s="7">
        <f>'Gov Fd Rev'!AO486-'Gov Fd Exp'!BJ486</f>
        <v>-2337809</v>
      </c>
      <c r="BN486" s="6">
        <v>10726928</v>
      </c>
      <c r="BP486" s="6">
        <v>0</v>
      </c>
      <c r="BR486" s="6">
        <v>0</v>
      </c>
      <c r="BT486" s="7">
        <f t="shared" si="60"/>
        <v>8389119</v>
      </c>
      <c r="BU486" s="7"/>
      <c r="BV486" s="7">
        <f>BT486-'Gov Fd BS'!AC486</f>
        <v>0</v>
      </c>
      <c r="BW486" s="7"/>
    </row>
    <row r="487" spans="1:75">
      <c r="A487" s="11" t="s">
        <v>492</v>
      </c>
      <c r="B487" s="11"/>
      <c r="C487" s="11" t="s">
        <v>61</v>
      </c>
      <c r="E487" s="6">
        <v>2137134</v>
      </c>
      <c r="G487" s="6">
        <v>420013</v>
      </c>
      <c r="I487" s="6">
        <v>0</v>
      </c>
      <c r="K487" s="6">
        <v>0</v>
      </c>
      <c r="M487" s="6">
        <v>7016</v>
      </c>
      <c r="O487" s="6">
        <v>94674</v>
      </c>
      <c r="Q487" s="6">
        <v>40298</v>
      </c>
      <c r="S487" s="6">
        <v>6549</v>
      </c>
      <c r="U487" s="6">
        <v>350303</v>
      </c>
      <c r="W487" s="6">
        <v>145800</v>
      </c>
      <c r="Y487" s="6">
        <v>474</v>
      </c>
      <c r="AA487" s="6">
        <v>361680</v>
      </c>
      <c r="AC487" s="6">
        <v>187193</v>
      </c>
      <c r="AE487" s="6">
        <v>117377</v>
      </c>
      <c r="AG487" s="6">
        <v>0</v>
      </c>
      <c r="AI487" s="6">
        <v>185597</v>
      </c>
      <c r="AJ487" s="11" t="s">
        <v>492</v>
      </c>
      <c r="AK487" s="11"/>
      <c r="AL487" s="11" t="s">
        <v>61</v>
      </c>
      <c r="AN487" s="6">
        <v>200817</v>
      </c>
      <c r="AP487" s="6">
        <v>2007148</v>
      </c>
      <c r="AR487" s="6">
        <v>0</v>
      </c>
      <c r="AT487" s="6">
        <v>205000</v>
      </c>
      <c r="AV487" s="6">
        <v>209710</v>
      </c>
      <c r="AX487" s="6">
        <v>0</v>
      </c>
      <c r="AZ487" s="7">
        <f t="shared" si="61"/>
        <v>6676783</v>
      </c>
      <c r="BB487" s="6">
        <v>0</v>
      </c>
      <c r="BD487" s="6">
        <v>0</v>
      </c>
      <c r="BF487" s="6">
        <v>0</v>
      </c>
      <c r="BH487" s="6">
        <v>0</v>
      </c>
      <c r="BJ487" s="7">
        <f t="shared" si="59"/>
        <v>6676783</v>
      </c>
      <c r="BL487" s="7">
        <f>'Gov Fd Rev'!AO487-'Gov Fd Exp'!BJ487</f>
        <v>-1428617</v>
      </c>
      <c r="BN487" s="6">
        <v>3859487</v>
      </c>
      <c r="BP487" s="6">
        <v>0</v>
      </c>
      <c r="BR487" s="6">
        <v>0</v>
      </c>
      <c r="BT487" s="7">
        <f t="shared" si="60"/>
        <v>2430870</v>
      </c>
      <c r="BU487" s="7"/>
      <c r="BV487" s="7">
        <f>BT487-'Gov Fd BS'!AC487</f>
        <v>0</v>
      </c>
      <c r="BW487" s="7"/>
    </row>
    <row r="488" spans="1:75">
      <c r="A488" s="11" t="s">
        <v>607</v>
      </c>
      <c r="B488" s="11"/>
      <c r="C488" s="11" t="s">
        <v>112</v>
      </c>
      <c r="E488" s="6">
        <v>8012280</v>
      </c>
      <c r="G488" s="6">
        <v>2693501</v>
      </c>
      <c r="I488" s="6">
        <v>264795</v>
      </c>
      <c r="K488" s="6">
        <v>639373</v>
      </c>
      <c r="M488" s="6">
        <v>1895046</v>
      </c>
      <c r="O488" s="6">
        <v>1014069</v>
      </c>
      <c r="Q488" s="6">
        <v>567555</v>
      </c>
      <c r="S488" s="6">
        <v>39210</v>
      </c>
      <c r="U488" s="6">
        <v>2096622</v>
      </c>
      <c r="W488" s="6">
        <v>583427</v>
      </c>
      <c r="Y488" s="6">
        <v>12946</v>
      </c>
      <c r="AA488" s="6">
        <v>1629255</v>
      </c>
      <c r="AC488" s="6">
        <v>790889</v>
      </c>
      <c r="AE488" s="6">
        <v>168187</v>
      </c>
      <c r="AG488" s="6">
        <v>144546</v>
      </c>
      <c r="AI488" s="6">
        <v>681614</v>
      </c>
      <c r="AJ488" s="11" t="s">
        <v>607</v>
      </c>
      <c r="AK488" s="11"/>
      <c r="AL488" s="11" t="s">
        <v>112</v>
      </c>
      <c r="AN488" s="6">
        <v>691215</v>
      </c>
      <c r="AP488" s="6">
        <f>871058+191286</f>
        <v>1062344</v>
      </c>
      <c r="AR488" s="6">
        <v>0</v>
      </c>
      <c r="AT488" s="6">
        <v>156082</v>
      </c>
      <c r="AV488" s="6">
        <v>102704</v>
      </c>
      <c r="AX488" s="6">
        <v>0</v>
      </c>
      <c r="AZ488" s="7">
        <f t="shared" ref="AZ488:AZ537" si="64">SUM(E488:AX488)</f>
        <v>23245660</v>
      </c>
      <c r="BB488" s="6">
        <v>2482</v>
      </c>
      <c r="BD488" s="6">
        <v>0</v>
      </c>
      <c r="BF488" s="6">
        <v>0</v>
      </c>
      <c r="BH488" s="6">
        <v>0</v>
      </c>
      <c r="BJ488" s="7">
        <f t="shared" ref="BJ488:BJ537" si="65">AZ488+BB488+BH488</f>
        <v>23248142</v>
      </c>
      <c r="BL488" s="7">
        <f>'Gov Fd Rev'!AO488-'Gov Fd Exp'!BJ488</f>
        <v>-77696</v>
      </c>
      <c r="BN488" s="6">
        <v>1569124</v>
      </c>
      <c r="BP488" s="6">
        <v>9648</v>
      </c>
      <c r="BR488" s="6">
        <v>0</v>
      </c>
      <c r="BT488" s="7">
        <f t="shared" ref="BT488:BT537" si="66">BL488+BN488+BP488+BR488</f>
        <v>1501076</v>
      </c>
      <c r="BU488" s="7"/>
      <c r="BV488" s="7">
        <f>BT488-'Gov Fd BS'!AC488</f>
        <v>0</v>
      </c>
      <c r="BW488" s="7"/>
    </row>
    <row r="489" spans="1:75">
      <c r="A489" s="11" t="s">
        <v>290</v>
      </c>
      <c r="B489" s="11"/>
      <c r="C489" s="11" t="s">
        <v>24</v>
      </c>
      <c r="E489" s="6">
        <v>20576347</v>
      </c>
      <c r="G489" s="6">
        <v>7877558</v>
      </c>
      <c r="I489" s="6">
        <v>1472122</v>
      </c>
      <c r="K489" s="6">
        <v>1125032</v>
      </c>
      <c r="M489" s="6">
        <v>382838</v>
      </c>
      <c r="O489" s="6">
        <v>1873481</v>
      </c>
      <c r="Q489" s="6">
        <v>2737651</v>
      </c>
      <c r="S489" s="6">
        <v>194969</v>
      </c>
      <c r="U489" s="6">
        <v>2850302</v>
      </c>
      <c r="W489" s="6">
        <v>767150</v>
      </c>
      <c r="Y489" s="6">
        <v>154978</v>
      </c>
      <c r="AA489" s="6">
        <v>3243341</v>
      </c>
      <c r="AC489" s="6">
        <v>1711856</v>
      </c>
      <c r="AE489" s="6">
        <v>1335052</v>
      </c>
      <c r="AG489" s="6">
        <v>0</v>
      </c>
      <c r="AI489" s="6">
        <v>2846582</v>
      </c>
      <c r="AJ489" s="11" t="s">
        <v>290</v>
      </c>
      <c r="AK489" s="11"/>
      <c r="AL489" s="11" t="s">
        <v>24</v>
      </c>
      <c r="AN489" s="6">
        <v>1057148</v>
      </c>
      <c r="AP489" s="6">
        <v>463250</v>
      </c>
      <c r="AR489" s="6">
        <v>0</v>
      </c>
      <c r="AT489" s="6">
        <v>203714</v>
      </c>
      <c r="AV489" s="6">
        <v>49997</v>
      </c>
      <c r="AX489" s="6">
        <v>0</v>
      </c>
      <c r="AZ489" s="7">
        <f t="shared" si="64"/>
        <v>50923368</v>
      </c>
      <c r="BB489" s="6">
        <v>75000</v>
      </c>
      <c r="BD489" s="6">
        <v>0</v>
      </c>
      <c r="BF489" s="6">
        <v>0</v>
      </c>
      <c r="BH489" s="6">
        <v>0</v>
      </c>
      <c r="BJ489" s="7">
        <f t="shared" si="65"/>
        <v>50998368</v>
      </c>
      <c r="BL489" s="7">
        <f>'Gov Fd Rev'!AO489-'Gov Fd Exp'!BJ489</f>
        <v>-1482993</v>
      </c>
      <c r="BN489" s="6">
        <v>2093432</v>
      </c>
      <c r="BP489" s="6">
        <v>0</v>
      </c>
      <c r="BR489" s="6">
        <v>0</v>
      </c>
      <c r="BT489" s="7">
        <f t="shared" si="66"/>
        <v>610439</v>
      </c>
      <c r="BU489" s="7"/>
      <c r="BV489" s="7">
        <f>BT489-'Gov Fd BS'!AC489</f>
        <v>0</v>
      </c>
      <c r="BW489" s="7"/>
    </row>
    <row r="490" spans="1:75">
      <c r="A490" s="11" t="s">
        <v>504</v>
      </c>
      <c r="B490" s="11"/>
      <c r="C490" s="11" t="s">
        <v>62</v>
      </c>
      <c r="E490" s="6">
        <v>5328647</v>
      </c>
      <c r="G490" s="6">
        <v>1831747</v>
      </c>
      <c r="I490" s="6">
        <v>777163</v>
      </c>
      <c r="K490" s="6">
        <v>0</v>
      </c>
      <c r="M490" s="6">
        <v>507282</v>
      </c>
      <c r="O490" s="6">
        <v>1164357</v>
      </c>
      <c r="Q490" s="6">
        <v>218284</v>
      </c>
      <c r="S490" s="6">
        <v>13965</v>
      </c>
      <c r="U490" s="6">
        <v>1140007</v>
      </c>
      <c r="W490" s="6">
        <v>383452</v>
      </c>
      <c r="Y490" s="6">
        <v>116081</v>
      </c>
      <c r="AA490" s="6">
        <v>1226503</v>
      </c>
      <c r="AC490" s="6">
        <v>1351280</v>
      </c>
      <c r="AE490" s="6">
        <v>8168</v>
      </c>
      <c r="AG490" s="6">
        <v>743807</v>
      </c>
      <c r="AI490" s="6">
        <v>52309</v>
      </c>
      <c r="AJ490" s="11" t="s">
        <v>504</v>
      </c>
      <c r="AK490" s="11"/>
      <c r="AL490" s="11" t="s">
        <v>62</v>
      </c>
      <c r="AN490" s="6">
        <v>487302</v>
      </c>
      <c r="AP490" s="6">
        <v>9161</v>
      </c>
      <c r="AR490" s="6">
        <v>0</v>
      </c>
      <c r="AT490" s="6">
        <v>335000</v>
      </c>
      <c r="AV490" s="6">
        <v>478459</v>
      </c>
      <c r="AX490" s="6">
        <v>0</v>
      </c>
      <c r="AZ490" s="7">
        <f t="shared" si="64"/>
        <v>16172974</v>
      </c>
      <c r="BB490" s="6">
        <v>10532</v>
      </c>
      <c r="BD490" s="6">
        <v>0</v>
      </c>
      <c r="BF490" s="6">
        <v>0</v>
      </c>
      <c r="BH490" s="6">
        <v>0</v>
      </c>
      <c r="BJ490" s="7">
        <f t="shared" si="65"/>
        <v>16183506</v>
      </c>
      <c r="BL490" s="7">
        <f>'Gov Fd Rev'!AO490-'Gov Fd Exp'!BJ490</f>
        <v>-142032</v>
      </c>
      <c r="BN490" s="6">
        <v>2774041</v>
      </c>
      <c r="BP490" s="6">
        <v>0</v>
      </c>
      <c r="BR490" s="6">
        <v>0</v>
      </c>
      <c r="BT490" s="7">
        <f t="shared" si="66"/>
        <v>2632009</v>
      </c>
      <c r="BU490" s="7"/>
      <c r="BV490" s="7">
        <f>BT490-'Gov Fd BS'!AC490</f>
        <v>0</v>
      </c>
      <c r="BW490" s="7"/>
    </row>
    <row r="491" spans="1:75">
      <c r="A491" s="11" t="s">
        <v>456</v>
      </c>
      <c r="B491" s="11"/>
      <c r="C491" s="11" t="s">
        <v>55</v>
      </c>
      <c r="E491" s="6">
        <v>6210888</v>
      </c>
      <c r="G491" s="6">
        <v>2069220</v>
      </c>
      <c r="I491" s="6">
        <v>0</v>
      </c>
      <c r="K491" s="6">
        <v>0</v>
      </c>
      <c r="M491" s="6">
        <v>22913</v>
      </c>
      <c r="O491" s="6">
        <v>742502</v>
      </c>
      <c r="Q491" s="6">
        <v>1014089</v>
      </c>
      <c r="S491" s="6">
        <v>17415</v>
      </c>
      <c r="U491" s="6">
        <v>1818728</v>
      </c>
      <c r="W491" s="6">
        <v>357605</v>
      </c>
      <c r="Y491" s="6">
        <v>0</v>
      </c>
      <c r="AA491" s="6">
        <v>1634890</v>
      </c>
      <c r="AC491" s="6">
        <v>1127210</v>
      </c>
      <c r="AE491" s="6">
        <v>108995</v>
      </c>
      <c r="AG491" s="6">
        <v>0</v>
      </c>
      <c r="AI491" s="6">
        <v>614726</v>
      </c>
      <c r="AJ491" s="11" t="s">
        <v>456</v>
      </c>
      <c r="AK491" s="11"/>
      <c r="AL491" s="11" t="s">
        <v>55</v>
      </c>
      <c r="AN491" s="6">
        <v>338402</v>
      </c>
      <c r="AP491" s="6">
        <v>45510</v>
      </c>
      <c r="AR491" s="6">
        <v>48000</v>
      </c>
      <c r="AT491" s="6">
        <v>111931</v>
      </c>
      <c r="AV491" s="6">
        <v>46061</v>
      </c>
      <c r="AX491" s="6">
        <v>0</v>
      </c>
      <c r="AZ491" s="7">
        <f t="shared" si="64"/>
        <v>16329085</v>
      </c>
      <c r="BB491" s="6">
        <v>502627</v>
      </c>
      <c r="BD491" s="6">
        <v>0</v>
      </c>
      <c r="BF491" s="6">
        <v>0</v>
      </c>
      <c r="BH491" s="6">
        <v>0</v>
      </c>
      <c r="BJ491" s="7">
        <f t="shared" si="65"/>
        <v>16831712</v>
      </c>
      <c r="BL491" s="7">
        <f>'Gov Fd Rev'!AO491-'Gov Fd Exp'!BJ491</f>
        <v>-190626</v>
      </c>
      <c r="BN491" s="6">
        <v>7645141</v>
      </c>
      <c r="BP491" s="6">
        <v>0</v>
      </c>
      <c r="BR491" s="6">
        <v>0</v>
      </c>
      <c r="BT491" s="7">
        <f t="shared" si="66"/>
        <v>7454515</v>
      </c>
      <c r="BU491" s="7"/>
      <c r="BV491" s="7">
        <f>BT491-'Gov Fd BS'!AC491</f>
        <v>0</v>
      </c>
      <c r="BW491" s="7"/>
    </row>
    <row r="492" spans="1:75">
      <c r="A492" s="11" t="s">
        <v>405</v>
      </c>
      <c r="B492" s="11"/>
      <c r="C492" s="11" t="s">
        <v>45</v>
      </c>
      <c r="E492" s="6">
        <v>2514233</v>
      </c>
      <c r="G492" s="6">
        <v>1770552</v>
      </c>
      <c r="I492" s="6">
        <v>7181</v>
      </c>
      <c r="K492" s="6">
        <v>0</v>
      </c>
      <c r="M492" s="6">
        <v>0</v>
      </c>
      <c r="O492" s="6">
        <v>200497</v>
      </c>
      <c r="Q492" s="6">
        <v>275031</v>
      </c>
      <c r="S492" s="6">
        <v>12165</v>
      </c>
      <c r="U492" s="6">
        <v>702659</v>
      </c>
      <c r="W492" s="6">
        <v>261088</v>
      </c>
      <c r="Y492" s="6">
        <v>0</v>
      </c>
      <c r="AA492" s="6">
        <v>747652</v>
      </c>
      <c r="AC492" s="6">
        <v>162291</v>
      </c>
      <c r="AE492" s="6">
        <v>42</v>
      </c>
      <c r="AG492" s="6">
        <v>309690</v>
      </c>
      <c r="AI492" s="6">
        <v>0</v>
      </c>
      <c r="AJ492" s="11" t="s">
        <v>405</v>
      </c>
      <c r="AK492" s="11"/>
      <c r="AL492" s="11" t="s">
        <v>45</v>
      </c>
      <c r="AN492" s="6">
        <v>231028</v>
      </c>
      <c r="AP492" s="6">
        <v>44937</v>
      </c>
      <c r="AR492" s="6">
        <v>0</v>
      </c>
      <c r="AT492" s="6">
        <v>100000</v>
      </c>
      <c r="AV492" s="6">
        <v>30200</v>
      </c>
      <c r="AX492" s="6">
        <v>0</v>
      </c>
      <c r="AZ492" s="7">
        <f t="shared" si="64"/>
        <v>7369246</v>
      </c>
      <c r="BB492" s="6">
        <v>25000</v>
      </c>
      <c r="BD492" s="6">
        <v>0</v>
      </c>
      <c r="BF492" s="6">
        <v>0</v>
      </c>
      <c r="BH492" s="6">
        <v>0</v>
      </c>
      <c r="BJ492" s="7">
        <f t="shared" si="65"/>
        <v>7394246</v>
      </c>
      <c r="BL492" s="7">
        <f>'Gov Fd Rev'!AO492-'Gov Fd Exp'!BJ492</f>
        <v>58382</v>
      </c>
      <c r="BN492" s="6">
        <v>801813</v>
      </c>
      <c r="BP492" s="6">
        <v>0</v>
      </c>
      <c r="BR492" s="6">
        <v>0</v>
      </c>
      <c r="BT492" s="7">
        <f t="shared" si="66"/>
        <v>860195</v>
      </c>
      <c r="BU492" s="7"/>
      <c r="BV492" s="7">
        <f>BT492-'Gov Fd BS'!AC492</f>
        <v>0</v>
      </c>
      <c r="BW492" s="7"/>
    </row>
    <row r="493" spans="1:75">
      <c r="A493" s="11" t="s">
        <v>487</v>
      </c>
      <c r="B493" s="11"/>
      <c r="C493" s="11" t="s">
        <v>60</v>
      </c>
      <c r="E493" s="6">
        <v>4270329</v>
      </c>
      <c r="G493" s="6">
        <v>1155460</v>
      </c>
      <c r="I493" s="6">
        <v>202976</v>
      </c>
      <c r="K493" s="6">
        <v>0</v>
      </c>
      <c r="M493" s="6">
        <v>0</v>
      </c>
      <c r="O493" s="6">
        <v>156636</v>
      </c>
      <c r="Q493" s="6">
        <v>358518</v>
      </c>
      <c r="S493" s="6">
        <v>43859</v>
      </c>
      <c r="U493" s="6">
        <v>564210</v>
      </c>
      <c r="W493" s="6">
        <v>307973</v>
      </c>
      <c r="Y493" s="6">
        <v>1495</v>
      </c>
      <c r="AA493" s="6">
        <v>1098036</v>
      </c>
      <c r="AC493" s="6">
        <v>632011</v>
      </c>
      <c r="AE493" s="6">
        <v>0</v>
      </c>
      <c r="AG493" s="6">
        <v>437409</v>
      </c>
      <c r="AI493" s="6">
        <v>2859</v>
      </c>
      <c r="AJ493" s="11" t="s">
        <v>487</v>
      </c>
      <c r="AK493" s="11"/>
      <c r="AL493" s="11" t="s">
        <v>60</v>
      </c>
      <c r="AN493" s="6">
        <v>386504</v>
      </c>
      <c r="AP493" s="6">
        <v>0</v>
      </c>
      <c r="AR493" s="6">
        <v>0</v>
      </c>
      <c r="AT493" s="6">
        <v>380942</v>
      </c>
      <c r="AV493" s="6">
        <v>462151</v>
      </c>
      <c r="AX493" s="6">
        <v>0</v>
      </c>
      <c r="AZ493" s="7">
        <f t="shared" si="64"/>
        <v>10461368</v>
      </c>
      <c r="BB493" s="6">
        <v>316250</v>
      </c>
      <c r="BD493" s="6">
        <v>0</v>
      </c>
      <c r="BF493" s="6">
        <v>0</v>
      </c>
      <c r="BH493" s="6">
        <v>0</v>
      </c>
      <c r="BJ493" s="7">
        <f t="shared" si="65"/>
        <v>10777618</v>
      </c>
      <c r="BL493" s="7">
        <f>'Gov Fd Rev'!AO493-'Gov Fd Exp'!BJ493</f>
        <v>-1313927</v>
      </c>
      <c r="BN493" s="6">
        <v>3175409</v>
      </c>
      <c r="BP493" s="6">
        <v>0</v>
      </c>
      <c r="BR493" s="6">
        <v>0</v>
      </c>
      <c r="BT493" s="7">
        <f t="shared" si="66"/>
        <v>1861482</v>
      </c>
      <c r="BU493" s="7"/>
      <c r="BV493" s="7">
        <f>BT493-'Gov Fd BS'!AC493</f>
        <v>0</v>
      </c>
      <c r="BW493" s="7"/>
    </row>
    <row r="494" spans="1:75">
      <c r="A494" s="11" t="s">
        <v>217</v>
      </c>
      <c r="B494" s="11"/>
      <c r="C494" s="11" t="s">
        <v>15</v>
      </c>
      <c r="E494" s="6">
        <v>3894708</v>
      </c>
      <c r="G494" s="6">
        <v>683241</v>
      </c>
      <c r="I494" s="6">
        <v>28715</v>
      </c>
      <c r="K494" s="6">
        <v>0</v>
      </c>
      <c r="M494" s="6">
        <v>0</v>
      </c>
      <c r="O494" s="6">
        <v>237278</v>
      </c>
      <c r="Q494" s="6">
        <v>154139</v>
      </c>
      <c r="S494" s="6">
        <v>34771</v>
      </c>
      <c r="U494" s="6">
        <v>679760</v>
      </c>
      <c r="W494" s="6">
        <v>281657</v>
      </c>
      <c r="Y494" s="6">
        <v>0</v>
      </c>
      <c r="AA494" s="6">
        <v>715031</v>
      </c>
      <c r="AC494" s="6">
        <v>236979</v>
      </c>
      <c r="AE494" s="6">
        <v>0</v>
      </c>
      <c r="AG494" s="6">
        <v>149221</v>
      </c>
      <c r="AI494" s="6">
        <v>0</v>
      </c>
      <c r="AJ494" s="11" t="s">
        <v>217</v>
      </c>
      <c r="AK494" s="11"/>
      <c r="AL494" s="11" t="s">
        <v>15</v>
      </c>
      <c r="AN494" s="6">
        <v>220997</v>
      </c>
      <c r="AP494" s="6">
        <v>62441</v>
      </c>
      <c r="AR494" s="6">
        <v>0</v>
      </c>
      <c r="AT494" s="6">
        <v>17486</v>
      </c>
      <c r="AV494" s="6">
        <v>4491</v>
      </c>
      <c r="AX494" s="6">
        <v>0</v>
      </c>
      <c r="AZ494" s="7">
        <f t="shared" si="64"/>
        <v>7400915</v>
      </c>
      <c r="BB494" s="6">
        <v>13432</v>
      </c>
      <c r="BD494" s="6">
        <v>0</v>
      </c>
      <c r="BF494" s="6">
        <v>0</v>
      </c>
      <c r="BH494" s="6">
        <v>0</v>
      </c>
      <c r="BJ494" s="7">
        <f t="shared" si="65"/>
        <v>7414347</v>
      </c>
      <c r="BL494" s="7">
        <f>'Gov Fd Rev'!AO494-'Gov Fd Exp'!BJ494</f>
        <v>167562</v>
      </c>
      <c r="BN494" s="6">
        <v>2296878</v>
      </c>
      <c r="BP494" s="6">
        <v>0</v>
      </c>
      <c r="BR494" s="6">
        <v>0</v>
      </c>
      <c r="BT494" s="7">
        <f t="shared" si="66"/>
        <v>2464440</v>
      </c>
      <c r="BU494" s="7"/>
      <c r="BV494" s="7">
        <f>BT494-'Gov Fd BS'!AC494</f>
        <v>0</v>
      </c>
      <c r="BW494" s="7"/>
    </row>
    <row r="495" spans="1:75">
      <c r="A495" s="11" t="s">
        <v>715</v>
      </c>
      <c r="B495" s="11"/>
      <c r="C495" s="11" t="s">
        <v>20</v>
      </c>
      <c r="E495" s="6">
        <v>35942580</v>
      </c>
      <c r="G495" s="6">
        <v>12300518</v>
      </c>
      <c r="I495" s="6">
        <v>150353</v>
      </c>
      <c r="K495" s="6">
        <v>0</v>
      </c>
      <c r="M495" s="6">
        <v>58630</v>
      </c>
      <c r="O495" s="6">
        <v>5798818</v>
      </c>
      <c r="Q495" s="6">
        <v>7972237</v>
      </c>
      <c r="S495" s="6">
        <v>18470</v>
      </c>
      <c r="U495" s="6">
        <v>5931237</v>
      </c>
      <c r="W495" s="6">
        <v>2636142</v>
      </c>
      <c r="Y495" s="6">
        <v>1015279</v>
      </c>
      <c r="AA495" s="6">
        <v>12190201</v>
      </c>
      <c r="AC495" s="6">
        <v>4553453</v>
      </c>
      <c r="AE495" s="6">
        <v>1738851</v>
      </c>
      <c r="AG495" s="6">
        <v>1821837</v>
      </c>
      <c r="AI495" s="6">
        <v>1309862</v>
      </c>
      <c r="AJ495" s="11" t="s">
        <v>715</v>
      </c>
      <c r="AK495" s="11"/>
      <c r="AL495" s="11" t="s">
        <v>20</v>
      </c>
      <c r="AN495" s="6">
        <v>1284671</v>
      </c>
      <c r="AP495" s="6">
        <v>1023865</v>
      </c>
      <c r="AR495" s="6">
        <v>0</v>
      </c>
      <c r="AT495" s="6">
        <v>1639999</v>
      </c>
      <c r="AV495" s="6">
        <v>1016556</v>
      </c>
      <c r="AX495" s="6">
        <v>0</v>
      </c>
      <c r="AZ495" s="7">
        <f t="shared" si="64"/>
        <v>98403559</v>
      </c>
      <c r="BB495" s="6">
        <v>380000</v>
      </c>
      <c r="BD495" s="6">
        <v>0</v>
      </c>
      <c r="BF495" s="6">
        <v>0</v>
      </c>
      <c r="BH495" s="6">
        <v>0</v>
      </c>
      <c r="BJ495" s="7">
        <f t="shared" si="65"/>
        <v>98783559</v>
      </c>
      <c r="BL495" s="7">
        <f>'Gov Fd Rev'!AO495-'Gov Fd Exp'!BJ495</f>
        <v>653158</v>
      </c>
      <c r="BN495" s="6">
        <v>27580602</v>
      </c>
      <c r="BP495" s="6">
        <v>0</v>
      </c>
      <c r="BR495" s="6">
        <v>0</v>
      </c>
      <c r="BT495" s="7">
        <f>BL495+BN495+BP495+BR495</f>
        <v>28233760</v>
      </c>
      <c r="BU495" s="7"/>
      <c r="BV495" s="7">
        <f>BT495-'Gov Fd BS'!AC495</f>
        <v>0</v>
      </c>
      <c r="BW495" s="7"/>
    </row>
    <row r="496" spans="1:75" hidden="1">
      <c r="A496" s="11" t="s">
        <v>700</v>
      </c>
      <c r="B496" s="11"/>
      <c r="C496" s="11" t="s">
        <v>10</v>
      </c>
      <c r="AJ496" s="11" t="s">
        <v>700</v>
      </c>
      <c r="AK496" s="11"/>
      <c r="AL496" s="11" t="s">
        <v>10</v>
      </c>
      <c r="AR496" s="6">
        <v>0</v>
      </c>
      <c r="AZ496" s="7">
        <f t="shared" si="64"/>
        <v>0</v>
      </c>
      <c r="BJ496" s="7">
        <f t="shared" si="65"/>
        <v>0</v>
      </c>
      <c r="BL496" s="7">
        <f>'Gov Fd Rev'!AO496-'Gov Fd Exp'!BJ496</f>
        <v>0</v>
      </c>
      <c r="BT496" s="7">
        <f>BL496+BN496+BP496+BR496</f>
        <v>0</v>
      </c>
      <c r="BU496" s="7"/>
      <c r="BV496" s="7">
        <f>BT496-'Gov Fd BS'!AC496</f>
        <v>0</v>
      </c>
      <c r="BW496" s="7"/>
    </row>
    <row r="497" spans="1:75">
      <c r="A497" s="11" t="s">
        <v>789</v>
      </c>
      <c r="B497" s="11"/>
      <c r="C497" s="11" t="s">
        <v>44</v>
      </c>
      <c r="E497" s="6">
        <v>9342821</v>
      </c>
      <c r="G497" s="6">
        <v>3080090</v>
      </c>
      <c r="I497" s="6">
        <v>140619</v>
      </c>
      <c r="K497" s="6">
        <v>0</v>
      </c>
      <c r="M497" s="6">
        <v>24167</v>
      </c>
      <c r="O497" s="6">
        <v>1337312</v>
      </c>
      <c r="Q497" s="6">
        <v>929039</v>
      </c>
      <c r="S497" s="6">
        <v>49812</v>
      </c>
      <c r="U497" s="6">
        <v>1453937</v>
      </c>
      <c r="W497" s="6">
        <v>858510</v>
      </c>
      <c r="Y497" s="6">
        <v>231723</v>
      </c>
      <c r="AA497" s="6">
        <v>1556978</v>
      </c>
      <c r="AC497" s="6">
        <v>1034963</v>
      </c>
      <c r="AE497" s="6">
        <v>228138</v>
      </c>
      <c r="AG497" s="6">
        <v>703631</v>
      </c>
      <c r="AI497" s="6">
        <v>0</v>
      </c>
      <c r="AJ497" s="11" t="s">
        <v>789</v>
      </c>
      <c r="AK497" s="11"/>
      <c r="AL497" s="11" t="s">
        <v>44</v>
      </c>
      <c r="AN497" s="6">
        <v>552170</v>
      </c>
      <c r="AP497" s="6">
        <v>994527</v>
      </c>
      <c r="AR497" s="6">
        <v>0</v>
      </c>
      <c r="AT497" s="6">
        <v>128381</v>
      </c>
      <c r="AV497" s="6">
        <v>956731</v>
      </c>
      <c r="AX497" s="6">
        <v>0</v>
      </c>
      <c r="AZ497" s="7">
        <f t="shared" si="64"/>
        <v>23603549</v>
      </c>
      <c r="BB497" s="6">
        <v>100000</v>
      </c>
      <c r="BD497" s="6">
        <v>0</v>
      </c>
      <c r="BF497" s="6">
        <v>0</v>
      </c>
      <c r="BH497" s="6">
        <v>0</v>
      </c>
      <c r="BJ497" s="7">
        <f t="shared" si="65"/>
        <v>23703549</v>
      </c>
      <c r="BL497" s="7">
        <f>'Gov Fd Rev'!AO497-'Gov Fd Exp'!BJ497</f>
        <v>29420024</v>
      </c>
      <c r="BN497" s="6">
        <v>10630865</v>
      </c>
      <c r="BP497" s="6">
        <v>0</v>
      </c>
      <c r="BR497" s="6">
        <v>0</v>
      </c>
      <c r="BT497" s="7">
        <f t="shared" si="66"/>
        <v>40050889</v>
      </c>
      <c r="BU497" s="7"/>
      <c r="BV497" s="7">
        <f>BT497-'Gov Fd BS'!AC497</f>
        <v>0</v>
      </c>
      <c r="BW497" s="7"/>
    </row>
    <row r="498" spans="1:75">
      <c r="A498" s="11" t="s">
        <v>472</v>
      </c>
      <c r="B498" s="11"/>
      <c r="C498" s="11" t="s">
        <v>110</v>
      </c>
      <c r="E498" s="6">
        <v>8483834</v>
      </c>
      <c r="G498" s="6">
        <v>2312749</v>
      </c>
      <c r="I498" s="6">
        <v>219446</v>
      </c>
      <c r="K498" s="6">
        <v>0</v>
      </c>
      <c r="M498" s="6">
        <v>0</v>
      </c>
      <c r="O498" s="6">
        <v>888898</v>
      </c>
      <c r="Q498" s="6">
        <v>1443280</v>
      </c>
      <c r="S498" s="6">
        <v>55949</v>
      </c>
      <c r="U498" s="6">
        <v>1409833</v>
      </c>
      <c r="W498" s="6">
        <v>692236</v>
      </c>
      <c r="Y498" s="6">
        <v>0</v>
      </c>
      <c r="AA498" s="6">
        <v>1914420</v>
      </c>
      <c r="AC498" s="6">
        <v>984994</v>
      </c>
      <c r="AE498" s="6">
        <v>343641</v>
      </c>
      <c r="AG498" s="6">
        <v>149346</v>
      </c>
      <c r="AI498" s="6">
        <v>1034791</v>
      </c>
      <c r="AJ498" s="11" t="s">
        <v>472</v>
      </c>
      <c r="AK498" s="11"/>
      <c r="AL498" s="11" t="s">
        <v>110</v>
      </c>
      <c r="AN498" s="6">
        <v>610543</v>
      </c>
      <c r="AP498" s="6">
        <v>6650090</v>
      </c>
      <c r="AR498" s="6">
        <v>0</v>
      </c>
      <c r="AT498" s="6">
        <v>302960</v>
      </c>
      <c r="AV498" s="6">
        <v>1038924</v>
      </c>
      <c r="AX498" s="6">
        <v>0</v>
      </c>
      <c r="AZ498" s="7">
        <f t="shared" si="64"/>
        <v>28535934</v>
      </c>
      <c r="BB498" s="6">
        <v>0</v>
      </c>
      <c r="BD498" s="6">
        <v>0</v>
      </c>
      <c r="BF498" s="6">
        <v>0</v>
      </c>
      <c r="BH498" s="6">
        <v>0</v>
      </c>
      <c r="BJ498" s="7">
        <f t="shared" si="65"/>
        <v>28535934</v>
      </c>
      <c r="BL498" s="7">
        <f>'Gov Fd Rev'!AO498-'Gov Fd Exp'!BJ498</f>
        <v>-927957</v>
      </c>
      <c r="BN498" s="6">
        <v>24229462</v>
      </c>
      <c r="BP498" s="6">
        <v>0</v>
      </c>
      <c r="BR498" s="6">
        <v>0</v>
      </c>
      <c r="BT498" s="7">
        <f t="shared" si="66"/>
        <v>23301505</v>
      </c>
      <c r="BU498" s="7"/>
      <c r="BV498" s="7">
        <f>BT498-'Gov Fd BS'!AC498</f>
        <v>0</v>
      </c>
      <c r="BW498" s="7"/>
    </row>
    <row r="499" spans="1:75" hidden="1">
      <c r="A499" s="11" t="s">
        <v>833</v>
      </c>
      <c r="B499" s="11"/>
      <c r="C499" s="11" t="s">
        <v>61</v>
      </c>
      <c r="AJ499" s="11" t="s">
        <v>833</v>
      </c>
      <c r="AK499" s="11"/>
      <c r="AL499" s="11" t="s">
        <v>61</v>
      </c>
      <c r="AR499" s="6">
        <v>0</v>
      </c>
      <c r="AZ499" s="7">
        <f t="shared" si="64"/>
        <v>0</v>
      </c>
      <c r="BJ499" s="7">
        <f t="shared" si="65"/>
        <v>0</v>
      </c>
      <c r="BL499" s="7">
        <f>'Gov Fd Rev'!AO499-'Gov Fd Exp'!BJ499</f>
        <v>0</v>
      </c>
      <c r="BT499" s="7">
        <f t="shared" si="66"/>
        <v>0</v>
      </c>
      <c r="BU499" s="7"/>
      <c r="BV499" s="7">
        <f>BT499-'Gov Fd BS'!AC499</f>
        <v>0</v>
      </c>
      <c r="BW499" s="7"/>
    </row>
    <row r="500" spans="1:75">
      <c r="A500" s="11" t="s">
        <v>277</v>
      </c>
      <c r="B500" s="11"/>
      <c r="C500" s="11" t="s">
        <v>20</v>
      </c>
      <c r="E500" s="6">
        <v>31898987</v>
      </c>
      <c r="G500" s="6">
        <v>7186658</v>
      </c>
      <c r="I500" s="6">
        <v>603326</v>
      </c>
      <c r="K500" s="6">
        <v>51906</v>
      </c>
      <c r="M500" s="6">
        <v>851638</v>
      </c>
      <c r="O500" s="6">
        <v>3999881</v>
      </c>
      <c r="Q500" s="6">
        <v>1546074</v>
      </c>
      <c r="S500" s="6">
        <v>36903</v>
      </c>
      <c r="U500" s="6">
        <v>3526352</v>
      </c>
      <c r="W500" s="6">
        <v>1661931</v>
      </c>
      <c r="Y500" s="6">
        <v>992284</v>
      </c>
      <c r="AA500" s="6">
        <v>6525030</v>
      </c>
      <c r="AC500" s="6">
        <v>3258357</v>
      </c>
      <c r="AE500" s="6">
        <v>1185192</v>
      </c>
      <c r="AG500" s="6">
        <v>1923127</v>
      </c>
      <c r="AI500" s="6">
        <v>250212</v>
      </c>
      <c r="AJ500" s="11" t="s">
        <v>277</v>
      </c>
      <c r="AK500" s="11"/>
      <c r="AL500" s="11" t="s">
        <v>20</v>
      </c>
      <c r="AN500" s="6">
        <v>1615615</v>
      </c>
      <c r="AP500" s="6">
        <v>2121677</v>
      </c>
      <c r="AR500" s="6">
        <v>0</v>
      </c>
      <c r="AT500" s="6">
        <v>2254164</v>
      </c>
      <c r="AV500" s="6">
        <v>740494</v>
      </c>
      <c r="AX500" s="6">
        <v>0</v>
      </c>
      <c r="AZ500" s="7">
        <f t="shared" si="64"/>
        <v>72229808</v>
      </c>
      <c r="BB500" s="6">
        <v>40000</v>
      </c>
      <c r="BD500" s="6">
        <v>0</v>
      </c>
      <c r="BF500" s="6">
        <v>0</v>
      </c>
      <c r="BH500" s="6">
        <v>0</v>
      </c>
      <c r="BJ500" s="7">
        <f t="shared" si="65"/>
        <v>72269808</v>
      </c>
      <c r="BL500" s="7">
        <f>'Gov Fd Rev'!AO500-'Gov Fd Exp'!BJ500</f>
        <v>8341661</v>
      </c>
      <c r="BN500" s="6">
        <v>23466257</v>
      </c>
      <c r="BP500" s="6">
        <v>0</v>
      </c>
      <c r="BR500" s="6">
        <v>0</v>
      </c>
      <c r="BT500" s="7">
        <f t="shared" si="66"/>
        <v>31807918</v>
      </c>
      <c r="BU500" s="7"/>
      <c r="BV500" s="7">
        <f>BT500-'Gov Fd BS'!AC500</f>
        <v>0</v>
      </c>
      <c r="BW500" s="7"/>
    </row>
    <row r="501" spans="1:75">
      <c r="A501" s="11" t="s">
        <v>633</v>
      </c>
      <c r="B501" s="11"/>
      <c r="C501" s="11" t="s">
        <v>37</v>
      </c>
      <c r="E501" s="6">
        <v>3873184</v>
      </c>
      <c r="G501" s="6">
        <v>557361</v>
      </c>
      <c r="I501" s="6">
        <v>182958</v>
      </c>
      <c r="K501" s="6">
        <v>0</v>
      </c>
      <c r="M501" s="6">
        <v>781252</v>
      </c>
      <c r="O501" s="6">
        <v>344510</v>
      </c>
      <c r="Q501" s="6">
        <v>481447</v>
      </c>
      <c r="S501" s="6">
        <v>24284</v>
      </c>
      <c r="U501" s="6">
        <v>749864</v>
      </c>
      <c r="W501" s="6">
        <v>232917</v>
      </c>
      <c r="Y501" s="6">
        <v>0</v>
      </c>
      <c r="AA501" s="6">
        <v>706356</v>
      </c>
      <c r="AC501" s="6">
        <v>665027</v>
      </c>
      <c r="AE501" s="6">
        <v>286</v>
      </c>
      <c r="AG501" s="6">
        <v>401996</v>
      </c>
      <c r="AI501" s="6">
        <v>9500</v>
      </c>
      <c r="AJ501" s="11" t="s">
        <v>633</v>
      </c>
      <c r="AK501" s="11"/>
      <c r="AL501" s="11" t="s">
        <v>37</v>
      </c>
      <c r="AN501" s="6">
        <v>312933</v>
      </c>
      <c r="AP501" s="6">
        <v>0</v>
      </c>
      <c r="AR501" s="6">
        <v>0</v>
      </c>
      <c r="AT501" s="6">
        <v>136828</v>
      </c>
      <c r="AV501" s="6">
        <v>24036</v>
      </c>
      <c r="AX501" s="6">
        <v>0</v>
      </c>
      <c r="AZ501" s="7">
        <f t="shared" si="64"/>
        <v>9484739</v>
      </c>
      <c r="BB501" s="6">
        <v>0</v>
      </c>
      <c r="BD501" s="6">
        <v>0</v>
      </c>
      <c r="BF501" s="6">
        <v>0</v>
      </c>
      <c r="BH501" s="6">
        <v>0</v>
      </c>
      <c r="BJ501" s="7">
        <f t="shared" si="65"/>
        <v>9484739</v>
      </c>
      <c r="BL501" s="7">
        <f>'Gov Fd Rev'!AO501-'Gov Fd Exp'!BJ501</f>
        <v>-482187</v>
      </c>
      <c r="BN501" s="6">
        <v>3358416</v>
      </c>
      <c r="BP501" s="6">
        <v>0</v>
      </c>
      <c r="BR501" s="6">
        <v>0</v>
      </c>
      <c r="BT501" s="7">
        <f t="shared" si="66"/>
        <v>2876229</v>
      </c>
      <c r="BU501" s="7"/>
      <c r="BV501" s="7">
        <f>BT501-'Gov Fd BS'!AC501</f>
        <v>0</v>
      </c>
      <c r="BW501" s="7"/>
    </row>
    <row r="502" spans="1:75">
      <c r="A502" s="11" t="s">
        <v>278</v>
      </c>
      <c r="B502" s="11"/>
      <c r="C502" s="11" t="s">
        <v>20</v>
      </c>
      <c r="E502" s="6">
        <v>23150801</v>
      </c>
      <c r="G502" s="6">
        <v>9129430</v>
      </c>
      <c r="I502" s="6">
        <v>2024855</v>
      </c>
      <c r="K502" s="6">
        <v>0</v>
      </c>
      <c r="M502" s="6">
        <v>1252324</v>
      </c>
      <c r="O502" s="6">
        <v>4109544</v>
      </c>
      <c r="Q502" s="6">
        <v>1405628</v>
      </c>
      <c r="S502" s="6">
        <v>245149</v>
      </c>
      <c r="U502" s="6">
        <v>3813806</v>
      </c>
      <c r="W502" s="6">
        <v>1868160</v>
      </c>
      <c r="Y502" s="6">
        <v>373691</v>
      </c>
      <c r="AA502" s="6">
        <v>6422043</v>
      </c>
      <c r="AC502" s="6">
        <v>2832238</v>
      </c>
      <c r="AE502" s="6">
        <v>1026195</v>
      </c>
      <c r="AG502" s="6">
        <v>1760829</v>
      </c>
      <c r="AI502" s="6">
        <v>1118767</v>
      </c>
      <c r="AJ502" s="11" t="s">
        <v>278</v>
      </c>
      <c r="AK502" s="11"/>
      <c r="AL502" s="11" t="s">
        <v>20</v>
      </c>
      <c r="AN502" s="6">
        <v>1226750</v>
      </c>
      <c r="AP502" s="6">
        <v>949990</v>
      </c>
      <c r="AR502" s="6">
        <v>0</v>
      </c>
      <c r="AT502" s="6">
        <v>725000</v>
      </c>
      <c r="AV502" s="6">
        <v>548051</v>
      </c>
      <c r="AX502" s="6">
        <v>0</v>
      </c>
      <c r="AZ502" s="7">
        <f t="shared" si="64"/>
        <v>63983251</v>
      </c>
      <c r="BB502" s="6">
        <v>448159</v>
      </c>
      <c r="BD502" s="6">
        <v>0</v>
      </c>
      <c r="BF502" s="6">
        <v>0</v>
      </c>
      <c r="BH502" s="6">
        <v>0</v>
      </c>
      <c r="BJ502" s="7">
        <f t="shared" si="65"/>
        <v>64431410</v>
      </c>
      <c r="BL502" s="7">
        <f>'Gov Fd Rev'!AO502-'Gov Fd Exp'!BJ502</f>
        <v>724672</v>
      </c>
      <c r="BN502" s="6">
        <v>3868073</v>
      </c>
      <c r="BP502" s="6">
        <v>0</v>
      </c>
      <c r="BR502" s="6">
        <v>0</v>
      </c>
      <c r="BT502" s="7">
        <f t="shared" si="66"/>
        <v>4592745</v>
      </c>
      <c r="BU502" s="7"/>
      <c r="BV502" s="7">
        <f>BT502-'Gov Fd BS'!AC502</f>
        <v>0</v>
      </c>
      <c r="BW502" s="7"/>
    </row>
    <row r="503" spans="1:75">
      <c r="A503" s="11" t="s">
        <v>371</v>
      </c>
      <c r="B503" s="11"/>
      <c r="C503" s="11" t="s">
        <v>366</v>
      </c>
      <c r="E503" s="6">
        <v>7457202</v>
      </c>
      <c r="G503" s="6">
        <v>2149302</v>
      </c>
      <c r="I503" s="6">
        <v>239064</v>
      </c>
      <c r="K503" s="6">
        <v>0</v>
      </c>
      <c r="M503" s="6">
        <f>39699+7077</f>
        <v>46776</v>
      </c>
      <c r="O503" s="6">
        <v>519248</v>
      </c>
      <c r="Q503" s="6">
        <v>934717</v>
      </c>
      <c r="S503" s="6">
        <v>172179</v>
      </c>
      <c r="U503" s="6">
        <v>1000583</v>
      </c>
      <c r="W503" s="6">
        <v>445255</v>
      </c>
      <c r="Y503" s="6">
        <v>0</v>
      </c>
      <c r="AA503" s="6">
        <v>1598989</v>
      </c>
      <c r="AC503" s="6">
        <v>1069686</v>
      </c>
      <c r="AE503" s="6">
        <v>59196</v>
      </c>
      <c r="AG503" s="6">
        <v>830181</v>
      </c>
      <c r="AI503" s="6">
        <v>1028</v>
      </c>
      <c r="AJ503" s="11" t="s">
        <v>371</v>
      </c>
      <c r="AK503" s="11"/>
      <c r="AL503" s="11" t="s">
        <v>366</v>
      </c>
      <c r="AN503" s="6">
        <v>302633</v>
      </c>
      <c r="AP503" s="6">
        <v>178517</v>
      </c>
      <c r="AR503" s="6">
        <v>0</v>
      </c>
      <c r="AT503" s="6">
        <v>679280</v>
      </c>
      <c r="AV503" s="6">
        <v>429723</v>
      </c>
      <c r="AX503" s="6">
        <v>0</v>
      </c>
      <c r="AZ503" s="7">
        <f t="shared" si="64"/>
        <v>18113559</v>
      </c>
      <c r="BB503" s="6">
        <v>33500</v>
      </c>
      <c r="BD503" s="6">
        <v>0</v>
      </c>
      <c r="BF503" s="6">
        <v>0</v>
      </c>
      <c r="BH503" s="6">
        <v>0</v>
      </c>
      <c r="BJ503" s="7">
        <f t="shared" si="65"/>
        <v>18147059</v>
      </c>
      <c r="BL503" s="7">
        <f>'Gov Fd Rev'!AO503-'Gov Fd Exp'!BJ503</f>
        <v>1867497</v>
      </c>
      <c r="BN503" s="6">
        <v>7357754</v>
      </c>
      <c r="BP503" s="6">
        <v>0</v>
      </c>
      <c r="BR503" s="6">
        <v>0</v>
      </c>
      <c r="BT503" s="7">
        <f t="shared" si="66"/>
        <v>9225251</v>
      </c>
      <c r="BU503" s="7"/>
      <c r="BV503" s="7">
        <f>BT503-'Gov Fd BS'!AC503</f>
        <v>0</v>
      </c>
      <c r="BW503" s="7"/>
    </row>
    <row r="504" spans="1:75">
      <c r="A504" s="11" t="s">
        <v>406</v>
      </c>
      <c r="B504" s="11"/>
      <c r="C504" s="11" t="s">
        <v>45</v>
      </c>
      <c r="E504" s="6">
        <v>5444253</v>
      </c>
      <c r="G504" s="6">
        <v>1426310</v>
      </c>
      <c r="I504" s="6">
        <v>164101</v>
      </c>
      <c r="K504" s="6">
        <v>0</v>
      </c>
      <c r="M504" s="6">
        <v>316350</v>
      </c>
      <c r="O504" s="6">
        <v>318082</v>
      </c>
      <c r="Q504" s="6">
        <v>493493</v>
      </c>
      <c r="S504" s="6">
        <v>64408</v>
      </c>
      <c r="U504" s="6">
        <v>851360</v>
      </c>
      <c r="W504" s="6">
        <v>417554</v>
      </c>
      <c r="Y504" s="6">
        <v>0</v>
      </c>
      <c r="AA504" s="6">
        <v>1082377</v>
      </c>
      <c r="AC504" s="6">
        <v>961112</v>
      </c>
      <c r="AE504" s="6">
        <v>81422</v>
      </c>
      <c r="AG504" s="6">
        <v>364856</v>
      </c>
      <c r="AI504" s="6">
        <v>1045</v>
      </c>
      <c r="AJ504" s="11" t="s">
        <v>406</v>
      </c>
      <c r="AK504" s="11"/>
      <c r="AL504" s="11" t="s">
        <v>45</v>
      </c>
      <c r="AN504" s="6">
        <v>555256</v>
      </c>
      <c r="AP504" s="6">
        <v>1798593</v>
      </c>
      <c r="AR504" s="6">
        <v>0</v>
      </c>
      <c r="AT504" s="6">
        <v>531095</v>
      </c>
      <c r="AV504" s="6">
        <v>793703</v>
      </c>
      <c r="AX504" s="6">
        <v>1362890</v>
      </c>
      <c r="AZ504" s="7">
        <f t="shared" si="64"/>
        <v>17028260</v>
      </c>
      <c r="BB504" s="6">
        <v>1291203</v>
      </c>
      <c r="BD504" s="6">
        <v>0</v>
      </c>
      <c r="BF504" s="6">
        <v>0</v>
      </c>
      <c r="BH504" s="6">
        <v>0</v>
      </c>
      <c r="BJ504" s="7">
        <f t="shared" si="65"/>
        <v>18319463</v>
      </c>
      <c r="BL504" s="7">
        <f>'Gov Fd Rev'!AO504-'Gov Fd Exp'!BJ504</f>
        <v>-4224382</v>
      </c>
      <c r="BN504" s="6">
        <v>5483541</v>
      </c>
      <c r="BP504" s="6">
        <v>0</v>
      </c>
      <c r="BR504" s="6">
        <v>0</v>
      </c>
      <c r="BT504" s="7">
        <f t="shared" si="66"/>
        <v>1259159</v>
      </c>
      <c r="BU504" s="7"/>
      <c r="BV504" s="7">
        <f>BT504-'Gov Fd BS'!AC504</f>
        <v>0</v>
      </c>
      <c r="BW504" s="7"/>
    </row>
    <row r="505" spans="1:75">
      <c r="A505" s="11" t="s">
        <v>463</v>
      </c>
      <c r="B505" s="11"/>
      <c r="C505" s="11" t="s">
        <v>56</v>
      </c>
      <c r="E505" s="6">
        <v>7135809</v>
      </c>
      <c r="G505" s="6">
        <v>2747990</v>
      </c>
      <c r="I505" s="6">
        <v>101603</v>
      </c>
      <c r="K505" s="6">
        <v>0</v>
      </c>
      <c r="M505" s="6">
        <f>24862+945890</f>
        <v>970752</v>
      </c>
      <c r="O505" s="6">
        <v>1129752</v>
      </c>
      <c r="Q505" s="6">
        <v>427842</v>
      </c>
      <c r="S505" s="6">
        <v>174327</v>
      </c>
      <c r="U505" s="6">
        <v>1284008</v>
      </c>
      <c r="W505" s="6">
        <v>439495</v>
      </c>
      <c r="Y505" s="6">
        <v>85570</v>
      </c>
      <c r="AA505" s="6">
        <v>1367459</v>
      </c>
      <c r="AC505" s="6">
        <v>1566638</v>
      </c>
      <c r="AE505" s="6">
        <v>87523</v>
      </c>
      <c r="AG505" s="6">
        <v>646601</v>
      </c>
      <c r="AI505" s="6">
        <v>0</v>
      </c>
      <c r="AJ505" s="11" t="s">
        <v>463</v>
      </c>
      <c r="AK505" s="11"/>
      <c r="AL505" s="11" t="s">
        <v>56</v>
      </c>
      <c r="AN505" s="6">
        <v>539692</v>
      </c>
      <c r="AP505" s="6">
        <v>2076141</v>
      </c>
      <c r="AR505" s="6">
        <v>0</v>
      </c>
      <c r="AT505" s="6">
        <v>335741</v>
      </c>
      <c r="AV505" s="6">
        <v>146603</v>
      </c>
      <c r="AX505" s="6">
        <v>0</v>
      </c>
      <c r="AZ505" s="7">
        <f t="shared" si="64"/>
        <v>21263546</v>
      </c>
      <c r="BB505" s="6">
        <v>0</v>
      </c>
      <c r="BD505" s="6">
        <v>0</v>
      </c>
      <c r="BF505" s="6">
        <v>0</v>
      </c>
      <c r="BH505" s="6">
        <v>0</v>
      </c>
      <c r="BJ505" s="7">
        <f t="shared" si="65"/>
        <v>21263546</v>
      </c>
      <c r="BL505" s="7">
        <f>'Gov Fd Rev'!AO505-'Gov Fd Exp'!BJ505</f>
        <v>4648419</v>
      </c>
      <c r="BN505" s="6">
        <v>8820822</v>
      </c>
      <c r="BP505" s="6">
        <v>0</v>
      </c>
      <c r="BR505" s="6">
        <v>0</v>
      </c>
      <c r="BT505" s="7">
        <f t="shared" si="66"/>
        <v>13469241</v>
      </c>
      <c r="BU505" s="7"/>
      <c r="BV505" s="7">
        <f>BT505-'Gov Fd BS'!AC505</f>
        <v>0</v>
      </c>
      <c r="BW505" s="7"/>
    </row>
    <row r="506" spans="1:75">
      <c r="A506" s="11" t="s">
        <v>463</v>
      </c>
      <c r="B506" s="11"/>
      <c r="C506" s="11" t="s">
        <v>71</v>
      </c>
      <c r="E506" s="6">
        <v>6601717</v>
      </c>
      <c r="G506" s="6">
        <v>2735918</v>
      </c>
      <c r="I506" s="6">
        <v>248598</v>
      </c>
      <c r="K506" s="6">
        <v>0</v>
      </c>
      <c r="M506" s="6">
        <v>919895</v>
      </c>
      <c r="O506" s="6">
        <v>688100</v>
      </c>
      <c r="Q506" s="6">
        <v>869497</v>
      </c>
      <c r="S506" s="6">
        <v>31410</v>
      </c>
      <c r="U506" s="6">
        <v>1668644</v>
      </c>
      <c r="W506" s="6">
        <v>387567</v>
      </c>
      <c r="Y506" s="6">
        <v>0</v>
      </c>
      <c r="AA506" s="6">
        <v>1189720</v>
      </c>
      <c r="AC506" s="6">
        <v>1161351</v>
      </c>
      <c r="AE506" s="6">
        <v>214980</v>
      </c>
      <c r="AG506" s="6">
        <v>0</v>
      </c>
      <c r="AI506" s="6">
        <v>888523</v>
      </c>
      <c r="AJ506" s="11" t="s">
        <v>463</v>
      </c>
      <c r="AK506" s="11"/>
      <c r="AL506" s="11" t="s">
        <v>71</v>
      </c>
      <c r="AN506" s="6">
        <v>544496</v>
      </c>
      <c r="AP506" s="6">
        <v>210785</v>
      </c>
      <c r="AR506" s="6">
        <v>0</v>
      </c>
      <c r="AT506" s="6">
        <v>57164</v>
      </c>
      <c r="AV506" s="6">
        <v>4250</v>
      </c>
      <c r="AX506" s="6">
        <v>0</v>
      </c>
      <c r="AZ506" s="7">
        <f t="shared" si="64"/>
        <v>18422615</v>
      </c>
      <c r="BB506" s="6">
        <v>11212</v>
      </c>
      <c r="BD506" s="6">
        <v>0</v>
      </c>
      <c r="BF506" s="6">
        <v>0</v>
      </c>
      <c r="BH506" s="6">
        <v>0</v>
      </c>
      <c r="BJ506" s="7">
        <f t="shared" si="65"/>
        <v>18433827</v>
      </c>
      <c r="BL506" s="7">
        <f>'Gov Fd Rev'!AO506-'Gov Fd Exp'!BJ506</f>
        <v>636634</v>
      </c>
      <c r="BN506" s="6">
        <v>760856</v>
      </c>
      <c r="BP506" s="6">
        <v>0</v>
      </c>
      <c r="BR506" s="6">
        <v>0</v>
      </c>
      <c r="BT506" s="7">
        <f t="shared" si="66"/>
        <v>1397490</v>
      </c>
      <c r="BU506" s="7"/>
      <c r="BV506" s="7">
        <f>BT506-'Gov Fd BS'!AC506</f>
        <v>0</v>
      </c>
      <c r="BW506" s="7"/>
    </row>
    <row r="507" spans="1:75">
      <c r="A507" s="11" t="s">
        <v>235</v>
      </c>
      <c r="B507" s="11"/>
      <c r="C507" s="11" t="s">
        <v>17</v>
      </c>
      <c r="E507" s="6">
        <v>3688175</v>
      </c>
      <c r="G507" s="6">
        <v>1079807</v>
      </c>
      <c r="I507" s="6">
        <v>243590</v>
      </c>
      <c r="K507" s="6">
        <v>0</v>
      </c>
      <c r="M507" s="6">
        <v>20322</v>
      </c>
      <c r="O507" s="6">
        <v>372114</v>
      </c>
      <c r="Q507" s="6">
        <v>291366</v>
      </c>
      <c r="S507" s="6">
        <v>25454</v>
      </c>
      <c r="U507" s="6">
        <v>582695</v>
      </c>
      <c r="W507" s="6">
        <v>288560</v>
      </c>
      <c r="Y507" s="6">
        <v>0</v>
      </c>
      <c r="AA507" s="6">
        <v>530798</v>
      </c>
      <c r="AC507" s="6">
        <v>484426</v>
      </c>
      <c r="AE507" s="6">
        <v>38629</v>
      </c>
      <c r="AG507" s="6">
        <v>0</v>
      </c>
      <c r="AI507" s="6">
        <v>206355</v>
      </c>
      <c r="AJ507" s="11" t="s">
        <v>235</v>
      </c>
      <c r="AK507" s="11"/>
      <c r="AL507" s="11" t="s">
        <v>17</v>
      </c>
      <c r="AN507" s="6">
        <v>315601</v>
      </c>
      <c r="AP507" s="6">
        <v>89466</v>
      </c>
      <c r="AR507" s="6">
        <v>0</v>
      </c>
      <c r="AT507" s="6">
        <v>183475</v>
      </c>
      <c r="AV507" s="6">
        <v>78471</v>
      </c>
      <c r="AX507" s="6">
        <v>20944</v>
      </c>
      <c r="AZ507" s="7">
        <f t="shared" si="64"/>
        <v>8540248</v>
      </c>
      <c r="BB507" s="6">
        <v>0</v>
      </c>
      <c r="BD507" s="6">
        <v>0</v>
      </c>
      <c r="BF507" s="6">
        <v>0</v>
      </c>
      <c r="BH507" s="6">
        <v>0</v>
      </c>
      <c r="BJ507" s="7">
        <f t="shared" si="65"/>
        <v>8540248</v>
      </c>
      <c r="BL507" s="7">
        <f>'Gov Fd Rev'!AO507-'Gov Fd Exp'!BJ507</f>
        <v>-57381</v>
      </c>
      <c r="BN507" s="6">
        <v>6771274</v>
      </c>
      <c r="BP507" s="6">
        <v>0</v>
      </c>
      <c r="BR507" s="6">
        <v>0</v>
      </c>
      <c r="BT507" s="7">
        <f t="shared" si="66"/>
        <v>6713893</v>
      </c>
      <c r="BU507" s="7"/>
      <c r="BV507" s="7">
        <f>BT507-'Gov Fd BS'!AC507</f>
        <v>0</v>
      </c>
      <c r="BW507" s="7"/>
    </row>
    <row r="508" spans="1:75">
      <c r="A508" s="11" t="s">
        <v>235</v>
      </c>
      <c r="B508" s="11"/>
      <c r="C508" s="11" t="s">
        <v>58</v>
      </c>
      <c r="E508" s="6">
        <v>5075998</v>
      </c>
      <c r="G508" s="6">
        <v>1554231</v>
      </c>
      <c r="I508" s="6">
        <v>0</v>
      </c>
      <c r="K508" s="6">
        <v>0</v>
      </c>
      <c r="M508" s="6">
        <v>0</v>
      </c>
      <c r="O508" s="6">
        <v>561811</v>
      </c>
      <c r="Q508" s="6">
        <v>344475</v>
      </c>
      <c r="S508" s="6">
        <v>0</v>
      </c>
      <c r="U508" s="6">
        <v>607125</v>
      </c>
      <c r="W508" s="6">
        <v>245767</v>
      </c>
      <c r="Y508" s="6">
        <v>170531</v>
      </c>
      <c r="AA508" s="6">
        <v>1063181</v>
      </c>
      <c r="AC508" s="6">
        <v>890466</v>
      </c>
      <c r="AE508" s="6">
        <v>109448</v>
      </c>
      <c r="AG508" s="6">
        <v>0</v>
      </c>
      <c r="AI508" s="6">
        <v>439493</v>
      </c>
      <c r="AJ508" s="11" t="s">
        <v>235</v>
      </c>
      <c r="AK508" s="11"/>
      <c r="AL508" s="11" t="s">
        <v>58</v>
      </c>
      <c r="AN508" s="6">
        <v>348216</v>
      </c>
      <c r="AP508" s="6">
        <v>135432</v>
      </c>
      <c r="AR508" s="6">
        <v>0</v>
      </c>
      <c r="AT508" s="6">
        <v>262000</v>
      </c>
      <c r="AV508" s="6">
        <v>171714</v>
      </c>
      <c r="AX508" s="6">
        <v>0</v>
      </c>
      <c r="AZ508" s="7">
        <f t="shared" si="64"/>
        <v>11979888</v>
      </c>
      <c r="BB508" s="6">
        <v>0</v>
      </c>
      <c r="BD508" s="6">
        <v>0</v>
      </c>
      <c r="BF508" s="6">
        <v>0</v>
      </c>
      <c r="BH508" s="6">
        <v>0</v>
      </c>
      <c r="BJ508" s="7">
        <f t="shared" si="65"/>
        <v>11979888</v>
      </c>
      <c r="BL508" s="7">
        <f>'Gov Fd Rev'!AO508-'Gov Fd Exp'!BJ508</f>
        <v>104792</v>
      </c>
      <c r="BN508" s="6">
        <v>7762292</v>
      </c>
      <c r="BP508" s="6">
        <v>0</v>
      </c>
      <c r="BR508" s="6">
        <v>0</v>
      </c>
      <c r="BT508" s="7">
        <f t="shared" si="66"/>
        <v>7867084</v>
      </c>
      <c r="BU508" s="7"/>
      <c r="BV508" s="7">
        <f>BT508-'Gov Fd BS'!AC508</f>
        <v>0</v>
      </c>
      <c r="BW508" s="7"/>
    </row>
    <row r="509" spans="1:75">
      <c r="A509" s="11" t="s">
        <v>645</v>
      </c>
      <c r="B509" s="11"/>
      <c r="C509" s="11" t="s">
        <v>112</v>
      </c>
      <c r="E509" s="6">
        <v>3638712</v>
      </c>
      <c r="G509" s="6">
        <v>1095595</v>
      </c>
      <c r="I509" s="6">
        <v>231045</v>
      </c>
      <c r="K509" s="6">
        <v>0</v>
      </c>
      <c r="M509" s="6">
        <v>223039</v>
      </c>
      <c r="O509" s="6">
        <v>947716</v>
      </c>
      <c r="Q509" s="6">
        <v>768819</v>
      </c>
      <c r="S509" s="6">
        <v>1187307</v>
      </c>
      <c r="U509" s="6">
        <v>696646</v>
      </c>
      <c r="W509" s="6">
        <v>241969</v>
      </c>
      <c r="Y509" s="6">
        <v>58281</v>
      </c>
      <c r="AA509" s="6">
        <v>1215420</v>
      </c>
      <c r="AC509" s="6">
        <v>813655</v>
      </c>
      <c r="AE509" s="6">
        <v>116876</v>
      </c>
      <c r="AG509" s="6">
        <v>427171</v>
      </c>
      <c r="AI509" s="6">
        <v>38114</v>
      </c>
      <c r="AJ509" s="11" t="s">
        <v>645</v>
      </c>
      <c r="AK509" s="11"/>
      <c r="AL509" s="11" t="s">
        <v>112</v>
      </c>
      <c r="AN509" s="6">
        <v>232152</v>
      </c>
      <c r="AP509" s="6">
        <v>0</v>
      </c>
      <c r="AR509" s="6">
        <v>0</v>
      </c>
      <c r="AT509" s="6">
        <v>195744</v>
      </c>
      <c r="AV509" s="6">
        <v>101318</v>
      </c>
      <c r="AX509" s="6">
        <v>0</v>
      </c>
      <c r="AZ509" s="7">
        <f>SUM(E509:AX509)</f>
        <v>12229579</v>
      </c>
      <c r="BB509" s="6">
        <v>165000</v>
      </c>
      <c r="BD509" s="6">
        <v>0</v>
      </c>
      <c r="BF509" s="6">
        <v>0</v>
      </c>
      <c r="BH509" s="6">
        <v>0</v>
      </c>
      <c r="BJ509" s="7">
        <f>AZ509+BB509+BH509</f>
        <v>12394579</v>
      </c>
      <c r="BL509" s="7">
        <f>'Gov Fd Rev'!AO509-'Gov Fd Exp'!BJ509</f>
        <v>-418524</v>
      </c>
      <c r="BN509" s="6">
        <v>886478</v>
      </c>
      <c r="BP509" s="6">
        <v>0</v>
      </c>
      <c r="BR509" s="6">
        <v>0</v>
      </c>
      <c r="BT509" s="7">
        <f>BL509+BN509+BP509+BR509</f>
        <v>467954</v>
      </c>
      <c r="BU509" s="7"/>
      <c r="BV509" s="7">
        <f>BT509-'Gov Fd BS'!AC509</f>
        <v>0</v>
      </c>
      <c r="BW509" s="7"/>
    </row>
    <row r="510" spans="1:75">
      <c r="A510" s="11" t="s">
        <v>250</v>
      </c>
      <c r="B510" s="11"/>
      <c r="C510" s="11" t="s">
        <v>420</v>
      </c>
      <c r="E510" s="6">
        <v>3037124</v>
      </c>
      <c r="G510" s="6">
        <v>1011070</v>
      </c>
      <c r="I510" s="6">
        <v>164769</v>
      </c>
      <c r="K510" s="6">
        <v>0</v>
      </c>
      <c r="M510" s="6">
        <v>231923</v>
      </c>
      <c r="O510" s="6">
        <v>706075</v>
      </c>
      <c r="Q510" s="6">
        <v>512699</v>
      </c>
      <c r="S510" s="6">
        <v>28410</v>
      </c>
      <c r="U510" s="6">
        <v>490614</v>
      </c>
      <c r="W510" s="6">
        <v>313880</v>
      </c>
      <c r="Y510" s="6">
        <v>0</v>
      </c>
      <c r="AA510" s="6">
        <v>619444</v>
      </c>
      <c r="AC510" s="6">
        <v>716101</v>
      </c>
      <c r="AE510" s="6">
        <v>229860</v>
      </c>
      <c r="AG510" s="6">
        <v>0</v>
      </c>
      <c r="AI510" s="6">
        <v>438777</v>
      </c>
      <c r="AJ510" s="11" t="s">
        <v>250</v>
      </c>
      <c r="AK510" s="11"/>
      <c r="AL510" s="11" t="s">
        <v>420</v>
      </c>
      <c r="AN510" s="6">
        <v>162326</v>
      </c>
      <c r="AP510" s="6">
        <v>1036058</v>
      </c>
      <c r="AR510" s="6">
        <v>0</v>
      </c>
      <c r="AT510" s="6">
        <v>221812</v>
      </c>
      <c r="AV510" s="6">
        <v>252821</v>
      </c>
      <c r="AX510" s="6">
        <v>0</v>
      </c>
      <c r="AZ510" s="7">
        <f t="shared" si="64"/>
        <v>10173763</v>
      </c>
      <c r="BB510" s="6">
        <v>1119143</v>
      </c>
      <c r="BD510" s="6">
        <v>0</v>
      </c>
      <c r="BF510" s="6">
        <v>0</v>
      </c>
      <c r="BH510" s="6">
        <v>0</v>
      </c>
      <c r="BJ510" s="7">
        <f t="shared" si="65"/>
        <v>11292906</v>
      </c>
      <c r="BL510" s="7">
        <f>'Gov Fd Rev'!AO510-'Gov Fd Exp'!BJ510</f>
        <v>5572668</v>
      </c>
      <c r="BN510" s="6">
        <v>6918675</v>
      </c>
      <c r="BP510" s="6">
        <v>0</v>
      </c>
      <c r="BR510" s="6">
        <v>0</v>
      </c>
      <c r="BT510" s="7">
        <f t="shared" si="66"/>
        <v>12491343</v>
      </c>
      <c r="BU510" s="7"/>
      <c r="BV510" s="7">
        <f>BT510-'Gov Fd BS'!AC510</f>
        <v>0</v>
      </c>
      <c r="BW510" s="7"/>
    </row>
    <row r="511" spans="1:75" hidden="1">
      <c r="A511" s="11" t="s">
        <v>701</v>
      </c>
      <c r="B511" s="11"/>
      <c r="C511" s="11" t="s">
        <v>451</v>
      </c>
      <c r="AJ511" s="11" t="s">
        <v>701</v>
      </c>
      <c r="AK511" s="11"/>
      <c r="AL511" s="11" t="s">
        <v>451</v>
      </c>
      <c r="AZ511" s="7">
        <f t="shared" si="64"/>
        <v>0</v>
      </c>
      <c r="BJ511" s="7">
        <f t="shared" si="65"/>
        <v>0</v>
      </c>
      <c r="BL511" s="7">
        <f>'Gov Fd Rev'!AO511-'Gov Fd Exp'!BJ511</f>
        <v>0</v>
      </c>
      <c r="BT511" s="7">
        <f t="shared" si="66"/>
        <v>0</v>
      </c>
      <c r="BU511" s="7"/>
      <c r="BV511" s="7">
        <f>BT511-'Gov Fd BS'!AC511</f>
        <v>0</v>
      </c>
      <c r="BW511" s="7"/>
    </row>
    <row r="512" spans="1:75">
      <c r="A512" s="11" t="s">
        <v>530</v>
      </c>
      <c r="B512" s="11"/>
      <c r="C512" s="11" t="s">
        <v>64</v>
      </c>
      <c r="E512" s="6">
        <v>2426074</v>
      </c>
      <c r="G512" s="6">
        <v>350702</v>
      </c>
      <c r="I512" s="6">
        <v>61</v>
      </c>
      <c r="K512" s="6">
        <v>0</v>
      </c>
      <c r="M512" s="6">
        <v>0</v>
      </c>
      <c r="O512" s="6">
        <v>591441</v>
      </c>
      <c r="Q512" s="6">
        <v>78120</v>
      </c>
      <c r="S512" s="6">
        <v>92079</v>
      </c>
      <c r="U512" s="6">
        <v>511285</v>
      </c>
      <c r="W512" s="6">
        <v>263849</v>
      </c>
      <c r="Y512" s="6">
        <v>27115</v>
      </c>
      <c r="AA512" s="6">
        <v>500831</v>
      </c>
      <c r="AC512" s="6">
        <v>483286</v>
      </c>
      <c r="AE512" s="6">
        <v>18050</v>
      </c>
      <c r="AG512" s="6">
        <v>206518</v>
      </c>
      <c r="AI512" s="6">
        <v>100</v>
      </c>
      <c r="AJ512" s="11" t="s">
        <v>530</v>
      </c>
      <c r="AK512" s="11"/>
      <c r="AL512" s="11" t="s">
        <v>64</v>
      </c>
      <c r="AN512" s="6">
        <v>233220</v>
      </c>
      <c r="AP512" s="6">
        <v>3178239</v>
      </c>
      <c r="AR512" s="6">
        <v>0</v>
      </c>
      <c r="AT512" s="6">
        <v>195000</v>
      </c>
      <c r="AV512" s="6">
        <v>326175</v>
      </c>
      <c r="AX512" s="6">
        <v>0</v>
      </c>
      <c r="AZ512" s="7">
        <f t="shared" si="64"/>
        <v>9482145</v>
      </c>
      <c r="BB512" s="6">
        <v>56921</v>
      </c>
      <c r="BD512" s="6">
        <v>0</v>
      </c>
      <c r="BF512" s="6">
        <v>0</v>
      </c>
      <c r="BH512" s="6">
        <v>0</v>
      </c>
      <c r="BJ512" s="7">
        <f t="shared" si="65"/>
        <v>9539066</v>
      </c>
      <c r="BL512" s="7">
        <f>'Gov Fd Rev'!AO512-'Gov Fd Exp'!BJ512</f>
        <v>-3163821</v>
      </c>
      <c r="BN512" s="6">
        <v>7576316</v>
      </c>
      <c r="BP512" s="6">
        <v>0</v>
      </c>
      <c r="BR512" s="6">
        <v>0</v>
      </c>
      <c r="BT512" s="7">
        <f t="shared" si="66"/>
        <v>4412495</v>
      </c>
      <c r="BU512" s="7"/>
      <c r="BV512" s="7">
        <f>BT512-'Gov Fd BS'!AC512</f>
        <v>0</v>
      </c>
      <c r="BW512" s="7"/>
    </row>
    <row r="513" spans="1:75" hidden="1">
      <c r="A513" s="11" t="s">
        <v>829</v>
      </c>
      <c r="B513" s="11"/>
      <c r="C513" s="11" t="s">
        <v>42</v>
      </c>
      <c r="AJ513" s="11" t="s">
        <v>829</v>
      </c>
      <c r="AK513" s="11"/>
      <c r="AL513" s="11" t="s">
        <v>42</v>
      </c>
      <c r="AZ513" s="7">
        <f t="shared" si="64"/>
        <v>0</v>
      </c>
      <c r="BJ513" s="7">
        <f t="shared" si="65"/>
        <v>0</v>
      </c>
      <c r="BL513" s="7">
        <f>'Gov Fd Rev'!AO513-'Gov Fd Exp'!BJ513</f>
        <v>0</v>
      </c>
      <c r="BT513" s="7">
        <f t="shared" si="66"/>
        <v>0</v>
      </c>
      <c r="BU513" s="7"/>
      <c r="BV513" s="7">
        <f>BT513-'Gov Fd BS'!AC513</f>
        <v>0</v>
      </c>
      <c r="BW513" s="7"/>
    </row>
    <row r="514" spans="1:75">
      <c r="A514" s="11" t="s">
        <v>331</v>
      </c>
      <c r="B514" s="11"/>
      <c r="C514" s="11" t="s">
        <v>32</v>
      </c>
      <c r="E514" s="6">
        <v>14233796</v>
      </c>
      <c r="G514" s="6">
        <v>3957905</v>
      </c>
      <c r="I514" s="6">
        <v>5597</v>
      </c>
      <c r="K514" s="6">
        <v>0</v>
      </c>
      <c r="M514" s="6">
        <v>588617</v>
      </c>
      <c r="O514" s="6">
        <v>1404192</v>
      </c>
      <c r="Q514" s="6">
        <v>1210538</v>
      </c>
      <c r="S514" s="6">
        <v>0</v>
      </c>
      <c r="U514" s="6">
        <f>64259+2663262</f>
        <v>2727521</v>
      </c>
      <c r="W514" s="6">
        <v>889039</v>
      </c>
      <c r="Y514" s="6">
        <v>100</v>
      </c>
      <c r="AA514" s="6">
        <v>3151935</v>
      </c>
      <c r="AC514" s="6">
        <v>1359416</v>
      </c>
      <c r="AE514" s="6">
        <v>102689</v>
      </c>
      <c r="AG514" s="6">
        <v>0</v>
      </c>
      <c r="AI514" s="6">
        <v>2181329</v>
      </c>
      <c r="AJ514" s="11" t="s">
        <v>331</v>
      </c>
      <c r="AK514" s="11"/>
      <c r="AL514" s="11" t="s">
        <v>32</v>
      </c>
      <c r="AN514" s="6">
        <v>737736</v>
      </c>
      <c r="AP514" s="6">
        <v>2096643</v>
      </c>
      <c r="AR514" s="6">
        <v>0</v>
      </c>
      <c r="AT514" s="6">
        <v>620000</v>
      </c>
      <c r="AV514" s="6">
        <v>624896</v>
      </c>
      <c r="AX514" s="6">
        <v>58070</v>
      </c>
      <c r="AZ514" s="7">
        <f t="shared" si="64"/>
        <v>35950019</v>
      </c>
      <c r="BB514" s="6">
        <v>196608</v>
      </c>
      <c r="BD514" s="6">
        <v>0</v>
      </c>
      <c r="BF514" s="6">
        <v>0</v>
      </c>
      <c r="BH514" s="6">
        <v>0</v>
      </c>
      <c r="BJ514" s="7">
        <f t="shared" si="65"/>
        <v>36146627</v>
      </c>
      <c r="BL514" s="7">
        <f>'Gov Fd Rev'!AO514-'Gov Fd Exp'!BJ514</f>
        <v>801105</v>
      </c>
      <c r="BN514" s="6">
        <v>6234193</v>
      </c>
      <c r="BP514" s="6">
        <v>0</v>
      </c>
      <c r="BR514" s="6">
        <v>0</v>
      </c>
      <c r="BT514" s="7">
        <f t="shared" si="66"/>
        <v>7035298</v>
      </c>
      <c r="BU514" s="7"/>
      <c r="BV514" s="7">
        <f>BT514-'Gov Fd BS'!AC514</f>
        <v>0</v>
      </c>
      <c r="BW514" s="7"/>
    </row>
    <row r="515" spans="1:75">
      <c r="A515" s="11" t="s">
        <v>307</v>
      </c>
      <c r="B515" s="11"/>
      <c r="C515" s="11" t="s">
        <v>27</v>
      </c>
      <c r="E515" s="6">
        <v>96470472</v>
      </c>
      <c r="G515" s="6">
        <v>31076201</v>
      </c>
      <c r="I515" s="6">
        <v>5356704</v>
      </c>
      <c r="K515" s="6">
        <v>0</v>
      </c>
      <c r="M515" s="6">
        <v>889683</v>
      </c>
      <c r="O515" s="6">
        <v>10298499</v>
      </c>
      <c r="Q515" s="6">
        <v>15628160</v>
      </c>
      <c r="S515" s="6">
        <v>35875</v>
      </c>
      <c r="U515" s="6">
        <v>15348771</v>
      </c>
      <c r="W515" s="6">
        <v>3625358</v>
      </c>
      <c r="Y515" s="6">
        <v>881525</v>
      </c>
      <c r="AA515" s="6">
        <v>15911738</v>
      </c>
      <c r="AC515" s="6">
        <v>11476850</v>
      </c>
      <c r="AE515" s="6">
        <v>3196388</v>
      </c>
      <c r="AG515" s="6">
        <v>8383343</v>
      </c>
      <c r="AI515" s="6">
        <v>1198527</v>
      </c>
      <c r="AJ515" s="11" t="s">
        <v>307</v>
      </c>
      <c r="AK515" s="11"/>
      <c r="AL515" s="11" t="s">
        <v>27</v>
      </c>
      <c r="AN515" s="6">
        <v>3829207</v>
      </c>
      <c r="AP515" s="6">
        <v>10216416</v>
      </c>
      <c r="AR515" s="6">
        <v>0</v>
      </c>
      <c r="AT515" s="6">
        <v>11081667</v>
      </c>
      <c r="AV515" s="6">
        <v>3458344</v>
      </c>
      <c r="AX515" s="6">
        <v>0</v>
      </c>
      <c r="AZ515" s="7">
        <f t="shared" si="64"/>
        <v>248363728</v>
      </c>
      <c r="BB515" s="6">
        <v>1462976</v>
      </c>
      <c r="BD515" s="6">
        <v>0</v>
      </c>
      <c r="BF515" s="6">
        <v>0</v>
      </c>
      <c r="BH515" s="6">
        <v>0</v>
      </c>
      <c r="BJ515" s="7">
        <f t="shared" si="65"/>
        <v>249826704</v>
      </c>
      <c r="BL515" s="7">
        <f>'Gov Fd Rev'!AO515-'Gov Fd Exp'!BJ515</f>
        <v>17409176</v>
      </c>
      <c r="BN515" s="6">
        <v>114163900</v>
      </c>
      <c r="BP515" s="6">
        <v>0</v>
      </c>
      <c r="BR515" s="6">
        <v>0</v>
      </c>
      <c r="BT515" s="7">
        <f t="shared" si="66"/>
        <v>131573076</v>
      </c>
      <c r="BU515" s="7"/>
      <c r="BV515" s="7">
        <f>BT515-'Gov Fd BS'!AC515</f>
        <v>0</v>
      </c>
      <c r="BW515" s="7"/>
    </row>
    <row r="516" spans="1:75" hidden="1">
      <c r="A516" s="11" t="s">
        <v>702</v>
      </c>
      <c r="B516" s="11"/>
      <c r="C516" s="11" t="s">
        <v>10</v>
      </c>
      <c r="AJ516" s="11" t="s">
        <v>702</v>
      </c>
      <c r="AK516" s="11"/>
      <c r="AL516" s="11" t="s">
        <v>10</v>
      </c>
      <c r="AZ516" s="7">
        <f t="shared" si="64"/>
        <v>0</v>
      </c>
      <c r="BJ516" s="7">
        <f t="shared" si="65"/>
        <v>0</v>
      </c>
      <c r="BL516" s="7">
        <f>'Gov Fd Rev'!AO516-'Gov Fd Exp'!BJ516</f>
        <v>0</v>
      </c>
      <c r="BT516" s="7">
        <f t="shared" si="66"/>
        <v>0</v>
      </c>
      <c r="BU516" s="7"/>
      <c r="BV516" s="7">
        <f>BT516-'Gov Fd BS'!AC516</f>
        <v>0</v>
      </c>
      <c r="BW516" s="7"/>
    </row>
    <row r="517" spans="1:75">
      <c r="A517" s="10" t="s">
        <v>847</v>
      </c>
      <c r="B517" s="11"/>
      <c r="C517" s="11" t="s">
        <v>69</v>
      </c>
      <c r="E517" s="6">
        <v>20415772</v>
      </c>
      <c r="G517" s="6">
        <v>4065454</v>
      </c>
      <c r="I517" s="6">
        <v>299</v>
      </c>
      <c r="K517" s="6">
        <v>0</v>
      </c>
      <c r="M517" s="6">
        <v>636380</v>
      </c>
      <c r="O517" s="6">
        <v>2304034</v>
      </c>
      <c r="Q517" s="6">
        <v>3203432</v>
      </c>
      <c r="S517" s="6">
        <v>212827</v>
      </c>
      <c r="U517" s="6">
        <v>3230681</v>
      </c>
      <c r="W517" s="6">
        <v>912289</v>
      </c>
      <c r="Y517" s="6">
        <v>261887</v>
      </c>
      <c r="AA517" s="6">
        <v>3793942</v>
      </c>
      <c r="AC517" s="6">
        <v>2671423</v>
      </c>
      <c r="AE517" s="6">
        <v>231692</v>
      </c>
      <c r="AG517" s="6">
        <v>0</v>
      </c>
      <c r="AI517" s="6">
        <v>1241490</v>
      </c>
      <c r="AJ517" s="10" t="s">
        <v>847</v>
      </c>
      <c r="AK517" s="11"/>
      <c r="AL517" s="11" t="s">
        <v>69</v>
      </c>
      <c r="AN517" s="6">
        <v>1169663</v>
      </c>
      <c r="AP517" s="6">
        <v>930394</v>
      </c>
      <c r="AR517" s="6">
        <v>0</v>
      </c>
      <c r="AT517" s="6">
        <v>3835953</v>
      </c>
      <c r="AV517" s="6">
        <v>4254456</v>
      </c>
      <c r="AX517" s="6">
        <v>0</v>
      </c>
      <c r="AZ517" s="7">
        <f t="shared" si="64"/>
        <v>53372068</v>
      </c>
      <c r="BB517" s="6">
        <v>0</v>
      </c>
      <c r="BD517" s="6">
        <v>0</v>
      </c>
      <c r="BF517" s="6">
        <v>0</v>
      </c>
      <c r="BH517" s="6">
        <v>0</v>
      </c>
      <c r="BJ517" s="7">
        <f t="shared" si="65"/>
        <v>53372068</v>
      </c>
      <c r="BL517" s="7">
        <f>'Gov Fd Rev'!AO517-'Gov Fd Exp'!BJ517</f>
        <v>-278367</v>
      </c>
      <c r="BN517" s="6">
        <v>11657053</v>
      </c>
      <c r="BP517" s="6">
        <v>0</v>
      </c>
      <c r="BR517" s="6">
        <v>0</v>
      </c>
      <c r="BT517" s="7">
        <f t="shared" si="66"/>
        <v>11378686</v>
      </c>
      <c r="BU517" s="7"/>
      <c r="BV517" s="7">
        <f>BT517-'Gov Fd BS'!AC517</f>
        <v>0</v>
      </c>
      <c r="BW517" s="7"/>
    </row>
    <row r="518" spans="1:75">
      <c r="A518" s="11" t="s">
        <v>629</v>
      </c>
      <c r="B518" s="11"/>
      <c r="C518" s="11" t="s">
        <v>17</v>
      </c>
      <c r="E518" s="6">
        <v>42683517</v>
      </c>
      <c r="G518" s="6">
        <v>10768489</v>
      </c>
      <c r="I518" s="6">
        <v>199176</v>
      </c>
      <c r="K518" s="6">
        <v>147745</v>
      </c>
      <c r="M518" s="6">
        <v>666101</v>
      </c>
      <c r="O518" s="6">
        <v>7560144</v>
      </c>
      <c r="Q518" s="6">
        <v>7168923</v>
      </c>
      <c r="S518" s="6">
        <v>335410</v>
      </c>
      <c r="U518" s="6">
        <v>7246785</v>
      </c>
      <c r="W518" s="6">
        <v>1635984</v>
      </c>
      <c r="Y518" s="6">
        <v>400872</v>
      </c>
      <c r="AA518" s="6">
        <v>7131654</v>
      </c>
      <c r="AC518" s="6">
        <v>2689835</v>
      </c>
      <c r="AE518" s="6">
        <v>2497400</v>
      </c>
      <c r="AG518" s="6">
        <v>0</v>
      </c>
      <c r="AI518" s="6">
        <v>5477580</v>
      </c>
      <c r="AJ518" s="11" t="s">
        <v>629</v>
      </c>
      <c r="AK518" s="11"/>
      <c r="AL518" s="11" t="s">
        <v>17</v>
      </c>
      <c r="AN518" s="6">
        <v>1081203</v>
      </c>
      <c r="AP518" s="6">
        <v>462870</v>
      </c>
      <c r="AR518" s="6">
        <v>0</v>
      </c>
      <c r="AT518" s="6">
        <v>2656658</v>
      </c>
      <c r="AV518" s="6">
        <v>1143807</v>
      </c>
      <c r="AX518" s="6">
        <v>1316383</v>
      </c>
      <c r="AZ518" s="7">
        <f t="shared" si="64"/>
        <v>103270536</v>
      </c>
      <c r="BB518" s="6">
        <v>295218</v>
      </c>
      <c r="BD518" s="6">
        <v>0</v>
      </c>
      <c r="BF518" s="6">
        <v>0</v>
      </c>
      <c r="BH518" s="6">
        <v>0</v>
      </c>
      <c r="BJ518" s="7">
        <f t="shared" si="65"/>
        <v>103565754</v>
      </c>
      <c r="BL518" s="7">
        <f>'Gov Fd Rev'!AO518-'Gov Fd Exp'!BJ518</f>
        <v>1535505</v>
      </c>
      <c r="BN518" s="6">
        <v>36247581</v>
      </c>
      <c r="BP518" s="6">
        <v>0</v>
      </c>
      <c r="BR518" s="6">
        <v>0</v>
      </c>
      <c r="BT518" s="7">
        <f t="shared" si="66"/>
        <v>37783086</v>
      </c>
      <c r="BU518" s="7"/>
      <c r="BV518" s="7">
        <f>BT518-'Gov Fd BS'!AC518</f>
        <v>0</v>
      </c>
      <c r="BW518" s="7"/>
    </row>
    <row r="519" spans="1:75" ht="11.25" customHeight="1">
      <c r="A519" s="11" t="s">
        <v>716</v>
      </c>
      <c r="B519" s="11"/>
      <c r="C519" s="11" t="s">
        <v>115</v>
      </c>
      <c r="E519" s="6">
        <v>17211382</v>
      </c>
      <c r="G519" s="6">
        <v>4834523</v>
      </c>
      <c r="I519" s="6">
        <v>303545</v>
      </c>
      <c r="K519" s="6">
        <v>0</v>
      </c>
      <c r="M519" s="6">
        <v>2938612</v>
      </c>
      <c r="O519" s="6">
        <v>1435845</v>
      </c>
      <c r="Q519" s="6">
        <v>429776</v>
      </c>
      <c r="S519" s="6">
        <v>47218</v>
      </c>
      <c r="U519" s="6">
        <v>2764039</v>
      </c>
      <c r="W519" s="6">
        <v>743600</v>
      </c>
      <c r="Y519" s="6">
        <v>0</v>
      </c>
      <c r="AA519" s="6">
        <v>3359559</v>
      </c>
      <c r="AC519" s="6">
        <v>1924707</v>
      </c>
      <c r="AE519" s="6">
        <v>74245</v>
      </c>
      <c r="AG519" s="6">
        <v>1379024</v>
      </c>
      <c r="AI519" s="6">
        <v>967897</v>
      </c>
      <c r="AJ519" s="11" t="s">
        <v>716</v>
      </c>
      <c r="AK519" s="11"/>
      <c r="AL519" s="11" t="s">
        <v>115</v>
      </c>
      <c r="AN519" s="6">
        <v>1039443</v>
      </c>
      <c r="AP519" s="6">
        <v>18554</v>
      </c>
      <c r="AR519" s="6">
        <v>0</v>
      </c>
      <c r="AT519" s="6">
        <v>1625000</v>
      </c>
      <c r="AV519" s="6">
        <v>489750</v>
      </c>
      <c r="AX519" s="6">
        <v>0</v>
      </c>
      <c r="AZ519" s="7">
        <f t="shared" si="64"/>
        <v>41586719</v>
      </c>
      <c r="BB519" s="6">
        <v>0</v>
      </c>
      <c r="BD519" s="6">
        <v>0</v>
      </c>
      <c r="BF519" s="6">
        <v>0</v>
      </c>
      <c r="BH519" s="6">
        <v>0</v>
      </c>
      <c r="BJ519" s="7">
        <f t="shared" si="65"/>
        <v>41586719</v>
      </c>
      <c r="BL519" s="7">
        <f>'Gov Fd Rev'!AO519-'Gov Fd Exp'!BJ519</f>
        <v>3037561</v>
      </c>
      <c r="BN519" s="6">
        <v>274369</v>
      </c>
      <c r="BP519" s="6">
        <v>0</v>
      </c>
      <c r="BR519" s="6">
        <v>0</v>
      </c>
      <c r="BT519" s="7">
        <f t="shared" si="66"/>
        <v>3311930</v>
      </c>
      <c r="BU519" s="7"/>
      <c r="BV519" s="7">
        <f>BT519-'Gov Fd BS'!AC519</f>
        <v>0</v>
      </c>
      <c r="BW519" s="7"/>
    </row>
    <row r="520" spans="1:75">
      <c r="A520" s="11" t="s">
        <v>393</v>
      </c>
      <c r="B520" s="11"/>
      <c r="C520" s="11" t="s">
        <v>45</v>
      </c>
      <c r="E520" s="6">
        <v>4761995</v>
      </c>
      <c r="G520" s="6">
        <v>1140585</v>
      </c>
      <c r="I520" s="6">
        <v>194844</v>
      </c>
      <c r="K520" s="6">
        <v>0</v>
      </c>
      <c r="M520" s="6">
        <v>55117</v>
      </c>
      <c r="O520" s="6">
        <v>553864</v>
      </c>
      <c r="Q520" s="6">
        <v>424057</v>
      </c>
      <c r="S520" s="6">
        <v>26721</v>
      </c>
      <c r="U520" s="6">
        <v>1230206</v>
      </c>
      <c r="W520" s="6">
        <v>327395</v>
      </c>
      <c r="Y520" s="6">
        <v>2394</v>
      </c>
      <c r="AA520" s="6">
        <v>912172</v>
      </c>
      <c r="AC520" s="6">
        <v>565434</v>
      </c>
      <c r="AE520" s="6">
        <v>30031</v>
      </c>
      <c r="AG520" s="6">
        <v>542299</v>
      </c>
      <c r="AI520" s="6">
        <v>3330</v>
      </c>
      <c r="AJ520" s="11" t="s">
        <v>393</v>
      </c>
      <c r="AK520" s="11"/>
      <c r="AL520" s="11" t="s">
        <v>45</v>
      </c>
      <c r="AN520" s="6">
        <v>450762</v>
      </c>
      <c r="AP520" s="6">
        <v>87893</v>
      </c>
      <c r="AR520" s="6">
        <v>0</v>
      </c>
      <c r="AT520" s="6">
        <v>428659</v>
      </c>
      <c r="AV520" s="6">
        <v>29469</v>
      </c>
      <c r="AX520" s="6">
        <v>0</v>
      </c>
      <c r="AZ520" s="7">
        <f t="shared" si="64"/>
        <v>11767227</v>
      </c>
      <c r="BB520" s="6">
        <v>0</v>
      </c>
      <c r="BD520" s="6">
        <v>0</v>
      </c>
      <c r="BF520" s="6">
        <v>0</v>
      </c>
      <c r="BH520" s="6">
        <v>0</v>
      </c>
      <c r="BJ520" s="7">
        <f t="shared" si="65"/>
        <v>11767227</v>
      </c>
      <c r="BL520" s="7">
        <f>'Gov Fd Rev'!AO520-'Gov Fd Exp'!BJ520</f>
        <v>2721313</v>
      </c>
      <c r="BN520" s="6">
        <v>2274476</v>
      </c>
      <c r="BP520" s="6">
        <v>0</v>
      </c>
      <c r="BR520" s="6">
        <v>0</v>
      </c>
      <c r="BT520" s="7">
        <f t="shared" si="66"/>
        <v>4995789</v>
      </c>
      <c r="BU520" s="7"/>
      <c r="BV520" s="7">
        <f>BT520-'Gov Fd BS'!AC520</f>
        <v>0</v>
      </c>
      <c r="BW520" s="7"/>
    </row>
    <row r="521" spans="1:75">
      <c r="A521" s="11" t="s">
        <v>393</v>
      </c>
      <c r="B521" s="11"/>
      <c r="C521" s="11" t="s">
        <v>63</v>
      </c>
      <c r="E521" s="6">
        <v>10522614</v>
      </c>
      <c r="G521" s="6">
        <v>3425669</v>
      </c>
      <c r="I521" s="6">
        <v>226373</v>
      </c>
      <c r="K521" s="6">
        <v>0</v>
      </c>
      <c r="M521" s="6">
        <v>2367043</v>
      </c>
      <c r="O521" s="6">
        <v>1288691</v>
      </c>
      <c r="Q521" s="6">
        <v>988372</v>
      </c>
      <c r="S521" s="6">
        <v>27561</v>
      </c>
      <c r="U521" s="6">
        <v>1579036</v>
      </c>
      <c r="W521" s="6">
        <v>649431</v>
      </c>
      <c r="Y521" s="6">
        <v>133723</v>
      </c>
      <c r="AA521" s="6">
        <v>1831269</v>
      </c>
      <c r="AC521" s="6">
        <v>1308732</v>
      </c>
      <c r="AE521" s="6">
        <v>57010</v>
      </c>
      <c r="AG521" s="6">
        <v>861222</v>
      </c>
      <c r="AI521" s="6">
        <v>77389</v>
      </c>
      <c r="AJ521" s="11" t="s">
        <v>393</v>
      </c>
      <c r="AK521" s="11"/>
      <c r="AL521" s="11" t="s">
        <v>63</v>
      </c>
      <c r="AN521" s="6">
        <v>712264</v>
      </c>
      <c r="AP521" s="6">
        <v>10891376</v>
      </c>
      <c r="AR521" s="6">
        <v>0</v>
      </c>
      <c r="AT521" s="6">
        <v>111057</v>
      </c>
      <c r="AV521" s="6">
        <v>1855683</v>
      </c>
      <c r="AX521" s="6">
        <v>0</v>
      </c>
      <c r="AZ521" s="7">
        <f t="shared" si="64"/>
        <v>38914515</v>
      </c>
      <c r="BB521" s="6">
        <v>0</v>
      </c>
      <c r="BD521" s="6">
        <v>0</v>
      </c>
      <c r="BF521" s="6">
        <v>0</v>
      </c>
      <c r="BH521" s="6">
        <v>0</v>
      </c>
      <c r="BJ521" s="7">
        <f t="shared" si="65"/>
        <v>38914515</v>
      </c>
      <c r="BL521" s="7">
        <f>'Gov Fd Rev'!AO521-'Gov Fd Exp'!BJ521</f>
        <v>-3462234</v>
      </c>
      <c r="BN521" s="6">
        <v>39402059</v>
      </c>
      <c r="BP521" s="6">
        <v>0</v>
      </c>
      <c r="BR521" s="6">
        <v>0</v>
      </c>
      <c r="BT521" s="7">
        <f t="shared" si="66"/>
        <v>35939825</v>
      </c>
      <c r="BU521" s="7"/>
      <c r="BV521" s="7">
        <f>BT521-'Gov Fd BS'!AC521</f>
        <v>0</v>
      </c>
      <c r="BW521" s="7"/>
    </row>
    <row r="522" spans="1:75">
      <c r="A522" s="11" t="s">
        <v>786</v>
      </c>
      <c r="B522" s="11"/>
      <c r="C522" s="11" t="s">
        <v>32</v>
      </c>
      <c r="E522" s="6">
        <v>6163868</v>
      </c>
      <c r="G522" s="6">
        <v>1719607</v>
      </c>
      <c r="I522" s="6">
        <v>0</v>
      </c>
      <c r="K522" s="6">
        <v>0</v>
      </c>
      <c r="M522" s="6">
        <v>105617</v>
      </c>
      <c r="O522" s="6">
        <v>940247</v>
      </c>
      <c r="Q522" s="6">
        <v>592929</v>
      </c>
      <c r="S522" s="6">
        <v>0</v>
      </c>
      <c r="U522" s="6">
        <f>16926+984939</f>
        <v>1001865</v>
      </c>
      <c r="W522" s="6">
        <v>469300</v>
      </c>
      <c r="Y522" s="6">
        <v>0</v>
      </c>
      <c r="AA522" s="6">
        <v>1206309</v>
      </c>
      <c r="AC522" s="6">
        <v>386111</v>
      </c>
      <c r="AE522" s="6">
        <v>132085</v>
      </c>
      <c r="AG522" s="6">
        <v>0</v>
      </c>
      <c r="AI522" s="6">
        <v>957839</v>
      </c>
      <c r="AJ522" s="11" t="s">
        <v>786</v>
      </c>
      <c r="AK522" s="11"/>
      <c r="AL522" s="11" t="s">
        <v>32</v>
      </c>
      <c r="AN522" s="6">
        <v>254232</v>
      </c>
      <c r="AP522" s="6">
        <v>0</v>
      </c>
      <c r="AR522" s="6">
        <v>0</v>
      </c>
      <c r="AT522" s="6">
        <v>118000</v>
      </c>
      <c r="AV522" s="6">
        <v>55523</v>
      </c>
      <c r="AX522" s="6">
        <v>0</v>
      </c>
      <c r="AZ522" s="7">
        <f t="shared" si="64"/>
        <v>14103532</v>
      </c>
      <c r="BB522" s="6">
        <v>486500</v>
      </c>
      <c r="BD522" s="6">
        <v>0</v>
      </c>
      <c r="BF522" s="6">
        <v>0</v>
      </c>
      <c r="BH522" s="6">
        <v>0</v>
      </c>
      <c r="BJ522" s="7">
        <f t="shared" si="65"/>
        <v>14590032</v>
      </c>
      <c r="BL522" s="7">
        <f>'Gov Fd Rev'!AO522-'Gov Fd Exp'!BJ522</f>
        <v>890986</v>
      </c>
      <c r="BN522" s="6">
        <v>7190059</v>
      </c>
      <c r="BP522" s="6">
        <v>0</v>
      </c>
      <c r="BR522" s="6">
        <v>0</v>
      </c>
      <c r="BT522" s="7">
        <f t="shared" si="66"/>
        <v>8081045</v>
      </c>
      <c r="BU522" s="7"/>
      <c r="BV522" s="7">
        <f>BT522-'Gov Fd BS'!AC522</f>
        <v>0</v>
      </c>
      <c r="BW522" s="7"/>
    </row>
    <row r="523" spans="1:75">
      <c r="A523" s="11" t="s">
        <v>787</v>
      </c>
      <c r="B523" s="11"/>
      <c r="C523" s="11" t="s">
        <v>15</v>
      </c>
      <c r="E523" s="6">
        <v>7494030</v>
      </c>
      <c r="G523" s="6">
        <v>1516236</v>
      </c>
      <c r="I523" s="6">
        <v>8219</v>
      </c>
      <c r="K523" s="6">
        <v>0</v>
      </c>
      <c r="M523" s="6">
        <v>0</v>
      </c>
      <c r="O523" s="6">
        <v>873518</v>
      </c>
      <c r="Q523" s="6">
        <v>447910</v>
      </c>
      <c r="S523" s="6">
        <v>17247</v>
      </c>
      <c r="U523" s="6">
        <v>837790</v>
      </c>
      <c r="W523" s="6">
        <v>512677</v>
      </c>
      <c r="Y523" s="6">
        <v>0</v>
      </c>
      <c r="AA523" s="6">
        <v>1184106</v>
      </c>
      <c r="AC523" s="6">
        <v>627978</v>
      </c>
      <c r="AE523" s="6">
        <v>256940</v>
      </c>
      <c r="AG523" s="6">
        <v>290906</v>
      </c>
      <c r="AI523" s="6">
        <v>187172</v>
      </c>
      <c r="AJ523" s="11" t="s">
        <v>787</v>
      </c>
      <c r="AK523" s="11"/>
      <c r="AL523" s="11" t="s">
        <v>15</v>
      </c>
      <c r="AN523" s="6">
        <v>706892</v>
      </c>
      <c r="AP523" s="6">
        <v>0</v>
      </c>
      <c r="AR523" s="6">
        <v>0</v>
      </c>
      <c r="AT523" s="6">
        <v>943281</v>
      </c>
      <c r="AV523" s="6">
        <v>70822</v>
      </c>
      <c r="AX523" s="6">
        <v>0</v>
      </c>
      <c r="AZ523" s="7">
        <f t="shared" si="64"/>
        <v>15975724</v>
      </c>
      <c r="BB523" s="6">
        <v>0</v>
      </c>
      <c r="BD523" s="6">
        <v>0</v>
      </c>
      <c r="BF523" s="6">
        <v>0</v>
      </c>
      <c r="BH523" s="6">
        <v>0</v>
      </c>
      <c r="BJ523" s="7">
        <f t="shared" si="65"/>
        <v>15975724</v>
      </c>
      <c r="BL523" s="7">
        <f>'Gov Fd Rev'!AO523-'Gov Fd Exp'!BJ523</f>
        <v>-991193</v>
      </c>
      <c r="BN523" s="6">
        <v>1737075</v>
      </c>
      <c r="BP523" s="6">
        <v>0</v>
      </c>
      <c r="BR523" s="6">
        <v>0</v>
      </c>
      <c r="BT523" s="7">
        <f t="shared" si="66"/>
        <v>745882</v>
      </c>
      <c r="BU523" s="7"/>
      <c r="BV523" s="7">
        <f>BT523-'Gov Fd BS'!AC523</f>
        <v>0</v>
      </c>
      <c r="BW523" s="7"/>
    </row>
    <row r="524" spans="1:75" hidden="1">
      <c r="A524" s="11" t="s">
        <v>703</v>
      </c>
      <c r="B524" s="11"/>
      <c r="C524" s="11" t="s">
        <v>422</v>
      </c>
      <c r="AJ524" s="11" t="s">
        <v>703</v>
      </c>
      <c r="AK524" s="11"/>
      <c r="AL524" s="11" t="s">
        <v>422</v>
      </c>
      <c r="AZ524" s="7">
        <f t="shared" si="64"/>
        <v>0</v>
      </c>
      <c r="BJ524" s="7">
        <f t="shared" si="65"/>
        <v>0</v>
      </c>
      <c r="BL524" s="7">
        <f>'Gov Fd Rev'!AO524-'Gov Fd Exp'!BJ524</f>
        <v>0</v>
      </c>
      <c r="BT524" s="7">
        <f t="shared" si="66"/>
        <v>0</v>
      </c>
      <c r="BU524" s="7"/>
      <c r="BV524" s="7">
        <f>BT524-'Gov Fd BS'!AC524</f>
        <v>0</v>
      </c>
      <c r="BW524" s="7"/>
    </row>
    <row r="525" spans="1:75" hidden="1">
      <c r="A525" s="11" t="s">
        <v>704</v>
      </c>
      <c r="B525" s="11"/>
      <c r="C525" s="11" t="s">
        <v>14</v>
      </c>
      <c r="AJ525" s="11" t="s">
        <v>704</v>
      </c>
      <c r="AK525" s="11"/>
      <c r="AL525" s="11" t="s">
        <v>14</v>
      </c>
      <c r="AZ525" s="7">
        <f t="shared" si="64"/>
        <v>0</v>
      </c>
      <c r="BJ525" s="7">
        <f t="shared" si="65"/>
        <v>0</v>
      </c>
      <c r="BL525" s="7">
        <f>'Gov Fd Rev'!AO525-'Gov Fd Exp'!BJ525</f>
        <v>0</v>
      </c>
      <c r="BT525" s="7">
        <f t="shared" si="66"/>
        <v>0</v>
      </c>
      <c r="BU525" s="7"/>
      <c r="BV525" s="7">
        <f>BT525-'Gov Fd BS'!AC525</f>
        <v>0</v>
      </c>
      <c r="BW525" s="7"/>
    </row>
    <row r="526" spans="1:75">
      <c r="A526" s="11" t="s">
        <v>364</v>
      </c>
      <c r="B526" s="11"/>
      <c r="C526" s="11" t="s">
        <v>39</v>
      </c>
      <c r="E526" s="6">
        <v>10965668</v>
      </c>
      <c r="G526" s="6">
        <v>3676238</v>
      </c>
      <c r="I526" s="6">
        <v>682036</v>
      </c>
      <c r="K526" s="6">
        <v>0</v>
      </c>
      <c r="M526" s="6">
        <v>78660</v>
      </c>
      <c r="O526" s="6">
        <v>749183</v>
      </c>
      <c r="Q526" s="6">
        <v>815731</v>
      </c>
      <c r="S526" s="6">
        <v>46636</v>
      </c>
      <c r="U526" s="6">
        <v>1731581</v>
      </c>
      <c r="W526" s="6">
        <v>414249</v>
      </c>
      <c r="Y526" s="6">
        <v>268545</v>
      </c>
      <c r="AA526" s="6">
        <v>2674900</v>
      </c>
      <c r="AC526" s="6">
        <v>454499</v>
      </c>
      <c r="AE526" s="6">
        <v>2891</v>
      </c>
      <c r="AG526" s="6">
        <v>962749</v>
      </c>
      <c r="AI526" s="6">
        <v>459427</v>
      </c>
      <c r="AJ526" s="11" t="s">
        <v>364</v>
      </c>
      <c r="AK526" s="11"/>
      <c r="AL526" s="11" t="s">
        <v>39</v>
      </c>
      <c r="AN526" s="6">
        <v>885082</v>
      </c>
      <c r="AP526" s="6">
        <v>180289</v>
      </c>
      <c r="AR526" s="6">
        <v>0</v>
      </c>
      <c r="AT526" s="6">
        <v>291222</v>
      </c>
      <c r="AV526" s="6">
        <v>223963</v>
      </c>
      <c r="AX526" s="6">
        <v>583778</v>
      </c>
      <c r="AZ526" s="7">
        <f t="shared" si="64"/>
        <v>26147327</v>
      </c>
      <c r="BB526" s="6">
        <v>142742</v>
      </c>
      <c r="BD526" s="6">
        <v>0</v>
      </c>
      <c r="BF526" s="6">
        <v>0</v>
      </c>
      <c r="BH526" s="6">
        <v>0</v>
      </c>
      <c r="BJ526" s="7">
        <f t="shared" si="65"/>
        <v>26290069</v>
      </c>
      <c r="BL526" s="7">
        <f>'Gov Fd Rev'!AO526-'Gov Fd Exp'!BJ526</f>
        <v>-510338</v>
      </c>
      <c r="BN526" s="6">
        <v>11964297</v>
      </c>
      <c r="BP526" s="6">
        <v>0</v>
      </c>
      <c r="BR526" s="6">
        <v>0</v>
      </c>
      <c r="BT526" s="7">
        <f t="shared" si="66"/>
        <v>11453959</v>
      </c>
      <c r="BU526" s="7"/>
      <c r="BV526" s="7">
        <f>BT526-'Gov Fd BS'!AC526</f>
        <v>0</v>
      </c>
      <c r="BW526" s="7"/>
    </row>
    <row r="527" spans="1:75">
      <c r="A527" s="11" t="s">
        <v>514</v>
      </c>
      <c r="B527" s="11"/>
      <c r="C527" s="11" t="s">
        <v>63</v>
      </c>
      <c r="E527" s="6">
        <v>24457635</v>
      </c>
      <c r="G527" s="6">
        <v>4569440</v>
      </c>
      <c r="I527" s="6">
        <v>1602463</v>
      </c>
      <c r="K527" s="6">
        <v>0</v>
      </c>
      <c r="M527" s="6">
        <v>768323</v>
      </c>
      <c r="O527" s="6">
        <v>2971425</v>
      </c>
      <c r="Q527" s="6">
        <v>2074556</v>
      </c>
      <c r="S527" s="6">
        <v>554243</v>
      </c>
      <c r="U527" s="6">
        <v>3387935</v>
      </c>
      <c r="W527" s="6">
        <v>1486803</v>
      </c>
      <c r="Y527" s="6">
        <v>80341</v>
      </c>
      <c r="AA527" s="6">
        <v>4835545</v>
      </c>
      <c r="AC527" s="6">
        <v>3241301</v>
      </c>
      <c r="AE527" s="6">
        <v>629971</v>
      </c>
      <c r="AG527" s="6">
        <v>1261373</v>
      </c>
      <c r="AI527" s="6">
        <v>368381</v>
      </c>
      <c r="AJ527" s="11" t="s">
        <v>514</v>
      </c>
      <c r="AK527" s="11"/>
      <c r="AL527" s="11" t="s">
        <v>63</v>
      </c>
      <c r="AN527" s="6">
        <v>1121540</v>
      </c>
      <c r="AP527" s="6">
        <v>729454</v>
      </c>
      <c r="AR527" s="6">
        <v>0</v>
      </c>
      <c r="AT527" s="6">
        <v>250000</v>
      </c>
      <c r="AV527" s="6">
        <v>122400</v>
      </c>
      <c r="AX527" s="6">
        <v>0</v>
      </c>
      <c r="AZ527" s="7">
        <f t="shared" si="64"/>
        <v>54513129</v>
      </c>
      <c r="BB527" s="6">
        <v>1298</v>
      </c>
      <c r="BD527" s="6">
        <v>0</v>
      </c>
      <c r="BF527" s="6">
        <v>0</v>
      </c>
      <c r="BH527" s="6">
        <v>0</v>
      </c>
      <c r="BJ527" s="7">
        <f t="shared" si="65"/>
        <v>54514427</v>
      </c>
      <c r="BL527" s="7">
        <f>'Gov Fd Rev'!AO527-'Gov Fd Exp'!BJ527</f>
        <v>2345612</v>
      </c>
      <c r="BN527" s="6">
        <v>12840725</v>
      </c>
      <c r="BP527" s="6">
        <v>0</v>
      </c>
      <c r="BR527" s="6">
        <v>0</v>
      </c>
      <c r="BT527" s="7">
        <f t="shared" si="66"/>
        <v>15186337</v>
      </c>
      <c r="BU527" s="7"/>
      <c r="BV527" s="7">
        <f>BT527-'Gov Fd BS'!AC527</f>
        <v>0</v>
      </c>
      <c r="BW527" s="7"/>
    </row>
    <row r="528" spans="1:75" hidden="1">
      <c r="A528" s="11" t="s">
        <v>705</v>
      </c>
      <c r="B528" s="11"/>
      <c r="C528" s="11" t="s">
        <v>65</v>
      </c>
      <c r="AJ528" s="11" t="s">
        <v>705</v>
      </c>
      <c r="AK528" s="11"/>
      <c r="AL528" s="11" t="s">
        <v>65</v>
      </c>
      <c r="AZ528" s="7">
        <f t="shared" si="64"/>
        <v>0</v>
      </c>
      <c r="BJ528" s="7">
        <f t="shared" si="65"/>
        <v>0</v>
      </c>
      <c r="BL528" s="7">
        <f>'Gov Fd Rev'!AO528-'Gov Fd Exp'!BJ528</f>
        <v>0</v>
      </c>
      <c r="BT528" s="7">
        <f t="shared" si="66"/>
        <v>0</v>
      </c>
      <c r="BU528" s="7"/>
      <c r="BV528" s="7">
        <f>BT528-'Gov Fd BS'!AC528</f>
        <v>0</v>
      </c>
      <c r="BW528" s="7"/>
    </row>
    <row r="529" spans="1:75">
      <c r="A529" s="11" t="s">
        <v>464</v>
      </c>
      <c r="B529" s="11"/>
      <c r="C529" s="11" t="s">
        <v>56</v>
      </c>
      <c r="E529" s="6">
        <v>9375185</v>
      </c>
      <c r="G529" s="6">
        <v>1700135</v>
      </c>
      <c r="I529" s="6">
        <v>98850</v>
      </c>
      <c r="K529" s="6">
        <v>0</v>
      </c>
      <c r="M529" s="6">
        <f>246340+1020260</f>
        <v>1266600</v>
      </c>
      <c r="O529" s="6">
        <v>1454073</v>
      </c>
      <c r="Q529" s="6">
        <v>1405251</v>
      </c>
      <c r="S529" s="6">
        <v>189903</v>
      </c>
      <c r="U529" s="6">
        <v>1534351</v>
      </c>
      <c r="W529" s="6">
        <v>693235</v>
      </c>
      <c r="Y529" s="6">
        <v>198526</v>
      </c>
      <c r="AA529" s="6">
        <v>1633044</v>
      </c>
      <c r="AC529" s="6">
        <v>1237627</v>
      </c>
      <c r="AE529" s="6">
        <v>91555</v>
      </c>
      <c r="AG529" s="6">
        <v>732103</v>
      </c>
      <c r="AI529" s="6">
        <v>106493</v>
      </c>
      <c r="AJ529" s="11" t="s">
        <v>464</v>
      </c>
      <c r="AK529" s="11"/>
      <c r="AL529" s="11" t="s">
        <v>56</v>
      </c>
      <c r="AN529" s="6">
        <v>583548</v>
      </c>
      <c r="AP529" s="6">
        <v>836434</v>
      </c>
      <c r="AR529" s="6">
        <v>0</v>
      </c>
      <c r="AT529" s="6">
        <v>790000</v>
      </c>
      <c r="AV529" s="6">
        <v>495493</v>
      </c>
      <c r="AX529" s="6">
        <v>0</v>
      </c>
      <c r="AZ529" s="7">
        <f t="shared" si="64"/>
        <v>24422406</v>
      </c>
      <c r="BB529" s="6">
        <v>18000</v>
      </c>
      <c r="BD529" s="6">
        <v>0</v>
      </c>
      <c r="BF529" s="6">
        <v>0</v>
      </c>
      <c r="BH529" s="6">
        <v>0</v>
      </c>
      <c r="BJ529" s="7">
        <f t="shared" si="65"/>
        <v>24440406</v>
      </c>
      <c r="BL529" s="7">
        <f>'Gov Fd Rev'!AO529-'Gov Fd Exp'!BJ529</f>
        <v>1165037</v>
      </c>
      <c r="BN529" s="6">
        <v>2759444</v>
      </c>
      <c r="BP529" s="6">
        <v>0</v>
      </c>
      <c r="BR529" s="6">
        <v>0</v>
      </c>
      <c r="BT529" s="7">
        <f t="shared" si="66"/>
        <v>3924481</v>
      </c>
      <c r="BU529" s="7"/>
      <c r="BV529" s="7">
        <f>BT529-'Gov Fd BS'!AC529</f>
        <v>0</v>
      </c>
      <c r="BW529" s="7"/>
    </row>
    <row r="530" spans="1:75">
      <c r="A530" s="11" t="s">
        <v>279</v>
      </c>
      <c r="B530" s="11"/>
      <c r="C530" s="11" t="s">
        <v>20</v>
      </c>
      <c r="E530" s="6">
        <v>36464426</v>
      </c>
      <c r="G530" s="6">
        <v>5423727</v>
      </c>
      <c r="I530" s="6">
        <v>279425</v>
      </c>
      <c r="K530" s="6">
        <v>0</v>
      </c>
      <c r="M530" s="6">
        <v>60166</v>
      </c>
      <c r="O530" s="6">
        <v>2744074</v>
      </c>
      <c r="Q530" s="6">
        <v>3515085</v>
      </c>
      <c r="S530" s="6">
        <v>23599</v>
      </c>
      <c r="U530" s="6">
        <v>2752867</v>
      </c>
      <c r="W530" s="6">
        <v>6417671</v>
      </c>
      <c r="Y530" s="6">
        <v>462644</v>
      </c>
      <c r="AA530" s="6">
        <v>6764477</v>
      </c>
      <c r="AC530" s="6">
        <v>3476409</v>
      </c>
      <c r="AE530" s="6">
        <v>679145</v>
      </c>
      <c r="AG530" s="6">
        <v>1712480</v>
      </c>
      <c r="AI530" s="6">
        <v>489112</v>
      </c>
      <c r="AJ530" s="11" t="s">
        <v>279</v>
      </c>
      <c r="AK530" s="11"/>
      <c r="AL530" s="11" t="s">
        <v>20</v>
      </c>
      <c r="AN530" s="6">
        <v>448823</v>
      </c>
      <c r="AP530" s="6">
        <v>0</v>
      </c>
      <c r="AR530" s="6">
        <v>0</v>
      </c>
      <c r="AT530" s="6">
        <v>3479680</v>
      </c>
      <c r="AV530" s="6">
        <v>677014</v>
      </c>
      <c r="AX530" s="6">
        <v>0</v>
      </c>
      <c r="AZ530" s="7">
        <f t="shared" si="64"/>
        <v>75870824</v>
      </c>
      <c r="BB530" s="6">
        <v>76239</v>
      </c>
      <c r="BD530" s="6">
        <v>0</v>
      </c>
      <c r="BF530" s="6">
        <v>0</v>
      </c>
      <c r="BH530" s="6">
        <v>0</v>
      </c>
      <c r="BJ530" s="7">
        <f t="shared" si="65"/>
        <v>75947063</v>
      </c>
      <c r="BL530" s="7">
        <f>'Gov Fd Rev'!AO530-'Gov Fd Exp'!BJ530</f>
        <v>5821519</v>
      </c>
      <c r="BN530" s="6">
        <v>2946654</v>
      </c>
      <c r="BP530" s="6">
        <v>0</v>
      </c>
      <c r="BR530" s="6">
        <v>0</v>
      </c>
      <c r="BT530" s="7">
        <f t="shared" si="66"/>
        <v>8768173</v>
      </c>
      <c r="BU530" s="7"/>
      <c r="BV530" s="7">
        <f>BT530-'Gov Fd BS'!AC530</f>
        <v>0</v>
      </c>
      <c r="BW530" s="7"/>
    </row>
    <row r="531" spans="1:75">
      <c r="A531" s="11" t="s">
        <v>407</v>
      </c>
      <c r="B531" s="11"/>
      <c r="C531" s="11" t="s">
        <v>45</v>
      </c>
      <c r="E531" s="6">
        <v>7778912</v>
      </c>
      <c r="G531" s="6">
        <v>3815982</v>
      </c>
      <c r="I531" s="6">
        <v>378412</v>
      </c>
      <c r="K531" s="6">
        <v>0</v>
      </c>
      <c r="M531" s="6">
        <v>1346557</v>
      </c>
      <c r="O531" s="6">
        <v>729739</v>
      </c>
      <c r="Q531" s="6">
        <v>217411</v>
      </c>
      <c r="S531" s="6">
        <v>172832</v>
      </c>
      <c r="U531" s="6">
        <v>1151334</v>
      </c>
      <c r="W531" s="6">
        <v>825383</v>
      </c>
      <c r="Y531" s="6">
        <v>68215</v>
      </c>
      <c r="AA531" s="6">
        <v>1668146</v>
      </c>
      <c r="AC531" s="6">
        <v>377043</v>
      </c>
      <c r="AE531" s="6">
        <v>54514</v>
      </c>
      <c r="AG531" s="6">
        <v>828600</v>
      </c>
      <c r="AI531" s="6">
        <v>113394</v>
      </c>
      <c r="AJ531" s="11" t="s">
        <v>407</v>
      </c>
      <c r="AK531" s="11"/>
      <c r="AL531" s="11" t="s">
        <v>45</v>
      </c>
      <c r="AN531" s="6">
        <v>652653</v>
      </c>
      <c r="AP531" s="6">
        <v>89987</v>
      </c>
      <c r="AR531" s="6">
        <v>0</v>
      </c>
      <c r="AT531" s="6">
        <v>482000</v>
      </c>
      <c r="AV531" s="6">
        <v>110731</v>
      </c>
      <c r="AX531" s="6">
        <v>0</v>
      </c>
      <c r="AZ531" s="7">
        <f t="shared" si="64"/>
        <v>20861845</v>
      </c>
      <c r="BB531" s="6">
        <v>534403</v>
      </c>
      <c r="BD531" s="6">
        <v>0</v>
      </c>
      <c r="BF531" s="6">
        <v>0</v>
      </c>
      <c r="BH531" s="6">
        <v>0</v>
      </c>
      <c r="BJ531" s="7">
        <f t="shared" si="65"/>
        <v>21396248</v>
      </c>
      <c r="BL531" s="7">
        <f>'Gov Fd Rev'!AO531-'Gov Fd Exp'!BJ531</f>
        <v>-315654</v>
      </c>
      <c r="BN531" s="6">
        <v>7649573</v>
      </c>
      <c r="BP531" s="6">
        <v>0</v>
      </c>
      <c r="BR531" s="6">
        <v>0</v>
      </c>
      <c r="BT531" s="7">
        <f t="shared" si="66"/>
        <v>7333919</v>
      </c>
      <c r="BU531" s="7"/>
      <c r="BV531" s="7">
        <f>BT531-'Gov Fd BS'!AC531</f>
        <v>0</v>
      </c>
      <c r="BW531" s="7"/>
    </row>
    <row r="532" spans="1:75" hidden="1">
      <c r="A532" s="11" t="s">
        <v>898</v>
      </c>
      <c r="B532" s="11"/>
      <c r="C532" s="11" t="s">
        <v>552</v>
      </c>
      <c r="E532" s="6">
        <v>0</v>
      </c>
      <c r="G532" s="6">
        <v>0</v>
      </c>
      <c r="I532" s="6">
        <v>0</v>
      </c>
      <c r="K532" s="6">
        <v>0</v>
      </c>
      <c r="M532" s="6">
        <v>0</v>
      </c>
      <c r="O532" s="6">
        <v>0</v>
      </c>
      <c r="Q532" s="6">
        <v>0</v>
      </c>
      <c r="S532" s="6">
        <v>0</v>
      </c>
      <c r="U532" s="6">
        <v>0</v>
      </c>
      <c r="W532" s="6">
        <v>0</v>
      </c>
      <c r="Y532" s="6">
        <v>0</v>
      </c>
      <c r="AA532" s="6">
        <v>0</v>
      </c>
      <c r="AC532" s="6">
        <v>0</v>
      </c>
      <c r="AE532" s="6">
        <v>0</v>
      </c>
      <c r="AG532" s="6">
        <v>0</v>
      </c>
      <c r="AI532" s="6">
        <v>0</v>
      </c>
      <c r="AJ532" s="11" t="s">
        <v>898</v>
      </c>
      <c r="AK532" s="11"/>
      <c r="AL532" s="11" t="s">
        <v>552</v>
      </c>
      <c r="AN532" s="6">
        <v>0</v>
      </c>
      <c r="AP532" s="6">
        <v>0</v>
      </c>
      <c r="AR532" s="6">
        <v>0</v>
      </c>
      <c r="AT532" s="6">
        <v>0</v>
      </c>
      <c r="AV532" s="6">
        <v>0</v>
      </c>
      <c r="AX532" s="6">
        <v>0</v>
      </c>
      <c r="AZ532" s="7">
        <f t="shared" si="64"/>
        <v>0</v>
      </c>
      <c r="BB532" s="6">
        <v>0</v>
      </c>
      <c r="BD532" s="6">
        <v>0</v>
      </c>
      <c r="BF532" s="6">
        <v>0</v>
      </c>
      <c r="BH532" s="6">
        <v>0</v>
      </c>
      <c r="BJ532" s="7">
        <f t="shared" si="65"/>
        <v>0</v>
      </c>
      <c r="BL532" s="7">
        <f>'Gov Fd Rev'!AO532-'Gov Fd Exp'!BJ532</f>
        <v>0</v>
      </c>
      <c r="BP532" s="6">
        <v>0</v>
      </c>
      <c r="BR532" s="6">
        <v>0</v>
      </c>
      <c r="BT532" s="7">
        <f t="shared" si="66"/>
        <v>0</v>
      </c>
      <c r="BU532" s="7"/>
      <c r="BV532" s="7">
        <f>BT532-'Gov Fd BS'!AC532</f>
        <v>0</v>
      </c>
      <c r="BW532" s="7"/>
    </row>
    <row r="533" spans="1:75" hidden="1">
      <c r="A533" s="11" t="s">
        <v>899</v>
      </c>
      <c r="B533" s="11"/>
      <c r="C533" s="11" t="s">
        <v>28</v>
      </c>
      <c r="E533" s="6">
        <v>0</v>
      </c>
      <c r="G533" s="6">
        <v>0</v>
      </c>
      <c r="I533" s="6">
        <v>0</v>
      </c>
      <c r="K533" s="6">
        <v>0</v>
      </c>
      <c r="M533" s="6">
        <v>0</v>
      </c>
      <c r="O533" s="6">
        <v>0</v>
      </c>
      <c r="Q533" s="6">
        <v>0</v>
      </c>
      <c r="S533" s="6">
        <v>0</v>
      </c>
      <c r="U533" s="6">
        <v>0</v>
      </c>
      <c r="W533" s="6">
        <v>0</v>
      </c>
      <c r="Y533" s="6">
        <v>0</v>
      </c>
      <c r="AA533" s="6">
        <v>0</v>
      </c>
      <c r="AC533" s="6">
        <v>0</v>
      </c>
      <c r="AE533" s="6">
        <v>0</v>
      </c>
      <c r="AG533" s="6">
        <v>0</v>
      </c>
      <c r="AI533" s="6">
        <v>0</v>
      </c>
      <c r="AJ533" s="11" t="s">
        <v>899</v>
      </c>
      <c r="AK533" s="11"/>
      <c r="AL533" s="11" t="s">
        <v>28</v>
      </c>
      <c r="AN533" s="6">
        <v>0</v>
      </c>
      <c r="AP533" s="6">
        <v>0</v>
      </c>
      <c r="AR533" s="6">
        <v>0</v>
      </c>
      <c r="AT533" s="6">
        <v>0</v>
      </c>
      <c r="AV533" s="6">
        <v>0</v>
      </c>
      <c r="AX533" s="6">
        <v>0</v>
      </c>
      <c r="AZ533" s="7">
        <f t="shared" si="64"/>
        <v>0</v>
      </c>
      <c r="BB533" s="6">
        <v>0</v>
      </c>
      <c r="BD533" s="6">
        <v>0</v>
      </c>
      <c r="BF533" s="6">
        <v>0</v>
      </c>
      <c r="BH533" s="6">
        <v>0</v>
      </c>
      <c r="BJ533" s="7">
        <f t="shared" si="65"/>
        <v>0</v>
      </c>
      <c r="BL533" s="7">
        <f>'Gov Fd Rev'!AO533-'Gov Fd Exp'!BJ533</f>
        <v>0</v>
      </c>
      <c r="BP533" s="6">
        <v>0</v>
      </c>
      <c r="BR533" s="6">
        <v>0</v>
      </c>
      <c r="BT533" s="7">
        <f t="shared" si="66"/>
        <v>0</v>
      </c>
      <c r="BU533" s="7"/>
      <c r="BV533" s="7">
        <f>BT533-'Gov Fd BS'!AC533</f>
        <v>0</v>
      </c>
      <c r="BW533" s="7"/>
    </row>
    <row r="534" spans="1:75">
      <c r="A534" s="11" t="s">
        <v>628</v>
      </c>
      <c r="B534" s="11"/>
      <c r="C534" s="11" t="s">
        <v>49</v>
      </c>
      <c r="E534" s="6">
        <v>10957527</v>
      </c>
      <c r="G534" s="6">
        <v>3315323</v>
      </c>
      <c r="I534" s="6">
        <v>2160141</v>
      </c>
      <c r="K534" s="6">
        <v>0</v>
      </c>
      <c r="M534" s="6">
        <v>3047</v>
      </c>
      <c r="O534" s="6">
        <v>995037</v>
      </c>
      <c r="Q534" s="6">
        <v>927154</v>
      </c>
      <c r="S534" s="6">
        <v>50934</v>
      </c>
      <c r="U534" s="6">
        <v>1992981</v>
      </c>
      <c r="W534" s="6">
        <v>917364</v>
      </c>
      <c r="Y534" s="6">
        <v>0</v>
      </c>
      <c r="AA534" s="6">
        <v>2421328</v>
      </c>
      <c r="AC534" s="6">
        <v>2957295</v>
      </c>
      <c r="AE534" s="6">
        <v>109805</v>
      </c>
      <c r="AG534" s="6">
        <v>1576274</v>
      </c>
      <c r="AI534" s="6">
        <v>67759</v>
      </c>
      <c r="AJ534" s="11" t="s">
        <v>628</v>
      </c>
      <c r="AK534" s="11"/>
      <c r="AL534" s="11" t="s">
        <v>49</v>
      </c>
      <c r="AN534" s="6">
        <v>585013</v>
      </c>
      <c r="AP534" s="6">
        <v>29720987</v>
      </c>
      <c r="AR534" s="6">
        <v>0</v>
      </c>
      <c r="AT534" s="6">
        <v>255000</v>
      </c>
      <c r="AV534" s="6">
        <v>1791158</v>
      </c>
      <c r="AX534" s="6">
        <v>0</v>
      </c>
      <c r="AZ534" s="7">
        <f t="shared" si="64"/>
        <v>60804127</v>
      </c>
      <c r="BB534" s="6">
        <v>256164</v>
      </c>
      <c r="BD534" s="6">
        <v>0</v>
      </c>
      <c r="BF534" s="6">
        <v>0</v>
      </c>
      <c r="BH534" s="6">
        <v>0</v>
      </c>
      <c r="BJ534" s="7">
        <f t="shared" si="65"/>
        <v>61060291</v>
      </c>
      <c r="BL534" s="7">
        <f>'Gov Fd Rev'!AO534-'Gov Fd Exp'!BJ534</f>
        <v>-13480204</v>
      </c>
      <c r="BN534" s="6">
        <v>52370337</v>
      </c>
      <c r="BP534" s="6">
        <v>0</v>
      </c>
      <c r="BR534" s="6">
        <v>0</v>
      </c>
      <c r="BT534" s="7">
        <f t="shared" si="66"/>
        <v>38890133</v>
      </c>
      <c r="BU534" s="7"/>
      <c r="BV534" s="7">
        <f>BT534-'Gov Fd BS'!AC534</f>
        <v>0</v>
      </c>
      <c r="BW534" s="7"/>
    </row>
    <row r="535" spans="1:75">
      <c r="A535" s="10" t="s">
        <v>834</v>
      </c>
      <c r="B535" s="11"/>
      <c r="C535" s="11" t="s">
        <v>32</v>
      </c>
      <c r="E535" s="6">
        <v>33973690</v>
      </c>
      <c r="G535" s="6">
        <v>7688753</v>
      </c>
      <c r="I535" s="6">
        <v>0</v>
      </c>
      <c r="K535" s="6">
        <v>0</v>
      </c>
      <c r="M535" s="6">
        <v>515708</v>
      </c>
      <c r="O535" s="6">
        <v>4533014</v>
      </c>
      <c r="Q535" s="6">
        <v>5386454</v>
      </c>
      <c r="S535" s="6">
        <v>0</v>
      </c>
      <c r="U535" s="6">
        <f>34905+5305600</f>
        <v>5340505</v>
      </c>
      <c r="W535" s="6">
        <v>1795353</v>
      </c>
      <c r="Y535" s="6">
        <v>71019</v>
      </c>
      <c r="AA535" s="6">
        <v>7043576</v>
      </c>
      <c r="AC535" s="6">
        <v>4887272</v>
      </c>
      <c r="AE535" s="6">
        <v>2041749</v>
      </c>
      <c r="AG535" s="6">
        <v>0</v>
      </c>
      <c r="AI535" s="6">
        <v>3676109</v>
      </c>
      <c r="AJ535" s="10" t="s">
        <v>834</v>
      </c>
      <c r="AK535" s="11"/>
      <c r="AL535" s="11" t="s">
        <v>32</v>
      </c>
      <c r="AN535" s="6">
        <v>1593367</v>
      </c>
      <c r="AP535" s="6">
        <v>7006474</v>
      </c>
      <c r="AR535" s="6">
        <v>0</v>
      </c>
      <c r="AT535" s="6">
        <v>3305000</v>
      </c>
      <c r="AV535" s="6">
        <v>3112450</v>
      </c>
      <c r="AX535" s="6">
        <v>0</v>
      </c>
      <c r="AZ535" s="7">
        <f t="shared" si="64"/>
        <v>91970493</v>
      </c>
      <c r="BB535" s="6">
        <v>3048364</v>
      </c>
      <c r="BH535" s="6">
        <v>0</v>
      </c>
      <c r="BJ535" s="7">
        <f t="shared" si="65"/>
        <v>95018857</v>
      </c>
      <c r="BL535" s="7">
        <f>'Gov Fd Rev'!AO535-'Gov Fd Exp'!BJ535</f>
        <v>-4653841</v>
      </c>
      <c r="BN535" s="6">
        <v>83608342</v>
      </c>
      <c r="BP535" s="6">
        <v>0</v>
      </c>
      <c r="BR535" s="6">
        <v>0</v>
      </c>
      <c r="BT535" s="7">
        <f t="shared" si="66"/>
        <v>78954501</v>
      </c>
      <c r="BU535" s="7"/>
      <c r="BV535" s="7">
        <f>BT535-'Gov Fd BS'!AC535</f>
        <v>0</v>
      </c>
      <c r="BW535" s="7"/>
    </row>
    <row r="536" spans="1:75">
      <c r="A536" s="11" t="s">
        <v>394</v>
      </c>
      <c r="B536" s="11"/>
      <c r="C536" s="11" t="s">
        <v>115</v>
      </c>
      <c r="E536" s="6">
        <v>32474747</v>
      </c>
      <c r="G536" s="6">
        <v>8209854</v>
      </c>
      <c r="I536" s="6">
        <v>1548556</v>
      </c>
      <c r="K536" s="6">
        <v>63024</v>
      </c>
      <c r="M536" s="6">
        <v>1723810</v>
      </c>
      <c r="O536" s="6">
        <v>5485054</v>
      </c>
      <c r="Q536" s="6">
        <v>3827134</v>
      </c>
      <c r="S536" s="6">
        <v>28371</v>
      </c>
      <c r="U536" s="6">
        <v>8431030</v>
      </c>
      <c r="W536" s="6">
        <v>1833047</v>
      </c>
      <c r="Y536" s="6">
        <v>209414</v>
      </c>
      <c r="AA536" s="6">
        <v>8243929</v>
      </c>
      <c r="AC536" s="6">
        <v>4567005</v>
      </c>
      <c r="AE536" s="6">
        <v>966564</v>
      </c>
      <c r="AG536" s="6">
        <v>1648252</v>
      </c>
      <c r="AI536" s="6">
        <v>1163593</v>
      </c>
      <c r="AJ536" s="11" t="s">
        <v>394</v>
      </c>
      <c r="AK536" s="11"/>
      <c r="AL536" s="11" t="s">
        <v>115</v>
      </c>
      <c r="AN536" s="6">
        <v>2063570</v>
      </c>
      <c r="AP536" s="6">
        <f>11526387+51023</f>
        <v>11577410</v>
      </c>
      <c r="AR536" s="6">
        <v>0</v>
      </c>
      <c r="AT536" s="6">
        <v>3144340</v>
      </c>
      <c r="AV536" s="6">
        <v>4198634</v>
      </c>
      <c r="AX536" s="6">
        <v>165673</v>
      </c>
      <c r="AZ536" s="7">
        <f t="shared" si="64"/>
        <v>101573011</v>
      </c>
      <c r="BB536" s="6">
        <v>930</v>
      </c>
      <c r="BD536" s="6">
        <v>0</v>
      </c>
      <c r="BF536" s="6">
        <v>0</v>
      </c>
      <c r="BH536" s="6">
        <v>0</v>
      </c>
      <c r="BJ536" s="7">
        <f t="shared" si="65"/>
        <v>101573941</v>
      </c>
      <c r="BL536" s="7">
        <f>'Gov Fd Rev'!AO536-'Gov Fd Exp'!BJ536</f>
        <v>-7775821</v>
      </c>
      <c r="BN536" s="6">
        <v>14819900</v>
      </c>
      <c r="BP536" s="6">
        <v>46295</v>
      </c>
      <c r="BR536" s="6">
        <v>0</v>
      </c>
      <c r="BT536" s="7">
        <f t="shared" si="66"/>
        <v>7090374</v>
      </c>
      <c r="BU536" s="7"/>
      <c r="BV536" s="7">
        <f>BT536-'Gov Fd BS'!AC536</f>
        <v>0</v>
      </c>
      <c r="BW536" s="7"/>
    </row>
    <row r="537" spans="1:75">
      <c r="A537" s="11" t="s">
        <v>372</v>
      </c>
      <c r="B537" s="11"/>
      <c r="C537" s="11" t="s">
        <v>366</v>
      </c>
      <c r="E537" s="6">
        <v>3974584</v>
      </c>
      <c r="G537" s="6">
        <v>1073101</v>
      </c>
      <c r="I537" s="6">
        <v>169241</v>
      </c>
      <c r="K537" s="6">
        <v>0</v>
      </c>
      <c r="M537" s="6">
        <v>0</v>
      </c>
      <c r="O537" s="6">
        <v>278127</v>
      </c>
      <c r="Q537" s="6">
        <v>327031</v>
      </c>
      <c r="S537" s="6">
        <v>119283</v>
      </c>
      <c r="U537" s="6">
        <v>557509</v>
      </c>
      <c r="W537" s="6">
        <v>364028</v>
      </c>
      <c r="Y537" s="6">
        <v>0</v>
      </c>
      <c r="AA537" s="6">
        <v>880326</v>
      </c>
      <c r="AC537" s="6">
        <v>922267</v>
      </c>
      <c r="AE537" s="6">
        <v>87872</v>
      </c>
      <c r="AG537" s="6">
        <v>375268</v>
      </c>
      <c r="AI537" s="6">
        <v>0</v>
      </c>
      <c r="AJ537" s="11" t="s">
        <v>372</v>
      </c>
      <c r="AK537" s="11"/>
      <c r="AL537" s="11" t="s">
        <v>366</v>
      </c>
      <c r="AN537" s="6">
        <v>255667</v>
      </c>
      <c r="AP537" s="6">
        <v>0</v>
      </c>
      <c r="AR537" s="6">
        <v>0</v>
      </c>
      <c r="AT537" s="6">
        <v>56400</v>
      </c>
      <c r="AV537" s="6">
        <v>108600</v>
      </c>
      <c r="AX537" s="6">
        <v>0</v>
      </c>
      <c r="AZ537" s="7">
        <f t="shared" si="64"/>
        <v>9549304</v>
      </c>
      <c r="BB537" s="6">
        <v>4411</v>
      </c>
      <c r="BD537" s="6">
        <v>0</v>
      </c>
      <c r="BF537" s="6">
        <v>0</v>
      </c>
      <c r="BH537" s="6">
        <v>0</v>
      </c>
      <c r="BJ537" s="7">
        <f t="shared" si="65"/>
        <v>9553715</v>
      </c>
      <c r="BL537" s="7">
        <f>'Gov Fd Rev'!AO537-'Gov Fd Exp'!BJ537</f>
        <v>-169401</v>
      </c>
      <c r="BN537" s="6">
        <v>3710203</v>
      </c>
      <c r="BP537" s="6">
        <v>0</v>
      </c>
      <c r="BR537" s="6">
        <v>0</v>
      </c>
      <c r="BT537" s="7">
        <f t="shared" si="66"/>
        <v>3540802</v>
      </c>
      <c r="BU537" s="7"/>
      <c r="BV537" s="7">
        <f>BT537-'Gov Fd BS'!AC537</f>
        <v>0</v>
      </c>
      <c r="BW537" s="7"/>
    </row>
    <row r="538" spans="1:75">
      <c r="A538" s="11" t="s">
        <v>717</v>
      </c>
      <c r="B538" s="11"/>
      <c r="C538" s="11" t="s">
        <v>221</v>
      </c>
      <c r="E538" s="6">
        <v>14605550</v>
      </c>
      <c r="G538" s="6">
        <v>2715930</v>
      </c>
      <c r="I538" s="6">
        <v>0</v>
      </c>
      <c r="K538" s="6">
        <v>0</v>
      </c>
      <c r="M538" s="6">
        <v>1152602</v>
      </c>
      <c r="O538" s="6">
        <v>2286233</v>
      </c>
      <c r="Q538" s="6">
        <v>2384401</v>
      </c>
      <c r="S538" s="6">
        <v>62036</v>
      </c>
      <c r="U538" s="6">
        <v>2110682</v>
      </c>
      <c r="W538" s="6">
        <v>1309859</v>
      </c>
      <c r="Y538" s="6">
        <v>858</v>
      </c>
      <c r="AA538" s="6">
        <v>2356698</v>
      </c>
      <c r="AC538" s="6">
        <v>2552652</v>
      </c>
      <c r="AE538" s="6">
        <v>206188</v>
      </c>
      <c r="AG538" s="6">
        <v>1126395</v>
      </c>
      <c r="AI538" s="6">
        <v>120550</v>
      </c>
      <c r="AJ538" s="11" t="s">
        <v>717</v>
      </c>
      <c r="AK538" s="11"/>
      <c r="AL538" s="11" t="s">
        <v>221</v>
      </c>
      <c r="AN538" s="6">
        <v>1056594</v>
      </c>
      <c r="AP538" s="6">
        <v>11217543</v>
      </c>
      <c r="AR538" s="6">
        <v>0</v>
      </c>
      <c r="AT538" s="6">
        <v>1623000</v>
      </c>
      <c r="AV538" s="6">
        <v>2745275</v>
      </c>
      <c r="AX538" s="6">
        <v>0</v>
      </c>
      <c r="AZ538" s="7">
        <f t="shared" ref="AZ538:AZ565" si="67">SUM(E538:AX538)</f>
        <v>49633046</v>
      </c>
      <c r="BB538" s="6">
        <v>0</v>
      </c>
      <c r="BD538" s="6">
        <v>0</v>
      </c>
      <c r="BF538" s="6">
        <v>0</v>
      </c>
      <c r="BH538" s="6">
        <v>0</v>
      </c>
      <c r="BJ538" s="7">
        <f t="shared" ref="BJ538:BJ565" si="68">AZ538+BB538+BH538</f>
        <v>49633046</v>
      </c>
      <c r="BL538" s="7">
        <f>'Gov Fd Rev'!AO538-'Gov Fd Exp'!BJ538</f>
        <v>-8797020</v>
      </c>
      <c r="BN538" s="6">
        <v>38806040</v>
      </c>
      <c r="BP538" s="6">
        <v>0</v>
      </c>
      <c r="BR538" s="6">
        <v>0</v>
      </c>
      <c r="BT538" s="7">
        <f t="shared" ref="BT538:BT567" si="69">BL538+BN538+BP538+BR538</f>
        <v>30009020</v>
      </c>
      <c r="BU538" s="7"/>
      <c r="BV538" s="7">
        <f>BT538-'Gov Fd BS'!AC538</f>
        <v>0</v>
      </c>
      <c r="BW538" s="7"/>
    </row>
    <row r="539" spans="1:75">
      <c r="A539" s="11" t="s">
        <v>515</v>
      </c>
      <c r="B539" s="11"/>
      <c r="C539" s="11" t="s">
        <v>63</v>
      </c>
      <c r="E539" s="6">
        <v>14126829</v>
      </c>
      <c r="G539" s="6">
        <v>2820600</v>
      </c>
      <c r="I539" s="6">
        <v>731616</v>
      </c>
      <c r="K539" s="6">
        <v>112012</v>
      </c>
      <c r="M539" s="6">
        <v>0</v>
      </c>
      <c r="O539" s="6">
        <v>1410587</v>
      </c>
      <c r="Q539" s="6">
        <v>602917</v>
      </c>
      <c r="S539" s="6">
        <v>35511</v>
      </c>
      <c r="U539" s="6">
        <v>1788012</v>
      </c>
      <c r="W539" s="6">
        <v>840407</v>
      </c>
      <c r="Y539" s="6">
        <v>130750</v>
      </c>
      <c r="AA539" s="6">
        <v>1797166</v>
      </c>
      <c r="AC539" s="6">
        <v>1914671</v>
      </c>
      <c r="AE539" s="6">
        <v>510254</v>
      </c>
      <c r="AG539" s="6">
        <v>0</v>
      </c>
      <c r="AI539" s="6">
        <v>712025</v>
      </c>
      <c r="AJ539" s="11" t="s">
        <v>515</v>
      </c>
      <c r="AK539" s="11"/>
      <c r="AL539" s="11" t="s">
        <v>63</v>
      </c>
      <c r="AN539" s="6">
        <v>931261</v>
      </c>
      <c r="AP539" s="6">
        <v>525936</v>
      </c>
      <c r="AR539" s="6">
        <v>0</v>
      </c>
      <c r="AT539" s="6">
        <v>730000</v>
      </c>
      <c r="AV539" s="6">
        <v>1234015</v>
      </c>
      <c r="AX539" s="6">
        <v>0</v>
      </c>
      <c r="AZ539" s="7">
        <f t="shared" si="67"/>
        <v>30954569</v>
      </c>
      <c r="BB539" s="6">
        <v>0</v>
      </c>
      <c r="BD539" s="6">
        <v>0</v>
      </c>
      <c r="BF539" s="6">
        <v>0</v>
      </c>
      <c r="BH539" s="6">
        <v>0</v>
      </c>
      <c r="BJ539" s="7">
        <f t="shared" si="68"/>
        <v>30954569</v>
      </c>
      <c r="BL539" s="7">
        <f>'Gov Fd Rev'!AO539-'Gov Fd Exp'!BJ539</f>
        <v>-1131494</v>
      </c>
      <c r="BN539" s="6">
        <v>5965369</v>
      </c>
      <c r="BP539" s="6">
        <v>0</v>
      </c>
      <c r="BR539" s="6">
        <v>0</v>
      </c>
      <c r="BT539" s="7">
        <f t="shared" si="69"/>
        <v>4833875</v>
      </c>
      <c r="BU539" s="7"/>
      <c r="BV539" s="7">
        <f>BT539-'Gov Fd BS'!AC539</f>
        <v>0</v>
      </c>
      <c r="BW539" s="7"/>
    </row>
    <row r="540" spans="1:75">
      <c r="A540" s="11" t="s">
        <v>454</v>
      </c>
      <c r="B540" s="11"/>
      <c r="C540" s="11" t="s">
        <v>54</v>
      </c>
      <c r="E540" s="6">
        <v>15087409</v>
      </c>
      <c r="G540" s="6">
        <v>3461127</v>
      </c>
      <c r="I540" s="6">
        <v>561664</v>
      </c>
      <c r="K540" s="6">
        <v>0</v>
      </c>
      <c r="M540" s="6">
        <v>113677</v>
      </c>
      <c r="O540" s="6">
        <v>1237706</v>
      </c>
      <c r="Q540" s="6">
        <v>1293186</v>
      </c>
      <c r="S540" s="6">
        <v>193675</v>
      </c>
      <c r="U540" s="6">
        <v>3334591</v>
      </c>
      <c r="W540" s="6">
        <v>901545</v>
      </c>
      <c r="Y540" s="6">
        <v>201683</v>
      </c>
      <c r="AA540" s="6">
        <v>3683801</v>
      </c>
      <c r="AC540" s="6">
        <v>2191791</v>
      </c>
      <c r="AE540" s="6">
        <v>290230</v>
      </c>
      <c r="AG540" s="6">
        <v>1211099</v>
      </c>
      <c r="AI540" s="6">
        <v>30450</v>
      </c>
      <c r="AJ540" s="11" t="s">
        <v>454</v>
      </c>
      <c r="AK540" s="11"/>
      <c r="AL540" s="11" t="s">
        <v>54</v>
      </c>
      <c r="AN540" s="6">
        <v>802756</v>
      </c>
      <c r="AP540" s="6">
        <f>591811+396229</f>
        <v>988040</v>
      </c>
      <c r="AR540" s="6">
        <v>0</v>
      </c>
      <c r="AT540" s="6">
        <v>1175782</v>
      </c>
      <c r="AV540" s="6">
        <v>1566805</v>
      </c>
      <c r="AX540" s="6">
        <v>0</v>
      </c>
      <c r="AZ540" s="7">
        <f t="shared" si="67"/>
        <v>38327017</v>
      </c>
      <c r="BB540" s="6">
        <v>1015457</v>
      </c>
      <c r="BD540" s="6">
        <v>0</v>
      </c>
      <c r="BF540" s="6">
        <v>0</v>
      </c>
      <c r="BH540" s="6">
        <v>0</v>
      </c>
      <c r="BJ540" s="7">
        <f t="shared" si="68"/>
        <v>39342474</v>
      </c>
      <c r="BL540" s="7">
        <f>'Gov Fd Rev'!AO540-'Gov Fd Exp'!BJ540</f>
        <v>-2803296</v>
      </c>
      <c r="BN540" s="6">
        <v>10818950</v>
      </c>
      <c r="BP540" s="6">
        <v>-15524</v>
      </c>
      <c r="BR540" s="6">
        <v>0</v>
      </c>
      <c r="BT540" s="7">
        <f t="shared" si="69"/>
        <v>8000130</v>
      </c>
      <c r="BU540" s="7"/>
      <c r="BV540" s="7">
        <f>BT540-'Gov Fd BS'!AC540</f>
        <v>0</v>
      </c>
      <c r="BW540" s="7"/>
    </row>
    <row r="541" spans="1:75">
      <c r="A541" s="11" t="s">
        <v>236</v>
      </c>
      <c r="B541" s="11"/>
      <c r="C541" s="11" t="s">
        <v>17</v>
      </c>
      <c r="E541" s="6">
        <v>12170305</v>
      </c>
      <c r="G541" s="6">
        <v>3862915</v>
      </c>
      <c r="I541" s="6">
        <v>369693</v>
      </c>
      <c r="K541" s="6">
        <v>0</v>
      </c>
      <c r="M541" s="6">
        <f>36751+1186766</f>
        <v>1223517</v>
      </c>
      <c r="O541" s="6">
        <v>1942022</v>
      </c>
      <c r="Q541" s="6">
        <v>1283435</v>
      </c>
      <c r="S541" s="6">
        <v>66774</v>
      </c>
      <c r="U541" s="6">
        <v>2667800</v>
      </c>
      <c r="W541" s="6">
        <v>554073</v>
      </c>
      <c r="Y541" s="6">
        <v>55427</v>
      </c>
      <c r="AA541" s="6">
        <v>3196421</v>
      </c>
      <c r="AC541" s="6">
        <v>1592595</v>
      </c>
      <c r="AE541" s="6">
        <v>163236</v>
      </c>
      <c r="AG541" s="6">
        <v>0</v>
      </c>
      <c r="AI541" s="6">
        <v>1750080</v>
      </c>
      <c r="AJ541" s="11" t="s">
        <v>236</v>
      </c>
      <c r="AK541" s="11"/>
      <c r="AL541" s="11" t="s">
        <v>17</v>
      </c>
      <c r="AN541" s="6">
        <v>552341</v>
      </c>
      <c r="AP541" s="6">
        <v>21558</v>
      </c>
      <c r="AR541" s="6">
        <v>0</v>
      </c>
      <c r="AT541" s="6">
        <v>525000</v>
      </c>
      <c r="AV541" s="6">
        <v>773331</v>
      </c>
      <c r="AX541" s="6">
        <v>0</v>
      </c>
      <c r="AZ541" s="7">
        <f t="shared" si="67"/>
        <v>32770523</v>
      </c>
      <c r="BB541" s="6">
        <v>0</v>
      </c>
      <c r="BD541" s="6">
        <v>0</v>
      </c>
      <c r="BF541" s="6">
        <v>0</v>
      </c>
      <c r="BH541" s="6">
        <f>1264526+496</f>
        <v>1265022</v>
      </c>
      <c r="BJ541" s="7">
        <f t="shared" si="68"/>
        <v>34035545</v>
      </c>
      <c r="BL541" s="7">
        <f>'Gov Fd Rev'!AO541-'Gov Fd Exp'!BJ541</f>
        <v>-2030036</v>
      </c>
      <c r="BN541" s="6">
        <v>7994977</v>
      </c>
      <c r="BP541" s="6">
        <v>0</v>
      </c>
      <c r="BR541" s="6">
        <v>0</v>
      </c>
      <c r="BT541" s="7">
        <f t="shared" si="69"/>
        <v>5964941</v>
      </c>
      <c r="BU541" s="7"/>
      <c r="BV541" s="7">
        <f>BT541-'Gov Fd BS'!AC541</f>
        <v>0</v>
      </c>
      <c r="BW541" s="7"/>
    </row>
    <row r="542" spans="1:75">
      <c r="A542" s="11" t="s">
        <v>725</v>
      </c>
      <c r="B542" s="11"/>
      <c r="C542" s="11" t="s">
        <v>32</v>
      </c>
      <c r="E542" s="6">
        <v>8246053</v>
      </c>
      <c r="G542" s="6">
        <v>3753528</v>
      </c>
      <c r="I542" s="6">
        <v>2390</v>
      </c>
      <c r="K542" s="6">
        <v>0</v>
      </c>
      <c r="M542" s="6">
        <v>535277</v>
      </c>
      <c r="O542" s="6">
        <v>1239252</v>
      </c>
      <c r="Q542" s="6">
        <v>507776</v>
      </c>
      <c r="S542" s="6">
        <v>48024</v>
      </c>
      <c r="U542" s="6">
        <v>1602453</v>
      </c>
      <c r="W542" s="6">
        <v>559011</v>
      </c>
      <c r="Y542" s="6">
        <v>0</v>
      </c>
      <c r="AA542" s="6">
        <v>1466706</v>
      </c>
      <c r="AC542" s="6">
        <v>1411657</v>
      </c>
      <c r="AE542" s="6">
        <v>580709</v>
      </c>
      <c r="AG542" s="6">
        <v>0</v>
      </c>
      <c r="AI542" s="6">
        <v>911673</v>
      </c>
      <c r="AJ542" s="11" t="s">
        <v>725</v>
      </c>
      <c r="AK542" s="11"/>
      <c r="AL542" s="11" t="s">
        <v>32</v>
      </c>
      <c r="AN542" s="6">
        <v>554171</v>
      </c>
      <c r="AP542" s="6">
        <v>14998863</v>
      </c>
      <c r="AR542" s="6">
        <v>0</v>
      </c>
      <c r="AT542" s="6">
        <v>540000</v>
      </c>
      <c r="AV542" s="6">
        <f>2046431+60135</f>
        <v>2106566</v>
      </c>
      <c r="AX542" s="6">
        <v>0</v>
      </c>
      <c r="AZ542" s="7">
        <f t="shared" si="67"/>
        <v>39064109</v>
      </c>
      <c r="BB542" s="6">
        <v>29663</v>
      </c>
      <c r="BD542" s="6">
        <v>0</v>
      </c>
      <c r="BF542" s="6">
        <v>0</v>
      </c>
      <c r="BH542" s="6">
        <v>0</v>
      </c>
      <c r="BJ542" s="7">
        <f t="shared" si="68"/>
        <v>39093772</v>
      </c>
      <c r="BL542" s="7">
        <f>'Gov Fd Rev'!AO542-'Gov Fd Exp'!BJ542</f>
        <v>7747661</v>
      </c>
      <c r="BN542" s="6">
        <v>49922600</v>
      </c>
      <c r="BP542" s="6">
        <v>0</v>
      </c>
      <c r="BR542" s="6">
        <v>0</v>
      </c>
      <c r="BT542" s="7">
        <f t="shared" si="69"/>
        <v>57670261</v>
      </c>
      <c r="BU542" s="7"/>
      <c r="BV542" s="7">
        <f>BT542-'Gov Fd BS'!AC542</f>
        <v>0</v>
      </c>
      <c r="BW542" s="7"/>
    </row>
    <row r="543" spans="1:75">
      <c r="A543" s="11" t="s">
        <v>488</v>
      </c>
      <c r="B543" s="11"/>
      <c r="C543" s="11" t="s">
        <v>60</v>
      </c>
      <c r="E543" s="6">
        <v>11289745</v>
      </c>
      <c r="G543" s="6">
        <v>3655084</v>
      </c>
      <c r="I543" s="6">
        <v>131203</v>
      </c>
      <c r="K543" s="6">
        <v>0</v>
      </c>
      <c r="M543" s="6">
        <v>24471</v>
      </c>
      <c r="O543" s="6">
        <v>1286660</v>
      </c>
      <c r="Q543" s="6">
        <v>1224428</v>
      </c>
      <c r="S543" s="6">
        <v>27995</v>
      </c>
      <c r="U543" s="6">
        <v>2056083</v>
      </c>
      <c r="W543" s="6">
        <v>528931</v>
      </c>
      <c r="Y543" s="6">
        <v>50562</v>
      </c>
      <c r="AA543" s="6">
        <v>2141287</v>
      </c>
      <c r="AC543" s="6">
        <v>861105</v>
      </c>
      <c r="AE543" s="6">
        <v>31440</v>
      </c>
      <c r="AG543" s="6">
        <v>875028</v>
      </c>
      <c r="AI543" s="6">
        <v>175801</v>
      </c>
      <c r="AJ543" s="11" t="s">
        <v>488</v>
      </c>
      <c r="AK543" s="11"/>
      <c r="AL543" s="11" t="s">
        <v>60</v>
      </c>
      <c r="AN543" s="6">
        <v>648829</v>
      </c>
      <c r="AP543" s="6">
        <v>168344</v>
      </c>
      <c r="AR543" s="6">
        <v>0</v>
      </c>
      <c r="AT543" s="6">
        <v>952224</v>
      </c>
      <c r="AV543" s="6">
        <v>304948</v>
      </c>
      <c r="AX543" s="6">
        <v>0</v>
      </c>
      <c r="AZ543" s="7">
        <f t="shared" si="67"/>
        <v>26434168</v>
      </c>
      <c r="BB543" s="6">
        <v>0</v>
      </c>
      <c r="BD543" s="6">
        <v>0</v>
      </c>
      <c r="BF543" s="6">
        <v>0</v>
      </c>
      <c r="BH543" s="6">
        <v>0</v>
      </c>
      <c r="BJ543" s="7">
        <f t="shared" si="68"/>
        <v>26434168</v>
      </c>
      <c r="BL543" s="7">
        <f>'Gov Fd Rev'!AO543-'Gov Fd Exp'!BJ543</f>
        <v>259333</v>
      </c>
      <c r="BN543" s="6">
        <v>6068078</v>
      </c>
      <c r="BP543" s="6">
        <v>0</v>
      </c>
      <c r="BR543" s="6">
        <v>0</v>
      </c>
      <c r="BT543" s="7">
        <f t="shared" si="69"/>
        <v>6327411</v>
      </c>
      <c r="BU543" s="7"/>
      <c r="BV543" s="7">
        <f>BT543-'Gov Fd BS'!AC543</f>
        <v>0</v>
      </c>
      <c r="BW543" s="7"/>
    </row>
    <row r="544" spans="1:75">
      <c r="A544" s="11" t="s">
        <v>778</v>
      </c>
      <c r="B544" s="11"/>
      <c r="C544" s="11" t="s">
        <v>48</v>
      </c>
      <c r="E544" s="6">
        <v>14025638</v>
      </c>
      <c r="G544" s="6">
        <v>0</v>
      </c>
      <c r="I544" s="6">
        <v>0</v>
      </c>
      <c r="K544" s="6">
        <v>0</v>
      </c>
      <c r="M544" s="6">
        <v>0</v>
      </c>
      <c r="O544" s="6">
        <v>949627</v>
      </c>
      <c r="Q544" s="6">
        <v>1163800</v>
      </c>
      <c r="S544" s="6">
        <v>22477</v>
      </c>
      <c r="U544" s="6">
        <v>1633643</v>
      </c>
      <c r="W544" s="6">
        <v>628292</v>
      </c>
      <c r="Y544" s="6">
        <v>135062</v>
      </c>
      <c r="AA544" s="6">
        <v>2055559</v>
      </c>
      <c r="AC544" s="6">
        <v>1009035</v>
      </c>
      <c r="AE544" s="6">
        <v>287196</v>
      </c>
      <c r="AG544" s="6">
        <v>0</v>
      </c>
      <c r="AI544" s="6">
        <f>9185+776860</f>
        <v>786045</v>
      </c>
      <c r="AJ544" s="11" t="s">
        <v>778</v>
      </c>
      <c r="AK544" s="11"/>
      <c r="AL544" s="11" t="s">
        <v>48</v>
      </c>
      <c r="AN544" s="6">
        <v>1167939</v>
      </c>
      <c r="AP544" s="6">
        <v>801586</v>
      </c>
      <c r="AR544" s="6">
        <v>0</v>
      </c>
      <c r="AT544" s="6">
        <v>1077508</v>
      </c>
      <c r="AV544" s="6">
        <v>693099</v>
      </c>
      <c r="AX544" s="6">
        <v>0</v>
      </c>
      <c r="AZ544" s="7">
        <f t="shared" si="67"/>
        <v>26436506</v>
      </c>
      <c r="BB544" s="6">
        <v>0</v>
      </c>
      <c r="BD544" s="6">
        <v>0</v>
      </c>
      <c r="BF544" s="6">
        <v>0</v>
      </c>
      <c r="BH544" s="6">
        <v>0</v>
      </c>
      <c r="BJ544" s="7">
        <f t="shared" si="68"/>
        <v>26436506</v>
      </c>
      <c r="BL544" s="7">
        <f>'Gov Fd Rev'!AO544-'Gov Fd Exp'!BJ544</f>
        <v>-461880</v>
      </c>
      <c r="BN544" s="6">
        <v>2685710</v>
      </c>
      <c r="BP544" s="6">
        <v>-3038</v>
      </c>
      <c r="BR544" s="6">
        <v>0</v>
      </c>
      <c r="BT544" s="7">
        <f t="shared" si="69"/>
        <v>2220792</v>
      </c>
      <c r="BU544" s="7"/>
      <c r="BV544" s="7">
        <f>BT544-'Gov Fd BS'!AC544</f>
        <v>0</v>
      </c>
      <c r="BW544" s="7"/>
    </row>
    <row r="545" spans="1:75">
      <c r="A545" s="11" t="s">
        <v>395</v>
      </c>
      <c r="B545" s="11"/>
      <c r="C545" s="11" t="s">
        <v>115</v>
      </c>
      <c r="E545" s="6">
        <v>221413444</v>
      </c>
      <c r="G545" s="6">
        <v>0</v>
      </c>
      <c r="I545" s="6">
        <v>0</v>
      </c>
      <c r="K545" s="6">
        <v>0</v>
      </c>
      <c r="M545" s="6">
        <v>0</v>
      </c>
      <c r="O545" s="6">
        <v>116235381</v>
      </c>
      <c r="Q545" s="6">
        <v>0</v>
      </c>
      <c r="S545" s="6">
        <v>0</v>
      </c>
      <c r="U545" s="6">
        <v>0</v>
      </c>
      <c r="W545" s="6">
        <v>0</v>
      </c>
      <c r="Y545" s="6">
        <v>0</v>
      </c>
      <c r="AA545" s="6">
        <v>0</v>
      </c>
      <c r="AC545" s="6">
        <v>0</v>
      </c>
      <c r="AE545" s="6">
        <v>0</v>
      </c>
      <c r="AG545" s="6">
        <v>0</v>
      </c>
      <c r="AI545" s="6">
        <v>26679181</v>
      </c>
      <c r="AJ545" s="11" t="s">
        <v>395</v>
      </c>
      <c r="AK545" s="11"/>
      <c r="AL545" s="11" t="s">
        <v>115</v>
      </c>
      <c r="AN545" s="6">
        <v>2282608</v>
      </c>
      <c r="AP545" s="6">
        <v>50477831</v>
      </c>
      <c r="AR545" s="6">
        <v>0</v>
      </c>
      <c r="AT545" s="6">
        <v>4395000</v>
      </c>
      <c r="AV545" s="6">
        <v>7568120</v>
      </c>
      <c r="AX545" s="6">
        <v>0</v>
      </c>
      <c r="AZ545" s="7">
        <f t="shared" si="67"/>
        <v>429051565</v>
      </c>
      <c r="BB545" s="6">
        <v>1282460</v>
      </c>
      <c r="BD545" s="6">
        <v>0</v>
      </c>
      <c r="BF545" s="6">
        <v>0</v>
      </c>
      <c r="BH545" s="6">
        <v>59595899</v>
      </c>
      <c r="BJ545" s="7">
        <f t="shared" si="68"/>
        <v>489929924</v>
      </c>
      <c r="BL545" s="7">
        <f>'Gov Fd Rev'!AO545-'Gov Fd Exp'!BJ545</f>
        <v>-18933044</v>
      </c>
      <c r="BN545" s="6">
        <v>107197075</v>
      </c>
      <c r="BP545" s="6">
        <v>0</v>
      </c>
      <c r="BR545" s="6">
        <v>0</v>
      </c>
      <c r="BT545" s="7">
        <f t="shared" si="69"/>
        <v>88264031</v>
      </c>
      <c r="BU545" s="7"/>
      <c r="BV545" s="7">
        <f>BT545-'Gov Fd BS'!AC545</f>
        <v>0</v>
      </c>
      <c r="BW545" s="7"/>
    </row>
    <row r="546" spans="1:75" hidden="1">
      <c r="A546" s="11" t="s">
        <v>894</v>
      </c>
      <c r="B546" s="11"/>
      <c r="C546" s="11" t="s">
        <v>115</v>
      </c>
      <c r="AJ546" s="11" t="s">
        <v>894</v>
      </c>
      <c r="AK546" s="11"/>
      <c r="AL546" s="11" t="s">
        <v>115</v>
      </c>
      <c r="AZ546" s="7">
        <f t="shared" si="67"/>
        <v>0</v>
      </c>
      <c r="BJ546" s="7">
        <f t="shared" si="68"/>
        <v>0</v>
      </c>
      <c r="BL546" s="7">
        <f>'Gov Fd Rev'!AO546-'Gov Fd Exp'!BJ546</f>
        <v>0</v>
      </c>
      <c r="BT546" s="7">
        <f t="shared" si="69"/>
        <v>0</v>
      </c>
      <c r="BU546" s="7"/>
      <c r="BV546" s="7">
        <f>BT546-'Gov Fd BS'!AC546</f>
        <v>0</v>
      </c>
      <c r="BW546" s="7"/>
    </row>
    <row r="547" spans="1:75">
      <c r="A547" s="11" t="s">
        <v>726</v>
      </c>
      <c r="B547" s="11"/>
      <c r="C547" s="11" t="s">
        <v>39</v>
      </c>
      <c r="E547" s="6">
        <v>3117173</v>
      </c>
      <c r="G547" s="6">
        <v>1020079</v>
      </c>
      <c r="I547" s="6">
        <v>101736</v>
      </c>
      <c r="K547" s="6">
        <v>0</v>
      </c>
      <c r="M547" s="6">
        <f>77417+655504</f>
        <v>732921</v>
      </c>
      <c r="O547" s="6">
        <v>278891</v>
      </c>
      <c r="Q547" s="6">
        <v>290742</v>
      </c>
      <c r="S547" s="6">
        <v>10318</v>
      </c>
      <c r="U547" s="6">
        <v>968493</v>
      </c>
      <c r="W547" s="6">
        <v>330681</v>
      </c>
      <c r="Y547" s="6">
        <v>73599</v>
      </c>
      <c r="AA547" s="6">
        <v>766119</v>
      </c>
      <c r="AC547" s="6">
        <v>127283</v>
      </c>
      <c r="AE547" s="6">
        <v>10274</v>
      </c>
      <c r="AG547" s="6">
        <v>0</v>
      </c>
      <c r="AI547" s="6">
        <v>394750</v>
      </c>
      <c r="AJ547" s="11" t="s">
        <v>726</v>
      </c>
      <c r="AK547" s="11"/>
      <c r="AL547" s="11" t="s">
        <v>39</v>
      </c>
      <c r="AN547" s="6">
        <v>295770</v>
      </c>
      <c r="AP547" s="6">
        <v>3130198</v>
      </c>
      <c r="AR547" s="6">
        <v>0</v>
      </c>
      <c r="AT547" s="6">
        <v>85834</v>
      </c>
      <c r="AV547" s="6">
        <v>633018</v>
      </c>
      <c r="AX547" s="6">
        <v>157</v>
      </c>
      <c r="AZ547" s="7">
        <f t="shared" si="67"/>
        <v>12368036</v>
      </c>
      <c r="BB547" s="6">
        <v>10000</v>
      </c>
      <c r="BD547" s="6">
        <v>0</v>
      </c>
      <c r="BF547" s="6">
        <v>0</v>
      </c>
      <c r="BH547" s="6">
        <v>0</v>
      </c>
      <c r="BJ547" s="7">
        <f t="shared" si="68"/>
        <v>12378036</v>
      </c>
      <c r="BL547" s="7">
        <f>'Gov Fd Rev'!AO547-'Gov Fd Exp'!BJ547</f>
        <v>3878342</v>
      </c>
      <c r="BN547" s="6">
        <v>11533259</v>
      </c>
      <c r="BP547" s="6">
        <v>0</v>
      </c>
      <c r="BR547" s="6">
        <v>0</v>
      </c>
      <c r="BT547" s="7">
        <f t="shared" si="69"/>
        <v>15411601</v>
      </c>
      <c r="BU547" s="7"/>
      <c r="BV547" s="7">
        <f>BT547-'Gov Fd BS'!AC547</f>
        <v>0</v>
      </c>
      <c r="BW547" s="7"/>
    </row>
    <row r="548" spans="1:75">
      <c r="A548" s="11" t="s">
        <v>229</v>
      </c>
      <c r="B548" s="11"/>
      <c r="C548" s="11" t="s">
        <v>228</v>
      </c>
      <c r="E548" s="6">
        <v>4726094</v>
      </c>
      <c r="G548" s="6">
        <v>1226980</v>
      </c>
      <c r="I548" s="6">
        <v>154228</v>
      </c>
      <c r="K548" s="6">
        <v>0</v>
      </c>
      <c r="M548" s="6">
        <v>63663</v>
      </c>
      <c r="O548" s="6">
        <v>370214</v>
      </c>
      <c r="Q548" s="6">
        <v>273648</v>
      </c>
      <c r="S548" s="6">
        <v>43620</v>
      </c>
      <c r="U548" s="6">
        <v>877905</v>
      </c>
      <c r="W548" s="6">
        <v>302207</v>
      </c>
      <c r="Y548" s="6">
        <v>8388</v>
      </c>
      <c r="AA548" s="6">
        <v>1032195</v>
      </c>
      <c r="AC548" s="6">
        <v>644280</v>
      </c>
      <c r="AE548" s="6">
        <v>211004</v>
      </c>
      <c r="AG548" s="6">
        <v>433229</v>
      </c>
      <c r="AI548" s="6">
        <v>0</v>
      </c>
      <c r="AJ548" s="11" t="s">
        <v>229</v>
      </c>
      <c r="AK548" s="11"/>
      <c r="AL548" s="11" t="s">
        <v>228</v>
      </c>
      <c r="AN548" s="6">
        <v>439872</v>
      </c>
      <c r="AP548" s="6">
        <v>249000</v>
      </c>
      <c r="AR548" s="6">
        <v>0</v>
      </c>
      <c r="AT548" s="6">
        <v>302951</v>
      </c>
      <c r="AV548" s="6">
        <v>240503</v>
      </c>
      <c r="AX548" s="6">
        <v>0</v>
      </c>
      <c r="AZ548" s="7">
        <f t="shared" si="67"/>
        <v>11599981</v>
      </c>
      <c r="BB548" s="6">
        <v>219778</v>
      </c>
      <c r="BD548" s="6">
        <v>0</v>
      </c>
      <c r="BF548" s="6">
        <v>0</v>
      </c>
      <c r="BH548" s="6">
        <v>0</v>
      </c>
      <c r="BJ548" s="7">
        <f t="shared" si="68"/>
        <v>11819759</v>
      </c>
      <c r="BL548" s="7">
        <f>'Gov Fd Rev'!AO548-'Gov Fd Exp'!BJ548</f>
        <v>-545979</v>
      </c>
      <c r="BN548" s="6">
        <v>1446487</v>
      </c>
      <c r="BP548" s="6">
        <v>0</v>
      </c>
      <c r="BR548" s="6">
        <v>0</v>
      </c>
      <c r="BT548" s="7">
        <f t="shared" si="69"/>
        <v>900508</v>
      </c>
      <c r="BU548" s="7"/>
      <c r="BV548" s="7">
        <f>BT548-'Gov Fd BS'!AC548</f>
        <v>0</v>
      </c>
      <c r="BW548" s="7"/>
    </row>
    <row r="549" spans="1:75">
      <c r="A549" s="11" t="s">
        <v>466</v>
      </c>
      <c r="B549" s="11"/>
      <c r="C549" s="11" t="s">
        <v>57</v>
      </c>
      <c r="E549" s="6">
        <v>5120630</v>
      </c>
      <c r="G549" s="6">
        <v>1055943</v>
      </c>
      <c r="I549" s="6">
        <v>65774</v>
      </c>
      <c r="K549" s="6">
        <v>0</v>
      </c>
      <c r="M549" s="6">
        <v>0</v>
      </c>
      <c r="O549" s="6">
        <v>562642</v>
      </c>
      <c r="Q549" s="6">
        <v>635081</v>
      </c>
      <c r="S549" s="6">
        <v>18892</v>
      </c>
      <c r="U549" s="6">
        <v>1040892</v>
      </c>
      <c r="W549" s="6">
        <v>196713</v>
      </c>
      <c r="Y549" s="6">
        <v>0</v>
      </c>
      <c r="AA549" s="6">
        <v>834808</v>
      </c>
      <c r="AC549" s="6">
        <v>699632</v>
      </c>
      <c r="AE549" s="6">
        <v>27048</v>
      </c>
      <c r="AG549" s="6">
        <v>0</v>
      </c>
      <c r="AI549" s="6">
        <v>442680</v>
      </c>
      <c r="AJ549" s="11" t="s">
        <v>466</v>
      </c>
      <c r="AK549" s="11"/>
      <c r="AL549" s="11" t="s">
        <v>57</v>
      </c>
      <c r="AN549" s="6">
        <v>446308</v>
      </c>
      <c r="AP549" s="6">
        <v>0</v>
      </c>
      <c r="AR549" s="6">
        <v>0</v>
      </c>
      <c r="AT549" s="6">
        <v>0</v>
      </c>
      <c r="AV549" s="6">
        <v>0</v>
      </c>
      <c r="AX549" s="6">
        <v>0</v>
      </c>
      <c r="AZ549" s="7">
        <f t="shared" si="67"/>
        <v>11147043</v>
      </c>
      <c r="BB549" s="6">
        <v>24700</v>
      </c>
      <c r="BD549" s="6">
        <v>0</v>
      </c>
      <c r="BF549" s="6">
        <v>0</v>
      </c>
      <c r="BH549" s="6">
        <v>0</v>
      </c>
      <c r="BJ549" s="7">
        <f t="shared" si="68"/>
        <v>11171743</v>
      </c>
      <c r="BL549" s="7">
        <f>'Gov Fd Rev'!AO549-'Gov Fd Exp'!BJ549</f>
        <v>-1723870</v>
      </c>
      <c r="BN549" s="6">
        <v>3471562</v>
      </c>
      <c r="BP549" s="6">
        <v>0</v>
      </c>
      <c r="BR549" s="6">
        <v>0</v>
      </c>
      <c r="BT549" s="7">
        <f t="shared" si="69"/>
        <v>1747692</v>
      </c>
      <c r="BU549" s="7"/>
      <c r="BV549" s="7">
        <f>BT549-'Gov Fd BS'!AC549</f>
        <v>0</v>
      </c>
      <c r="BW549" s="7"/>
    </row>
    <row r="550" spans="1:75">
      <c r="A550" s="11" t="s">
        <v>212</v>
      </c>
      <c r="B550" s="11"/>
      <c r="C550" s="11" t="s">
        <v>13</v>
      </c>
      <c r="E550" s="6">
        <v>3222282</v>
      </c>
      <c r="G550" s="6">
        <v>1808858</v>
      </c>
      <c r="I550" s="6">
        <v>0</v>
      </c>
      <c r="K550" s="6">
        <v>0</v>
      </c>
      <c r="M550" s="6">
        <f>72777+871055</f>
        <v>943832</v>
      </c>
      <c r="O550" s="6">
        <v>441558</v>
      </c>
      <c r="Q550" s="6">
        <v>594598</v>
      </c>
      <c r="S550" s="6">
        <v>87547</v>
      </c>
      <c r="U550" s="6">
        <v>761147</v>
      </c>
      <c r="W550" s="6">
        <v>252754</v>
      </c>
      <c r="Y550" s="6">
        <v>0</v>
      </c>
      <c r="AA550" s="6">
        <v>891127</v>
      </c>
      <c r="AC550" s="6">
        <v>670676</v>
      </c>
      <c r="AE550" s="6">
        <v>19728</v>
      </c>
      <c r="AG550" s="6">
        <v>0</v>
      </c>
      <c r="AI550" s="6">
        <v>445562</v>
      </c>
      <c r="AJ550" s="11" t="s">
        <v>212</v>
      </c>
      <c r="AK550" s="11"/>
      <c r="AL550" s="11" t="s">
        <v>13</v>
      </c>
      <c r="AN550" s="6">
        <v>162393</v>
      </c>
      <c r="AP550" s="6">
        <v>241861</v>
      </c>
      <c r="AR550" s="6">
        <v>0</v>
      </c>
      <c r="AT550" s="6">
        <v>52287</v>
      </c>
      <c r="AV550" s="6">
        <v>24113</v>
      </c>
      <c r="AX550" s="6">
        <v>0</v>
      </c>
      <c r="AZ550" s="7">
        <f t="shared" si="67"/>
        <v>10620323</v>
      </c>
      <c r="BB550" s="6">
        <v>10494</v>
      </c>
      <c r="BD550" s="6">
        <v>0</v>
      </c>
      <c r="BF550" s="6">
        <v>0</v>
      </c>
      <c r="BH550" s="6">
        <v>0</v>
      </c>
      <c r="BJ550" s="7">
        <f t="shared" si="68"/>
        <v>10630817</v>
      </c>
      <c r="BL550" s="7">
        <f>'Gov Fd Rev'!AO550-'Gov Fd Exp'!BJ550</f>
        <v>758914</v>
      </c>
      <c r="BN550" s="6">
        <v>1147246</v>
      </c>
      <c r="BP550" s="6">
        <v>0</v>
      </c>
      <c r="BR550" s="6">
        <v>0</v>
      </c>
      <c r="BT550" s="7">
        <f t="shared" si="69"/>
        <v>1906160</v>
      </c>
      <c r="BU550" s="7"/>
      <c r="BV550" s="7">
        <f>BT550-'Gov Fd BS'!AC550</f>
        <v>0</v>
      </c>
      <c r="BW550" s="7"/>
    </row>
    <row r="551" spans="1:75">
      <c r="A551" s="11" t="s">
        <v>446</v>
      </c>
      <c r="B551" s="11"/>
      <c r="C551" s="11" t="s">
        <v>51</v>
      </c>
      <c r="E551" s="6">
        <v>12235431</v>
      </c>
      <c r="G551" s="6">
        <v>3850760</v>
      </c>
      <c r="I551" s="6">
        <v>288382</v>
      </c>
      <c r="K551" s="6">
        <v>0</v>
      </c>
      <c r="M551" s="6">
        <v>43279</v>
      </c>
      <c r="O551" s="6">
        <v>708289</v>
      </c>
      <c r="Q551" s="6">
        <v>910351</v>
      </c>
      <c r="S551" s="6">
        <v>560995</v>
      </c>
      <c r="U551" s="6">
        <v>2243651</v>
      </c>
      <c r="W551" s="6">
        <v>434854</v>
      </c>
      <c r="Y551" s="6">
        <v>0</v>
      </c>
      <c r="AA551" s="6">
        <v>2216041</v>
      </c>
      <c r="AC551" s="6">
        <v>1882860</v>
      </c>
      <c r="AE551" s="6">
        <v>509187</v>
      </c>
      <c r="AG551" s="6">
        <v>1142439</v>
      </c>
      <c r="AI551" s="6">
        <v>106008</v>
      </c>
      <c r="AJ551" s="11" t="s">
        <v>446</v>
      </c>
      <c r="AK551" s="11"/>
      <c r="AL551" s="11" t="s">
        <v>51</v>
      </c>
      <c r="AN551" s="6">
        <v>209982</v>
      </c>
      <c r="AP551" s="6">
        <v>856584</v>
      </c>
      <c r="AR551" s="6">
        <v>0</v>
      </c>
      <c r="AT551" s="6">
        <v>447116</v>
      </c>
      <c r="AV551" s="6">
        <v>722251</v>
      </c>
      <c r="AX551" s="6">
        <v>0</v>
      </c>
      <c r="AZ551" s="7">
        <f t="shared" si="67"/>
        <v>29368460</v>
      </c>
      <c r="BB551" s="6">
        <v>0</v>
      </c>
      <c r="BD551" s="6">
        <v>0</v>
      </c>
      <c r="BF551" s="6">
        <v>0</v>
      </c>
      <c r="BH551" s="6">
        <v>0</v>
      </c>
      <c r="BJ551" s="7">
        <f t="shared" si="68"/>
        <v>29368460</v>
      </c>
      <c r="BL551" s="7">
        <f>'Gov Fd Rev'!AO551-'Gov Fd Exp'!BJ551</f>
        <v>2866957</v>
      </c>
      <c r="BN551" s="6">
        <v>6286701</v>
      </c>
      <c r="BP551" s="6">
        <v>0</v>
      </c>
      <c r="BR551" s="6">
        <v>0</v>
      </c>
      <c r="BT551" s="7">
        <f t="shared" si="69"/>
        <v>9153658</v>
      </c>
      <c r="BU551" s="7"/>
      <c r="BV551" s="7">
        <f>BT551-'Gov Fd BS'!AC551</f>
        <v>0</v>
      </c>
      <c r="BW551" s="7"/>
    </row>
    <row r="552" spans="1:75" hidden="1">
      <c r="A552" s="11" t="s">
        <v>690</v>
      </c>
      <c r="B552" s="11"/>
      <c r="C552" s="11" t="s">
        <v>21</v>
      </c>
      <c r="AJ552" s="11" t="s">
        <v>690</v>
      </c>
      <c r="AK552" s="11"/>
      <c r="AL552" s="11" t="s">
        <v>21</v>
      </c>
      <c r="AZ552" s="7">
        <f t="shared" si="67"/>
        <v>0</v>
      </c>
      <c r="BJ552" s="7">
        <f t="shared" si="68"/>
        <v>0</v>
      </c>
      <c r="BL552" s="7">
        <f>'Gov Fd Rev'!AO552-'Gov Fd Exp'!BJ552</f>
        <v>0</v>
      </c>
      <c r="BT552" s="7">
        <f t="shared" si="69"/>
        <v>0</v>
      </c>
      <c r="BU552" s="7"/>
      <c r="BV552" s="7">
        <f>BT552-'Gov Fd BS'!AC552</f>
        <v>0</v>
      </c>
      <c r="BW552" s="7"/>
    </row>
    <row r="553" spans="1:75" hidden="1">
      <c r="A553" s="10" t="s">
        <v>835</v>
      </c>
      <c r="B553" s="11"/>
      <c r="C553" s="11" t="s">
        <v>71</v>
      </c>
      <c r="AJ553" s="10" t="s">
        <v>835</v>
      </c>
      <c r="AK553" s="11"/>
      <c r="AL553" s="11" t="s">
        <v>71</v>
      </c>
      <c r="AZ553" s="7">
        <f t="shared" si="67"/>
        <v>0</v>
      </c>
      <c r="BJ553" s="7">
        <f t="shared" si="68"/>
        <v>0</v>
      </c>
      <c r="BL553" s="7">
        <f>'Gov Fd Rev'!AO553-'Gov Fd Exp'!BJ553</f>
        <v>0</v>
      </c>
      <c r="BT553" s="7">
        <f t="shared" si="69"/>
        <v>0</v>
      </c>
      <c r="BU553" s="7"/>
      <c r="BV553" s="7">
        <f>BT553-'Gov Fd BS'!AC553</f>
        <v>0</v>
      </c>
      <c r="BW553" s="7"/>
    </row>
    <row r="554" spans="1:75">
      <c r="A554" s="11" t="s">
        <v>436</v>
      </c>
      <c r="B554" s="11"/>
      <c r="C554" s="11" t="s">
        <v>50</v>
      </c>
      <c r="E554" s="6">
        <v>9813238</v>
      </c>
      <c r="G554" s="6">
        <v>3462997</v>
      </c>
      <c r="I554" s="6">
        <v>0</v>
      </c>
      <c r="K554" s="6">
        <v>0</v>
      </c>
      <c r="M554" s="6">
        <v>260105</v>
      </c>
      <c r="O554" s="6">
        <v>2247544</v>
      </c>
      <c r="Q554" s="6">
        <v>1847579</v>
      </c>
      <c r="S554" s="6">
        <v>63178</v>
      </c>
      <c r="U554" s="6">
        <v>2578502</v>
      </c>
      <c r="W554" s="6">
        <v>5797169</v>
      </c>
      <c r="Y554" s="6">
        <v>479879</v>
      </c>
      <c r="AA554" s="6">
        <v>2967055</v>
      </c>
      <c r="AC554" s="6">
        <v>1684363</v>
      </c>
      <c r="AE554" s="6">
        <v>1164177</v>
      </c>
      <c r="AG554" s="6">
        <v>0</v>
      </c>
      <c r="AI554" s="6">
        <v>2182164</v>
      </c>
      <c r="AJ554" s="11" t="s">
        <v>436</v>
      </c>
      <c r="AK554" s="11"/>
      <c r="AL554" s="11" t="s">
        <v>50</v>
      </c>
      <c r="AN554" s="6">
        <v>522624</v>
      </c>
      <c r="AP554" s="6">
        <v>1822403</v>
      </c>
      <c r="AR554" s="6">
        <v>0</v>
      </c>
      <c r="AT554" s="6">
        <v>928786</v>
      </c>
      <c r="AV554" s="6">
        <v>1681205</v>
      </c>
      <c r="AX554" s="6">
        <v>0</v>
      </c>
      <c r="AZ554" s="7">
        <f t="shared" si="67"/>
        <v>39502968</v>
      </c>
      <c r="BB554" s="6">
        <v>280150</v>
      </c>
      <c r="BD554" s="6">
        <v>0</v>
      </c>
      <c r="BF554" s="6">
        <v>0</v>
      </c>
      <c r="BH554" s="6">
        <v>0</v>
      </c>
      <c r="BJ554" s="7">
        <f t="shared" si="68"/>
        <v>39783118</v>
      </c>
      <c r="BL554" s="7">
        <f>'Gov Fd Rev'!AO554-'Gov Fd Exp'!BJ554</f>
        <v>906540</v>
      </c>
      <c r="BN554" s="6">
        <v>17910035</v>
      </c>
      <c r="BP554" s="6">
        <v>0</v>
      </c>
      <c r="BR554" s="6">
        <v>0</v>
      </c>
      <c r="BT554" s="7">
        <f t="shared" si="69"/>
        <v>18816575</v>
      </c>
      <c r="BU554" s="7"/>
      <c r="BV554" s="7">
        <f>BT554-'Gov Fd BS'!AC554</f>
        <v>0</v>
      </c>
      <c r="BW554" s="7"/>
    </row>
    <row r="555" spans="1:75">
      <c r="A555" s="11" t="s">
        <v>426</v>
      </c>
      <c r="B555" s="11"/>
      <c r="C555" s="11" t="s">
        <v>48</v>
      </c>
      <c r="E555" s="6">
        <v>22623340</v>
      </c>
      <c r="G555" s="6">
        <v>5987082</v>
      </c>
      <c r="I555" s="6">
        <v>19682</v>
      </c>
      <c r="K555" s="6">
        <v>0</v>
      </c>
      <c r="M555" s="6">
        <v>2349046</v>
      </c>
      <c r="O555" s="6">
        <v>2111645</v>
      </c>
      <c r="Q555" s="6">
        <v>1249558</v>
      </c>
      <c r="S555" s="6">
        <v>653928</v>
      </c>
      <c r="U555" s="6">
        <v>3374479</v>
      </c>
      <c r="W555" s="6">
        <v>542189</v>
      </c>
      <c r="Y555" s="6">
        <v>536009</v>
      </c>
      <c r="AA555" s="6">
        <v>3514699</v>
      </c>
      <c r="AC555" s="6">
        <v>1750323</v>
      </c>
      <c r="AE555" s="6">
        <v>57636</v>
      </c>
      <c r="AG555" s="6">
        <v>0</v>
      </c>
      <c r="AI555" s="6">
        <v>2595616</v>
      </c>
      <c r="AJ555" s="11" t="s">
        <v>426</v>
      </c>
      <c r="AK555" s="11"/>
      <c r="AL555" s="11" t="s">
        <v>48</v>
      </c>
      <c r="AN555" s="6">
        <v>438577</v>
      </c>
      <c r="AP555" s="6">
        <v>693116</v>
      </c>
      <c r="AR555" s="6">
        <v>0</v>
      </c>
      <c r="AT555" s="6">
        <v>721709</v>
      </c>
      <c r="AV555" s="6">
        <v>852933</v>
      </c>
      <c r="AX555" s="6">
        <v>0</v>
      </c>
      <c r="AZ555" s="7">
        <f t="shared" si="67"/>
        <v>50071567</v>
      </c>
      <c r="BB555" s="6">
        <v>150000</v>
      </c>
      <c r="BD555" s="6">
        <v>0</v>
      </c>
      <c r="BF555" s="6">
        <v>0</v>
      </c>
      <c r="BH555" s="6">
        <v>0</v>
      </c>
      <c r="BJ555" s="7">
        <f t="shared" si="68"/>
        <v>50221567</v>
      </c>
      <c r="BL555" s="7">
        <f>'Gov Fd Rev'!AO555-'Gov Fd Exp'!BJ555</f>
        <v>-765179</v>
      </c>
      <c r="BN555" s="6">
        <v>14544895</v>
      </c>
      <c r="BP555" s="6">
        <v>0</v>
      </c>
      <c r="BR555" s="6">
        <v>0</v>
      </c>
      <c r="BT555" s="7">
        <f t="shared" si="69"/>
        <v>13779716</v>
      </c>
      <c r="BU555" s="7"/>
      <c r="BV555" s="7">
        <f>BT555-'Gov Fd BS'!AC555</f>
        <v>0</v>
      </c>
      <c r="BW555" s="7"/>
    </row>
    <row r="556" spans="1:75">
      <c r="A556" s="11" t="s">
        <v>538</v>
      </c>
      <c r="B556" s="11"/>
      <c r="C556" s="11" t="s">
        <v>65</v>
      </c>
      <c r="E556" s="6">
        <v>5573818</v>
      </c>
      <c r="G556" s="6">
        <v>819881</v>
      </c>
      <c r="I556" s="6">
        <v>138206</v>
      </c>
      <c r="K556" s="6">
        <v>0</v>
      </c>
      <c r="M556" s="6">
        <v>1134441</v>
      </c>
      <c r="O556" s="6">
        <v>439691</v>
      </c>
      <c r="Q556" s="6">
        <v>502747</v>
      </c>
      <c r="S556" s="6">
        <v>28328</v>
      </c>
      <c r="U556" s="6">
        <v>1263340</v>
      </c>
      <c r="W556" s="6">
        <v>369350</v>
      </c>
      <c r="Y556" s="6">
        <v>0</v>
      </c>
      <c r="AA556" s="6">
        <v>1007344</v>
      </c>
      <c r="AC556" s="6">
        <v>914591</v>
      </c>
      <c r="AE556" s="6">
        <v>83740</v>
      </c>
      <c r="AG556" s="6">
        <v>489935</v>
      </c>
      <c r="AI556" s="6">
        <v>0</v>
      </c>
      <c r="AJ556" s="11" t="s">
        <v>538</v>
      </c>
      <c r="AK556" s="11"/>
      <c r="AL556" s="11" t="s">
        <v>65</v>
      </c>
      <c r="AN556" s="6">
        <v>358822</v>
      </c>
      <c r="AP556" s="6">
        <f>87396+561314</f>
        <v>648710</v>
      </c>
      <c r="AR556" s="6">
        <v>0</v>
      </c>
      <c r="AT556" s="6">
        <v>575069</v>
      </c>
      <c r="AV556" s="6">
        <v>64866</v>
      </c>
      <c r="AX556" s="6">
        <v>0</v>
      </c>
      <c r="AZ556" s="7">
        <f t="shared" si="67"/>
        <v>14412879</v>
      </c>
      <c r="BB556" s="6">
        <v>45141</v>
      </c>
      <c r="BD556" s="6">
        <v>0</v>
      </c>
      <c r="BF556" s="6">
        <v>0</v>
      </c>
      <c r="BH556" s="6">
        <v>0</v>
      </c>
      <c r="BJ556" s="7">
        <f t="shared" si="68"/>
        <v>14458020</v>
      </c>
      <c r="BL556" s="7">
        <f>'Gov Fd Rev'!AO556-'Gov Fd Exp'!BJ556</f>
        <v>383002</v>
      </c>
      <c r="BN556" s="6">
        <v>2272721</v>
      </c>
      <c r="BP556" s="6">
        <v>6999</v>
      </c>
      <c r="BR556" s="6">
        <v>0</v>
      </c>
      <c r="BT556" s="7">
        <f t="shared" si="69"/>
        <v>2662722</v>
      </c>
      <c r="BU556" s="7"/>
      <c r="BV556" s="7">
        <f>BT556-'Gov Fd BS'!AC556</f>
        <v>0</v>
      </c>
      <c r="BW556" s="7"/>
    </row>
    <row r="557" spans="1:75">
      <c r="A557" s="11" t="s">
        <v>505</v>
      </c>
      <c r="B557" s="11"/>
      <c r="C557" s="11" t="s">
        <v>62</v>
      </c>
      <c r="E557" s="6">
        <v>5427886</v>
      </c>
      <c r="G557" s="6">
        <v>1659339</v>
      </c>
      <c r="I557" s="6">
        <v>143926</v>
      </c>
      <c r="K557" s="6">
        <v>0</v>
      </c>
      <c r="M557" s="6">
        <v>3594</v>
      </c>
      <c r="O557" s="6">
        <v>745552</v>
      </c>
      <c r="Q557" s="6">
        <v>459372</v>
      </c>
      <c r="S557" s="6">
        <v>12384</v>
      </c>
      <c r="U557" s="6">
        <v>984472</v>
      </c>
      <c r="W557" s="6">
        <v>354251</v>
      </c>
      <c r="Y557" s="6">
        <v>41794</v>
      </c>
      <c r="AA557" s="6">
        <v>1096231</v>
      </c>
      <c r="AC557" s="6">
        <v>773239</v>
      </c>
      <c r="AE557" s="6">
        <v>32597</v>
      </c>
      <c r="AG557" s="6">
        <v>0</v>
      </c>
      <c r="AI557" s="6">
        <v>488942</v>
      </c>
      <c r="AJ557" s="11" t="s">
        <v>505</v>
      </c>
      <c r="AK557" s="11"/>
      <c r="AL557" s="11" t="s">
        <v>62</v>
      </c>
      <c r="AN557" s="6">
        <v>936687</v>
      </c>
      <c r="AP557" s="6">
        <v>4750919</v>
      </c>
      <c r="AR557" s="6">
        <v>0</v>
      </c>
      <c r="AT557" s="6">
        <v>106099</v>
      </c>
      <c r="AV557" s="6">
        <f>658652+145718</f>
        <v>804370</v>
      </c>
      <c r="AX557" s="6">
        <v>0</v>
      </c>
      <c r="AZ557" s="7">
        <f t="shared" si="67"/>
        <v>18821654</v>
      </c>
      <c r="BB557" s="6">
        <v>91054</v>
      </c>
      <c r="BD557" s="6">
        <v>0</v>
      </c>
      <c r="BF557" s="6">
        <v>0</v>
      </c>
      <c r="BH557" s="6">
        <v>12483021</v>
      </c>
      <c r="BJ557" s="7">
        <f t="shared" si="68"/>
        <v>31395729</v>
      </c>
      <c r="BL557" s="7">
        <f>'Gov Fd Rev'!AO557-'Gov Fd Exp'!BJ557</f>
        <v>-3812840</v>
      </c>
      <c r="BN557" s="6">
        <v>7377616</v>
      </c>
      <c r="BP557" s="6">
        <v>0</v>
      </c>
      <c r="BR557" s="6">
        <v>0</v>
      </c>
      <c r="BT557" s="7">
        <f t="shared" si="69"/>
        <v>3564776</v>
      </c>
      <c r="BU557" s="7"/>
      <c r="BV557" s="7">
        <f>BT557-'Gov Fd BS'!AC557</f>
        <v>0</v>
      </c>
      <c r="BW557" s="7"/>
    </row>
    <row r="558" spans="1:75" hidden="1">
      <c r="A558" s="11" t="s">
        <v>695</v>
      </c>
      <c r="B558" s="11"/>
      <c r="C558" s="11" t="s">
        <v>57</v>
      </c>
      <c r="AJ558" s="11" t="s">
        <v>695</v>
      </c>
      <c r="AK558" s="11"/>
      <c r="AL558" s="11" t="s">
        <v>57</v>
      </c>
      <c r="AZ558" s="7">
        <f t="shared" si="67"/>
        <v>0</v>
      </c>
      <c r="BJ558" s="7">
        <f t="shared" si="68"/>
        <v>0</v>
      </c>
      <c r="BL558" s="7">
        <f>'Gov Fd Rev'!AO558-'Gov Fd Exp'!BJ558</f>
        <v>0</v>
      </c>
      <c r="BT558" s="7">
        <f t="shared" si="69"/>
        <v>0</v>
      </c>
      <c r="BU558" s="7"/>
      <c r="BV558" s="7">
        <f>BT558-'Gov Fd BS'!AC558</f>
        <v>0</v>
      </c>
      <c r="BW558" s="7"/>
    </row>
    <row r="559" spans="1:75">
      <c r="A559" s="11" t="s">
        <v>516</v>
      </c>
      <c r="B559" s="11"/>
      <c r="C559" s="11" t="s">
        <v>63</v>
      </c>
      <c r="E559" s="6">
        <v>21178848</v>
      </c>
      <c r="G559" s="6">
        <v>3172690</v>
      </c>
      <c r="I559" s="6">
        <v>223833</v>
      </c>
      <c r="K559" s="6">
        <v>0</v>
      </c>
      <c r="M559" s="6">
        <f>67693+390852</f>
        <v>458545</v>
      </c>
      <c r="O559" s="6">
        <v>2701530</v>
      </c>
      <c r="Q559" s="6">
        <v>1886245</v>
      </c>
      <c r="S559" s="6">
        <v>384137</v>
      </c>
      <c r="U559" s="6">
        <v>3011085</v>
      </c>
      <c r="W559" s="6">
        <v>1102440</v>
      </c>
      <c r="Y559" s="6">
        <v>99556</v>
      </c>
      <c r="AA559" s="6">
        <v>3698426</v>
      </c>
      <c r="AC559" s="6">
        <v>2691596</v>
      </c>
      <c r="AE559" s="6">
        <v>729061</v>
      </c>
      <c r="AG559" s="6">
        <v>1245608</v>
      </c>
      <c r="AI559" s="6">
        <v>1918</v>
      </c>
      <c r="AJ559" s="11" t="s">
        <v>516</v>
      </c>
      <c r="AK559" s="11"/>
      <c r="AL559" s="11" t="s">
        <v>63</v>
      </c>
      <c r="AN559" s="6">
        <v>1191840</v>
      </c>
      <c r="AP559" s="6">
        <v>406929</v>
      </c>
      <c r="AR559" s="6">
        <v>0</v>
      </c>
      <c r="AT559" s="6">
        <v>2542394</v>
      </c>
      <c r="AV559" s="6">
        <v>1105349</v>
      </c>
      <c r="AX559" s="6">
        <v>0</v>
      </c>
      <c r="AZ559" s="7">
        <f t="shared" si="67"/>
        <v>47832030</v>
      </c>
      <c r="BB559" s="6">
        <v>0</v>
      </c>
      <c r="BD559" s="6">
        <v>0</v>
      </c>
      <c r="BF559" s="6">
        <v>0</v>
      </c>
      <c r="BH559" s="6">
        <v>0</v>
      </c>
      <c r="BJ559" s="7">
        <f t="shared" si="68"/>
        <v>47832030</v>
      </c>
      <c r="BL559" s="7">
        <f>'Gov Fd Rev'!AO559-'Gov Fd Exp'!BJ559</f>
        <v>-1512507</v>
      </c>
      <c r="BN559" s="6">
        <v>33514923</v>
      </c>
      <c r="BP559" s="6">
        <v>0</v>
      </c>
      <c r="BR559" s="6">
        <v>0</v>
      </c>
      <c r="BT559" s="7">
        <f t="shared" si="69"/>
        <v>32002416</v>
      </c>
      <c r="BU559" s="7"/>
      <c r="BV559" s="7">
        <f>BT559-'Gov Fd BS'!AC559</f>
        <v>0</v>
      </c>
      <c r="BW559" s="7"/>
    </row>
    <row r="560" spans="1:75" hidden="1">
      <c r="A560" s="10" t="s">
        <v>836</v>
      </c>
      <c r="B560" s="11"/>
      <c r="C560" s="11" t="s">
        <v>15</v>
      </c>
      <c r="AJ560" s="10" t="s">
        <v>836</v>
      </c>
      <c r="AK560" s="11"/>
      <c r="AL560" s="11" t="s">
        <v>15</v>
      </c>
      <c r="AZ560" s="7">
        <f t="shared" si="67"/>
        <v>0</v>
      </c>
      <c r="BJ560" s="7">
        <f t="shared" si="68"/>
        <v>0</v>
      </c>
      <c r="BL560" s="7">
        <f>'Gov Fd Rev'!AO560-'Gov Fd Exp'!BJ560</f>
        <v>0</v>
      </c>
      <c r="BT560" s="7">
        <f t="shared" si="69"/>
        <v>0</v>
      </c>
      <c r="BU560" s="7"/>
      <c r="BV560" s="7">
        <f>BT560-'Gov Fd BS'!AC560</f>
        <v>0</v>
      </c>
      <c r="BW560" s="7"/>
    </row>
    <row r="561" spans="1:75">
      <c r="A561" s="11" t="s">
        <v>476</v>
      </c>
      <c r="B561" s="11"/>
      <c r="C561" s="11" t="s">
        <v>58</v>
      </c>
      <c r="E561" s="6">
        <v>10357179</v>
      </c>
      <c r="G561" s="6">
        <v>1540558</v>
      </c>
      <c r="I561" s="6">
        <v>20195</v>
      </c>
      <c r="K561" s="6">
        <v>0</v>
      </c>
      <c r="M561" s="6">
        <v>0</v>
      </c>
      <c r="O561" s="6">
        <v>820108</v>
      </c>
      <c r="Q561" s="6">
        <v>676828</v>
      </c>
      <c r="S561" s="6">
        <v>832782</v>
      </c>
      <c r="U561" s="6">
        <v>1003724</v>
      </c>
      <c r="W561" s="6">
        <v>452934</v>
      </c>
      <c r="Y561" s="6">
        <v>19470</v>
      </c>
      <c r="AA561" s="6">
        <v>1505665</v>
      </c>
      <c r="AC561" s="6">
        <v>904587</v>
      </c>
      <c r="AE561" s="6">
        <v>0</v>
      </c>
      <c r="AG561" s="6">
        <v>0</v>
      </c>
      <c r="AI561" s="6">
        <v>944124</v>
      </c>
      <c r="AJ561" s="11" t="s">
        <v>476</v>
      </c>
      <c r="AK561" s="11"/>
      <c r="AL561" s="11" t="s">
        <v>58</v>
      </c>
      <c r="AN561" s="6">
        <v>230529</v>
      </c>
      <c r="AP561" s="6">
        <v>0</v>
      </c>
      <c r="AR561" s="6">
        <v>0</v>
      </c>
      <c r="AT561" s="6">
        <v>284713</v>
      </c>
      <c r="AV561" s="6">
        <v>294161</v>
      </c>
      <c r="AX561" s="6">
        <v>0</v>
      </c>
      <c r="AZ561" s="7">
        <f t="shared" si="67"/>
        <v>19887557</v>
      </c>
      <c r="BB561" s="6">
        <v>287349</v>
      </c>
      <c r="BD561" s="6">
        <v>0</v>
      </c>
      <c r="BF561" s="6">
        <v>0</v>
      </c>
      <c r="BH561" s="6">
        <v>0</v>
      </c>
      <c r="BJ561" s="7">
        <f t="shared" si="68"/>
        <v>20174906</v>
      </c>
      <c r="BL561" s="7">
        <f>'Gov Fd Rev'!AO561-'Gov Fd Exp'!BJ561</f>
        <v>702558</v>
      </c>
      <c r="BN561" s="6">
        <v>12297896</v>
      </c>
      <c r="BP561" s="6">
        <v>0</v>
      </c>
      <c r="BR561" s="6">
        <v>0</v>
      </c>
      <c r="BT561" s="7">
        <f t="shared" si="69"/>
        <v>13000454</v>
      </c>
      <c r="BU561" s="7"/>
      <c r="BV561" s="7">
        <f>BT561-'Gov Fd BS'!AC561</f>
        <v>0</v>
      </c>
      <c r="BW561" s="7"/>
    </row>
    <row r="562" spans="1:75">
      <c r="A562" s="11" t="s">
        <v>251</v>
      </c>
      <c r="B562" s="11"/>
      <c r="C562" s="11" t="s">
        <v>112</v>
      </c>
      <c r="E562" s="6">
        <v>5372770</v>
      </c>
      <c r="G562" s="6">
        <v>1608289</v>
      </c>
      <c r="I562" s="6">
        <v>202187</v>
      </c>
      <c r="K562" s="6">
        <v>9320</v>
      </c>
      <c r="M562" s="6">
        <v>22449</v>
      </c>
      <c r="O562" s="6">
        <v>423411</v>
      </c>
      <c r="Q562" s="6">
        <v>496616</v>
      </c>
      <c r="S562" s="6">
        <v>91862</v>
      </c>
      <c r="U562" s="6">
        <v>919140</v>
      </c>
      <c r="W562" s="6">
        <v>295253</v>
      </c>
      <c r="Y562" s="6">
        <v>56134</v>
      </c>
      <c r="AA562" s="6">
        <v>867544</v>
      </c>
      <c r="AC562" s="6">
        <v>896161</v>
      </c>
      <c r="AE562" s="6">
        <v>25390</v>
      </c>
      <c r="AG562" s="6">
        <v>582819</v>
      </c>
      <c r="AI562" s="6">
        <v>1029</v>
      </c>
      <c r="AJ562" s="11" t="s">
        <v>251</v>
      </c>
      <c r="AK562" s="11"/>
      <c r="AL562" s="11" t="s">
        <v>112</v>
      </c>
      <c r="AN562" s="6">
        <v>520796</v>
      </c>
      <c r="AP562" s="6">
        <f>9476+98292</f>
        <v>107768</v>
      </c>
      <c r="AR562" s="6">
        <v>0</v>
      </c>
      <c r="AT562" s="6">
        <v>16173</v>
      </c>
      <c r="AV562" s="6">
        <v>1053</v>
      </c>
      <c r="AX562" s="6">
        <v>0</v>
      </c>
      <c r="AZ562" s="7">
        <f t="shared" si="67"/>
        <v>12516164</v>
      </c>
      <c r="BB562" s="6">
        <v>0</v>
      </c>
      <c r="BD562" s="6">
        <v>0</v>
      </c>
      <c r="BF562" s="6">
        <v>0</v>
      </c>
      <c r="BH562" s="6">
        <v>0</v>
      </c>
      <c r="BJ562" s="7">
        <f t="shared" si="68"/>
        <v>12516164</v>
      </c>
      <c r="BL562" s="7">
        <f>'Gov Fd Rev'!AO562-'Gov Fd Exp'!BJ562</f>
        <v>855331</v>
      </c>
      <c r="BN562" s="6">
        <v>4082273</v>
      </c>
      <c r="BP562" s="6">
        <v>0</v>
      </c>
      <c r="BR562" s="6">
        <v>0</v>
      </c>
      <c r="BT562" s="7">
        <f t="shared" si="69"/>
        <v>4937604</v>
      </c>
      <c r="BU562" s="7"/>
      <c r="BV562" s="7">
        <f>BT562-'Gov Fd BS'!AC562</f>
        <v>0</v>
      </c>
      <c r="BW562" s="7"/>
    </row>
    <row r="563" spans="1:75" s="28" customFormat="1">
      <c r="A563" s="27" t="s">
        <v>308</v>
      </c>
      <c r="B563" s="27"/>
      <c r="C563" s="27" t="s">
        <v>27</v>
      </c>
      <c r="E563" s="28">
        <v>41513956</v>
      </c>
      <c r="G563" s="28">
        <v>9409193</v>
      </c>
      <c r="I563" s="28">
        <v>85864</v>
      </c>
      <c r="K563" s="28">
        <v>0</v>
      </c>
      <c r="M563" s="28">
        <v>0</v>
      </c>
      <c r="O563" s="28">
        <v>4753372</v>
      </c>
      <c r="Q563" s="28">
        <v>6506794</v>
      </c>
      <c r="S563" s="28">
        <v>46605</v>
      </c>
      <c r="U563" s="28">
        <v>4785528</v>
      </c>
      <c r="W563" s="28">
        <v>1525977</v>
      </c>
      <c r="Y563" s="28">
        <v>623909</v>
      </c>
      <c r="AA563" s="28">
        <v>7225802</v>
      </c>
      <c r="AC563" s="28">
        <v>1829181</v>
      </c>
      <c r="AE563" s="28">
        <v>2081473</v>
      </c>
      <c r="AG563" s="28">
        <v>1384750</v>
      </c>
      <c r="AI563" s="28">
        <v>2964024</v>
      </c>
      <c r="AJ563" s="27" t="s">
        <v>308</v>
      </c>
      <c r="AK563" s="27"/>
      <c r="AL563" s="27" t="s">
        <v>27</v>
      </c>
      <c r="AN563" s="28">
        <v>2702550</v>
      </c>
      <c r="AP563" s="28">
        <v>1574388</v>
      </c>
      <c r="AR563" s="28">
        <v>0</v>
      </c>
      <c r="AT563" s="28">
        <v>1980000</v>
      </c>
      <c r="AV563" s="28">
        <v>1084424</v>
      </c>
      <c r="AX563" s="28">
        <v>0</v>
      </c>
      <c r="AZ563" s="32">
        <f t="shared" si="67"/>
        <v>92077790</v>
      </c>
      <c r="BB563" s="28">
        <v>222330</v>
      </c>
      <c r="BD563" s="28">
        <v>0</v>
      </c>
      <c r="BF563" s="28">
        <v>0</v>
      </c>
      <c r="BH563" s="28">
        <v>0</v>
      </c>
      <c r="BJ563" s="32">
        <f t="shared" si="68"/>
        <v>92300120</v>
      </c>
      <c r="BL563" s="32">
        <f>'Gov Fd Rev'!AO563-'Gov Fd Exp'!BJ563</f>
        <v>-718794</v>
      </c>
      <c r="BN563" s="28">
        <v>60755972</v>
      </c>
      <c r="BP563" s="28">
        <v>0</v>
      </c>
      <c r="BR563" s="28">
        <v>0</v>
      </c>
      <c r="BT563" s="32">
        <f t="shared" si="69"/>
        <v>60037178</v>
      </c>
      <c r="BU563" s="32"/>
      <c r="BV563" s="32">
        <f>BT563-'Gov Fd BS'!AC563</f>
        <v>0</v>
      </c>
      <c r="BW563" s="32"/>
    </row>
    <row r="564" spans="1:75" hidden="1">
      <c r="A564" s="11" t="s">
        <v>779</v>
      </c>
      <c r="B564" s="11"/>
      <c r="C564" s="11" t="s">
        <v>558</v>
      </c>
      <c r="AJ564" s="11" t="s">
        <v>779</v>
      </c>
      <c r="AK564" s="11"/>
      <c r="AL564" s="11" t="s">
        <v>558</v>
      </c>
      <c r="AZ564" s="7">
        <f t="shared" si="67"/>
        <v>0</v>
      </c>
      <c r="BJ564" s="7">
        <f t="shared" si="68"/>
        <v>0</v>
      </c>
      <c r="BL564" s="7">
        <f>'Gov Fd Rev'!AO564-'Gov Fd Exp'!BJ564</f>
        <v>0</v>
      </c>
      <c r="BT564" s="7">
        <f t="shared" si="69"/>
        <v>0</v>
      </c>
      <c r="BU564" s="7"/>
      <c r="BV564" s="7">
        <f>BT564-'Gov Fd BS'!AC564</f>
        <v>0</v>
      </c>
      <c r="BW564" s="7"/>
    </row>
    <row r="565" spans="1:75" hidden="1">
      <c r="A565" s="11" t="s">
        <v>696</v>
      </c>
      <c r="B565" s="11"/>
      <c r="C565" s="11" t="s">
        <v>339</v>
      </c>
      <c r="AJ565" s="11" t="s">
        <v>696</v>
      </c>
      <c r="AK565" s="11"/>
      <c r="AL565" s="11" t="s">
        <v>339</v>
      </c>
      <c r="AZ565" s="7">
        <f t="shared" si="67"/>
        <v>0</v>
      </c>
      <c r="BJ565" s="7">
        <f t="shared" si="68"/>
        <v>0</v>
      </c>
      <c r="BL565" s="7">
        <f>'Gov Fd Rev'!AO565-'Gov Fd Exp'!BJ565</f>
        <v>0</v>
      </c>
      <c r="BT565" s="7">
        <f t="shared" si="69"/>
        <v>0</v>
      </c>
      <c r="BU565" s="7"/>
      <c r="BV565" s="7">
        <f>BT565-'Gov Fd BS'!AC565</f>
        <v>0</v>
      </c>
      <c r="BW565" s="7"/>
    </row>
    <row r="566" spans="1:75" hidden="1">
      <c r="A566" s="11" t="s">
        <v>895</v>
      </c>
      <c r="B566" s="11"/>
      <c r="C566" s="11" t="s">
        <v>228</v>
      </c>
      <c r="E566" s="6">
        <v>0</v>
      </c>
      <c r="G566" s="6">
        <v>0</v>
      </c>
      <c r="I566" s="6">
        <v>0</v>
      </c>
      <c r="K566" s="6">
        <v>0</v>
      </c>
      <c r="M566" s="6">
        <v>0</v>
      </c>
      <c r="O566" s="6">
        <v>0</v>
      </c>
      <c r="Q566" s="6">
        <v>0</v>
      </c>
      <c r="S566" s="6">
        <v>0</v>
      </c>
      <c r="U566" s="6">
        <v>0</v>
      </c>
      <c r="W566" s="6">
        <v>0</v>
      </c>
      <c r="Y566" s="6">
        <v>0</v>
      </c>
      <c r="AA566" s="6">
        <v>0</v>
      </c>
      <c r="AC566" s="6">
        <v>0</v>
      </c>
      <c r="AE566" s="6">
        <v>0</v>
      </c>
      <c r="AG566" s="6">
        <v>0</v>
      </c>
      <c r="AI566" s="6">
        <v>0</v>
      </c>
      <c r="AJ566" s="11" t="s">
        <v>895</v>
      </c>
      <c r="AK566" s="11"/>
      <c r="AL566" s="11" t="s">
        <v>228</v>
      </c>
      <c r="AN566" s="6">
        <v>0</v>
      </c>
      <c r="AP566" s="6">
        <v>0</v>
      </c>
      <c r="AR566" s="6">
        <v>0</v>
      </c>
      <c r="AT566" s="6">
        <v>0</v>
      </c>
      <c r="AV566" s="6">
        <v>0</v>
      </c>
      <c r="AX566" s="6">
        <v>0</v>
      </c>
      <c r="AZ566" s="7">
        <f t="shared" ref="AZ566:AZ630" si="70">SUM(E566:AX566)</f>
        <v>0</v>
      </c>
      <c r="BB566" s="6">
        <v>0</v>
      </c>
      <c r="BD566" s="6">
        <v>0</v>
      </c>
      <c r="BF566" s="6">
        <v>0</v>
      </c>
      <c r="BH566" s="6">
        <v>0</v>
      </c>
      <c r="BJ566" s="7">
        <f t="shared" ref="BJ566:BJ630" si="71">AZ566+BB566+BH566</f>
        <v>0</v>
      </c>
      <c r="BL566" s="7">
        <f>'Gov Fd Rev'!AO566-'Gov Fd Exp'!BJ566</f>
        <v>0</v>
      </c>
      <c r="BP566" s="6">
        <v>0</v>
      </c>
      <c r="BR566" s="6">
        <v>0</v>
      </c>
      <c r="BT566" s="7">
        <f t="shared" si="69"/>
        <v>0</v>
      </c>
      <c r="BU566" s="7"/>
      <c r="BV566" s="7">
        <f>BT566-'Gov Fd BS'!AC566</f>
        <v>0</v>
      </c>
      <c r="BW566" s="7"/>
    </row>
    <row r="567" spans="1:75" hidden="1">
      <c r="A567" s="11" t="s">
        <v>697</v>
      </c>
      <c r="B567" s="11"/>
      <c r="C567" s="11" t="s">
        <v>59</v>
      </c>
      <c r="AJ567" s="11" t="s">
        <v>697</v>
      </c>
      <c r="AK567" s="11"/>
      <c r="AL567" s="11" t="s">
        <v>59</v>
      </c>
      <c r="AZ567" s="7">
        <f t="shared" si="70"/>
        <v>0</v>
      </c>
      <c r="BJ567" s="7">
        <f t="shared" si="71"/>
        <v>0</v>
      </c>
      <c r="BL567" s="7">
        <f>'Gov Fd Rev'!AO567-'Gov Fd Exp'!BJ567</f>
        <v>0</v>
      </c>
      <c r="BT567" s="7">
        <f t="shared" si="69"/>
        <v>0</v>
      </c>
      <c r="BU567" s="7"/>
      <c r="BV567" s="7">
        <f>BT567-'Gov Fd BS'!AC567</f>
        <v>0</v>
      </c>
      <c r="BW567" s="7"/>
    </row>
    <row r="568" spans="1:75">
      <c r="A568" s="11" t="s">
        <v>437</v>
      </c>
      <c r="B568" s="11"/>
      <c r="C568" s="11" t="s">
        <v>50</v>
      </c>
      <c r="E568" s="6">
        <v>8525552</v>
      </c>
      <c r="G568" s="6">
        <v>1623955</v>
      </c>
      <c r="I568" s="6">
        <v>314717</v>
      </c>
      <c r="K568" s="6">
        <v>0</v>
      </c>
      <c r="M568" s="6">
        <v>629930</v>
      </c>
      <c r="O568" s="6">
        <v>1167514</v>
      </c>
      <c r="Q568" s="6">
        <v>2072303</v>
      </c>
      <c r="S568" s="6">
        <v>92618</v>
      </c>
      <c r="U568" s="6">
        <v>1057362</v>
      </c>
      <c r="W568" s="6">
        <v>333504</v>
      </c>
      <c r="Y568" s="6">
        <v>10158</v>
      </c>
      <c r="AA568" s="6">
        <v>1606410</v>
      </c>
      <c r="AC568" s="6">
        <v>1022835</v>
      </c>
      <c r="AE568" s="6">
        <v>300950</v>
      </c>
      <c r="AG568" s="6">
        <v>719517</v>
      </c>
      <c r="AI568" s="6">
        <v>0</v>
      </c>
      <c r="AJ568" s="11" t="s">
        <v>437</v>
      </c>
      <c r="AK568" s="11"/>
      <c r="AL568" s="11" t="s">
        <v>50</v>
      </c>
      <c r="AN568" s="6">
        <v>696298</v>
      </c>
      <c r="AP568" s="6">
        <v>394609</v>
      </c>
      <c r="AR568" s="6">
        <v>0</v>
      </c>
      <c r="AT568" s="6">
        <v>137023</v>
      </c>
      <c r="AV568" s="6">
        <v>37412</v>
      </c>
      <c r="AX568" s="6">
        <v>0</v>
      </c>
      <c r="AZ568" s="7">
        <f t="shared" si="70"/>
        <v>20742667</v>
      </c>
      <c r="BB568" s="6">
        <v>11620</v>
      </c>
      <c r="BD568" s="6">
        <v>0</v>
      </c>
      <c r="BF568" s="6">
        <v>0</v>
      </c>
      <c r="BH568" s="6">
        <v>0</v>
      </c>
      <c r="BJ568" s="7">
        <f t="shared" si="71"/>
        <v>20754287</v>
      </c>
      <c r="BL568" s="7">
        <f>'Gov Fd Rev'!AO568-'Gov Fd Exp'!BJ568</f>
        <v>-1258198</v>
      </c>
      <c r="BN568" s="6">
        <v>1677581</v>
      </c>
      <c r="BP568" s="6">
        <v>1187</v>
      </c>
      <c r="BR568" s="6">
        <v>0</v>
      </c>
      <c r="BT568" s="7">
        <f t="shared" ref="BT568:BT630" si="72">BL568+BN568+BP568+BR568</f>
        <v>420570</v>
      </c>
      <c r="BU568" s="7"/>
      <c r="BV568" s="7">
        <f>BT568-'Gov Fd BS'!AC568</f>
        <v>0</v>
      </c>
      <c r="BW568" s="7"/>
    </row>
    <row r="569" spans="1:75">
      <c r="A569" s="11" t="s">
        <v>338</v>
      </c>
      <c r="B569" s="11"/>
      <c r="C569" s="11" t="s">
        <v>33</v>
      </c>
      <c r="E569" s="6">
        <v>4917707</v>
      </c>
      <c r="G569" s="6">
        <v>1132618</v>
      </c>
      <c r="I569" s="6">
        <v>186792</v>
      </c>
      <c r="K569" s="6">
        <v>0</v>
      </c>
      <c r="M569" s="6">
        <v>0</v>
      </c>
      <c r="O569" s="6">
        <v>359520</v>
      </c>
      <c r="Q569" s="6">
        <v>336711</v>
      </c>
      <c r="S569" s="6">
        <v>70721</v>
      </c>
      <c r="U569" s="6">
        <v>795005</v>
      </c>
      <c r="W569" s="6">
        <v>466278</v>
      </c>
      <c r="Y569" s="6">
        <v>0</v>
      </c>
      <c r="AA569" s="6">
        <v>1182534</v>
      </c>
      <c r="AC569" s="6">
        <v>662048</v>
      </c>
      <c r="AE569" s="6">
        <v>30717</v>
      </c>
      <c r="AG569" s="6">
        <v>0</v>
      </c>
      <c r="AI569" s="6">
        <v>290121</v>
      </c>
      <c r="AJ569" s="11" t="s">
        <v>338</v>
      </c>
      <c r="AK569" s="11"/>
      <c r="AL569" s="11" t="s">
        <v>33</v>
      </c>
      <c r="AN569" s="6">
        <v>395984</v>
      </c>
      <c r="AP569" s="6">
        <v>169457</v>
      </c>
      <c r="AR569" s="6">
        <v>0</v>
      </c>
      <c r="AT569" s="6">
        <v>825000</v>
      </c>
      <c r="AV569" s="6">
        <v>227211</v>
      </c>
      <c r="AX569" s="6">
        <v>0</v>
      </c>
      <c r="AZ569" s="7">
        <f t="shared" si="70"/>
        <v>12048424</v>
      </c>
      <c r="BB569" s="6">
        <v>28391</v>
      </c>
      <c r="BD569" s="6">
        <v>0</v>
      </c>
      <c r="BF569" s="6">
        <v>0</v>
      </c>
      <c r="BH569" s="6">
        <v>0</v>
      </c>
      <c r="BJ569" s="7">
        <f t="shared" si="71"/>
        <v>12076815</v>
      </c>
      <c r="BL569" s="7">
        <f>'Gov Fd Rev'!AO569-'Gov Fd Exp'!BJ569</f>
        <v>825154</v>
      </c>
      <c r="BN569" s="6">
        <v>8109486</v>
      </c>
      <c r="BP569" s="6">
        <v>0</v>
      </c>
      <c r="BR569" s="6">
        <v>0</v>
      </c>
      <c r="BT569" s="7">
        <f t="shared" si="72"/>
        <v>8934640</v>
      </c>
      <c r="BU569" s="7"/>
      <c r="BV569" s="7">
        <f>BT569-'Gov Fd BS'!AC569</f>
        <v>0</v>
      </c>
      <c r="BW569" s="7"/>
    </row>
    <row r="570" spans="1:75" hidden="1">
      <c r="A570" s="11" t="s">
        <v>830</v>
      </c>
      <c r="B570" s="11"/>
      <c r="C570" s="11" t="s">
        <v>67</v>
      </c>
      <c r="AJ570" s="10" t="s">
        <v>830</v>
      </c>
      <c r="AK570" s="11"/>
      <c r="AL570" s="11" t="s">
        <v>67</v>
      </c>
      <c r="AZ570" s="7">
        <f t="shared" si="70"/>
        <v>0</v>
      </c>
      <c r="BJ570" s="7">
        <f t="shared" si="71"/>
        <v>0</v>
      </c>
      <c r="BL570" s="7">
        <f>'Gov Fd Rev'!AO570-'Gov Fd Exp'!BJ570</f>
        <v>0</v>
      </c>
      <c r="BT570" s="7">
        <f t="shared" si="72"/>
        <v>0</v>
      </c>
      <c r="BU570" s="7"/>
      <c r="BV570" s="7">
        <f>BT570-'Gov Fd BS'!AC570</f>
        <v>0</v>
      </c>
      <c r="BW570" s="7"/>
    </row>
    <row r="571" spans="1:75">
      <c r="A571" s="11" t="s">
        <v>438</v>
      </c>
      <c r="B571" s="11"/>
      <c r="C571" s="11" t="s">
        <v>50</v>
      </c>
      <c r="E571" s="6">
        <v>17887657</v>
      </c>
      <c r="G571" s="6">
        <v>4421866</v>
      </c>
      <c r="I571" s="6">
        <v>353800</v>
      </c>
      <c r="K571" s="6">
        <v>0</v>
      </c>
      <c r="M571" s="6">
        <v>2290890</v>
      </c>
      <c r="O571" s="6">
        <v>3043247</v>
      </c>
      <c r="Q571" s="6">
        <v>2983229</v>
      </c>
      <c r="S571" s="6">
        <v>74555</v>
      </c>
      <c r="U571" s="6">
        <v>2111998</v>
      </c>
      <c r="W571" s="6">
        <v>1016953</v>
      </c>
      <c r="Y571" s="6">
        <v>260556</v>
      </c>
      <c r="AA571" s="6">
        <v>2412479</v>
      </c>
      <c r="AC571" s="6">
        <v>1460668</v>
      </c>
      <c r="AE571" s="6">
        <v>1052395</v>
      </c>
      <c r="AG571" s="6">
        <v>1250027</v>
      </c>
      <c r="AI571" s="6">
        <v>516132</v>
      </c>
      <c r="AJ571" s="11" t="s">
        <v>438</v>
      </c>
      <c r="AK571" s="11"/>
      <c r="AL571" s="11" t="s">
        <v>50</v>
      </c>
      <c r="AN571" s="6">
        <v>543835</v>
      </c>
      <c r="AP571" s="6">
        <v>13300538</v>
      </c>
      <c r="AR571" s="6">
        <v>0</v>
      </c>
      <c r="AT571" s="6">
        <v>1184039</v>
      </c>
      <c r="AV571" s="6">
        <f>2431919+38155</f>
        <v>2470074</v>
      </c>
      <c r="AX571" s="6">
        <v>0</v>
      </c>
      <c r="AZ571" s="7">
        <f t="shared" si="70"/>
        <v>58634938</v>
      </c>
      <c r="BB571" s="6">
        <v>168355</v>
      </c>
      <c r="BD571" s="6">
        <v>0</v>
      </c>
      <c r="BF571" s="6">
        <v>0</v>
      </c>
      <c r="BH571" s="6">
        <v>0</v>
      </c>
      <c r="BJ571" s="7">
        <f t="shared" si="71"/>
        <v>58803293</v>
      </c>
      <c r="BL571" s="7">
        <f>'Gov Fd Rev'!AO571-'Gov Fd Exp'!BJ571</f>
        <v>-20543840</v>
      </c>
      <c r="BN571" s="6">
        <v>30705374</v>
      </c>
      <c r="BP571" s="6">
        <v>0</v>
      </c>
      <c r="BR571" s="6">
        <v>0</v>
      </c>
      <c r="BT571" s="7">
        <f t="shared" si="72"/>
        <v>10161534</v>
      </c>
      <c r="BU571" s="7"/>
      <c r="BV571" s="7">
        <f>BT571-'Gov Fd BS'!AC571</f>
        <v>0</v>
      </c>
      <c r="BW571" s="7"/>
    </row>
    <row r="572" spans="1:75" hidden="1">
      <c r="A572" s="11" t="s">
        <v>698</v>
      </c>
      <c r="B572" s="11"/>
      <c r="C572" s="11" t="s">
        <v>33</v>
      </c>
      <c r="AJ572" s="11" t="s">
        <v>698</v>
      </c>
      <c r="AK572" s="11"/>
      <c r="AL572" s="11" t="s">
        <v>33</v>
      </c>
      <c r="AZ572" s="7">
        <f t="shared" si="70"/>
        <v>0</v>
      </c>
      <c r="BJ572" s="7">
        <f t="shared" si="71"/>
        <v>0</v>
      </c>
      <c r="BL572" s="7">
        <f>'Gov Fd Rev'!AO572-'Gov Fd Exp'!BJ572</f>
        <v>0</v>
      </c>
      <c r="BT572" s="7">
        <f t="shared" si="72"/>
        <v>0</v>
      </c>
      <c r="BU572" s="7"/>
      <c r="BV572" s="7">
        <f>BT572-'Gov Fd BS'!AC572</f>
        <v>0</v>
      </c>
      <c r="BW572" s="7"/>
    </row>
    <row r="573" spans="1:75">
      <c r="A573" s="11" t="s">
        <v>291</v>
      </c>
      <c r="B573" s="11"/>
      <c r="C573" s="11" t="s">
        <v>24</v>
      </c>
      <c r="E573" s="6">
        <v>8631185</v>
      </c>
      <c r="G573" s="6">
        <v>1761994</v>
      </c>
      <c r="I573" s="6">
        <v>259452</v>
      </c>
      <c r="K573" s="6">
        <v>0</v>
      </c>
      <c r="M573" s="6">
        <v>1560761</v>
      </c>
      <c r="O573" s="6">
        <v>1379734</v>
      </c>
      <c r="Q573" s="6">
        <v>1931839</v>
      </c>
      <c r="S573" s="6">
        <v>176402</v>
      </c>
      <c r="U573" s="6">
        <v>1469348</v>
      </c>
      <c r="W573" s="6">
        <v>575469</v>
      </c>
      <c r="Y573" s="6">
        <v>113837</v>
      </c>
      <c r="AA573" s="6">
        <v>1984497</v>
      </c>
      <c r="AC573" s="6">
        <v>1374592</v>
      </c>
      <c r="AE573" s="6">
        <v>56268</v>
      </c>
      <c r="AG573" s="6">
        <v>728987</v>
      </c>
      <c r="AI573" s="6">
        <v>57034</v>
      </c>
      <c r="AJ573" s="11" t="s">
        <v>291</v>
      </c>
      <c r="AK573" s="11"/>
      <c r="AL573" s="11" t="s">
        <v>24</v>
      </c>
      <c r="AN573" s="6">
        <v>667601</v>
      </c>
      <c r="AP573" s="6">
        <v>16132</v>
      </c>
      <c r="AR573" s="6">
        <v>0</v>
      </c>
      <c r="AT573" s="6">
        <v>4578509</v>
      </c>
      <c r="AV573" s="6">
        <f>304003+95380</f>
        <v>399383</v>
      </c>
      <c r="AX573" s="6">
        <v>0</v>
      </c>
      <c r="AZ573" s="7">
        <f t="shared" si="70"/>
        <v>27723024</v>
      </c>
      <c r="BB573" s="6">
        <v>25871</v>
      </c>
      <c r="BD573" s="6">
        <v>0</v>
      </c>
      <c r="BF573" s="6">
        <v>0</v>
      </c>
      <c r="BH573" s="6">
        <v>0</v>
      </c>
      <c r="BJ573" s="7">
        <f t="shared" si="71"/>
        <v>27748895</v>
      </c>
      <c r="BL573" s="7">
        <f>'Gov Fd Rev'!AO573-'Gov Fd Exp'!BJ573</f>
        <v>1395740</v>
      </c>
      <c r="BN573" s="6">
        <v>15888526</v>
      </c>
      <c r="BP573" s="6">
        <v>4794</v>
      </c>
      <c r="BR573" s="6">
        <v>0</v>
      </c>
      <c r="BT573" s="7">
        <f t="shared" si="72"/>
        <v>17289060</v>
      </c>
      <c r="BU573" s="7"/>
      <c r="BV573" s="7">
        <f>BT573-'Gov Fd BS'!AC573</f>
        <v>0</v>
      </c>
      <c r="BW573" s="7"/>
    </row>
    <row r="574" spans="1:75" hidden="1">
      <c r="A574" s="11" t="s">
        <v>699</v>
      </c>
      <c r="B574" s="11"/>
      <c r="C574" s="11" t="s">
        <v>21</v>
      </c>
      <c r="AJ574" s="11" t="s">
        <v>699</v>
      </c>
      <c r="AK574" s="11"/>
      <c r="AL574" s="11" t="s">
        <v>21</v>
      </c>
      <c r="AZ574" s="7">
        <f t="shared" ref="AZ574" si="73">SUM(E574:AX574)</f>
        <v>0</v>
      </c>
      <c r="BJ574" s="7">
        <f t="shared" ref="BJ574" si="74">AZ574+BB574+BH574</f>
        <v>0</v>
      </c>
      <c r="BL574" s="7">
        <f>'Gov Fd Rev'!AO574-'Gov Fd Exp'!BJ574</f>
        <v>0</v>
      </c>
      <c r="BT574" s="7">
        <f t="shared" ref="BT574" si="75">BL574+BN574+BP574+BR574</f>
        <v>0</v>
      </c>
      <c r="BU574" s="7"/>
      <c r="BV574" s="7">
        <f>BT574-'Gov Fd BS'!AC574</f>
        <v>0</v>
      </c>
      <c r="BW574" s="7"/>
    </row>
    <row r="575" spans="1:75">
      <c r="A575" s="11" t="s">
        <v>542</v>
      </c>
      <c r="B575" s="11"/>
      <c r="C575" s="11" t="s">
        <v>68</v>
      </c>
      <c r="E575" s="6">
        <v>10131913</v>
      </c>
      <c r="G575" s="6">
        <v>2626404</v>
      </c>
      <c r="I575" s="6">
        <v>273323</v>
      </c>
      <c r="K575" s="6">
        <v>0</v>
      </c>
      <c r="M575" s="6">
        <f>117343+1162073</f>
        <v>1279416</v>
      </c>
      <c r="O575" s="6">
        <v>1215531</v>
      </c>
      <c r="Q575" s="6">
        <v>1361366</v>
      </c>
      <c r="S575" s="6">
        <v>356386</v>
      </c>
      <c r="U575" s="6">
        <v>2276293</v>
      </c>
      <c r="W575" s="6">
        <v>451054</v>
      </c>
      <c r="Y575" s="6">
        <v>0</v>
      </c>
      <c r="AA575" s="6">
        <v>2175761</v>
      </c>
      <c r="AC575" s="6">
        <v>2165119</v>
      </c>
      <c r="AE575" s="6">
        <v>382058</v>
      </c>
      <c r="AG575" s="6">
        <v>0</v>
      </c>
      <c r="AI575" s="6">
        <v>1277521</v>
      </c>
      <c r="AJ575" s="11" t="s">
        <v>542</v>
      </c>
      <c r="AK575" s="11"/>
      <c r="AL575" s="11" t="s">
        <v>68</v>
      </c>
      <c r="AN575" s="6">
        <v>236373</v>
      </c>
      <c r="AP575" s="6">
        <v>253024</v>
      </c>
      <c r="AR575" s="6">
        <v>0</v>
      </c>
      <c r="AT575" s="6">
        <v>423967</v>
      </c>
      <c r="AV575" s="6">
        <v>313148</v>
      </c>
      <c r="AX575" s="6">
        <v>0</v>
      </c>
      <c r="AZ575" s="7">
        <f t="shared" si="70"/>
        <v>27198657</v>
      </c>
      <c r="BB575" s="6">
        <v>0</v>
      </c>
      <c r="BD575" s="6">
        <v>0</v>
      </c>
      <c r="BF575" s="6">
        <v>0</v>
      </c>
      <c r="BH575" s="6">
        <v>0</v>
      </c>
      <c r="BJ575" s="7">
        <f t="shared" si="71"/>
        <v>27198657</v>
      </c>
      <c r="BL575" s="7">
        <f>'Gov Fd Rev'!AO575-'Gov Fd Exp'!BJ575</f>
        <v>365164</v>
      </c>
      <c r="BN575" s="6">
        <v>15156634</v>
      </c>
      <c r="BP575" s="6">
        <v>0</v>
      </c>
      <c r="BR575" s="6">
        <v>0</v>
      </c>
      <c r="BT575" s="7">
        <f t="shared" si="72"/>
        <v>15521798</v>
      </c>
      <c r="BU575" s="7"/>
      <c r="BV575" s="7">
        <f>BT575-'Gov Fd BS'!AC575</f>
        <v>0</v>
      </c>
      <c r="BW575" s="7"/>
    </row>
    <row r="576" spans="1:75">
      <c r="A576" s="11" t="s">
        <v>419</v>
      </c>
      <c r="B576" s="11"/>
      <c r="C576" s="11" t="s">
        <v>47</v>
      </c>
      <c r="E576" s="6">
        <v>17871109</v>
      </c>
      <c r="G576" s="6">
        <v>2955957</v>
      </c>
      <c r="I576" s="6">
        <v>1630622</v>
      </c>
      <c r="K576" s="6">
        <v>36245</v>
      </c>
      <c r="M576" s="6">
        <v>1337720</v>
      </c>
      <c r="O576" s="6">
        <v>2923480</v>
      </c>
      <c r="Q576" s="6">
        <v>1105549</v>
      </c>
      <c r="S576" s="6">
        <v>299013</v>
      </c>
      <c r="U576" s="6">
        <v>3415948</v>
      </c>
      <c r="W576" s="6">
        <v>869886</v>
      </c>
      <c r="Y576" s="6">
        <v>0</v>
      </c>
      <c r="AA576" s="6">
        <v>3418813</v>
      </c>
      <c r="AC576" s="6">
        <v>1581922</v>
      </c>
      <c r="AE576" s="6">
        <v>680481</v>
      </c>
      <c r="AG576" s="6">
        <v>1338722</v>
      </c>
      <c r="AI576" s="6">
        <v>324569</v>
      </c>
      <c r="AJ576" s="11" t="s">
        <v>419</v>
      </c>
      <c r="AK576" s="11"/>
      <c r="AL576" s="11" t="s">
        <v>47</v>
      </c>
      <c r="AN576" s="6">
        <v>932157</v>
      </c>
      <c r="AP576" s="6">
        <v>65222168</v>
      </c>
      <c r="AR576" s="6">
        <v>0</v>
      </c>
      <c r="AT576" s="6">
        <v>4080000</v>
      </c>
      <c r="AV576" s="6">
        <v>4738951</v>
      </c>
      <c r="AX576" s="6">
        <v>702420</v>
      </c>
      <c r="AZ576" s="7">
        <f t="shared" ref="AZ576:AZ597" si="76">SUM(E576:AX576)</f>
        <v>115465732</v>
      </c>
      <c r="BB576" s="6">
        <v>0</v>
      </c>
      <c r="BH576" s="6">
        <v>0</v>
      </c>
      <c r="BJ576" s="7">
        <f t="shared" si="71"/>
        <v>115465732</v>
      </c>
      <c r="BL576" s="7">
        <f>'Gov Fd Rev'!AO576-'Gov Fd Exp'!BJ576</f>
        <v>-61476196</v>
      </c>
      <c r="BN576" s="6">
        <v>108762959</v>
      </c>
      <c r="BP576" s="6">
        <v>0</v>
      </c>
      <c r="BR576" s="6">
        <v>0</v>
      </c>
      <c r="BT576" s="7">
        <f>BL576+BN576+BP576+BR576</f>
        <v>47286763</v>
      </c>
      <c r="BU576" s="7"/>
      <c r="BV576" s="7">
        <f>BT576-'Gov Fd BS'!AC576</f>
        <v>0</v>
      </c>
      <c r="BW576" s="7"/>
    </row>
    <row r="577" spans="1:75" hidden="1">
      <c r="A577" s="11" t="s">
        <v>875</v>
      </c>
      <c r="B577" s="11"/>
      <c r="C577" s="11" t="s">
        <v>25</v>
      </c>
      <c r="E577" s="6">
        <v>0</v>
      </c>
      <c r="G577" s="6">
        <v>0</v>
      </c>
      <c r="I577" s="6">
        <v>0</v>
      </c>
      <c r="K577" s="6">
        <v>0</v>
      </c>
      <c r="M577" s="6">
        <v>0</v>
      </c>
      <c r="O577" s="6">
        <v>0</v>
      </c>
      <c r="Q577" s="6">
        <v>0</v>
      </c>
      <c r="S577" s="6">
        <v>0</v>
      </c>
      <c r="U577" s="6">
        <v>0</v>
      </c>
      <c r="W577" s="6">
        <v>0</v>
      </c>
      <c r="Y577" s="6">
        <v>0</v>
      </c>
      <c r="AA577" s="6">
        <v>0</v>
      </c>
      <c r="AC577" s="6">
        <v>0</v>
      </c>
      <c r="AE577" s="6">
        <v>0</v>
      </c>
      <c r="AG577" s="6">
        <v>0</v>
      </c>
      <c r="AI577" s="6">
        <v>0</v>
      </c>
      <c r="AJ577" s="11" t="s">
        <v>875</v>
      </c>
      <c r="AK577" s="11"/>
      <c r="AL577" s="11" t="s">
        <v>25</v>
      </c>
      <c r="AN577" s="6">
        <v>0</v>
      </c>
      <c r="AP577" s="6">
        <v>0</v>
      </c>
      <c r="AR577" s="6">
        <v>0</v>
      </c>
      <c r="AT577" s="6">
        <v>0</v>
      </c>
      <c r="AV577" s="6">
        <v>0</v>
      </c>
      <c r="AX577" s="6">
        <v>0</v>
      </c>
      <c r="AZ577" s="7">
        <f t="shared" ref="AZ577:AZ579" si="77">SUM(E577:AX577)</f>
        <v>0</v>
      </c>
      <c r="BB577" s="6">
        <v>0</v>
      </c>
      <c r="BH577" s="6">
        <v>0</v>
      </c>
      <c r="BJ577" s="7">
        <f t="shared" ref="BJ577:BJ579" si="78">AZ577+BB577+BH577</f>
        <v>0</v>
      </c>
      <c r="BL577" s="7">
        <f>'Gov Fd Rev'!AO577-'Gov Fd Exp'!BJ577</f>
        <v>0</v>
      </c>
      <c r="BP577" s="6">
        <v>0</v>
      </c>
      <c r="BR577" s="6">
        <v>0</v>
      </c>
      <c r="BT577" s="7">
        <f t="shared" ref="BT577:BT579" si="79">BL577+BN577+BP577+BR577</f>
        <v>0</v>
      </c>
      <c r="BU577" s="7"/>
      <c r="BV577" s="7">
        <f>BT577-'Gov Fd BS'!AC577</f>
        <v>0</v>
      </c>
      <c r="BW577" s="7"/>
    </row>
    <row r="578" spans="1:75" hidden="1">
      <c r="A578" s="11" t="s">
        <v>876</v>
      </c>
      <c r="B578" s="11"/>
      <c r="C578" s="11" t="s">
        <v>14</v>
      </c>
      <c r="E578" s="6">
        <v>0</v>
      </c>
      <c r="G578" s="6">
        <v>0</v>
      </c>
      <c r="I578" s="6">
        <v>0</v>
      </c>
      <c r="K578" s="6">
        <v>0</v>
      </c>
      <c r="M578" s="6">
        <v>0</v>
      </c>
      <c r="O578" s="6">
        <v>0</v>
      </c>
      <c r="Q578" s="6">
        <v>0</v>
      </c>
      <c r="S578" s="6">
        <v>0</v>
      </c>
      <c r="U578" s="6">
        <v>0</v>
      </c>
      <c r="W578" s="6">
        <v>0</v>
      </c>
      <c r="Y578" s="6">
        <v>0</v>
      </c>
      <c r="AA578" s="6">
        <v>0</v>
      </c>
      <c r="AC578" s="6">
        <v>0</v>
      </c>
      <c r="AE578" s="6">
        <v>0</v>
      </c>
      <c r="AG578" s="6">
        <v>0</v>
      </c>
      <c r="AI578" s="6">
        <v>0</v>
      </c>
      <c r="AJ578" s="11" t="s">
        <v>876</v>
      </c>
      <c r="AK578" s="11"/>
      <c r="AL578" s="11" t="s">
        <v>14</v>
      </c>
      <c r="AN578" s="6">
        <v>0</v>
      </c>
      <c r="AP578" s="6">
        <v>0</v>
      </c>
      <c r="AR578" s="6">
        <v>0</v>
      </c>
      <c r="AT578" s="6">
        <v>0</v>
      </c>
      <c r="AV578" s="6">
        <v>0</v>
      </c>
      <c r="AX578" s="6">
        <v>0</v>
      </c>
      <c r="AZ578" s="7">
        <f t="shared" si="77"/>
        <v>0</v>
      </c>
      <c r="BB578" s="6">
        <v>0</v>
      </c>
      <c r="BH578" s="6">
        <v>0</v>
      </c>
      <c r="BJ578" s="7">
        <f t="shared" si="78"/>
        <v>0</v>
      </c>
      <c r="BL578" s="7">
        <f>'Gov Fd Rev'!AO578-'Gov Fd Exp'!BJ578</f>
        <v>0</v>
      </c>
      <c r="BP578" s="6">
        <v>0</v>
      </c>
      <c r="BR578" s="6">
        <v>0</v>
      </c>
      <c r="BT578" s="7">
        <f t="shared" si="79"/>
        <v>0</v>
      </c>
      <c r="BU578" s="7"/>
      <c r="BV578" s="7">
        <f>BT578-'Gov Fd BS'!AC578</f>
        <v>0</v>
      </c>
      <c r="BW578" s="7"/>
    </row>
    <row r="579" spans="1:75" hidden="1">
      <c r="A579" s="10" t="s">
        <v>877</v>
      </c>
      <c r="B579" s="10"/>
      <c r="C579" s="10" t="s">
        <v>63</v>
      </c>
      <c r="E579" s="6">
        <v>0</v>
      </c>
      <c r="G579" s="6">
        <v>0</v>
      </c>
      <c r="I579" s="6">
        <v>0</v>
      </c>
      <c r="K579" s="6">
        <v>0</v>
      </c>
      <c r="M579" s="6">
        <v>0</v>
      </c>
      <c r="O579" s="6">
        <v>0</v>
      </c>
      <c r="Q579" s="6">
        <v>0</v>
      </c>
      <c r="S579" s="6">
        <v>0</v>
      </c>
      <c r="U579" s="6">
        <v>0</v>
      </c>
      <c r="W579" s="6">
        <v>0</v>
      </c>
      <c r="Y579" s="6">
        <v>0</v>
      </c>
      <c r="AA579" s="6">
        <v>0</v>
      </c>
      <c r="AC579" s="6">
        <v>0</v>
      </c>
      <c r="AE579" s="6">
        <v>0</v>
      </c>
      <c r="AG579" s="6">
        <v>0</v>
      </c>
      <c r="AI579" s="6">
        <v>0</v>
      </c>
      <c r="AJ579" s="10" t="s">
        <v>877</v>
      </c>
      <c r="AK579" s="10"/>
      <c r="AL579" s="10" t="s">
        <v>63</v>
      </c>
      <c r="AN579" s="6">
        <v>0</v>
      </c>
      <c r="AP579" s="6">
        <v>0</v>
      </c>
      <c r="AR579" s="6">
        <v>0</v>
      </c>
      <c r="AT579" s="6">
        <v>0</v>
      </c>
      <c r="AV579" s="6">
        <v>0</v>
      </c>
      <c r="AX579" s="6">
        <v>0</v>
      </c>
      <c r="AZ579" s="7">
        <f t="shared" si="77"/>
        <v>0</v>
      </c>
      <c r="BB579" s="6">
        <v>0</v>
      </c>
      <c r="BH579" s="6">
        <v>0</v>
      </c>
      <c r="BJ579" s="7">
        <f t="shared" si="78"/>
        <v>0</v>
      </c>
      <c r="BL579" s="7">
        <f>'Gov Fd Rev'!AO579-'Gov Fd Exp'!BJ579</f>
        <v>0</v>
      </c>
      <c r="BP579" s="6">
        <v>0</v>
      </c>
      <c r="BR579" s="6">
        <v>0</v>
      </c>
      <c r="BT579" s="7">
        <f t="shared" si="79"/>
        <v>0</v>
      </c>
      <c r="BU579" s="7"/>
      <c r="BV579" s="7">
        <f>BT579-'Gov Fd BS'!AC579</f>
        <v>0</v>
      </c>
      <c r="BW579" s="7"/>
    </row>
    <row r="580" spans="1:75">
      <c r="A580" s="11" t="s">
        <v>531</v>
      </c>
      <c r="B580" s="11"/>
      <c r="C580" s="11" t="s">
        <v>64</v>
      </c>
      <c r="E580" s="6">
        <v>26824198</v>
      </c>
      <c r="G580" s="6">
        <v>10039257</v>
      </c>
      <c r="I580" s="6">
        <v>206416</v>
      </c>
      <c r="K580" s="6">
        <v>0</v>
      </c>
      <c r="M580" s="6">
        <v>2824280</v>
      </c>
      <c r="O580" s="6">
        <v>3766073</v>
      </c>
      <c r="Q580" s="6">
        <v>6559310</v>
      </c>
      <c r="S580" s="6">
        <v>52384</v>
      </c>
      <c r="U580" s="6">
        <v>5458233</v>
      </c>
      <c r="W580" s="6">
        <v>1128627</v>
      </c>
      <c r="Y580" s="6">
        <v>815127</v>
      </c>
      <c r="AA580" s="6">
        <v>7568588</v>
      </c>
      <c r="AC580" s="6">
        <v>2921910</v>
      </c>
      <c r="AE580" s="6">
        <v>1259075</v>
      </c>
      <c r="AG580" s="6">
        <v>3161201</v>
      </c>
      <c r="AI580" s="6">
        <v>388531</v>
      </c>
      <c r="AJ580" s="11" t="s">
        <v>531</v>
      </c>
      <c r="AK580" s="11"/>
      <c r="AL580" s="11" t="s">
        <v>64</v>
      </c>
      <c r="AN580" s="6">
        <v>1093271</v>
      </c>
      <c r="AP580" s="6">
        <v>779073</v>
      </c>
      <c r="AR580" s="6">
        <v>0</v>
      </c>
      <c r="AT580" s="6">
        <v>904128</v>
      </c>
      <c r="AV580" s="6">
        <f>1649911+329521</f>
        <v>1979432</v>
      </c>
      <c r="AX580" s="6">
        <v>0</v>
      </c>
      <c r="AZ580" s="7">
        <f t="shared" si="76"/>
        <v>77729114</v>
      </c>
      <c r="BB580" s="6">
        <v>24900</v>
      </c>
      <c r="BH580" s="6">
        <v>33798365</v>
      </c>
      <c r="BJ580" s="7">
        <f t="shared" si="71"/>
        <v>111552379</v>
      </c>
      <c r="BL580" s="7">
        <f>'Gov Fd Rev'!AO580-'Gov Fd Exp'!BJ580</f>
        <v>-1090762</v>
      </c>
      <c r="BN580" s="6">
        <v>32831538</v>
      </c>
      <c r="BP580" s="6">
        <v>-19594</v>
      </c>
      <c r="BR580" s="6">
        <v>0</v>
      </c>
      <c r="BT580" s="7">
        <f t="shared" si="72"/>
        <v>31721182</v>
      </c>
      <c r="BU580" s="7"/>
      <c r="BV580" s="7">
        <f>BT580-'Gov Fd BS'!AC580</f>
        <v>0</v>
      </c>
      <c r="BW580" s="7"/>
    </row>
    <row r="581" spans="1:75">
      <c r="A581" s="11" t="s">
        <v>549</v>
      </c>
      <c r="B581" s="11"/>
      <c r="C581" s="11" t="s">
        <v>70</v>
      </c>
      <c r="E581" s="6">
        <v>10958722</v>
      </c>
      <c r="G581" s="6">
        <v>2101922</v>
      </c>
      <c r="I581" s="6">
        <v>84225</v>
      </c>
      <c r="K581" s="6">
        <v>0</v>
      </c>
      <c r="M581" s="6">
        <v>10649</v>
      </c>
      <c r="O581" s="6">
        <v>570256</v>
      </c>
      <c r="Q581" s="6">
        <v>887970</v>
      </c>
      <c r="S581" s="6">
        <v>43423</v>
      </c>
      <c r="U581" s="6">
        <v>1463064</v>
      </c>
      <c r="W581" s="6">
        <v>510843</v>
      </c>
      <c r="Y581" s="6">
        <v>8954</v>
      </c>
      <c r="AA581" s="6">
        <v>1741431</v>
      </c>
      <c r="AC581" s="6">
        <v>1492829</v>
      </c>
      <c r="AE581" s="6">
        <v>31349</v>
      </c>
      <c r="AG581" s="6">
        <v>0</v>
      </c>
      <c r="AI581" s="6">
        <v>973</v>
      </c>
      <c r="AJ581" s="11" t="s">
        <v>549</v>
      </c>
      <c r="AK581" s="11"/>
      <c r="AL581" s="11" t="s">
        <v>70</v>
      </c>
      <c r="AN581" s="6">
        <v>397316</v>
      </c>
      <c r="AP581" s="6">
        <v>536988</v>
      </c>
      <c r="AR581" s="6">
        <v>0</v>
      </c>
      <c r="AT581" s="6">
        <v>0</v>
      </c>
      <c r="AV581" s="6">
        <v>0</v>
      </c>
      <c r="AX581" s="6">
        <v>0</v>
      </c>
      <c r="AZ581" s="7">
        <f t="shared" si="76"/>
        <v>20840914</v>
      </c>
      <c r="BB581" s="6">
        <v>0</v>
      </c>
      <c r="BH581" s="6">
        <v>0</v>
      </c>
      <c r="BJ581" s="7">
        <f t="shared" si="71"/>
        <v>20840914</v>
      </c>
      <c r="BL581" s="7">
        <f>'Gov Fd Rev'!AO581-'Gov Fd Exp'!BJ581</f>
        <v>1042170</v>
      </c>
      <c r="BN581" s="6">
        <v>4491768</v>
      </c>
      <c r="BP581" s="6">
        <v>0</v>
      </c>
      <c r="BR581" s="6">
        <v>0</v>
      </c>
      <c r="BT581" s="7">
        <f t="shared" si="72"/>
        <v>5533938</v>
      </c>
      <c r="BU581" s="7"/>
      <c r="BV581" s="7">
        <f>BT581-'Gov Fd BS'!AC581</f>
        <v>0</v>
      </c>
      <c r="BW581" s="7"/>
    </row>
    <row r="582" spans="1:75">
      <c r="A582" s="11" t="s">
        <v>280</v>
      </c>
      <c r="B582" s="11"/>
      <c r="C582" s="11" t="s">
        <v>20</v>
      </c>
      <c r="E582" s="6">
        <v>12938762</v>
      </c>
      <c r="G582" s="6">
        <v>4308150</v>
      </c>
      <c r="I582" s="6">
        <v>126541</v>
      </c>
      <c r="K582" s="6">
        <v>0</v>
      </c>
      <c r="M582" s="6">
        <v>0</v>
      </c>
      <c r="O582" s="6">
        <v>1315894</v>
      </c>
      <c r="Q582" s="6">
        <v>2747681</v>
      </c>
      <c r="S582" s="6">
        <v>76908</v>
      </c>
      <c r="U582" s="6">
        <v>2489798</v>
      </c>
      <c r="W582" s="6">
        <v>1291083</v>
      </c>
      <c r="Y582" s="6">
        <v>1265055</v>
      </c>
      <c r="AA582" s="6">
        <v>3822577</v>
      </c>
      <c r="AC582" s="6">
        <v>1100956</v>
      </c>
      <c r="AE582" s="6">
        <v>295572</v>
      </c>
      <c r="AG582" s="6">
        <v>839464</v>
      </c>
      <c r="AI582" s="6">
        <v>70672</v>
      </c>
      <c r="AJ582" s="11" t="s">
        <v>280</v>
      </c>
      <c r="AK582" s="11"/>
      <c r="AL582" s="11" t="s">
        <v>20</v>
      </c>
      <c r="AN582" s="6">
        <v>203966</v>
      </c>
      <c r="AP582" s="6">
        <v>14871</v>
      </c>
      <c r="AR582" s="6">
        <v>0</v>
      </c>
      <c r="AT582" s="6">
        <v>1215000</v>
      </c>
      <c r="AV582" s="6">
        <v>871160</v>
      </c>
      <c r="AX582" s="6">
        <v>0</v>
      </c>
      <c r="AZ582" s="7">
        <f t="shared" si="76"/>
        <v>34994110</v>
      </c>
      <c r="BB582" s="6">
        <v>105000</v>
      </c>
      <c r="BH582" s="6">
        <v>0</v>
      </c>
      <c r="BJ582" s="7">
        <f t="shared" si="71"/>
        <v>35099110</v>
      </c>
      <c r="BL582" s="7">
        <f>'Gov Fd Rev'!AO582-'Gov Fd Exp'!BJ582</f>
        <v>3098014</v>
      </c>
      <c r="BN582" s="6">
        <v>11776688</v>
      </c>
      <c r="BP582" s="6">
        <v>0</v>
      </c>
      <c r="BR582" s="6">
        <v>0</v>
      </c>
      <c r="BT582" s="7">
        <f t="shared" si="72"/>
        <v>14874702</v>
      </c>
      <c r="BU582" s="7"/>
      <c r="BV582" s="7">
        <f>BT582-'Gov Fd BS'!AC582</f>
        <v>0</v>
      </c>
      <c r="BW582" s="7"/>
    </row>
    <row r="583" spans="1:75">
      <c r="A583" s="11" t="s">
        <v>298</v>
      </c>
      <c r="B583" s="11"/>
      <c r="C583" s="11" t="s">
        <v>26</v>
      </c>
      <c r="E583" s="6">
        <v>9511329</v>
      </c>
      <c r="G583" s="6">
        <v>2742168</v>
      </c>
      <c r="I583" s="6">
        <v>0</v>
      </c>
      <c r="K583" s="6">
        <v>0</v>
      </c>
      <c r="M583" s="6">
        <v>23121</v>
      </c>
      <c r="O583" s="6">
        <v>749961</v>
      </c>
      <c r="Q583" s="6">
        <v>848673</v>
      </c>
      <c r="S583" s="6">
        <v>27294</v>
      </c>
      <c r="U583" s="6">
        <v>1623421</v>
      </c>
      <c r="W583" s="6">
        <v>525004</v>
      </c>
      <c r="Y583" s="6">
        <v>0</v>
      </c>
      <c r="AA583" s="6">
        <v>1565032</v>
      </c>
      <c r="AC583" s="6">
        <v>696761</v>
      </c>
      <c r="AE583" s="6">
        <v>254230</v>
      </c>
      <c r="AG583" s="6">
        <v>978164</v>
      </c>
      <c r="AI583" s="6">
        <v>0</v>
      </c>
      <c r="AJ583" s="11" t="s">
        <v>298</v>
      </c>
      <c r="AK583" s="11"/>
      <c r="AL583" s="11" t="s">
        <v>26</v>
      </c>
      <c r="AN583" s="6">
        <v>586947</v>
      </c>
      <c r="AP583" s="6">
        <v>677375</v>
      </c>
      <c r="AR583" s="6">
        <v>0</v>
      </c>
      <c r="AT583" s="6">
        <v>480408</v>
      </c>
      <c r="AV583" s="6">
        <v>860233</v>
      </c>
      <c r="AX583" s="6">
        <v>0</v>
      </c>
      <c r="AZ583" s="7">
        <f t="shared" si="76"/>
        <v>22150121</v>
      </c>
      <c r="BB583" s="6">
        <v>173097</v>
      </c>
      <c r="BH583" s="6">
        <v>0</v>
      </c>
      <c r="BJ583" s="7">
        <f t="shared" si="71"/>
        <v>22323218</v>
      </c>
      <c r="BL583" s="7">
        <f>'Gov Fd Rev'!AO583-'Gov Fd Exp'!BJ583</f>
        <v>1462476</v>
      </c>
      <c r="BN583" s="6">
        <v>4690112</v>
      </c>
      <c r="BP583" s="6">
        <v>0</v>
      </c>
      <c r="BR583" s="6">
        <v>0</v>
      </c>
      <c r="BT583" s="7">
        <f t="shared" si="72"/>
        <v>6152588</v>
      </c>
      <c r="BU583" s="7"/>
      <c r="BV583" s="7">
        <f>BT583-'Gov Fd BS'!AC583</f>
        <v>0</v>
      </c>
      <c r="BW583" s="7"/>
    </row>
    <row r="584" spans="1:75">
      <c r="A584" s="11" t="s">
        <v>396</v>
      </c>
      <c r="B584" s="11"/>
      <c r="C584" s="11" t="s">
        <v>115</v>
      </c>
      <c r="E584" s="6">
        <v>30286281</v>
      </c>
      <c r="G584" s="6">
        <v>9713305</v>
      </c>
      <c r="I584" s="6">
        <v>2799323</v>
      </c>
      <c r="K584" s="6">
        <v>0</v>
      </c>
      <c r="M584" s="6">
        <v>3440120</v>
      </c>
      <c r="O584" s="6">
        <v>4096357</v>
      </c>
      <c r="Q584" s="6">
        <v>3540939</v>
      </c>
      <c r="S584" s="6">
        <v>142095</v>
      </c>
      <c r="U584" s="6">
        <v>5093489</v>
      </c>
      <c r="W584" s="6">
        <v>1556672</v>
      </c>
      <c r="Y584" s="6">
        <v>618191</v>
      </c>
      <c r="AA584" s="6">
        <v>7979539</v>
      </c>
      <c r="AC584" s="6">
        <v>3230725</v>
      </c>
      <c r="AE584" s="6">
        <v>1793499</v>
      </c>
      <c r="AG584" s="6">
        <v>2453014</v>
      </c>
      <c r="AI584" s="6">
        <v>978594</v>
      </c>
      <c r="AJ584" s="11" t="s">
        <v>396</v>
      </c>
      <c r="AK584" s="11"/>
      <c r="AL584" s="11" t="s">
        <v>115</v>
      </c>
      <c r="AN584" s="6">
        <v>1605265</v>
      </c>
      <c r="AP584" s="6">
        <v>636778</v>
      </c>
      <c r="AR584" s="6">
        <v>0</v>
      </c>
      <c r="AT584" s="6">
        <v>0</v>
      </c>
      <c r="AV584" s="6">
        <v>42727</v>
      </c>
      <c r="AX584" s="6">
        <v>0</v>
      </c>
      <c r="AZ584" s="7">
        <f t="shared" si="76"/>
        <v>80006913</v>
      </c>
      <c r="BB584" s="6">
        <v>640988</v>
      </c>
      <c r="BH584" s="6">
        <v>0</v>
      </c>
      <c r="BJ584" s="7">
        <f t="shared" si="71"/>
        <v>80647901</v>
      </c>
      <c r="BL584" s="7">
        <f>'Gov Fd Rev'!AO584-'Gov Fd Exp'!BJ584</f>
        <v>2998826</v>
      </c>
      <c r="BN584" s="6">
        <v>26622868</v>
      </c>
      <c r="BP584" s="6">
        <v>0</v>
      </c>
      <c r="BR584" s="6">
        <v>0</v>
      </c>
      <c r="BT584" s="7">
        <f t="shared" si="72"/>
        <v>29621694</v>
      </c>
      <c r="BU584" s="7"/>
      <c r="BV584" s="7">
        <f>BT584-'Gov Fd BS'!AC584</f>
        <v>0</v>
      </c>
      <c r="BW584" s="7"/>
    </row>
    <row r="585" spans="1:75">
      <c r="A585" s="11" t="s">
        <v>485</v>
      </c>
      <c r="B585" s="11"/>
      <c r="C585" s="11" t="s">
        <v>59</v>
      </c>
      <c r="E585" s="6">
        <v>6122861</v>
      </c>
      <c r="G585" s="6">
        <v>2470250</v>
      </c>
      <c r="I585" s="6">
        <v>101834</v>
      </c>
      <c r="K585" s="6">
        <v>0</v>
      </c>
      <c r="M585" s="6">
        <v>92162</v>
      </c>
      <c r="O585" s="6">
        <v>800827</v>
      </c>
      <c r="Q585" s="6">
        <v>818209</v>
      </c>
      <c r="S585" s="6">
        <v>47556</v>
      </c>
      <c r="U585" s="6">
        <v>1177828</v>
      </c>
      <c r="W585" s="6">
        <v>333445</v>
      </c>
      <c r="Y585" s="6">
        <v>0</v>
      </c>
      <c r="AA585" s="6">
        <v>1703811</v>
      </c>
      <c r="AC585" s="6">
        <v>837792</v>
      </c>
      <c r="AE585" s="6">
        <v>0</v>
      </c>
      <c r="AG585" s="6">
        <v>781827</v>
      </c>
      <c r="AI585" s="6">
        <v>0</v>
      </c>
      <c r="AJ585" s="11" t="s">
        <v>485</v>
      </c>
      <c r="AK585" s="11"/>
      <c r="AL585" s="11" t="s">
        <v>59</v>
      </c>
      <c r="AN585" s="6">
        <v>448201</v>
      </c>
      <c r="AP585" s="6">
        <v>1772241</v>
      </c>
      <c r="AR585" s="6">
        <v>0</v>
      </c>
      <c r="AT585" s="6">
        <v>35955</v>
      </c>
      <c r="AV585" s="6">
        <v>133700</v>
      </c>
      <c r="AX585" s="6">
        <v>0</v>
      </c>
      <c r="AZ585" s="7">
        <f t="shared" si="76"/>
        <v>17678499</v>
      </c>
      <c r="BB585" s="6">
        <v>225000</v>
      </c>
      <c r="BH585" s="6">
        <v>0</v>
      </c>
      <c r="BJ585" s="7">
        <f t="shared" si="71"/>
        <v>17903499</v>
      </c>
      <c r="BL585" s="7">
        <f>'Gov Fd Rev'!AO585-'Gov Fd Exp'!BJ585</f>
        <v>-799898</v>
      </c>
      <c r="BN585" s="6">
        <v>4405757</v>
      </c>
      <c r="BP585" s="6">
        <v>0</v>
      </c>
      <c r="BR585" s="6">
        <v>0</v>
      </c>
      <c r="BT585" s="7">
        <f t="shared" si="72"/>
        <v>3605859</v>
      </c>
      <c r="BU585" s="7"/>
      <c r="BV585" s="7">
        <f>BT585-'Gov Fd BS'!AC585</f>
        <v>0</v>
      </c>
      <c r="BW585" s="7"/>
    </row>
    <row r="586" spans="1:75">
      <c r="A586" s="11" t="s">
        <v>465</v>
      </c>
      <c r="B586" s="11"/>
      <c r="C586" s="11" t="s">
        <v>56</v>
      </c>
      <c r="E586" s="6">
        <v>5025820</v>
      </c>
      <c r="G586" s="6">
        <v>1593314</v>
      </c>
      <c r="I586" s="6">
        <v>0</v>
      </c>
      <c r="K586" s="6">
        <v>0</v>
      </c>
      <c r="M586" s="6">
        <v>17669</v>
      </c>
      <c r="O586" s="6">
        <v>411468</v>
      </c>
      <c r="Q586" s="6">
        <v>317951</v>
      </c>
      <c r="S586" s="6">
        <v>22725</v>
      </c>
      <c r="U586" s="6">
        <v>866956</v>
      </c>
      <c r="W586" s="6">
        <v>311235</v>
      </c>
      <c r="Y586" s="6">
        <v>20652</v>
      </c>
      <c r="AA586" s="6">
        <v>802538</v>
      </c>
      <c r="AC586" s="6">
        <v>781831</v>
      </c>
      <c r="AE586" s="6">
        <v>15741</v>
      </c>
      <c r="AG586" s="6">
        <v>333424</v>
      </c>
      <c r="AI586" s="6">
        <v>54741</v>
      </c>
      <c r="AJ586" s="11" t="s">
        <v>465</v>
      </c>
      <c r="AK586" s="11"/>
      <c r="AL586" s="11" t="s">
        <v>56</v>
      </c>
      <c r="AN586" s="6">
        <v>317438</v>
      </c>
      <c r="AP586" s="6">
        <v>18363</v>
      </c>
      <c r="AR586" s="6">
        <v>0</v>
      </c>
      <c r="AT586" s="6">
        <v>572000</v>
      </c>
      <c r="AV586" s="6">
        <v>334617</v>
      </c>
      <c r="AX586" s="6">
        <v>0</v>
      </c>
      <c r="AZ586" s="7">
        <f t="shared" si="76"/>
        <v>11818483</v>
      </c>
      <c r="BB586" s="6">
        <v>0</v>
      </c>
      <c r="BH586" s="6">
        <v>0</v>
      </c>
      <c r="BJ586" s="7">
        <f t="shared" si="71"/>
        <v>11818483</v>
      </c>
      <c r="BL586" s="7">
        <f>'Gov Fd Rev'!AO586-'Gov Fd Exp'!BJ586</f>
        <v>314439</v>
      </c>
      <c r="BN586" s="6">
        <v>2514950</v>
      </c>
      <c r="BP586" s="6">
        <v>-8615</v>
      </c>
      <c r="BR586" s="6">
        <v>0</v>
      </c>
      <c r="BT586" s="7">
        <f t="shared" si="72"/>
        <v>2820774</v>
      </c>
      <c r="BU586" s="7"/>
      <c r="BV586" s="7">
        <f>BT586-'Gov Fd BS'!AC586</f>
        <v>0</v>
      </c>
      <c r="BW586" s="7"/>
    </row>
    <row r="587" spans="1:75">
      <c r="A587" s="11" t="s">
        <v>780</v>
      </c>
      <c r="B587" s="11"/>
      <c r="C587" s="11" t="s">
        <v>28</v>
      </c>
      <c r="E587" s="6">
        <v>7644517</v>
      </c>
      <c r="G587" s="6">
        <v>1963959</v>
      </c>
      <c r="I587" s="6">
        <v>252694</v>
      </c>
      <c r="K587" s="6">
        <v>0</v>
      </c>
      <c r="M587" s="6">
        <v>959687</v>
      </c>
      <c r="O587" s="6">
        <v>697066</v>
      </c>
      <c r="Q587" s="6">
        <v>750230</v>
      </c>
      <c r="S587" s="6">
        <v>42579</v>
      </c>
      <c r="U587" s="6">
        <v>1323574</v>
      </c>
      <c r="W587" s="6">
        <v>414245</v>
      </c>
      <c r="Y587" s="6">
        <v>67364</v>
      </c>
      <c r="AA587" s="6">
        <v>1447930</v>
      </c>
      <c r="AC587" s="6">
        <v>804308</v>
      </c>
      <c r="AE587" s="6">
        <v>121145</v>
      </c>
      <c r="AG587" s="6">
        <v>837856</v>
      </c>
      <c r="AI587" s="6">
        <v>3994</v>
      </c>
      <c r="AJ587" s="11" t="s">
        <v>780</v>
      </c>
      <c r="AK587" s="11"/>
      <c r="AL587" s="11" t="s">
        <v>28</v>
      </c>
      <c r="AN587" s="6">
        <v>683333</v>
      </c>
      <c r="AP587" s="6">
        <v>567910</v>
      </c>
      <c r="AR587" s="6">
        <v>0</v>
      </c>
      <c r="AT587" s="6">
        <v>985000</v>
      </c>
      <c r="AV587" s="6">
        <v>1023089</v>
      </c>
      <c r="AX587" s="6">
        <v>145878</v>
      </c>
      <c r="AZ587" s="7">
        <f t="shared" si="76"/>
        <v>20736358</v>
      </c>
      <c r="BB587" s="6">
        <v>0</v>
      </c>
      <c r="BH587" s="6">
        <v>0</v>
      </c>
      <c r="BJ587" s="7">
        <f t="shared" si="71"/>
        <v>20736358</v>
      </c>
      <c r="BL587" s="7">
        <f>'Gov Fd Rev'!AO587-'Gov Fd Exp'!BJ587</f>
        <v>-1778559</v>
      </c>
      <c r="BN587" s="6">
        <v>11438897</v>
      </c>
      <c r="BP587" s="6">
        <v>0</v>
      </c>
      <c r="BR587" s="6">
        <v>0</v>
      </c>
      <c r="BT587" s="7">
        <f t="shared" si="72"/>
        <v>9660338</v>
      </c>
      <c r="BU587" s="7"/>
      <c r="BV587" s="7">
        <f>BT587-'Gov Fd BS'!AC587</f>
        <v>0</v>
      </c>
      <c r="BW587" s="7"/>
    </row>
    <row r="588" spans="1:75">
      <c r="A588" s="11" t="s">
        <v>457</v>
      </c>
      <c r="B588" s="11"/>
      <c r="C588" s="11" t="s">
        <v>55</v>
      </c>
      <c r="E588" s="6">
        <v>7287693</v>
      </c>
      <c r="G588" s="6">
        <v>2734416</v>
      </c>
      <c r="I588" s="6">
        <v>196773</v>
      </c>
      <c r="K588" s="6">
        <v>0</v>
      </c>
      <c r="M588" s="6">
        <v>103276</v>
      </c>
      <c r="O588" s="6">
        <v>625918</v>
      </c>
      <c r="Q588" s="6">
        <v>1317827</v>
      </c>
      <c r="S588" s="6">
        <v>46407</v>
      </c>
      <c r="U588" s="6">
        <v>1257669</v>
      </c>
      <c r="W588" s="6">
        <v>490990</v>
      </c>
      <c r="Y588" s="6">
        <v>0</v>
      </c>
      <c r="AA588" s="6">
        <v>1847233</v>
      </c>
      <c r="AC588" s="6">
        <v>1096531</v>
      </c>
      <c r="AE588" s="6">
        <v>31317</v>
      </c>
      <c r="AG588" s="6">
        <v>883272</v>
      </c>
      <c r="AI588" s="6">
        <v>95089</v>
      </c>
      <c r="AJ588" s="11" t="s">
        <v>457</v>
      </c>
      <c r="AK588" s="11"/>
      <c r="AL588" s="11" t="s">
        <v>55</v>
      </c>
      <c r="AN588" s="6">
        <v>524685</v>
      </c>
      <c r="AP588" s="6">
        <v>361694</v>
      </c>
      <c r="AR588" s="6">
        <v>0</v>
      </c>
      <c r="AT588" s="6">
        <v>475138</v>
      </c>
      <c r="AV588" s="6">
        <v>277314</v>
      </c>
      <c r="AX588" s="6">
        <v>0</v>
      </c>
      <c r="AZ588" s="7">
        <f t="shared" si="76"/>
        <v>19653242</v>
      </c>
      <c r="BB588" s="6">
        <v>95041</v>
      </c>
      <c r="BH588" s="6">
        <v>0</v>
      </c>
      <c r="BJ588" s="7">
        <f t="shared" si="71"/>
        <v>19748283</v>
      </c>
      <c r="BL588" s="7">
        <f>'Gov Fd Rev'!AO588-'Gov Fd Exp'!BJ588</f>
        <v>848622</v>
      </c>
      <c r="BN588" s="6">
        <v>2035619</v>
      </c>
      <c r="BP588" s="6">
        <v>0</v>
      </c>
      <c r="BR588" s="6">
        <v>0</v>
      </c>
      <c r="BT588" s="7">
        <f t="shared" si="72"/>
        <v>2884241</v>
      </c>
      <c r="BU588" s="7"/>
      <c r="BV588" s="7">
        <f>BT588-'Gov Fd BS'!AC588</f>
        <v>0</v>
      </c>
      <c r="BW588" s="7"/>
    </row>
    <row r="589" spans="1:75" hidden="1">
      <c r="A589" s="11" t="s">
        <v>708</v>
      </c>
      <c r="B589" s="11"/>
      <c r="C589" s="11" t="s">
        <v>69</v>
      </c>
      <c r="AJ589" s="11" t="s">
        <v>708</v>
      </c>
      <c r="AK589" s="11"/>
      <c r="AL589" s="11" t="s">
        <v>69</v>
      </c>
      <c r="AZ589" s="7">
        <f t="shared" si="76"/>
        <v>0</v>
      </c>
      <c r="BJ589" s="7">
        <f t="shared" si="71"/>
        <v>0</v>
      </c>
      <c r="BL589" s="7">
        <f>'Gov Fd Rev'!AO589-'Gov Fd Exp'!BJ589</f>
        <v>0</v>
      </c>
      <c r="BR589" s="6">
        <v>0</v>
      </c>
      <c r="BT589" s="7">
        <f t="shared" si="72"/>
        <v>0</v>
      </c>
      <c r="BU589" s="7"/>
      <c r="BV589" s="7">
        <f>BT589-'Gov Fd BS'!AC589</f>
        <v>0</v>
      </c>
      <c r="BW589" s="7"/>
    </row>
    <row r="590" spans="1:75" hidden="1">
      <c r="A590" s="11" t="s">
        <v>803</v>
      </c>
      <c r="B590" s="11"/>
      <c r="C590" s="11" t="s">
        <v>450</v>
      </c>
      <c r="AJ590" s="11" t="s">
        <v>803</v>
      </c>
      <c r="AK590" s="11"/>
      <c r="AL590" s="11" t="s">
        <v>450</v>
      </c>
      <c r="AZ590" s="7">
        <f t="shared" si="76"/>
        <v>0</v>
      </c>
      <c r="BJ590" s="7">
        <f t="shared" si="71"/>
        <v>0</v>
      </c>
      <c r="BL590" s="7">
        <f>'Gov Fd Rev'!AO590-'Gov Fd Exp'!BJ590</f>
        <v>0</v>
      </c>
      <c r="BR590" s="6">
        <v>0</v>
      </c>
      <c r="BT590" s="7">
        <f t="shared" si="72"/>
        <v>0</v>
      </c>
      <c r="BU590" s="7"/>
      <c r="BV590" s="7">
        <f>BT590-'Gov Fd BS'!AC590</f>
        <v>0</v>
      </c>
      <c r="BW590" s="7"/>
    </row>
    <row r="591" spans="1:75" hidden="1">
      <c r="A591" s="11" t="s">
        <v>646</v>
      </c>
      <c r="B591" s="11"/>
      <c r="C591" s="11" t="s">
        <v>14</v>
      </c>
      <c r="AJ591" s="11" t="s">
        <v>646</v>
      </c>
      <c r="AK591" s="11"/>
      <c r="AL591" s="11" t="s">
        <v>14</v>
      </c>
      <c r="AZ591" s="7">
        <f t="shared" si="76"/>
        <v>0</v>
      </c>
      <c r="BJ591" s="7">
        <f t="shared" si="71"/>
        <v>0</v>
      </c>
      <c r="BL591" s="7">
        <f>'Gov Fd Rev'!AO591-'Gov Fd Exp'!BJ591</f>
        <v>0</v>
      </c>
      <c r="BR591" s="6">
        <v>0</v>
      </c>
      <c r="BT591" s="7">
        <f t="shared" si="72"/>
        <v>0</v>
      </c>
      <c r="BU591" s="7"/>
      <c r="BV591" s="7">
        <f>BT591-'Gov Fd BS'!AC591</f>
        <v>0</v>
      </c>
      <c r="BW591" s="7"/>
    </row>
    <row r="592" spans="1:75">
      <c r="A592" s="11" t="s">
        <v>532</v>
      </c>
      <c r="B592" s="11"/>
      <c r="C592" s="11" t="s">
        <v>64</v>
      </c>
      <c r="E592" s="6">
        <v>3906114</v>
      </c>
      <c r="G592" s="6">
        <v>1016633</v>
      </c>
      <c r="I592" s="6">
        <v>0</v>
      </c>
      <c r="K592" s="6">
        <v>0</v>
      </c>
      <c r="M592" s="6">
        <v>447144</v>
      </c>
      <c r="O592" s="6">
        <v>444208</v>
      </c>
      <c r="Q592" s="6">
        <v>168805</v>
      </c>
      <c r="S592" s="6">
        <v>19804</v>
      </c>
      <c r="U592" s="6">
        <v>782682</v>
      </c>
      <c r="W592" s="6">
        <v>301476</v>
      </c>
      <c r="Y592" s="6">
        <v>8624</v>
      </c>
      <c r="AA592" s="6">
        <v>1140661</v>
      </c>
      <c r="AC592" s="6">
        <v>329308</v>
      </c>
      <c r="AE592" s="6">
        <v>7668</v>
      </c>
      <c r="AG592" s="6">
        <v>321021</v>
      </c>
      <c r="AI592" s="6">
        <v>0</v>
      </c>
      <c r="AJ592" s="11" t="s">
        <v>532</v>
      </c>
      <c r="AK592" s="11"/>
      <c r="AL592" s="11" t="s">
        <v>64</v>
      </c>
      <c r="AN592" s="6">
        <v>315073</v>
      </c>
      <c r="AP592" s="6">
        <v>0</v>
      </c>
      <c r="AR592" s="6">
        <v>0</v>
      </c>
      <c r="AT592" s="6">
        <v>257076</v>
      </c>
      <c r="AV592" s="6">
        <v>87303</v>
      </c>
      <c r="AX592" s="6">
        <v>0</v>
      </c>
      <c r="AZ592" s="7">
        <f t="shared" si="76"/>
        <v>9553600</v>
      </c>
      <c r="BB592" s="6">
        <v>68509</v>
      </c>
      <c r="BH592" s="6">
        <v>0</v>
      </c>
      <c r="BJ592" s="7">
        <f t="shared" si="71"/>
        <v>9622109</v>
      </c>
      <c r="BL592" s="7">
        <f>'Gov Fd Rev'!AO592-'Gov Fd Exp'!BJ592</f>
        <v>2193</v>
      </c>
      <c r="BN592" s="6">
        <v>1465046</v>
      </c>
      <c r="BP592" s="6">
        <v>0</v>
      </c>
      <c r="BR592" s="6">
        <v>0</v>
      </c>
      <c r="BT592" s="7">
        <f t="shared" si="72"/>
        <v>1467239</v>
      </c>
      <c r="BU592" s="7"/>
      <c r="BV592" s="7">
        <f>BT592-'Gov Fd BS'!AC592</f>
        <v>0</v>
      </c>
      <c r="BW592" s="7"/>
    </row>
    <row r="593" spans="1:75">
      <c r="A593" s="11" t="s">
        <v>781</v>
      </c>
      <c r="B593" s="11"/>
      <c r="C593" s="11" t="s">
        <v>44</v>
      </c>
      <c r="E593" s="6">
        <v>6755661</v>
      </c>
      <c r="G593" s="6">
        <v>1505855</v>
      </c>
      <c r="I593" s="6">
        <v>99646</v>
      </c>
      <c r="K593" s="6">
        <v>0</v>
      </c>
      <c r="M593" s="6">
        <v>0</v>
      </c>
      <c r="O593" s="6">
        <v>547682</v>
      </c>
      <c r="Q593" s="6">
        <v>985754</v>
      </c>
      <c r="S593" s="6">
        <v>22806</v>
      </c>
      <c r="U593" s="6">
        <v>1224334</v>
      </c>
      <c r="W593" s="6">
        <v>367324</v>
      </c>
      <c r="Y593" s="6">
        <v>0</v>
      </c>
      <c r="AA593" s="6">
        <v>992956</v>
      </c>
      <c r="AC593" s="6">
        <v>526013</v>
      </c>
      <c r="AE593" s="6">
        <v>229033</v>
      </c>
      <c r="AG593" s="6">
        <v>0</v>
      </c>
      <c r="AI593" s="6">
        <v>497901</v>
      </c>
      <c r="AJ593" s="11" t="s">
        <v>781</v>
      </c>
      <c r="AK593" s="11"/>
      <c r="AL593" s="11" t="s">
        <v>44</v>
      </c>
      <c r="AN593" s="6">
        <v>376533</v>
      </c>
      <c r="AP593" s="6">
        <v>1091705</v>
      </c>
      <c r="AR593" s="6">
        <v>0</v>
      </c>
      <c r="AT593" s="6">
        <v>66000</v>
      </c>
      <c r="AV593" s="6">
        <v>41072</v>
      </c>
      <c r="AX593" s="6">
        <v>0</v>
      </c>
      <c r="AZ593" s="7">
        <f t="shared" si="76"/>
        <v>15330275</v>
      </c>
      <c r="BB593" s="6">
        <v>378912</v>
      </c>
      <c r="BH593" s="6">
        <v>0</v>
      </c>
      <c r="BJ593" s="7">
        <f t="shared" si="71"/>
        <v>15709187</v>
      </c>
      <c r="BL593" s="7">
        <f>'Gov Fd Rev'!AO593-'Gov Fd Exp'!BJ593</f>
        <v>-927477</v>
      </c>
      <c r="BN593" s="6">
        <v>5848261</v>
      </c>
      <c r="BP593" s="6">
        <v>0</v>
      </c>
      <c r="BR593" s="6">
        <v>0</v>
      </c>
      <c r="BT593" s="7">
        <f t="shared" si="72"/>
        <v>4920784</v>
      </c>
      <c r="BU593" s="7"/>
      <c r="BV593" s="7">
        <f>BT593-'Gov Fd BS'!AC593</f>
        <v>0</v>
      </c>
      <c r="BW593" s="7"/>
    </row>
    <row r="594" spans="1:75">
      <c r="A594" s="11" t="s">
        <v>361</v>
      </c>
      <c r="B594" s="11"/>
      <c r="C594" s="11" t="s">
        <v>38</v>
      </c>
      <c r="E594" s="6">
        <v>6674758</v>
      </c>
      <c r="G594" s="6">
        <v>2527789</v>
      </c>
      <c r="I594" s="6">
        <v>64357</v>
      </c>
      <c r="K594" s="6">
        <v>0</v>
      </c>
      <c r="M594" s="6">
        <v>16171</v>
      </c>
      <c r="O594" s="6">
        <v>676602</v>
      </c>
      <c r="Q594" s="6">
        <v>988163</v>
      </c>
      <c r="S594" s="6">
        <v>223489</v>
      </c>
      <c r="U594" s="6">
        <v>1183277</v>
      </c>
      <c r="W594" s="6">
        <v>455192</v>
      </c>
      <c r="Y594" s="6">
        <v>0</v>
      </c>
      <c r="AA594" s="6">
        <v>1628570</v>
      </c>
      <c r="AC594" s="6">
        <v>1072839</v>
      </c>
      <c r="AE594" s="6">
        <v>244302</v>
      </c>
      <c r="AG594" s="6">
        <v>788086</v>
      </c>
      <c r="AI594" s="6">
        <v>56846</v>
      </c>
      <c r="AJ594" s="11" t="s">
        <v>361</v>
      </c>
      <c r="AK594" s="11"/>
      <c r="AL594" s="11" t="s">
        <v>38</v>
      </c>
      <c r="AN594" s="6">
        <v>285987</v>
      </c>
      <c r="AP594" s="6">
        <v>2544385</v>
      </c>
      <c r="AR594" s="6">
        <v>0</v>
      </c>
      <c r="AT594" s="6">
        <v>280000</v>
      </c>
      <c r="AV594" s="6">
        <v>184957</v>
      </c>
      <c r="AX594" s="6">
        <v>0</v>
      </c>
      <c r="AZ594" s="7">
        <f t="shared" si="76"/>
        <v>19895770</v>
      </c>
      <c r="BB594" s="6">
        <v>0</v>
      </c>
      <c r="BH594" s="6">
        <v>0</v>
      </c>
      <c r="BJ594" s="7">
        <f t="shared" si="71"/>
        <v>19895770</v>
      </c>
      <c r="BL594" s="7">
        <f>'Gov Fd Rev'!AO594-'Gov Fd Exp'!BJ594</f>
        <v>-231649</v>
      </c>
      <c r="BN594" s="6">
        <v>11313007</v>
      </c>
      <c r="BP594" s="6">
        <v>0</v>
      </c>
      <c r="BR594" s="6">
        <v>0</v>
      </c>
      <c r="BT594" s="7">
        <f t="shared" si="72"/>
        <v>11081358</v>
      </c>
      <c r="BU594" s="7"/>
      <c r="BV594" s="7">
        <f>BT594-'Gov Fd BS'!AC594</f>
        <v>0</v>
      </c>
      <c r="BW594" s="7"/>
    </row>
    <row r="595" spans="1:75">
      <c r="A595" s="11" t="s">
        <v>252</v>
      </c>
      <c r="B595" s="11"/>
      <c r="C595" s="11" t="s">
        <v>112</v>
      </c>
      <c r="E595" s="6">
        <v>4256462</v>
      </c>
      <c r="G595" s="6">
        <v>1233680</v>
      </c>
      <c r="I595" s="6">
        <v>156250</v>
      </c>
      <c r="K595" s="6">
        <v>0</v>
      </c>
      <c r="M595" s="6">
        <v>114044</v>
      </c>
      <c r="O595" s="6">
        <v>298715</v>
      </c>
      <c r="Q595" s="6">
        <v>388183</v>
      </c>
      <c r="S595" s="6">
        <v>12914</v>
      </c>
      <c r="U595" s="6">
        <v>855948</v>
      </c>
      <c r="W595" s="6">
        <v>223295</v>
      </c>
      <c r="Y595" s="6">
        <v>0</v>
      </c>
      <c r="AA595" s="6">
        <v>815151</v>
      </c>
      <c r="AC595" s="6">
        <v>159813</v>
      </c>
      <c r="AE595" s="6">
        <v>61914</v>
      </c>
      <c r="AG595" s="6">
        <v>417245</v>
      </c>
      <c r="AI595" s="6">
        <v>762</v>
      </c>
      <c r="AJ595" s="11" t="s">
        <v>252</v>
      </c>
      <c r="AK595" s="11"/>
      <c r="AL595" s="11" t="s">
        <v>112</v>
      </c>
      <c r="AN595" s="6">
        <v>240249</v>
      </c>
      <c r="AP595" s="6">
        <v>296357</v>
      </c>
      <c r="AR595" s="6">
        <v>0</v>
      </c>
      <c r="AT595" s="6">
        <v>110000</v>
      </c>
      <c r="AV595" s="6">
        <v>46434</v>
      </c>
      <c r="AX595" s="6">
        <v>0</v>
      </c>
      <c r="AZ595" s="7">
        <f t="shared" si="76"/>
        <v>9687416</v>
      </c>
      <c r="BB595" s="6">
        <v>0</v>
      </c>
      <c r="BH595" s="6">
        <v>0</v>
      </c>
      <c r="BJ595" s="7">
        <f t="shared" si="71"/>
        <v>9687416</v>
      </c>
      <c r="BL595" s="7">
        <f>'Gov Fd Rev'!AO595-'Gov Fd Exp'!BJ595</f>
        <v>-456667</v>
      </c>
      <c r="BN595" s="6">
        <v>3066892</v>
      </c>
      <c r="BP595" s="6">
        <v>0</v>
      </c>
      <c r="BR595" s="6">
        <v>0</v>
      </c>
      <c r="BT595" s="7">
        <f t="shared" si="72"/>
        <v>2610225</v>
      </c>
      <c r="BU595" s="7"/>
      <c r="BV595" s="7">
        <f>BT595-'Gov Fd BS'!AC595</f>
        <v>0</v>
      </c>
      <c r="BW595" s="7"/>
    </row>
    <row r="596" spans="1:75">
      <c r="A596" s="11" t="s">
        <v>408</v>
      </c>
      <c r="B596" s="11"/>
      <c r="C596" s="11" t="s">
        <v>45</v>
      </c>
      <c r="E596" s="6">
        <v>9400136</v>
      </c>
      <c r="G596" s="6">
        <v>2636652</v>
      </c>
      <c r="I596" s="6">
        <v>399942</v>
      </c>
      <c r="K596" s="6">
        <v>0</v>
      </c>
      <c r="M596" s="6">
        <v>163439</v>
      </c>
      <c r="O596" s="6">
        <v>1283894</v>
      </c>
      <c r="Q596" s="6">
        <v>359828</v>
      </c>
      <c r="S596" s="6">
        <v>44727</v>
      </c>
      <c r="U596" s="6">
        <v>1677949</v>
      </c>
      <c r="W596" s="6">
        <v>471299</v>
      </c>
      <c r="Y596" s="6">
        <v>10360</v>
      </c>
      <c r="AA596" s="6">
        <v>1932305</v>
      </c>
      <c r="AC596" s="6">
        <v>1584406</v>
      </c>
      <c r="AE596" s="6">
        <v>269992</v>
      </c>
      <c r="AG596" s="6">
        <v>880689</v>
      </c>
      <c r="AI596" s="6">
        <v>69917</v>
      </c>
      <c r="AJ596" s="11" t="s">
        <v>408</v>
      </c>
      <c r="AK596" s="11"/>
      <c r="AL596" s="11" t="s">
        <v>45</v>
      </c>
      <c r="AN596" s="6">
        <v>575206</v>
      </c>
      <c r="AP596" s="6">
        <v>126612</v>
      </c>
      <c r="AR596" s="6">
        <v>0</v>
      </c>
      <c r="AT596" s="6">
        <v>559670</v>
      </c>
      <c r="AV596" s="6">
        <v>291640</v>
      </c>
      <c r="AX596" s="6">
        <v>0</v>
      </c>
      <c r="AZ596" s="7">
        <f t="shared" si="76"/>
        <v>22738663</v>
      </c>
      <c r="BB596" s="6">
        <v>225354</v>
      </c>
      <c r="BH596" s="6">
        <v>0</v>
      </c>
      <c r="BJ596" s="7">
        <f t="shared" si="71"/>
        <v>22964017</v>
      </c>
      <c r="BL596" s="7">
        <f>'Gov Fd Rev'!AO596-'Gov Fd Exp'!BJ596</f>
        <v>-648269</v>
      </c>
      <c r="BN596" s="6">
        <v>3626215</v>
      </c>
      <c r="BP596" s="6">
        <v>-9202</v>
      </c>
      <c r="BR596" s="6">
        <v>0</v>
      </c>
      <c r="BT596" s="7">
        <f t="shared" si="72"/>
        <v>2968744</v>
      </c>
      <c r="BU596" s="7"/>
      <c r="BV596" s="7">
        <f>BT596-'Gov Fd BS'!AC596</f>
        <v>0</v>
      </c>
      <c r="BW596" s="7"/>
    </row>
    <row r="597" spans="1:75">
      <c r="A597" s="11" t="s">
        <v>707</v>
      </c>
      <c r="B597" s="11"/>
      <c r="C597" s="11" t="s">
        <v>50</v>
      </c>
      <c r="E597" s="6">
        <v>15939464</v>
      </c>
      <c r="G597" s="6">
        <v>5504084</v>
      </c>
      <c r="I597" s="6">
        <v>229553</v>
      </c>
      <c r="K597" s="6">
        <v>0</v>
      </c>
      <c r="M597" s="6">
        <v>2188858</v>
      </c>
      <c r="O597" s="6">
        <v>2757602</v>
      </c>
      <c r="Q597" s="6">
        <v>2492990</v>
      </c>
      <c r="S597" s="6">
        <v>31131</v>
      </c>
      <c r="U597" s="6">
        <v>3064799</v>
      </c>
      <c r="W597" s="6">
        <v>709126</v>
      </c>
      <c r="Y597" s="6">
        <v>501550</v>
      </c>
      <c r="AA597" s="6">
        <v>3290680</v>
      </c>
      <c r="AC597" s="6">
        <v>2179594</v>
      </c>
      <c r="AE597" s="6">
        <v>230843</v>
      </c>
      <c r="AG597" s="6">
        <v>1679884</v>
      </c>
      <c r="AI597" s="6">
        <v>75535</v>
      </c>
      <c r="AJ597" s="11" t="s">
        <v>707</v>
      </c>
      <c r="AK597" s="11"/>
      <c r="AL597" s="11" t="s">
        <v>50</v>
      </c>
      <c r="AN597" s="6">
        <v>683643</v>
      </c>
      <c r="AP597" s="6">
        <v>829447</v>
      </c>
      <c r="AR597" s="6">
        <v>0</v>
      </c>
      <c r="AT597" s="6">
        <v>1910930</v>
      </c>
      <c r="AV597" s="6">
        <v>139647</v>
      </c>
      <c r="AX597" s="6">
        <v>0</v>
      </c>
      <c r="AZ597" s="7">
        <f t="shared" si="76"/>
        <v>44439360</v>
      </c>
      <c r="BB597" s="6">
        <v>0</v>
      </c>
      <c r="BH597" s="6">
        <v>0</v>
      </c>
      <c r="BJ597" s="7">
        <f t="shared" si="71"/>
        <v>44439360</v>
      </c>
      <c r="BL597" s="7">
        <f>'Gov Fd Rev'!AO597-'Gov Fd Exp'!BJ597</f>
        <v>-2465677</v>
      </c>
      <c r="BN597" s="6">
        <v>14747198</v>
      </c>
      <c r="BP597" s="6">
        <v>0</v>
      </c>
      <c r="BR597" s="6">
        <v>0</v>
      </c>
      <c r="BT597" s="7">
        <f t="shared" si="72"/>
        <v>12281521</v>
      </c>
      <c r="BU597" s="7"/>
      <c r="BV597" s="7">
        <f>BT597-'Gov Fd BS'!AC597</f>
        <v>0</v>
      </c>
      <c r="BW597" s="7"/>
    </row>
    <row r="598" spans="1:75">
      <c r="A598" s="11" t="s">
        <v>241</v>
      </c>
      <c r="B598" s="11"/>
      <c r="C598" s="11" t="s">
        <v>113</v>
      </c>
      <c r="E598" s="6">
        <v>32351547</v>
      </c>
      <c r="G598" s="6">
        <v>12697267</v>
      </c>
      <c r="I598" s="6">
        <v>276169</v>
      </c>
      <c r="K598" s="6">
        <v>0</v>
      </c>
      <c r="M598" s="6">
        <v>0</v>
      </c>
      <c r="O598" s="6">
        <v>4312361</v>
      </c>
      <c r="Q598" s="6">
        <v>2668339</v>
      </c>
      <c r="S598" s="6">
        <v>122646</v>
      </c>
      <c r="U598" s="6">
        <v>5341898</v>
      </c>
      <c r="W598" s="6">
        <v>1637380</v>
      </c>
      <c r="Y598" s="6">
        <v>46744</v>
      </c>
      <c r="AA598" s="6">
        <v>5027822</v>
      </c>
      <c r="AC598" s="6">
        <v>5495499</v>
      </c>
      <c r="AE598" s="6">
        <v>1588171</v>
      </c>
      <c r="AG598" s="6">
        <v>0</v>
      </c>
      <c r="AI598" s="6">
        <v>2729086</v>
      </c>
      <c r="AJ598" s="11" t="s">
        <v>241</v>
      </c>
      <c r="AK598" s="11"/>
      <c r="AL598" s="11" t="s">
        <v>113</v>
      </c>
      <c r="AN598" s="6">
        <v>1123717</v>
      </c>
      <c r="AP598" s="6">
        <v>1049744</v>
      </c>
      <c r="AR598" s="6">
        <v>0</v>
      </c>
      <c r="AT598" s="6">
        <v>1971558</v>
      </c>
      <c r="AV598" s="6">
        <v>1631754</v>
      </c>
      <c r="AX598" s="6">
        <v>0</v>
      </c>
      <c r="AZ598" s="7">
        <f t="shared" si="70"/>
        <v>80071702</v>
      </c>
      <c r="BB598" s="6">
        <v>114723</v>
      </c>
      <c r="BH598" s="6">
        <v>0</v>
      </c>
      <c r="BJ598" s="7">
        <f t="shared" si="71"/>
        <v>80186425</v>
      </c>
      <c r="BL598" s="7">
        <f>'Gov Fd Rev'!AO598-'Gov Fd Exp'!BJ598</f>
        <v>-3145200</v>
      </c>
      <c r="BN598" s="6">
        <v>12934309</v>
      </c>
      <c r="BP598" s="6">
        <v>0</v>
      </c>
      <c r="BR598" s="6">
        <v>0</v>
      </c>
      <c r="BT598" s="7">
        <f t="shared" si="72"/>
        <v>9789109</v>
      </c>
      <c r="BU598" s="7"/>
      <c r="BV598" s="7">
        <f>BT598-'Gov Fd BS'!AC598</f>
        <v>0</v>
      </c>
      <c r="BW598" s="7"/>
    </row>
    <row r="599" spans="1:75">
      <c r="A599" s="11" t="s">
        <v>316</v>
      </c>
      <c r="B599" s="11"/>
      <c r="C599" s="11" t="s">
        <v>30</v>
      </c>
      <c r="E599" s="6">
        <v>10876056</v>
      </c>
      <c r="G599" s="6">
        <v>3840509</v>
      </c>
      <c r="I599" s="6">
        <v>332260</v>
      </c>
      <c r="K599" s="6">
        <v>0</v>
      </c>
      <c r="M599" s="6">
        <f>62115+406750</f>
        <v>468865</v>
      </c>
      <c r="O599" s="6">
        <v>1907811</v>
      </c>
      <c r="Q599" s="6">
        <v>1064845</v>
      </c>
      <c r="S599" s="6">
        <v>117067</v>
      </c>
      <c r="U599" s="6">
        <v>1769989</v>
      </c>
      <c r="W599" s="6">
        <v>797008</v>
      </c>
      <c r="Y599" s="6">
        <v>324160</v>
      </c>
      <c r="AA599" s="6">
        <v>2371146</v>
      </c>
      <c r="AC599" s="6">
        <v>1985900</v>
      </c>
      <c r="AE599" s="6">
        <v>16097</v>
      </c>
      <c r="AG599" s="6">
        <v>470048</v>
      </c>
      <c r="AI599" s="6">
        <f>439968+400</f>
        <v>440368</v>
      </c>
      <c r="AJ599" s="11" t="s">
        <v>316</v>
      </c>
      <c r="AK599" s="11"/>
      <c r="AL599" s="11" t="s">
        <v>30</v>
      </c>
      <c r="AN599" s="6">
        <v>888537</v>
      </c>
      <c r="AP599" s="6">
        <v>59681</v>
      </c>
      <c r="AR599" s="6">
        <v>0</v>
      </c>
      <c r="AT599" s="6">
        <v>2219776</v>
      </c>
      <c r="AV599" s="6">
        <v>220416</v>
      </c>
      <c r="AX599" s="6">
        <v>0</v>
      </c>
      <c r="AZ599" s="7">
        <f t="shared" si="70"/>
        <v>30170539</v>
      </c>
      <c r="BB599" s="6">
        <v>154000</v>
      </c>
      <c r="BH599" s="6">
        <v>0</v>
      </c>
      <c r="BJ599" s="7">
        <f t="shared" si="71"/>
        <v>30324539</v>
      </c>
      <c r="BL599" s="7">
        <f>'Gov Fd Rev'!AO599-'Gov Fd Exp'!BJ599</f>
        <v>869131</v>
      </c>
      <c r="BN599" s="6">
        <v>7346802</v>
      </c>
      <c r="BP599" s="6">
        <v>0</v>
      </c>
      <c r="BR599" s="6">
        <v>0</v>
      </c>
      <c r="BT599" s="7">
        <f t="shared" si="72"/>
        <v>8215933</v>
      </c>
      <c r="BU599" s="7"/>
      <c r="BV599" s="7">
        <f>BT599-'Gov Fd BS'!AC599</f>
        <v>0</v>
      </c>
      <c r="BW599" s="7"/>
    </row>
    <row r="600" spans="1:75">
      <c r="A600" s="11" t="s">
        <v>354</v>
      </c>
      <c r="B600" s="11"/>
      <c r="C600" s="11" t="s">
        <v>36</v>
      </c>
      <c r="E600" s="6">
        <v>10992415</v>
      </c>
      <c r="G600" s="6">
        <v>3549019</v>
      </c>
      <c r="I600" s="6">
        <v>273200</v>
      </c>
      <c r="K600" s="6">
        <v>0</v>
      </c>
      <c r="M600" s="6">
        <v>0</v>
      </c>
      <c r="O600" s="6">
        <v>774244</v>
      </c>
      <c r="Q600" s="6">
        <v>1125496</v>
      </c>
      <c r="S600" s="6">
        <v>31808</v>
      </c>
      <c r="U600" s="6">
        <v>2007678</v>
      </c>
      <c r="W600" s="6">
        <v>579286</v>
      </c>
      <c r="Y600" s="6">
        <v>1440</v>
      </c>
      <c r="AA600" s="6">
        <v>2185678</v>
      </c>
      <c r="AC600" s="6">
        <v>1969760</v>
      </c>
      <c r="AE600" s="6">
        <v>61597</v>
      </c>
      <c r="AG600" s="6">
        <v>1013619</v>
      </c>
      <c r="AI600" s="6">
        <v>36827</v>
      </c>
      <c r="AJ600" s="11" t="s">
        <v>354</v>
      </c>
      <c r="AK600" s="11"/>
      <c r="AL600" s="11" t="s">
        <v>36</v>
      </c>
      <c r="AN600" s="6">
        <v>535503</v>
      </c>
      <c r="AP600" s="6">
        <v>427845</v>
      </c>
      <c r="AR600" s="6">
        <v>0</v>
      </c>
      <c r="AT600" s="6">
        <v>680000</v>
      </c>
      <c r="AV600" s="6">
        <v>448276</v>
      </c>
      <c r="AX600" s="6">
        <v>0</v>
      </c>
      <c r="AZ600" s="7">
        <f t="shared" si="70"/>
        <v>26693691</v>
      </c>
      <c r="BB600" s="6">
        <v>0</v>
      </c>
      <c r="BH600" s="6">
        <v>0</v>
      </c>
      <c r="BJ600" s="7">
        <f t="shared" si="71"/>
        <v>26693691</v>
      </c>
      <c r="BL600" s="7">
        <f>'Gov Fd Rev'!AO600-'Gov Fd Exp'!BJ600</f>
        <v>-469406</v>
      </c>
      <c r="BN600" s="6">
        <v>10644560</v>
      </c>
      <c r="BP600" s="6">
        <v>0</v>
      </c>
      <c r="BR600" s="6">
        <v>0</v>
      </c>
      <c r="BT600" s="7">
        <f t="shared" si="72"/>
        <v>10175154</v>
      </c>
      <c r="BU600" s="7"/>
      <c r="BV600" s="7">
        <f>BT600-'Gov Fd BS'!AC600</f>
        <v>0</v>
      </c>
      <c r="BW600" s="7"/>
    </row>
    <row r="601" spans="1:75">
      <c r="A601" s="11" t="s">
        <v>230</v>
      </c>
      <c r="B601" s="11"/>
      <c r="C601" s="11" t="s">
        <v>228</v>
      </c>
      <c r="E601" s="6">
        <v>4790096</v>
      </c>
      <c r="G601" s="6">
        <v>2439245</v>
      </c>
      <c r="I601" s="6">
        <v>182465</v>
      </c>
      <c r="K601" s="6">
        <v>0</v>
      </c>
      <c r="M601" s="6">
        <v>368516</v>
      </c>
      <c r="O601" s="6">
        <v>600439</v>
      </c>
      <c r="Q601" s="6">
        <v>587931</v>
      </c>
      <c r="S601" s="6">
        <v>24384</v>
      </c>
      <c r="U601" s="6">
        <v>832346</v>
      </c>
      <c r="W601" s="6">
        <v>424508</v>
      </c>
      <c r="Y601" s="6">
        <v>0</v>
      </c>
      <c r="AA601" s="6">
        <v>1004542</v>
      </c>
      <c r="AC601" s="6">
        <v>757543</v>
      </c>
      <c r="AE601" s="6">
        <v>257312</v>
      </c>
      <c r="AG601" s="6">
        <v>549866</v>
      </c>
      <c r="AI601" s="6">
        <v>3600</v>
      </c>
      <c r="AJ601" s="11" t="s">
        <v>230</v>
      </c>
      <c r="AK601" s="11"/>
      <c r="AL601" s="11" t="s">
        <v>228</v>
      </c>
      <c r="AN601" s="6">
        <v>583789</v>
      </c>
      <c r="AP601" s="6">
        <v>27214</v>
      </c>
      <c r="AR601" s="6">
        <v>0</v>
      </c>
      <c r="AT601" s="6">
        <v>19799</v>
      </c>
      <c r="AV601" s="6">
        <v>1141</v>
      </c>
      <c r="AX601" s="6">
        <v>0</v>
      </c>
      <c r="AZ601" s="7">
        <f t="shared" si="70"/>
        <v>13454736</v>
      </c>
      <c r="BB601" s="6">
        <v>1655</v>
      </c>
      <c r="BH601" s="6">
        <v>0</v>
      </c>
      <c r="BJ601" s="7">
        <f t="shared" si="71"/>
        <v>13456391</v>
      </c>
      <c r="BL601" s="7">
        <f>'Gov Fd Rev'!AO601-'Gov Fd Exp'!BJ601</f>
        <v>-1400664</v>
      </c>
      <c r="BN601" s="6">
        <v>2175684</v>
      </c>
      <c r="BP601" s="6">
        <v>0</v>
      </c>
      <c r="BR601" s="6">
        <v>0</v>
      </c>
      <c r="BT601" s="7">
        <f t="shared" si="72"/>
        <v>775020</v>
      </c>
      <c r="BU601" s="7"/>
      <c r="BV601" s="7">
        <f>BT601-'Gov Fd BS'!AC601</f>
        <v>0</v>
      </c>
      <c r="BW601" s="7"/>
    </row>
    <row r="602" spans="1:75">
      <c r="A602" s="11" t="s">
        <v>447</v>
      </c>
      <c r="B602" s="11"/>
      <c r="C602" s="11" t="s">
        <v>51</v>
      </c>
      <c r="E602" s="6">
        <v>7294783</v>
      </c>
      <c r="G602" s="6">
        <v>1989217</v>
      </c>
      <c r="I602" s="6">
        <v>97091</v>
      </c>
      <c r="K602" s="6">
        <v>0</v>
      </c>
      <c r="M602" s="6">
        <v>103450</v>
      </c>
      <c r="O602" s="6">
        <v>425640</v>
      </c>
      <c r="Q602" s="6">
        <v>916931</v>
      </c>
      <c r="S602" s="6">
        <v>15889</v>
      </c>
      <c r="U602" s="6">
        <v>1200017</v>
      </c>
      <c r="W602" s="6">
        <v>404903</v>
      </c>
      <c r="Y602" s="6">
        <v>0</v>
      </c>
      <c r="AA602" s="6">
        <v>1432068</v>
      </c>
      <c r="AC602" s="6">
        <v>929801</v>
      </c>
      <c r="AE602" s="6">
        <v>52894</v>
      </c>
      <c r="AG602" s="6">
        <v>662252</v>
      </c>
      <c r="AI602" s="6">
        <v>11645</v>
      </c>
      <c r="AJ602" s="11" t="s">
        <v>447</v>
      </c>
      <c r="AK602" s="11"/>
      <c r="AL602" s="11" t="s">
        <v>51</v>
      </c>
      <c r="AN602" s="6">
        <v>297086</v>
      </c>
      <c r="AP602" s="6">
        <v>10984</v>
      </c>
      <c r="AR602" s="6">
        <v>0</v>
      </c>
      <c r="AT602" s="6">
        <v>505110</v>
      </c>
      <c r="AV602" s="6">
        <f>1031773+123849</f>
        <v>1155622</v>
      </c>
      <c r="AX602" s="6">
        <v>0</v>
      </c>
      <c r="AZ602" s="7">
        <f t="shared" si="70"/>
        <v>17505383</v>
      </c>
      <c r="BB602" s="6">
        <v>35000</v>
      </c>
      <c r="BH602" s="6">
        <v>8540801</v>
      </c>
      <c r="BJ602" s="7">
        <f t="shared" si="71"/>
        <v>26081184</v>
      </c>
      <c r="BL602" s="7">
        <f>'Gov Fd Rev'!AO602-'Gov Fd Exp'!BJ602</f>
        <v>3451515</v>
      </c>
      <c r="BN602" s="6">
        <v>4624624</v>
      </c>
      <c r="BP602" s="6">
        <v>0</v>
      </c>
      <c r="BR602" s="6">
        <v>0</v>
      </c>
      <c r="BT602" s="7">
        <f t="shared" si="72"/>
        <v>8076139</v>
      </c>
      <c r="BU602" s="7"/>
      <c r="BV602" s="7">
        <f>BT602-'Gov Fd BS'!AC602</f>
        <v>0</v>
      </c>
      <c r="BW602" s="7"/>
    </row>
    <row r="603" spans="1:75">
      <c r="A603" s="11" t="s">
        <v>220</v>
      </c>
      <c r="B603" s="11"/>
      <c r="C603" s="11" t="s">
        <v>77</v>
      </c>
      <c r="E603" s="6">
        <v>15082311</v>
      </c>
      <c r="G603" s="6">
        <v>3923800</v>
      </c>
      <c r="I603" s="6">
        <v>208088</v>
      </c>
      <c r="K603" s="6">
        <v>0</v>
      </c>
      <c r="M603" s="6">
        <v>0</v>
      </c>
      <c r="O603" s="6">
        <v>657316</v>
      </c>
      <c r="Q603" s="6">
        <v>809625</v>
      </c>
      <c r="S603" s="6">
        <v>24927</v>
      </c>
      <c r="U603" s="6">
        <v>1910985</v>
      </c>
      <c r="W603" s="6">
        <v>574518</v>
      </c>
      <c r="Y603" s="6">
        <v>0</v>
      </c>
      <c r="AA603" s="6">
        <v>2824492</v>
      </c>
      <c r="AC603" s="6">
        <v>2216069</v>
      </c>
      <c r="AE603" s="6">
        <v>336920</v>
      </c>
      <c r="AG603" s="6">
        <v>0</v>
      </c>
      <c r="AI603" s="6">
        <v>13539</v>
      </c>
      <c r="AJ603" s="11" t="s">
        <v>220</v>
      </c>
      <c r="AK603" s="11"/>
      <c r="AL603" s="11" t="s">
        <v>77</v>
      </c>
      <c r="AN603" s="6">
        <v>643355</v>
      </c>
      <c r="AP603" s="6">
        <v>238724</v>
      </c>
      <c r="AR603" s="6">
        <v>0</v>
      </c>
      <c r="AT603" s="6">
        <v>494000</v>
      </c>
      <c r="AV603" s="6">
        <v>170105</v>
      </c>
      <c r="AX603" s="6">
        <v>0</v>
      </c>
      <c r="AZ603" s="7">
        <f t="shared" si="70"/>
        <v>30128774</v>
      </c>
      <c r="BB603" s="6">
        <v>0</v>
      </c>
      <c r="BH603" s="6">
        <v>0</v>
      </c>
      <c r="BJ603" s="7">
        <f t="shared" si="71"/>
        <v>30128774</v>
      </c>
      <c r="BL603" s="7">
        <f>'Gov Fd Rev'!AO603-'Gov Fd Exp'!BJ603</f>
        <v>240303</v>
      </c>
      <c r="BN603" s="6">
        <v>4436940</v>
      </c>
      <c r="BP603" s="6">
        <v>0</v>
      </c>
      <c r="BR603" s="6">
        <v>0</v>
      </c>
      <c r="BT603" s="7">
        <f t="shared" si="72"/>
        <v>4677243</v>
      </c>
      <c r="BU603" s="7"/>
      <c r="BV603" s="7">
        <f>BT603-'Gov Fd BS'!AC603</f>
        <v>0</v>
      </c>
      <c r="BW603" s="7"/>
    </row>
    <row r="604" spans="1:75">
      <c r="A604" s="11" t="s">
        <v>458</v>
      </c>
      <c r="B604" s="11"/>
      <c r="C604" s="11" t="s">
        <v>55</v>
      </c>
      <c r="E604" s="6">
        <v>3277195</v>
      </c>
      <c r="G604" s="6">
        <v>1524451</v>
      </c>
      <c r="I604" s="6">
        <v>0</v>
      </c>
      <c r="K604" s="6">
        <v>0</v>
      </c>
      <c r="M604" s="6">
        <v>718777</v>
      </c>
      <c r="O604" s="6">
        <v>474242</v>
      </c>
      <c r="Q604" s="6">
        <v>421921</v>
      </c>
      <c r="S604" s="6">
        <v>14877</v>
      </c>
      <c r="U604" s="6">
        <v>824218</v>
      </c>
      <c r="W604" s="6">
        <v>216527</v>
      </c>
      <c r="Y604" s="6">
        <v>0</v>
      </c>
      <c r="AA604" s="6">
        <v>874915</v>
      </c>
      <c r="AC604" s="6">
        <v>777714</v>
      </c>
      <c r="AE604" s="6">
        <v>106917</v>
      </c>
      <c r="AG604" s="6">
        <v>0</v>
      </c>
      <c r="AI604" s="6">
        <v>472505</v>
      </c>
      <c r="AJ604" s="11" t="s">
        <v>458</v>
      </c>
      <c r="AK604" s="11"/>
      <c r="AL604" s="11" t="s">
        <v>55</v>
      </c>
      <c r="AN604" s="6">
        <v>175389</v>
      </c>
      <c r="AP604" s="6">
        <v>0</v>
      </c>
      <c r="AR604" s="6">
        <v>0</v>
      </c>
      <c r="AT604" s="6">
        <v>55000</v>
      </c>
      <c r="AV604" s="6">
        <v>25369</v>
      </c>
      <c r="AX604" s="6">
        <v>51513</v>
      </c>
      <c r="AZ604" s="7">
        <f t="shared" si="70"/>
        <v>10011530</v>
      </c>
      <c r="BB604" s="6">
        <v>134307</v>
      </c>
      <c r="BH604" s="6">
        <v>0</v>
      </c>
      <c r="BJ604" s="7">
        <f t="shared" si="71"/>
        <v>10145837</v>
      </c>
      <c r="BL604" s="7">
        <f>'Gov Fd Rev'!AO604-'Gov Fd Exp'!BJ604</f>
        <v>-591914</v>
      </c>
      <c r="BN604" s="6">
        <v>4123698</v>
      </c>
      <c r="BP604" s="6">
        <v>0</v>
      </c>
      <c r="BR604" s="6">
        <v>0</v>
      </c>
      <c r="BT604" s="7">
        <f t="shared" si="72"/>
        <v>3531784</v>
      </c>
      <c r="BU604" s="7"/>
      <c r="BV604" s="7">
        <f>BT604-'Gov Fd BS'!AC604</f>
        <v>0</v>
      </c>
      <c r="BW604" s="7"/>
    </row>
    <row r="605" spans="1:75" ht="12" customHeight="1">
      <c r="A605" s="11" t="s">
        <v>359</v>
      </c>
      <c r="B605" s="11"/>
      <c r="C605" s="11" t="s">
        <v>37</v>
      </c>
      <c r="E605" s="6">
        <v>5506969</v>
      </c>
      <c r="G605" s="6">
        <v>1420484</v>
      </c>
      <c r="I605" s="6">
        <v>177018</v>
      </c>
      <c r="K605" s="6">
        <v>0</v>
      </c>
      <c r="M605" s="6">
        <v>259786</v>
      </c>
      <c r="O605" s="6">
        <v>222930</v>
      </c>
      <c r="Q605" s="6">
        <v>788693</v>
      </c>
      <c r="S605" s="6">
        <v>82531</v>
      </c>
      <c r="U605" s="6">
        <v>931661</v>
      </c>
      <c r="W605" s="6">
        <v>435456</v>
      </c>
      <c r="Y605" s="6">
        <v>37883</v>
      </c>
      <c r="AA605" s="6">
        <v>1018915</v>
      </c>
      <c r="AC605" s="6">
        <v>703478</v>
      </c>
      <c r="AE605" s="6">
        <v>23993</v>
      </c>
      <c r="AG605" s="6">
        <v>469319</v>
      </c>
      <c r="AI605" s="6">
        <v>203895</v>
      </c>
      <c r="AJ605" s="11" t="s">
        <v>359</v>
      </c>
      <c r="AK605" s="11"/>
      <c r="AL605" s="11" t="s">
        <v>37</v>
      </c>
      <c r="AN605" s="6">
        <v>489257</v>
      </c>
      <c r="AP605" s="6">
        <f>1761+76000</f>
        <v>77761</v>
      </c>
      <c r="AR605" s="6">
        <v>0</v>
      </c>
      <c r="AT605" s="6">
        <v>215410</v>
      </c>
      <c r="AV605" s="6">
        <v>71318</v>
      </c>
      <c r="AX605" s="6">
        <v>0</v>
      </c>
      <c r="AZ605" s="7">
        <f t="shared" si="70"/>
        <v>13136757</v>
      </c>
      <c r="BB605" s="6">
        <v>0</v>
      </c>
      <c r="BH605" s="6">
        <v>0</v>
      </c>
      <c r="BJ605" s="7">
        <f t="shared" si="71"/>
        <v>13136757</v>
      </c>
      <c r="BL605" s="7">
        <f>'Gov Fd Rev'!AO605-'Gov Fd Exp'!BJ605</f>
        <v>-288578</v>
      </c>
      <c r="BN605" s="6">
        <v>2016541</v>
      </c>
      <c r="BP605" s="6">
        <v>0</v>
      </c>
      <c r="BR605" s="6">
        <v>0</v>
      </c>
      <c r="BT605" s="7">
        <f t="shared" si="72"/>
        <v>1727963</v>
      </c>
      <c r="BU605" s="7"/>
      <c r="BV605" s="7">
        <f>BT605-'Gov Fd BS'!AC605</f>
        <v>0</v>
      </c>
      <c r="BW605" s="7"/>
    </row>
    <row r="606" spans="1:75">
      <c r="A606" s="11" t="s">
        <v>359</v>
      </c>
      <c r="B606" s="11"/>
      <c r="C606" s="11" t="s">
        <v>45</v>
      </c>
      <c r="E606" s="6">
        <v>2891203</v>
      </c>
      <c r="G606" s="6">
        <v>831351</v>
      </c>
      <c r="I606" s="6">
        <v>364661</v>
      </c>
      <c r="K606" s="6">
        <v>3645</v>
      </c>
      <c r="M606" s="6">
        <v>78025</v>
      </c>
      <c r="O606" s="6">
        <v>295277</v>
      </c>
      <c r="Q606" s="6">
        <v>378694</v>
      </c>
      <c r="S606" s="6">
        <v>22034</v>
      </c>
      <c r="U606" s="6">
        <v>688922</v>
      </c>
      <c r="W606" s="6">
        <v>299693</v>
      </c>
      <c r="Y606" s="6">
        <v>33824</v>
      </c>
      <c r="AA606" s="6">
        <v>706607</v>
      </c>
      <c r="AC606" s="6">
        <v>556668</v>
      </c>
      <c r="AE606" s="6">
        <v>20746</v>
      </c>
      <c r="AG606" s="6">
        <v>241341</v>
      </c>
      <c r="AI606" s="6">
        <v>24649</v>
      </c>
      <c r="AJ606" s="11" t="s">
        <v>359</v>
      </c>
      <c r="AK606" s="11"/>
      <c r="AL606" s="11" t="s">
        <v>45</v>
      </c>
      <c r="AN606" s="6">
        <v>391221</v>
      </c>
      <c r="AP606" s="6">
        <v>4736278</v>
      </c>
      <c r="AR606" s="6">
        <v>0</v>
      </c>
      <c r="AT606" s="6">
        <v>228406</v>
      </c>
      <c r="AV606" s="6">
        <v>450440</v>
      </c>
      <c r="AX606" s="6">
        <v>0</v>
      </c>
      <c r="AZ606" s="7">
        <f t="shared" si="70"/>
        <v>13243685</v>
      </c>
      <c r="BB606" s="6">
        <v>41831</v>
      </c>
      <c r="BH606" s="6">
        <v>0</v>
      </c>
      <c r="BJ606" s="7">
        <f t="shared" si="71"/>
        <v>13285516</v>
      </c>
      <c r="BL606" s="7">
        <f>'Gov Fd Rev'!AO606-'Gov Fd Exp'!BJ606</f>
        <v>-3983089</v>
      </c>
      <c r="BN606" s="6">
        <v>7153386</v>
      </c>
      <c r="BP606" s="6">
        <v>0</v>
      </c>
      <c r="BR606" s="6">
        <v>0</v>
      </c>
      <c r="BT606" s="7">
        <f t="shared" si="72"/>
        <v>3170297</v>
      </c>
      <c r="BU606" s="7"/>
      <c r="BV606" s="7">
        <f>BT606-'Gov Fd BS'!AC606</f>
        <v>0</v>
      </c>
      <c r="BW606" s="7"/>
    </row>
    <row r="607" spans="1:75">
      <c r="A607" s="11" t="s">
        <v>309</v>
      </c>
      <c r="B607" s="11"/>
      <c r="C607" s="11" t="s">
        <v>27</v>
      </c>
      <c r="E607" s="6">
        <v>71201427</v>
      </c>
      <c r="G607" s="6">
        <v>20784931</v>
      </c>
      <c r="I607" s="6">
        <v>212194</v>
      </c>
      <c r="K607" s="6">
        <v>0</v>
      </c>
      <c r="M607" s="6">
        <v>840636</v>
      </c>
      <c r="O607" s="6">
        <v>12552182</v>
      </c>
      <c r="Q607" s="6">
        <v>9085119</v>
      </c>
      <c r="S607" s="6">
        <v>1424110</v>
      </c>
      <c r="U607" s="6">
        <v>11299484</v>
      </c>
      <c r="W607" s="6">
        <v>2620580</v>
      </c>
      <c r="Y607" s="6">
        <v>860314</v>
      </c>
      <c r="AA607" s="6">
        <v>12927669</v>
      </c>
      <c r="AC607" s="6">
        <v>8183791</v>
      </c>
      <c r="AE607" s="6">
        <v>2322652</v>
      </c>
      <c r="AG607" s="6">
        <v>4498250</v>
      </c>
      <c r="AI607" s="6">
        <v>978110</v>
      </c>
      <c r="AJ607" s="11" t="s">
        <v>309</v>
      </c>
      <c r="AK607" s="11"/>
      <c r="AL607" s="11" t="s">
        <v>27</v>
      </c>
      <c r="AN607" s="6">
        <v>3152392</v>
      </c>
      <c r="AP607" s="6">
        <v>10212668</v>
      </c>
      <c r="AR607" s="6">
        <v>0</v>
      </c>
      <c r="AT607" s="6">
        <v>6535000</v>
      </c>
      <c r="AV607" s="6">
        <v>4887569</v>
      </c>
      <c r="AX607" s="6">
        <v>0</v>
      </c>
      <c r="AZ607" s="7">
        <f t="shared" si="70"/>
        <v>184579078</v>
      </c>
      <c r="BB607" s="6">
        <v>2980338</v>
      </c>
      <c r="BH607" s="6">
        <v>0</v>
      </c>
      <c r="BJ607" s="7">
        <f t="shared" si="71"/>
        <v>187559416</v>
      </c>
      <c r="BL607" s="7">
        <f>'Gov Fd Rev'!AO607-'Gov Fd Exp'!BJ607</f>
        <v>-7950330</v>
      </c>
      <c r="BN607" s="6">
        <v>46494862</v>
      </c>
      <c r="BP607" s="6">
        <v>0</v>
      </c>
      <c r="BR607" s="6">
        <v>0</v>
      </c>
      <c r="BT607" s="7">
        <f t="shared" si="72"/>
        <v>38544532</v>
      </c>
      <c r="BU607" s="7"/>
      <c r="BV607" s="7">
        <f>BT607-'Gov Fd BS'!AC607</f>
        <v>0</v>
      </c>
      <c r="BW607" s="7"/>
    </row>
    <row r="608" spans="1:75">
      <c r="A608" s="11" t="s">
        <v>455</v>
      </c>
      <c r="B608" s="11"/>
      <c r="C608" s="11" t="s">
        <v>54</v>
      </c>
      <c r="E608" s="6">
        <v>6521495</v>
      </c>
      <c r="G608" s="6">
        <v>1950656</v>
      </c>
      <c r="I608" s="6">
        <v>29238</v>
      </c>
      <c r="K608" s="6">
        <v>0</v>
      </c>
      <c r="M608" s="6">
        <v>40621</v>
      </c>
      <c r="O608" s="6">
        <v>208716</v>
      </c>
      <c r="Q608" s="6">
        <v>750784</v>
      </c>
      <c r="S608" s="6">
        <v>259500</v>
      </c>
      <c r="U608" s="6">
        <v>1411411</v>
      </c>
      <c r="W608" s="6">
        <v>423262</v>
      </c>
      <c r="Y608" s="6">
        <v>62104</v>
      </c>
      <c r="AA608" s="6">
        <v>1157542</v>
      </c>
      <c r="AC608" s="6">
        <v>1055608</v>
      </c>
      <c r="AE608" s="6">
        <v>328857</v>
      </c>
      <c r="AG608" s="6">
        <v>0</v>
      </c>
      <c r="AI608" s="6">
        <v>642812</v>
      </c>
      <c r="AJ608" s="11" t="s">
        <v>455</v>
      </c>
      <c r="AK608" s="11"/>
      <c r="AL608" s="11" t="s">
        <v>54</v>
      </c>
      <c r="AN608" s="6">
        <v>359750</v>
      </c>
      <c r="AP608" s="6">
        <v>851220</v>
      </c>
      <c r="AR608" s="6">
        <v>0</v>
      </c>
      <c r="AT608" s="6">
        <v>365000</v>
      </c>
      <c r="AV608" s="6">
        <v>197695</v>
      </c>
      <c r="AX608" s="6">
        <v>0</v>
      </c>
      <c r="AZ608" s="7">
        <f t="shared" si="70"/>
        <v>16616271</v>
      </c>
      <c r="BB608" s="6">
        <v>351278</v>
      </c>
      <c r="BH608" s="6">
        <v>0</v>
      </c>
      <c r="BJ608" s="7">
        <f t="shared" si="71"/>
        <v>16967549</v>
      </c>
      <c r="BL608" s="7">
        <f>'Gov Fd Rev'!AO608-'Gov Fd Exp'!BJ608</f>
        <v>311210</v>
      </c>
      <c r="BN608" s="6">
        <v>7065468</v>
      </c>
      <c r="BP608" s="6">
        <v>0</v>
      </c>
      <c r="BR608" s="6">
        <v>0</v>
      </c>
      <c r="BT608" s="7">
        <f t="shared" si="72"/>
        <v>7376678</v>
      </c>
      <c r="BU608" s="7"/>
      <c r="BV608" s="7">
        <f>BT608-'Gov Fd BS'!AC608</f>
        <v>0</v>
      </c>
      <c r="BW608" s="7"/>
    </row>
    <row r="609" spans="1:75">
      <c r="A609" s="11" t="s">
        <v>281</v>
      </c>
      <c r="B609" s="11"/>
      <c r="C609" s="11" t="s">
        <v>20</v>
      </c>
      <c r="E609" s="6">
        <v>23070405</v>
      </c>
      <c r="G609" s="6">
        <v>5027566</v>
      </c>
      <c r="I609" s="6">
        <v>261561</v>
      </c>
      <c r="K609" s="6">
        <v>68779</v>
      </c>
      <c r="M609" s="6">
        <v>1991929</v>
      </c>
      <c r="O609" s="6">
        <v>3657070</v>
      </c>
      <c r="Q609" s="6">
        <v>3836991</v>
      </c>
      <c r="S609" s="6">
        <v>34898</v>
      </c>
      <c r="U609" s="6">
        <v>3048722</v>
      </c>
      <c r="W609" s="6">
        <v>1332699</v>
      </c>
      <c r="Y609" s="6">
        <v>414840</v>
      </c>
      <c r="AA609" s="6">
        <v>4426443</v>
      </c>
      <c r="AC609" s="6">
        <v>4221894</v>
      </c>
      <c r="AE609" s="6">
        <v>113063</v>
      </c>
      <c r="AG609" s="6">
        <v>1302398</v>
      </c>
      <c r="AI609" s="6">
        <v>725855</v>
      </c>
      <c r="AJ609" s="11" t="s">
        <v>281</v>
      </c>
      <c r="AK609" s="11"/>
      <c r="AL609" s="11" t="s">
        <v>20</v>
      </c>
      <c r="AN609" s="6">
        <v>1502937</v>
      </c>
      <c r="AP609" s="6">
        <v>19583160</v>
      </c>
      <c r="AR609" s="6">
        <v>0</v>
      </c>
      <c r="AT609" s="6">
        <v>4029164</v>
      </c>
      <c r="AV609" s="6">
        <f>4977989+108493</f>
        <v>5086482</v>
      </c>
      <c r="AX609" s="6">
        <v>0</v>
      </c>
      <c r="AZ609" s="7">
        <f t="shared" si="70"/>
        <v>83736856</v>
      </c>
      <c r="BB609" s="6">
        <v>10000</v>
      </c>
      <c r="BH609" s="6">
        <v>6967612</v>
      </c>
      <c r="BJ609" s="7">
        <f t="shared" si="71"/>
        <v>90714468</v>
      </c>
      <c r="BL609" s="7">
        <f>'Gov Fd Rev'!AO609-'Gov Fd Exp'!BJ609</f>
        <v>-20869701</v>
      </c>
      <c r="BN609" s="6">
        <v>110256994</v>
      </c>
      <c r="BP609" s="6">
        <v>0</v>
      </c>
      <c r="BR609" s="6">
        <v>0</v>
      </c>
      <c r="BT609" s="7">
        <f t="shared" si="72"/>
        <v>89387293</v>
      </c>
      <c r="BU609" s="7"/>
      <c r="BV609" s="7">
        <f>BT609-'Gov Fd BS'!AC609</f>
        <v>0</v>
      </c>
      <c r="BW609" s="7"/>
    </row>
    <row r="610" spans="1:75">
      <c r="A610" s="11" t="s">
        <v>486</v>
      </c>
      <c r="B610" s="11"/>
      <c r="C610" s="11" t="s">
        <v>59</v>
      </c>
      <c r="E610" s="6">
        <v>7280656</v>
      </c>
      <c r="G610" s="6">
        <v>1257518</v>
      </c>
      <c r="I610" s="6">
        <v>5446</v>
      </c>
      <c r="K610" s="6">
        <v>0</v>
      </c>
      <c r="M610" s="6">
        <v>3514</v>
      </c>
      <c r="O610" s="6">
        <v>701984</v>
      </c>
      <c r="Q610" s="6">
        <v>592840</v>
      </c>
      <c r="S610" s="6">
        <v>67284</v>
      </c>
      <c r="U610" s="6">
        <v>925299</v>
      </c>
      <c r="W610" s="6">
        <v>319034</v>
      </c>
      <c r="Y610" s="6">
        <v>0</v>
      </c>
      <c r="AA610" s="6">
        <v>1303204</v>
      </c>
      <c r="AC610" s="6">
        <v>533092</v>
      </c>
      <c r="AE610" s="6">
        <v>103539</v>
      </c>
      <c r="AG610" s="6">
        <v>531727</v>
      </c>
      <c r="AI610" s="6">
        <v>138553</v>
      </c>
      <c r="AJ610" s="11" t="s">
        <v>486</v>
      </c>
      <c r="AK610" s="11"/>
      <c r="AL610" s="11" t="s">
        <v>59</v>
      </c>
      <c r="AN610" s="6">
        <v>611207</v>
      </c>
      <c r="AP610" s="6">
        <v>2444468</v>
      </c>
      <c r="AR610" s="6">
        <v>0</v>
      </c>
      <c r="AT610" s="6">
        <v>306046</v>
      </c>
      <c r="AV610" s="6">
        <v>420992</v>
      </c>
      <c r="AX610" s="6">
        <v>0</v>
      </c>
      <c r="AZ610" s="7">
        <f t="shared" si="70"/>
        <v>17546403</v>
      </c>
      <c r="BB610" s="6">
        <v>21392</v>
      </c>
      <c r="BH610" s="6">
        <v>0</v>
      </c>
      <c r="BJ610" s="7">
        <f t="shared" si="71"/>
        <v>17567795</v>
      </c>
      <c r="BL610" s="7">
        <f>'Gov Fd Rev'!AO610-'Gov Fd Exp'!BJ610</f>
        <v>-1514592</v>
      </c>
      <c r="BN610" s="6">
        <v>3664288</v>
      </c>
      <c r="BP610" s="6">
        <v>0</v>
      </c>
      <c r="BR610" s="6">
        <v>0</v>
      </c>
      <c r="BT610" s="7">
        <f t="shared" si="72"/>
        <v>2149696</v>
      </c>
      <c r="BU610" s="7"/>
      <c r="BV610" s="7">
        <f>BT610-'Gov Fd BS'!AC610</f>
        <v>0</v>
      </c>
      <c r="BW610" s="7"/>
    </row>
    <row r="611" spans="1:75">
      <c r="A611" s="11" t="s">
        <v>310</v>
      </c>
      <c r="B611" s="11"/>
      <c r="C611" s="11" t="s">
        <v>27</v>
      </c>
      <c r="E611" s="6">
        <v>15756853</v>
      </c>
      <c r="G611" s="6">
        <v>6281677</v>
      </c>
      <c r="I611" s="6">
        <v>343610</v>
      </c>
      <c r="K611" s="6">
        <v>0</v>
      </c>
      <c r="M611" s="6">
        <v>88665</v>
      </c>
      <c r="O611" s="6">
        <v>1741005</v>
      </c>
      <c r="Q611" s="6">
        <v>1485197</v>
      </c>
      <c r="S611" s="6">
        <v>123879</v>
      </c>
      <c r="U611" s="6">
        <v>2867336</v>
      </c>
      <c r="W611" s="6">
        <v>0</v>
      </c>
      <c r="Y611" s="6">
        <v>802828</v>
      </c>
      <c r="AA611" s="6">
        <v>2604332</v>
      </c>
      <c r="AC611" s="6">
        <v>1395516</v>
      </c>
      <c r="AE611" s="6">
        <v>602636</v>
      </c>
      <c r="AG611" s="6">
        <v>1293502</v>
      </c>
      <c r="AI611" s="6">
        <v>92176</v>
      </c>
      <c r="AJ611" s="11" t="s">
        <v>310</v>
      </c>
      <c r="AK611" s="11"/>
      <c r="AL611" s="11" t="s">
        <v>27</v>
      </c>
      <c r="AN611" s="6">
        <v>652418</v>
      </c>
      <c r="AP611" s="6">
        <v>27072473</v>
      </c>
      <c r="AR611" s="6">
        <v>0</v>
      </c>
      <c r="AT611" s="6">
        <v>827496</v>
      </c>
      <c r="AV611" s="6">
        <v>1278386</v>
      </c>
      <c r="AX611" s="6">
        <v>0</v>
      </c>
      <c r="AZ611" s="7">
        <f t="shared" si="70"/>
        <v>65309985</v>
      </c>
      <c r="BB611" s="6">
        <v>0</v>
      </c>
      <c r="BH611" s="6">
        <v>0</v>
      </c>
      <c r="BJ611" s="7">
        <f t="shared" si="71"/>
        <v>65309985</v>
      </c>
      <c r="BL611" s="7">
        <f>'Gov Fd Rev'!AO611-'Gov Fd Exp'!BJ611</f>
        <v>-20034259</v>
      </c>
      <c r="BN611" s="6">
        <v>68761359</v>
      </c>
      <c r="BP611" s="6">
        <v>0</v>
      </c>
      <c r="BR611" s="6">
        <v>0</v>
      </c>
      <c r="BT611" s="7">
        <f t="shared" si="72"/>
        <v>48727100</v>
      </c>
      <c r="BU611" s="7"/>
      <c r="BV611" s="7">
        <f>BT611-'Gov Fd BS'!AC611</f>
        <v>0</v>
      </c>
      <c r="BW611" s="7"/>
    </row>
    <row r="612" spans="1:75" hidden="1">
      <c r="A612" s="11" t="s">
        <v>622</v>
      </c>
      <c r="B612" s="11"/>
      <c r="C612" s="11" t="s">
        <v>41</v>
      </c>
      <c r="AJ612" s="11" t="s">
        <v>622</v>
      </c>
      <c r="AK612" s="11"/>
      <c r="AL612" s="11" t="s">
        <v>41</v>
      </c>
      <c r="AZ612" s="7">
        <f t="shared" si="70"/>
        <v>0</v>
      </c>
      <c r="BJ612" s="7">
        <f t="shared" si="71"/>
        <v>0</v>
      </c>
      <c r="BL612" s="7">
        <f>'Gov Fd Rev'!AO612-'Gov Fd Exp'!BJ612</f>
        <v>0</v>
      </c>
      <c r="BR612" s="6">
        <v>0</v>
      </c>
      <c r="BT612" s="7">
        <f t="shared" si="72"/>
        <v>0</v>
      </c>
      <c r="BU612" s="7"/>
      <c r="BV612" s="7">
        <f>BT612-'Gov Fd BS'!AC612</f>
        <v>0</v>
      </c>
      <c r="BW612" s="7"/>
    </row>
    <row r="613" spans="1:75">
      <c r="A613" s="11" t="s">
        <v>360</v>
      </c>
      <c r="B613" s="11"/>
      <c r="C613" s="11" t="s">
        <v>37</v>
      </c>
      <c r="E613" s="6">
        <v>7399819</v>
      </c>
      <c r="G613" s="6">
        <v>1638225</v>
      </c>
      <c r="I613" s="6">
        <v>205384</v>
      </c>
      <c r="K613" s="6">
        <v>0</v>
      </c>
      <c r="M613" s="6">
        <v>2232800</v>
      </c>
      <c r="O613" s="6">
        <v>809791</v>
      </c>
      <c r="Q613" s="6">
        <v>656738</v>
      </c>
      <c r="S613" s="6">
        <v>460595</v>
      </c>
      <c r="U613" s="6">
        <v>1730462</v>
      </c>
      <c r="W613" s="6">
        <v>296692</v>
      </c>
      <c r="Y613" s="6">
        <v>35627</v>
      </c>
      <c r="AA613" s="6">
        <v>1218091</v>
      </c>
      <c r="AC613" s="6">
        <v>775845</v>
      </c>
      <c r="AE613" s="6">
        <v>4028</v>
      </c>
      <c r="AG613" s="6">
        <v>925933</v>
      </c>
      <c r="AI613" s="6">
        <v>207871</v>
      </c>
      <c r="AJ613" s="11" t="s">
        <v>360</v>
      </c>
      <c r="AK613" s="11"/>
      <c r="AL613" s="11" t="s">
        <v>37</v>
      </c>
      <c r="AN613" s="6">
        <v>592787</v>
      </c>
      <c r="AP613" s="6">
        <v>1621528</v>
      </c>
      <c r="AR613" s="6">
        <v>0</v>
      </c>
      <c r="AT613" s="6">
        <v>311045</v>
      </c>
      <c r="AV613" s="6">
        <f>1036845+251258</f>
        <v>1288103</v>
      </c>
      <c r="AX613" s="6">
        <v>0</v>
      </c>
      <c r="AZ613" s="7">
        <f t="shared" si="70"/>
        <v>22411364</v>
      </c>
      <c r="BB613" s="6">
        <v>58248</v>
      </c>
      <c r="BH613" s="6">
        <v>0</v>
      </c>
      <c r="BJ613" s="7">
        <f t="shared" si="71"/>
        <v>22469612</v>
      </c>
      <c r="BL613" s="7">
        <f>'Gov Fd Rev'!AO613-'Gov Fd Exp'!BJ613</f>
        <v>19553407</v>
      </c>
      <c r="BN613" s="6">
        <v>2550744</v>
      </c>
      <c r="BP613" s="6">
        <v>0</v>
      </c>
      <c r="BR613" s="6">
        <v>0</v>
      </c>
      <c r="BT613" s="7">
        <f t="shared" si="72"/>
        <v>22104151</v>
      </c>
      <c r="BU613" s="7"/>
      <c r="BV613" s="7">
        <f>BT613-'Gov Fd BS'!AC613</f>
        <v>0</v>
      </c>
      <c r="BW613" s="7"/>
    </row>
    <row r="614" spans="1:75" hidden="1">
      <c r="A614" s="11" t="s">
        <v>893</v>
      </c>
      <c r="B614" s="11"/>
      <c r="C614" s="11" t="s">
        <v>113</v>
      </c>
      <c r="E614" s="6">
        <v>0</v>
      </c>
      <c r="G614" s="6">
        <v>0</v>
      </c>
      <c r="I614" s="6">
        <v>0</v>
      </c>
      <c r="K614" s="6">
        <v>0</v>
      </c>
      <c r="M614" s="6">
        <v>0</v>
      </c>
      <c r="O614" s="6">
        <v>0</v>
      </c>
      <c r="Q614" s="6">
        <v>0</v>
      </c>
      <c r="S614" s="6">
        <v>0</v>
      </c>
      <c r="U614" s="6">
        <v>0</v>
      </c>
      <c r="W614" s="6">
        <v>0</v>
      </c>
      <c r="Y614" s="6">
        <v>0</v>
      </c>
      <c r="AA614" s="6">
        <v>0</v>
      </c>
      <c r="AC614" s="6">
        <v>0</v>
      </c>
      <c r="AE614" s="6">
        <v>0</v>
      </c>
      <c r="AG614" s="6">
        <v>0</v>
      </c>
      <c r="AI614" s="6">
        <v>0</v>
      </c>
      <c r="AJ614" s="11" t="s">
        <v>893</v>
      </c>
      <c r="AK614" s="11"/>
      <c r="AL614" s="11" t="s">
        <v>113</v>
      </c>
      <c r="AN614" s="6">
        <v>0</v>
      </c>
      <c r="AP614" s="6">
        <v>0</v>
      </c>
      <c r="AR614" s="6">
        <v>0</v>
      </c>
      <c r="AT614" s="6">
        <v>0</v>
      </c>
      <c r="AV614" s="6">
        <v>0</v>
      </c>
      <c r="AX614" s="6">
        <v>0</v>
      </c>
      <c r="AZ614" s="7">
        <f t="shared" si="70"/>
        <v>0</v>
      </c>
      <c r="BB614" s="6">
        <v>0</v>
      </c>
      <c r="BH614" s="6">
        <v>0</v>
      </c>
      <c r="BJ614" s="7">
        <f t="shared" si="71"/>
        <v>0</v>
      </c>
      <c r="BL614" s="7">
        <f>'Gov Fd Rev'!AO614-'Gov Fd Exp'!BJ614</f>
        <v>0</v>
      </c>
      <c r="BP614" s="6">
        <v>0</v>
      </c>
      <c r="BR614" s="6">
        <v>0</v>
      </c>
      <c r="BT614" s="7">
        <f t="shared" si="72"/>
        <v>0</v>
      </c>
      <c r="BU614" s="7"/>
      <c r="BV614" s="7">
        <f>BT614-'Gov Fd BS'!AC614</f>
        <v>0</v>
      </c>
      <c r="BW614" s="7"/>
    </row>
    <row r="615" spans="1:75">
      <c r="A615" s="11" t="s">
        <v>365</v>
      </c>
      <c r="B615" s="11"/>
      <c r="C615" s="11" t="s">
        <v>41</v>
      </c>
      <c r="E615" s="6">
        <v>38331792</v>
      </c>
      <c r="G615" s="6">
        <v>14282377</v>
      </c>
      <c r="I615" s="6">
        <v>1235390</v>
      </c>
      <c r="K615" s="6">
        <v>264435</v>
      </c>
      <c r="M615" s="6">
        <v>519888</v>
      </c>
      <c r="O615" s="6">
        <v>7828714</v>
      </c>
      <c r="Q615" s="6">
        <v>3477336</v>
      </c>
      <c r="S615" s="6">
        <v>385725</v>
      </c>
      <c r="U615" s="6">
        <v>5513376</v>
      </c>
      <c r="W615" s="6">
        <v>1715919</v>
      </c>
      <c r="Y615" s="6">
        <v>282484</v>
      </c>
      <c r="AA615" s="6">
        <v>8916943</v>
      </c>
      <c r="AC615" s="6">
        <v>6443211</v>
      </c>
      <c r="AE615" s="6">
        <v>1567541</v>
      </c>
      <c r="AG615" s="6">
        <v>2408619</v>
      </c>
      <c r="AI615" s="6">
        <v>1081549</v>
      </c>
      <c r="AJ615" s="11" t="s">
        <v>365</v>
      </c>
      <c r="AK615" s="11"/>
      <c r="AL615" s="11" t="s">
        <v>41</v>
      </c>
      <c r="AN615" s="6">
        <v>1965128</v>
      </c>
      <c r="AP615" s="6">
        <v>6708707</v>
      </c>
      <c r="AR615" s="6">
        <v>0</v>
      </c>
      <c r="AT615" s="6">
        <v>325000</v>
      </c>
      <c r="AV615" s="6">
        <v>1339828</v>
      </c>
      <c r="AX615" s="6">
        <v>0</v>
      </c>
      <c r="AZ615" s="7">
        <f t="shared" si="70"/>
        <v>104593962</v>
      </c>
      <c r="BB615" s="6">
        <v>2026824</v>
      </c>
      <c r="BH615" s="6">
        <v>0</v>
      </c>
      <c r="BJ615" s="7">
        <f t="shared" si="71"/>
        <v>106620786</v>
      </c>
      <c r="BL615" s="7">
        <f>'Gov Fd Rev'!AO615-'Gov Fd Exp'!BJ615</f>
        <v>-2892602</v>
      </c>
      <c r="BN615" s="6">
        <v>31851286</v>
      </c>
      <c r="BP615" s="6">
        <v>0</v>
      </c>
      <c r="BR615" s="6">
        <v>0</v>
      </c>
      <c r="BT615" s="7">
        <f t="shared" si="72"/>
        <v>28958684</v>
      </c>
      <c r="BU615" s="7"/>
      <c r="BV615" s="7">
        <f>BT615-'Gov Fd BS'!AC615</f>
        <v>0</v>
      </c>
      <c r="BW615" s="7"/>
    </row>
    <row r="616" spans="1:75">
      <c r="A616" s="11" t="s">
        <v>245</v>
      </c>
      <c r="B616" s="11"/>
      <c r="C616" s="11" t="s">
        <v>18</v>
      </c>
      <c r="E616" s="6">
        <v>12803130</v>
      </c>
      <c r="G616" s="6">
        <v>2791969</v>
      </c>
      <c r="I616" s="6">
        <v>230862</v>
      </c>
      <c r="K616" s="6">
        <v>0</v>
      </c>
      <c r="M616" s="6">
        <v>660821</v>
      </c>
      <c r="O616" s="6">
        <v>1609263</v>
      </c>
      <c r="Q616" s="6">
        <v>1683420</v>
      </c>
      <c r="S616" s="6">
        <v>106321</v>
      </c>
      <c r="U616" s="6">
        <v>1423053</v>
      </c>
      <c r="W616" s="6">
        <v>736844</v>
      </c>
      <c r="Y616" s="6">
        <v>274420</v>
      </c>
      <c r="AA616" s="6">
        <v>2271424</v>
      </c>
      <c r="AC616" s="6">
        <v>1315607</v>
      </c>
      <c r="AE616" s="6">
        <v>287355</v>
      </c>
      <c r="AG616" s="6">
        <v>0</v>
      </c>
      <c r="AI616" s="6">
        <v>1462283</v>
      </c>
      <c r="AJ616" s="11" t="s">
        <v>245</v>
      </c>
      <c r="AK616" s="11"/>
      <c r="AL616" s="11" t="s">
        <v>18</v>
      </c>
      <c r="AN616" s="6">
        <v>630604</v>
      </c>
      <c r="AP616" s="6">
        <v>429019</v>
      </c>
      <c r="AR616" s="6">
        <v>0</v>
      </c>
      <c r="AT616" s="6">
        <v>1357000</v>
      </c>
      <c r="AV616" s="6">
        <v>267685</v>
      </c>
      <c r="AX616" s="6">
        <v>0</v>
      </c>
      <c r="AZ616" s="7">
        <f t="shared" si="70"/>
        <v>30341080</v>
      </c>
      <c r="BB616" s="6">
        <v>0</v>
      </c>
      <c r="BH616" s="6">
        <v>0</v>
      </c>
      <c r="BJ616" s="7">
        <f t="shared" si="71"/>
        <v>30341080</v>
      </c>
      <c r="BL616" s="7">
        <f>'Gov Fd Rev'!AO616-'Gov Fd Exp'!BJ616</f>
        <v>-784813</v>
      </c>
      <c r="BN616" s="6">
        <v>6557933</v>
      </c>
      <c r="BP616" s="6">
        <v>0</v>
      </c>
      <c r="BR616" s="6">
        <v>0</v>
      </c>
      <c r="BT616" s="7">
        <f t="shared" si="72"/>
        <v>5773120</v>
      </c>
      <c r="BU616" s="7"/>
      <c r="BV616" s="7">
        <f>BT616-'Gov Fd BS'!AC616</f>
        <v>0</v>
      </c>
      <c r="BW616" s="7"/>
    </row>
    <row r="617" spans="1:75">
      <c r="A617" s="11" t="s">
        <v>782</v>
      </c>
      <c r="B617" s="11"/>
      <c r="C617" s="11" t="s">
        <v>56</v>
      </c>
      <c r="E617" s="6">
        <v>3183489</v>
      </c>
      <c r="G617" s="6">
        <v>1683101</v>
      </c>
      <c r="I617" s="6">
        <v>62038</v>
      </c>
      <c r="K617" s="6">
        <v>0</v>
      </c>
      <c r="M617" s="6">
        <v>1948</v>
      </c>
      <c r="O617" s="6">
        <v>441273</v>
      </c>
      <c r="Q617" s="6">
        <v>385995</v>
      </c>
      <c r="S617" s="6">
        <v>92158</v>
      </c>
      <c r="U617" s="6">
        <v>633359</v>
      </c>
      <c r="W617" s="6">
        <v>219139</v>
      </c>
      <c r="Y617" s="6">
        <v>12849</v>
      </c>
      <c r="AA617" s="6">
        <v>645456</v>
      </c>
      <c r="AC617" s="6">
        <v>384987</v>
      </c>
      <c r="AE617" s="6">
        <v>84866</v>
      </c>
      <c r="AG617" s="6">
        <v>290661</v>
      </c>
      <c r="AI617" s="6">
        <v>230420</v>
      </c>
      <c r="AJ617" s="11" t="s">
        <v>782</v>
      </c>
      <c r="AK617" s="11"/>
      <c r="AL617" s="11" t="s">
        <v>56</v>
      </c>
      <c r="AN617" s="6">
        <v>626</v>
      </c>
      <c r="AP617" s="6">
        <v>0</v>
      </c>
      <c r="AR617" s="6">
        <v>0</v>
      </c>
      <c r="AT617" s="6">
        <v>60765</v>
      </c>
      <c r="AV617" s="6">
        <v>31933</v>
      </c>
      <c r="AX617" s="6">
        <v>0</v>
      </c>
      <c r="AZ617" s="7">
        <f t="shared" si="70"/>
        <v>8445063</v>
      </c>
      <c r="BB617" s="6">
        <v>0</v>
      </c>
      <c r="BH617" s="6">
        <v>0</v>
      </c>
      <c r="BJ617" s="7">
        <f t="shared" si="71"/>
        <v>8445063</v>
      </c>
      <c r="BL617" s="7">
        <f>'Gov Fd Rev'!AO617-'Gov Fd Exp'!BJ617</f>
        <v>738577</v>
      </c>
      <c r="BN617" s="6">
        <v>1654088</v>
      </c>
      <c r="BP617" s="6">
        <v>-3239</v>
      </c>
      <c r="BR617" s="6">
        <v>0</v>
      </c>
      <c r="BT617" s="7">
        <f t="shared" si="72"/>
        <v>2389426</v>
      </c>
      <c r="BU617" s="7"/>
      <c r="BV617" s="7">
        <f>BT617-'Gov Fd BS'!AC617</f>
        <v>0</v>
      </c>
      <c r="BW617" s="7"/>
    </row>
    <row r="618" spans="1:75">
      <c r="A618" s="11" t="s">
        <v>332</v>
      </c>
      <c r="B618" s="11"/>
      <c r="C618" s="11" t="s">
        <v>32</v>
      </c>
      <c r="E618" s="6">
        <v>19386805</v>
      </c>
      <c r="G618" s="6">
        <v>5821939</v>
      </c>
      <c r="I618" s="6">
        <v>452761</v>
      </c>
      <c r="K618" s="6">
        <v>0</v>
      </c>
      <c r="M618" s="6">
        <v>0</v>
      </c>
      <c r="O618" s="6">
        <v>2596832</v>
      </c>
      <c r="Q618" s="6">
        <v>2943064</v>
      </c>
      <c r="S618" s="6">
        <v>104156</v>
      </c>
      <c r="U618" s="6">
        <v>3249649</v>
      </c>
      <c r="W618" s="6">
        <v>1238211</v>
      </c>
      <c r="Y618" s="6">
        <v>231715</v>
      </c>
      <c r="AA618" s="6">
        <v>3110935</v>
      </c>
      <c r="AC618" s="6">
        <v>2400813</v>
      </c>
      <c r="AE618" s="6">
        <v>936591</v>
      </c>
      <c r="AG618" s="6">
        <v>0</v>
      </c>
      <c r="AI618" s="6">
        <v>2045836</v>
      </c>
      <c r="AJ618" s="11" t="s">
        <v>332</v>
      </c>
      <c r="AK618" s="11"/>
      <c r="AL618" s="11" t="s">
        <v>32</v>
      </c>
      <c r="AN618" s="6">
        <v>824969</v>
      </c>
      <c r="AP618" s="6">
        <v>315477</v>
      </c>
      <c r="AR618" s="6">
        <v>0</v>
      </c>
      <c r="AT618" s="6">
        <v>324111</v>
      </c>
      <c r="AV618" s="6">
        <v>167321</v>
      </c>
      <c r="AX618" s="6">
        <v>0</v>
      </c>
      <c r="AZ618" s="7">
        <f t="shared" si="70"/>
        <v>46151185</v>
      </c>
      <c r="BB618" s="6">
        <v>0</v>
      </c>
      <c r="BH618" s="6">
        <v>0</v>
      </c>
      <c r="BJ618" s="7">
        <f t="shared" si="71"/>
        <v>46151185</v>
      </c>
      <c r="BL618" s="7">
        <f>'Gov Fd Rev'!AO618-'Gov Fd Exp'!BJ618</f>
        <v>3212432</v>
      </c>
      <c r="BN618" s="6">
        <v>10219445</v>
      </c>
      <c r="BP618" s="6">
        <v>0</v>
      </c>
      <c r="BR618" s="6">
        <v>0</v>
      </c>
      <c r="BT618" s="7">
        <f t="shared" si="72"/>
        <v>13431877</v>
      </c>
      <c r="BU618" s="7"/>
      <c r="BV618" s="7">
        <f>BT618-'Gov Fd BS'!AC618</f>
        <v>0</v>
      </c>
      <c r="BW618" s="7"/>
    </row>
    <row r="619" spans="1:75">
      <c r="A619" s="11" t="s">
        <v>550</v>
      </c>
      <c r="B619" s="11"/>
      <c r="C619" s="11" t="s">
        <v>70</v>
      </c>
      <c r="E619" s="6">
        <v>3081261</v>
      </c>
      <c r="G619" s="6">
        <v>447791</v>
      </c>
      <c r="I619" s="6">
        <v>170508</v>
      </c>
      <c r="K619" s="6">
        <v>0</v>
      </c>
      <c r="M619" s="6">
        <v>20868</v>
      </c>
      <c r="O619" s="6">
        <v>261273</v>
      </c>
      <c r="Q619" s="6">
        <v>483424</v>
      </c>
      <c r="S619" s="6">
        <v>19802</v>
      </c>
      <c r="U619" s="6">
        <v>470492</v>
      </c>
      <c r="W619" s="6">
        <v>618411</v>
      </c>
      <c r="Y619" s="6">
        <v>0</v>
      </c>
      <c r="AA619" s="6">
        <v>644667</v>
      </c>
      <c r="AC619" s="6">
        <v>408911</v>
      </c>
      <c r="AE619" s="6">
        <v>40450</v>
      </c>
      <c r="AG619" s="6">
        <v>0</v>
      </c>
      <c r="AI619" s="6">
        <v>248904</v>
      </c>
      <c r="AJ619" s="11" t="s">
        <v>550</v>
      </c>
      <c r="AK619" s="11"/>
      <c r="AL619" s="11" t="s">
        <v>70</v>
      </c>
      <c r="AN619" s="6">
        <v>254040</v>
      </c>
      <c r="AP619" s="6">
        <v>130486</v>
      </c>
      <c r="AR619" s="6">
        <v>0</v>
      </c>
      <c r="AT619" s="6">
        <v>180000</v>
      </c>
      <c r="AV619" s="6">
        <f>191680+60350</f>
        <v>252030</v>
      </c>
      <c r="AX619" s="6">
        <v>0</v>
      </c>
      <c r="AZ619" s="7">
        <f t="shared" si="70"/>
        <v>7733318</v>
      </c>
      <c r="BB619" s="6">
        <v>0</v>
      </c>
      <c r="BH619" s="6">
        <v>5179555</v>
      </c>
      <c r="BJ619" s="7">
        <f t="shared" si="71"/>
        <v>12912873</v>
      </c>
      <c r="BL619" s="7">
        <f>'Gov Fd Rev'!AO619-'Gov Fd Exp'!BJ619</f>
        <v>464764</v>
      </c>
      <c r="BN619" s="6">
        <v>8412906</v>
      </c>
      <c r="BP619" s="6">
        <v>0</v>
      </c>
      <c r="BR619" s="6">
        <v>0</v>
      </c>
      <c r="BT619" s="7">
        <f t="shared" si="72"/>
        <v>8877670</v>
      </c>
      <c r="BU619" s="7"/>
      <c r="BV619" s="7">
        <f>BT619-'Gov Fd BS'!AC619</f>
        <v>0</v>
      </c>
      <c r="BW619" s="7"/>
    </row>
    <row r="620" spans="1:75">
      <c r="A620" s="11" t="s">
        <v>478</v>
      </c>
      <c r="B620" s="11"/>
      <c r="C620" s="11" t="s">
        <v>79</v>
      </c>
      <c r="E620" s="6">
        <v>5048809</v>
      </c>
      <c r="G620" s="6">
        <v>1037253</v>
      </c>
      <c r="I620" s="6">
        <v>7593</v>
      </c>
      <c r="K620" s="6">
        <v>0</v>
      </c>
      <c r="M620" s="6">
        <v>4164</v>
      </c>
      <c r="O620" s="6">
        <v>577451</v>
      </c>
      <c r="Q620" s="6">
        <v>202826</v>
      </c>
      <c r="S620" s="6">
        <v>62205</v>
      </c>
      <c r="U620" s="6">
        <v>885724</v>
      </c>
      <c r="W620" s="6">
        <v>348881</v>
      </c>
      <c r="Y620" s="6">
        <v>0</v>
      </c>
      <c r="AA620" s="6">
        <v>1063037</v>
      </c>
      <c r="AC620" s="6">
        <v>606728</v>
      </c>
      <c r="AE620" s="6">
        <v>0</v>
      </c>
      <c r="AG620" s="6">
        <v>345453</v>
      </c>
      <c r="AI620" s="6">
        <v>52609</v>
      </c>
      <c r="AJ620" s="11" t="s">
        <v>478</v>
      </c>
      <c r="AK620" s="11"/>
      <c r="AL620" s="11" t="s">
        <v>79</v>
      </c>
      <c r="AN620" s="6">
        <v>379287</v>
      </c>
      <c r="AP620" s="6">
        <v>391423</v>
      </c>
      <c r="AR620" s="6">
        <v>0</v>
      </c>
      <c r="AT620" s="6">
        <v>71674</v>
      </c>
      <c r="AV620" s="6">
        <v>3985</v>
      </c>
      <c r="AX620" s="6">
        <v>0</v>
      </c>
      <c r="AZ620" s="7">
        <f t="shared" si="70"/>
        <v>11089102</v>
      </c>
      <c r="BB620" s="6">
        <v>28737</v>
      </c>
      <c r="BH620" s="6">
        <v>0</v>
      </c>
      <c r="BJ620" s="7">
        <f t="shared" si="71"/>
        <v>11117839</v>
      </c>
      <c r="BL620" s="7">
        <f>'Gov Fd Rev'!AO620-'Gov Fd Exp'!BJ620</f>
        <v>-590545</v>
      </c>
      <c r="BN620" s="6">
        <v>2214884</v>
      </c>
      <c r="BP620" s="6">
        <v>0</v>
      </c>
      <c r="BR620" s="6">
        <v>0</v>
      </c>
      <c r="BT620" s="7">
        <f t="shared" si="72"/>
        <v>1624339</v>
      </c>
      <c r="BU620" s="7"/>
      <c r="BV620" s="7">
        <f>BT620-'Gov Fd BS'!AC620</f>
        <v>0</v>
      </c>
      <c r="BW620" s="7"/>
    </row>
    <row r="621" spans="1:75">
      <c r="A621" s="11" t="s">
        <v>517</v>
      </c>
      <c r="B621" s="11"/>
      <c r="C621" s="11" t="s">
        <v>63</v>
      </c>
      <c r="E621" s="6">
        <v>10256048</v>
      </c>
      <c r="G621" s="6">
        <v>3541890</v>
      </c>
      <c r="I621" s="6">
        <v>380596</v>
      </c>
      <c r="K621" s="6">
        <v>0</v>
      </c>
      <c r="M621" s="6">
        <v>538252</v>
      </c>
      <c r="O621" s="6">
        <v>1378269</v>
      </c>
      <c r="Q621" s="6">
        <v>447570</v>
      </c>
      <c r="S621" s="6">
        <v>29295</v>
      </c>
      <c r="U621" s="6">
        <v>2028588</v>
      </c>
      <c r="W621" s="6">
        <v>663039</v>
      </c>
      <c r="Y621" s="6">
        <v>15586</v>
      </c>
      <c r="AA621" s="6">
        <v>1699358</v>
      </c>
      <c r="AC621" s="6">
        <v>1689030</v>
      </c>
      <c r="AE621" s="6">
        <v>256745</v>
      </c>
      <c r="AG621" s="6">
        <v>763155</v>
      </c>
      <c r="AI621" s="6">
        <v>21038</v>
      </c>
      <c r="AJ621" s="11" t="s">
        <v>517</v>
      </c>
      <c r="AK621" s="11"/>
      <c r="AL621" s="11" t="s">
        <v>63</v>
      </c>
      <c r="AN621" s="6">
        <v>625781</v>
      </c>
      <c r="AP621" s="6">
        <v>144257</v>
      </c>
      <c r="AR621" s="6">
        <v>0</v>
      </c>
      <c r="AT621" s="6">
        <v>1140962</v>
      </c>
      <c r="AV621" s="6">
        <f>434524+119277</f>
        <v>553801</v>
      </c>
      <c r="AX621" s="6">
        <v>0</v>
      </c>
      <c r="AZ621" s="7">
        <f t="shared" si="70"/>
        <v>26173260</v>
      </c>
      <c r="BB621" s="6">
        <v>95497</v>
      </c>
      <c r="BH621" s="6">
        <v>6701059</v>
      </c>
      <c r="BJ621" s="7">
        <f t="shared" si="71"/>
        <v>32969816</v>
      </c>
      <c r="BL621" s="7">
        <f>'Gov Fd Rev'!AO621-'Gov Fd Exp'!BJ621</f>
        <v>-1689619</v>
      </c>
      <c r="BN621" s="6">
        <v>7572275</v>
      </c>
      <c r="BP621" s="6">
        <v>0</v>
      </c>
      <c r="BR621" s="6">
        <v>0</v>
      </c>
      <c r="BT621" s="7">
        <f t="shared" si="72"/>
        <v>5882656</v>
      </c>
      <c r="BU621" s="7"/>
      <c r="BV621" s="7">
        <f>BT621-'Gov Fd BS'!AC621</f>
        <v>0</v>
      </c>
      <c r="BW621" s="7"/>
    </row>
    <row r="622" spans="1:75">
      <c r="A622" s="11" t="s">
        <v>623</v>
      </c>
      <c r="B622" s="11"/>
      <c r="C622" s="11" t="s">
        <v>71</v>
      </c>
      <c r="E622" s="6">
        <v>17924496</v>
      </c>
      <c r="G622" s="6">
        <v>4998409</v>
      </c>
      <c r="I622" s="6">
        <v>402348</v>
      </c>
      <c r="K622" s="6">
        <v>0</v>
      </c>
      <c r="M622" s="6">
        <f>75527+2487990</f>
        <v>2563517</v>
      </c>
      <c r="O622" s="6">
        <v>2125387</v>
      </c>
      <c r="Q622" s="6">
        <v>2102853</v>
      </c>
      <c r="S622" s="6">
        <v>114881</v>
      </c>
      <c r="U622" s="6">
        <v>2896203</v>
      </c>
      <c r="W622" s="6">
        <v>936106</v>
      </c>
      <c r="Y622" s="6">
        <v>298368</v>
      </c>
      <c r="AA622" s="6">
        <v>4419646</v>
      </c>
      <c r="AC622" s="6">
        <v>1788144</v>
      </c>
      <c r="AE622" s="6">
        <v>541528</v>
      </c>
      <c r="AG622" s="6">
        <v>0</v>
      </c>
      <c r="AI622" s="6">
        <v>628143</v>
      </c>
      <c r="AJ622" s="11" t="s">
        <v>623</v>
      </c>
      <c r="AK622" s="11"/>
      <c r="AL622" s="11" t="s">
        <v>71</v>
      </c>
      <c r="AN622" s="6">
        <v>579459</v>
      </c>
      <c r="AP622" s="6">
        <v>102949</v>
      </c>
      <c r="AR622" s="6">
        <v>0</v>
      </c>
      <c r="AT622" s="6">
        <v>1016814</v>
      </c>
      <c r="AV622" s="6">
        <v>2184709</v>
      </c>
      <c r="AX622" s="6">
        <v>0</v>
      </c>
      <c r="AZ622" s="7">
        <f t="shared" si="70"/>
        <v>45623960</v>
      </c>
      <c r="BB622" s="6">
        <v>280500</v>
      </c>
      <c r="BH622" s="6">
        <v>0</v>
      </c>
      <c r="BJ622" s="7">
        <f t="shared" si="71"/>
        <v>45904460</v>
      </c>
      <c r="BL622" s="7">
        <f>'Gov Fd Rev'!AO622-'Gov Fd Exp'!BJ622</f>
        <v>5944903</v>
      </c>
      <c r="BN622" s="6">
        <v>20127155</v>
      </c>
      <c r="BP622" s="6">
        <v>0</v>
      </c>
      <c r="BR622" s="6">
        <v>0</v>
      </c>
      <c r="BT622" s="7">
        <f t="shared" si="72"/>
        <v>26072058</v>
      </c>
      <c r="BU622" s="7"/>
      <c r="BV622" s="7">
        <f>BT622-'Gov Fd BS'!AC622</f>
        <v>0</v>
      </c>
      <c r="BW622" s="7"/>
    </row>
    <row r="623" spans="1:75">
      <c r="A623" s="11" t="s">
        <v>311</v>
      </c>
      <c r="B623" s="11"/>
      <c r="C623" s="11" t="s">
        <v>27</v>
      </c>
      <c r="E623" s="6">
        <v>57747755</v>
      </c>
      <c r="G623" s="6">
        <v>12942575</v>
      </c>
      <c r="I623" s="6">
        <v>972375</v>
      </c>
      <c r="K623" s="6">
        <v>2453</v>
      </c>
      <c r="M623" s="6">
        <v>0</v>
      </c>
      <c r="O623" s="6">
        <v>7074855</v>
      </c>
      <c r="Q623" s="6">
        <v>10749118</v>
      </c>
      <c r="S623" s="6">
        <v>73109</v>
      </c>
      <c r="U623" s="6">
        <v>8919175</v>
      </c>
      <c r="W623" s="6">
        <v>0</v>
      </c>
      <c r="Y623" s="6">
        <v>2621831</v>
      </c>
      <c r="AA623" s="6">
        <v>12476601</v>
      </c>
      <c r="AC623" s="6">
        <v>3978276</v>
      </c>
      <c r="AE623" s="6">
        <v>1270446</v>
      </c>
      <c r="AG623" s="6">
        <v>3143525</v>
      </c>
      <c r="AI623" s="6">
        <v>1601995</v>
      </c>
      <c r="AJ623" s="11" t="s">
        <v>311</v>
      </c>
      <c r="AK623" s="11"/>
      <c r="AL623" s="11" t="s">
        <v>27</v>
      </c>
      <c r="AN623" s="6">
        <v>2494138</v>
      </c>
      <c r="AP623" s="6">
        <v>3825390</v>
      </c>
      <c r="AR623" s="6">
        <v>0</v>
      </c>
      <c r="AT623" s="6">
        <v>6231000</v>
      </c>
      <c r="AV623" s="6">
        <v>2084786</v>
      </c>
      <c r="AX623" s="6">
        <v>0</v>
      </c>
      <c r="AZ623" s="7">
        <f t="shared" si="70"/>
        <v>138209403</v>
      </c>
      <c r="BB623" s="6">
        <v>1051125</v>
      </c>
      <c r="BH623" s="6">
        <v>0</v>
      </c>
      <c r="BJ623" s="7">
        <f t="shared" si="71"/>
        <v>139260528</v>
      </c>
      <c r="BL623" s="7">
        <f>'Gov Fd Rev'!AO623-'Gov Fd Exp'!BJ623</f>
        <v>-666238</v>
      </c>
      <c r="BN623" s="6">
        <v>75380671</v>
      </c>
      <c r="BP623" s="6">
        <v>0</v>
      </c>
      <c r="BR623" s="6">
        <v>0</v>
      </c>
      <c r="BT623" s="7">
        <f t="shared" si="72"/>
        <v>74714433</v>
      </c>
      <c r="BU623" s="7"/>
      <c r="BV623" s="7">
        <f>BT623-'Gov Fd BS'!AC623</f>
        <v>0</v>
      </c>
      <c r="BW623" s="7"/>
    </row>
    <row r="624" spans="1:75">
      <c r="A624" s="11" t="s">
        <v>260</v>
      </c>
      <c r="B624" s="11"/>
      <c r="C624" s="11" t="s">
        <v>111</v>
      </c>
      <c r="E624" s="6">
        <v>4451841</v>
      </c>
      <c r="G624" s="6">
        <v>1432762</v>
      </c>
      <c r="I624" s="6">
        <v>67852</v>
      </c>
      <c r="K624" s="6">
        <v>0</v>
      </c>
      <c r="M624" s="6">
        <v>738083</v>
      </c>
      <c r="O624" s="6">
        <v>996397</v>
      </c>
      <c r="Q624" s="6">
        <v>377923</v>
      </c>
      <c r="S624" s="6">
        <v>6909</v>
      </c>
      <c r="U624" s="6">
        <v>879064</v>
      </c>
      <c r="W624" s="6">
        <v>399427</v>
      </c>
      <c r="Y624" s="6">
        <v>16691</v>
      </c>
      <c r="AA624" s="6">
        <v>695567</v>
      </c>
      <c r="AC624" s="6">
        <v>663548</v>
      </c>
      <c r="AE624" s="6">
        <v>58326</v>
      </c>
      <c r="AG624" s="6">
        <v>524055</v>
      </c>
      <c r="AI624" s="6">
        <v>600</v>
      </c>
      <c r="AJ624" s="11" t="s">
        <v>260</v>
      </c>
      <c r="AK624" s="11"/>
      <c r="AL624" s="11" t="s">
        <v>111</v>
      </c>
      <c r="AN624" s="6">
        <v>368393</v>
      </c>
      <c r="AP624" s="6">
        <v>6084</v>
      </c>
      <c r="AR624" s="6">
        <v>0</v>
      </c>
      <c r="AT624" s="6">
        <v>287474</v>
      </c>
      <c r="AV624" s="6">
        <v>238262</v>
      </c>
      <c r="AX624" s="6">
        <v>0</v>
      </c>
      <c r="AZ624" s="7">
        <f t="shared" si="70"/>
        <v>12209258</v>
      </c>
      <c r="BB624" s="6">
        <v>43271</v>
      </c>
      <c r="BH624" s="6">
        <v>0</v>
      </c>
      <c r="BJ624" s="7">
        <f t="shared" si="71"/>
        <v>12252529</v>
      </c>
      <c r="BL624" s="7">
        <f>'Gov Fd Rev'!AO624-'Gov Fd Exp'!BJ624</f>
        <v>16639</v>
      </c>
      <c r="BN624" s="6">
        <v>1930944</v>
      </c>
      <c r="BP624" s="6">
        <v>0</v>
      </c>
      <c r="BR624" s="6">
        <v>0</v>
      </c>
      <c r="BT624" s="7">
        <f t="shared" si="72"/>
        <v>1947583</v>
      </c>
      <c r="BU624" s="7"/>
      <c r="BV624" s="7">
        <f>BT624-'Gov Fd BS'!AC624</f>
        <v>0</v>
      </c>
      <c r="BW624" s="7"/>
    </row>
    <row r="625" spans="1:75">
      <c r="A625" s="11" t="s">
        <v>333</v>
      </c>
      <c r="B625" s="11"/>
      <c r="C625" s="11" t="s">
        <v>32</v>
      </c>
      <c r="E625" s="6">
        <v>11435021</v>
      </c>
      <c r="G625" s="6">
        <v>2402626</v>
      </c>
      <c r="I625" s="6">
        <v>61497</v>
      </c>
      <c r="K625" s="6">
        <v>0</v>
      </c>
      <c r="M625" s="6">
        <v>27012</v>
      </c>
      <c r="O625" s="6">
        <v>1700981</v>
      </c>
      <c r="Q625" s="6">
        <v>1211399</v>
      </c>
      <c r="S625" s="6">
        <v>161592</v>
      </c>
      <c r="U625" s="6">
        <v>1691287</v>
      </c>
      <c r="W625" s="6">
        <v>939085</v>
      </c>
      <c r="Y625" s="6">
        <v>1108</v>
      </c>
      <c r="AA625" s="6">
        <v>1802177</v>
      </c>
      <c r="AC625" s="6">
        <v>406572</v>
      </c>
      <c r="AE625" s="6">
        <v>130763</v>
      </c>
      <c r="AG625" s="6">
        <v>0</v>
      </c>
      <c r="AI625" s="6">
        <v>610064</v>
      </c>
      <c r="AJ625" s="11" t="s">
        <v>333</v>
      </c>
      <c r="AK625" s="11"/>
      <c r="AL625" s="11" t="s">
        <v>32</v>
      </c>
      <c r="AN625" s="6">
        <v>732424</v>
      </c>
      <c r="AP625" s="6">
        <v>44316</v>
      </c>
      <c r="AR625" s="6">
        <v>0</v>
      </c>
      <c r="AT625" s="6">
        <v>906153</v>
      </c>
      <c r="AV625" s="6">
        <v>1277474</v>
      </c>
      <c r="AX625" s="6">
        <v>0</v>
      </c>
      <c r="AZ625" s="7">
        <f t="shared" si="70"/>
        <v>25541551</v>
      </c>
      <c r="BB625" s="6">
        <v>0</v>
      </c>
      <c r="BH625" s="6">
        <v>0</v>
      </c>
      <c r="BJ625" s="7">
        <f t="shared" si="71"/>
        <v>25541551</v>
      </c>
      <c r="BL625" s="7">
        <f>'Gov Fd Rev'!AO625-'Gov Fd Exp'!BJ625</f>
        <v>25442077</v>
      </c>
      <c r="BN625" s="6">
        <v>17370434</v>
      </c>
      <c r="BP625" s="6">
        <v>0</v>
      </c>
      <c r="BR625" s="6">
        <v>0</v>
      </c>
      <c r="BT625" s="7">
        <f t="shared" si="72"/>
        <v>42812511</v>
      </c>
      <c r="BU625" s="7"/>
      <c r="BV625" s="7">
        <f>BT625-'Gov Fd BS'!AC625</f>
        <v>0</v>
      </c>
      <c r="BW625" s="7"/>
    </row>
    <row r="626" spans="1:75">
      <c r="A626" s="10" t="s">
        <v>884</v>
      </c>
      <c r="B626" s="10"/>
      <c r="C626" s="10" t="s">
        <v>114</v>
      </c>
      <c r="E626" s="6">
        <v>20675098</v>
      </c>
      <c r="G626" s="6">
        <v>7636518</v>
      </c>
      <c r="I626" s="6">
        <v>428353</v>
      </c>
      <c r="K626" s="6">
        <v>0</v>
      </c>
      <c r="M626" s="6">
        <f>477045+568650</f>
        <v>1045695</v>
      </c>
      <c r="O626" s="6">
        <v>3142218</v>
      </c>
      <c r="Q626" s="6">
        <v>3792896</v>
      </c>
      <c r="S626" s="6">
        <v>47898</v>
      </c>
      <c r="U626" s="6">
        <v>4114126</v>
      </c>
      <c r="W626" s="6">
        <v>545747</v>
      </c>
      <c r="Y626" s="6">
        <v>663976</v>
      </c>
      <c r="AA626" s="6">
        <v>3049228</v>
      </c>
      <c r="AC626" s="6">
        <v>2728897</v>
      </c>
      <c r="AE626" s="6">
        <v>239333</v>
      </c>
      <c r="AG626" s="6">
        <v>0</v>
      </c>
      <c r="AI626" s="6">
        <v>2188812</v>
      </c>
      <c r="AJ626" s="10" t="s">
        <v>884</v>
      </c>
      <c r="AK626" s="10"/>
      <c r="AL626" s="10" t="s">
        <v>114</v>
      </c>
      <c r="AN626" s="6">
        <v>703820</v>
      </c>
      <c r="AP626" s="6">
        <v>36368538</v>
      </c>
      <c r="AR626" s="6">
        <v>0</v>
      </c>
      <c r="AT626" s="6">
        <v>554189</v>
      </c>
      <c r="AV626" s="6">
        <v>2306469</v>
      </c>
      <c r="AX626" s="6">
        <v>0</v>
      </c>
      <c r="AZ626" s="7">
        <f t="shared" ref="AZ626" si="80">SUM(E626:AX626)</f>
        <v>90231811</v>
      </c>
      <c r="BB626" s="6">
        <v>0</v>
      </c>
      <c r="BH626" s="6">
        <v>0</v>
      </c>
      <c r="BJ626" s="7">
        <f t="shared" ref="BJ626" si="81">AZ626+BB626+BH626</f>
        <v>90231811</v>
      </c>
      <c r="BL626" s="7">
        <f>'Gov Fd Rev'!AO626-'Gov Fd Exp'!BJ626</f>
        <v>-29681806</v>
      </c>
      <c r="BN626" s="6">
        <v>58186889</v>
      </c>
      <c r="BP626" s="6">
        <v>0</v>
      </c>
      <c r="BR626" s="6">
        <v>0</v>
      </c>
      <c r="BT626" s="7">
        <f t="shared" ref="BT626" si="82">BL626+BN626+BP626+BR626</f>
        <v>28505083</v>
      </c>
      <c r="BU626" s="7"/>
      <c r="BV626" s="7">
        <f>BT626-'Gov Fd BS'!AC626</f>
        <v>0</v>
      </c>
      <c r="BW626" s="7"/>
    </row>
    <row r="627" spans="1:75">
      <c r="A627" s="11" t="s">
        <v>783</v>
      </c>
      <c r="B627" s="11"/>
      <c r="C627" s="11" t="s">
        <v>114</v>
      </c>
      <c r="E627" s="6">
        <v>3382608</v>
      </c>
      <c r="G627" s="6">
        <v>966518</v>
      </c>
      <c r="I627" s="6">
        <v>0</v>
      </c>
      <c r="K627" s="6">
        <v>0</v>
      </c>
      <c r="M627" s="6">
        <f>7004+240642</f>
        <v>247646</v>
      </c>
      <c r="O627" s="6">
        <v>433974</v>
      </c>
      <c r="Q627" s="6">
        <v>431463</v>
      </c>
      <c r="S627" s="6">
        <v>35098</v>
      </c>
      <c r="U627" s="6">
        <v>771622</v>
      </c>
      <c r="W627" s="6">
        <v>349145</v>
      </c>
      <c r="Y627" s="6">
        <v>1663</v>
      </c>
      <c r="AA627" s="6">
        <v>664002</v>
      </c>
      <c r="AC627" s="6">
        <v>207546</v>
      </c>
      <c r="AE627" s="6">
        <v>50054</v>
      </c>
      <c r="AG627" s="6">
        <v>0</v>
      </c>
      <c r="AI627" s="6">
        <v>263095</v>
      </c>
      <c r="AJ627" s="11" t="s">
        <v>783</v>
      </c>
      <c r="AK627" s="11"/>
      <c r="AL627" s="11" t="s">
        <v>114</v>
      </c>
      <c r="AN627" s="6">
        <v>272871</v>
      </c>
      <c r="AP627" s="6">
        <v>132188</v>
      </c>
      <c r="AR627" s="6">
        <v>0</v>
      </c>
      <c r="AT627" s="6">
        <v>3223719</v>
      </c>
      <c r="AV627" s="6">
        <f>334399+92072</f>
        <v>426471</v>
      </c>
      <c r="AX627" s="6">
        <v>0</v>
      </c>
      <c r="AZ627" s="7">
        <f t="shared" si="70"/>
        <v>11859683</v>
      </c>
      <c r="BB627" s="6">
        <v>35000</v>
      </c>
      <c r="BH627" s="6">
        <v>0</v>
      </c>
      <c r="BJ627" s="7">
        <f t="shared" si="71"/>
        <v>11894683</v>
      </c>
      <c r="BL627" s="7">
        <f>'Gov Fd Rev'!AO627-'Gov Fd Exp'!BJ627</f>
        <v>-125443</v>
      </c>
      <c r="BN627" s="6">
        <v>2301951</v>
      </c>
      <c r="BP627" s="6">
        <v>0</v>
      </c>
      <c r="BR627" s="6">
        <v>0</v>
      </c>
      <c r="BT627" s="7">
        <f t="shared" si="72"/>
        <v>2176508</v>
      </c>
      <c r="BU627" s="7"/>
      <c r="BV627" s="7">
        <f>BT627-'Gov Fd BS'!AC627</f>
        <v>0</v>
      </c>
      <c r="BW627" s="7"/>
    </row>
    <row r="628" spans="1:75">
      <c r="A628" s="11" t="s">
        <v>409</v>
      </c>
      <c r="B628" s="11"/>
      <c r="C628" s="11" t="s">
        <v>45</v>
      </c>
      <c r="E628" s="6">
        <v>61039936</v>
      </c>
      <c r="G628" s="6">
        <v>15157046</v>
      </c>
      <c r="I628" s="6">
        <v>2633734</v>
      </c>
      <c r="K628" s="6">
        <v>735511</v>
      </c>
      <c r="M628" s="6">
        <v>701554</v>
      </c>
      <c r="O628" s="6">
        <v>6327971</v>
      </c>
      <c r="Q628" s="6">
        <v>10327741</v>
      </c>
      <c r="S628" s="6">
        <v>471932</v>
      </c>
      <c r="U628" s="6">
        <v>6972143</v>
      </c>
      <c r="W628" s="6">
        <v>1505469</v>
      </c>
      <c r="Y628" s="6">
        <v>770640</v>
      </c>
      <c r="AA628" s="6">
        <v>10781287</v>
      </c>
      <c r="AC628" s="6">
        <v>6060205</v>
      </c>
      <c r="AE628" s="6">
        <v>1378519</v>
      </c>
      <c r="AG628" s="6">
        <v>3235589</v>
      </c>
      <c r="AI628" s="6">
        <v>2176919</v>
      </c>
      <c r="AJ628" s="11" t="s">
        <v>409</v>
      </c>
      <c r="AK628" s="11"/>
      <c r="AL628" s="11" t="s">
        <v>45</v>
      </c>
      <c r="AN628" s="6">
        <v>390897</v>
      </c>
      <c r="AP628" s="6">
        <v>2613066</v>
      </c>
      <c r="AR628" s="6">
        <v>0</v>
      </c>
      <c r="AT628" s="6">
        <v>1215000</v>
      </c>
      <c r="AV628" s="6">
        <v>1284074</v>
      </c>
      <c r="AX628" s="6">
        <v>0</v>
      </c>
      <c r="AZ628" s="7">
        <f t="shared" si="70"/>
        <v>135779233</v>
      </c>
      <c r="BB628" s="6">
        <v>1412382</v>
      </c>
      <c r="BH628" s="6">
        <v>0</v>
      </c>
      <c r="BJ628" s="7">
        <f t="shared" si="71"/>
        <v>137191615</v>
      </c>
      <c r="BL628" s="7">
        <f>'Gov Fd Rev'!AO628-'Gov Fd Exp'!BJ628</f>
        <v>1160919</v>
      </c>
      <c r="BN628" s="6">
        <v>14203823</v>
      </c>
      <c r="BP628" s="6">
        <v>0</v>
      </c>
      <c r="BR628" s="6">
        <v>0</v>
      </c>
      <c r="BT628" s="7">
        <f t="shared" si="72"/>
        <v>15364742</v>
      </c>
      <c r="BU628" s="7"/>
      <c r="BV628" s="7">
        <f>BT628-'Gov Fd BS'!AC628</f>
        <v>0</v>
      </c>
      <c r="BW628" s="7"/>
    </row>
    <row r="629" spans="1:75">
      <c r="A629" s="11" t="s">
        <v>477</v>
      </c>
      <c r="B629" s="11"/>
      <c r="C629" s="11" t="s">
        <v>58</v>
      </c>
      <c r="E629" s="6">
        <v>6830408</v>
      </c>
      <c r="G629" s="6">
        <v>1438592</v>
      </c>
      <c r="I629" s="6">
        <v>9647</v>
      </c>
      <c r="K629" s="6">
        <v>0</v>
      </c>
      <c r="M629" s="6">
        <v>147180</v>
      </c>
      <c r="O629" s="6">
        <v>617599</v>
      </c>
      <c r="Q629" s="6">
        <v>395877</v>
      </c>
      <c r="S629" s="6">
        <v>124650</v>
      </c>
      <c r="U629" s="6">
        <v>846637</v>
      </c>
      <c r="W629" s="6">
        <v>404478</v>
      </c>
      <c r="Y629" s="6">
        <v>0</v>
      </c>
      <c r="AA629" s="6">
        <v>1305876</v>
      </c>
      <c r="AC629" s="6">
        <v>995935</v>
      </c>
      <c r="AE629" s="6">
        <v>143944</v>
      </c>
      <c r="AG629" s="6">
        <v>0</v>
      </c>
      <c r="AI629" s="6">
        <v>537353</v>
      </c>
      <c r="AJ629" s="11" t="s">
        <v>477</v>
      </c>
      <c r="AK629" s="11"/>
      <c r="AL629" s="11" t="s">
        <v>58</v>
      </c>
      <c r="AN629" s="6">
        <v>452552</v>
      </c>
      <c r="AP629" s="6">
        <v>312659</v>
      </c>
      <c r="AR629" s="6">
        <v>0</v>
      </c>
      <c r="AT629" s="6">
        <v>444496</v>
      </c>
      <c r="AV629" s="6">
        <v>204749</v>
      </c>
      <c r="AX629" s="6">
        <v>0</v>
      </c>
      <c r="AZ629" s="7">
        <f t="shared" si="70"/>
        <v>15212632</v>
      </c>
      <c r="BB629" s="6">
        <v>0</v>
      </c>
      <c r="BH629" s="6">
        <v>0</v>
      </c>
      <c r="BJ629" s="7">
        <f t="shared" si="71"/>
        <v>15212632</v>
      </c>
      <c r="BL629" s="7">
        <f>'Gov Fd Rev'!AO629-'Gov Fd Exp'!BJ629</f>
        <v>-1394436</v>
      </c>
      <c r="BN629" s="6">
        <v>5553045</v>
      </c>
      <c r="BP629" s="6">
        <v>0</v>
      </c>
      <c r="BR629" s="6">
        <v>0</v>
      </c>
      <c r="BT629" s="7">
        <f t="shared" si="72"/>
        <v>4158609</v>
      </c>
      <c r="BU629" s="7"/>
      <c r="BV629" s="7">
        <f>BT629-'Gov Fd BS'!AC629</f>
        <v>0</v>
      </c>
      <c r="BW629" s="7"/>
    </row>
    <row r="630" spans="1:75">
      <c r="A630" s="11" t="s">
        <v>448</v>
      </c>
      <c r="B630" s="11"/>
      <c r="C630" s="11" t="s">
        <v>51</v>
      </c>
      <c r="E630" s="6">
        <v>17158846</v>
      </c>
      <c r="G630" s="6">
        <v>7571354</v>
      </c>
      <c r="I630" s="6">
        <v>446034</v>
      </c>
      <c r="K630" s="6">
        <v>0</v>
      </c>
      <c r="M630" s="6">
        <v>144091</v>
      </c>
      <c r="O630" s="6">
        <v>2447040</v>
      </c>
      <c r="Q630" s="6">
        <v>3234478</v>
      </c>
      <c r="S630" s="6">
        <v>126766</v>
      </c>
      <c r="U630" s="6">
        <v>2049795</v>
      </c>
      <c r="W630" s="6">
        <v>607012</v>
      </c>
      <c r="Y630" s="6">
        <v>0</v>
      </c>
      <c r="AA630" s="6">
        <v>3367859</v>
      </c>
      <c r="AC630" s="6">
        <v>1347812</v>
      </c>
      <c r="AE630" s="6">
        <v>674162</v>
      </c>
      <c r="AG630" s="6">
        <v>1996089</v>
      </c>
      <c r="AI630" s="6">
        <v>403712</v>
      </c>
      <c r="AJ630" s="11" t="s">
        <v>448</v>
      </c>
      <c r="AK630" s="11"/>
      <c r="AL630" s="11" t="s">
        <v>51</v>
      </c>
      <c r="AN630" s="6">
        <v>599063</v>
      </c>
      <c r="AP630" s="6">
        <v>1107702</v>
      </c>
      <c r="AR630" s="6">
        <v>0</v>
      </c>
      <c r="AT630" s="6">
        <v>1057916</v>
      </c>
      <c r="AV630" s="6">
        <f>922854+205060</f>
        <v>1127914</v>
      </c>
      <c r="AX630" s="6">
        <v>0</v>
      </c>
      <c r="AZ630" s="7">
        <f t="shared" si="70"/>
        <v>45467645</v>
      </c>
      <c r="BB630" s="6">
        <v>0</v>
      </c>
      <c r="BH630" s="6">
        <v>12623342</v>
      </c>
      <c r="BJ630" s="7">
        <f t="shared" si="71"/>
        <v>58090987</v>
      </c>
      <c r="BL630" s="7">
        <f>'Gov Fd Rev'!AO630-'Gov Fd Exp'!BJ630</f>
        <v>4497443</v>
      </c>
      <c r="BN630" s="6">
        <v>8014830</v>
      </c>
      <c r="BP630" s="6">
        <v>0</v>
      </c>
      <c r="BR630" s="6">
        <v>0</v>
      </c>
      <c r="BT630" s="7">
        <f t="shared" si="72"/>
        <v>12512273</v>
      </c>
      <c r="BU630" s="7"/>
      <c r="BV630" s="7">
        <f>BT630-'Gov Fd BS'!AC630</f>
        <v>0</v>
      </c>
      <c r="BW630" s="7"/>
    </row>
    <row r="631" spans="1:75">
      <c r="A631" s="11"/>
      <c r="B631" s="11"/>
      <c r="C631" s="11"/>
      <c r="AI631" s="7"/>
    </row>
    <row r="632" spans="1:75">
      <c r="A632" s="11"/>
      <c r="B632" s="11"/>
      <c r="C632" s="11"/>
    </row>
    <row r="633" spans="1:75">
      <c r="A633" s="11"/>
      <c r="B633" s="11"/>
      <c r="C633" s="11"/>
    </row>
  </sheetData>
  <mergeCells count="1">
    <mergeCell ref="AT6:AV6"/>
  </mergeCells>
  <pageMargins left="0.8" right="0.75" top="0.5" bottom="0.5" header="0.25" footer="0.25"/>
  <pageSetup scale="76" firstPageNumber="180" pageOrder="overThenDown" orientation="portrait" useFirstPageNumber="1" r:id="rId1"/>
  <rowBreaks count="6" manualBreakCount="6">
    <brk id="98" max="73" man="1"/>
    <brk id="190" max="73" man="1"/>
    <brk id="279" max="73" man="1"/>
    <brk id="373" max="73" man="1"/>
    <brk id="478" max="73" man="1"/>
    <brk id="562" max="73" man="1"/>
  </rowBreaks>
  <colBreaks count="2" manualBreakCount="2">
    <brk id="15" max="629" man="1"/>
    <brk id="35" max="62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St of Net Assets - GA</vt:lpstr>
      <vt:lpstr>St of Activites - GA Rev</vt:lpstr>
      <vt:lpstr>St of Activities - GA Exp</vt:lpstr>
      <vt:lpstr>Gen Fd BS</vt:lpstr>
      <vt:lpstr>Gen Fd Rev</vt:lpstr>
      <vt:lpstr>Gen Fd Exp</vt:lpstr>
      <vt:lpstr>Gov Fd BS</vt:lpstr>
      <vt:lpstr>Gov Fd Rev</vt:lpstr>
      <vt:lpstr>Gov Fd Exp</vt:lpstr>
      <vt:lpstr>Long Term Liab - GA</vt:lpstr>
      <vt:lpstr>'Gen Fd BS'!Print_Area</vt:lpstr>
      <vt:lpstr>'Gen Fd Exp'!Print_Area</vt:lpstr>
      <vt:lpstr>'Gen Fd Rev'!Print_Area</vt:lpstr>
      <vt:lpstr>'Gov Fd BS'!Print_Area</vt:lpstr>
      <vt:lpstr>'Gov Fd Exp'!Print_Area</vt:lpstr>
      <vt:lpstr>'Gov Fd Rev'!Print_Area</vt:lpstr>
      <vt:lpstr>'Long Term Liab - GA'!Print_Area</vt:lpstr>
      <vt:lpstr>'St of Activites - GA Rev'!Print_Area</vt:lpstr>
      <vt:lpstr>'St of Activities - GA Exp'!Print_Area</vt:lpstr>
      <vt:lpstr>'St of Net Assets - GA'!Print_Area</vt:lpstr>
      <vt:lpstr>'Gen Fd BS'!Print_Titles</vt:lpstr>
      <vt:lpstr>'Gen Fd Exp'!Print_Titles</vt:lpstr>
      <vt:lpstr>'Gen Fd Rev'!Print_Titles</vt:lpstr>
      <vt:lpstr>'Gov Fd BS'!Print_Titles</vt:lpstr>
      <vt:lpstr>'Gov Fd Exp'!Print_Titles</vt:lpstr>
      <vt:lpstr>'Gov Fd Rev'!Print_Titles</vt:lpstr>
      <vt:lpstr>'Long Term Liab - GA'!Print_Titles</vt:lpstr>
      <vt:lpstr>'St of Activites - GA Rev'!Print_Titles</vt:lpstr>
      <vt:lpstr>'St of Activities - GA Exp'!Print_Titles</vt:lpstr>
      <vt:lpstr>'St of Net Assets - GA'!Print_Titles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Christopher S. McKee</dc:creator>
  <cp:lastModifiedBy>Sarah E. Ramsey McKee</cp:lastModifiedBy>
  <cp:lastPrinted>2014-05-13T19:44:18Z</cp:lastPrinted>
  <dcterms:created xsi:type="dcterms:W3CDTF">2002-06-04T12:17:39Z</dcterms:created>
  <dcterms:modified xsi:type="dcterms:W3CDTF">2014-05-14T19:32:22Z</dcterms:modified>
</cp:coreProperties>
</file>